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8670" tabRatio="775" activeTab="0"/>
  </bookViews>
  <sheets>
    <sheet name="DÚSP Černovice" sheetId="1" r:id="rId1"/>
    <sheet name="ÚSP Zboží" sheetId="2" r:id="rId2"/>
    <sheet name="USP Ledeč nad Sázavou" sheetId="3" r:id="rId3"/>
    <sheet name="ÚSP Lidmaň" sheetId="4" r:id="rId4"/>
    <sheet name="ÚSP Věž" sheetId="5" r:id="rId5"/>
    <sheet name="ÚSP Těchobuz" sheetId="6" r:id="rId6"/>
    <sheet name="ÚSP Jinošov" sheetId="7" r:id="rId7"/>
    <sheet name="ÚSP Nové Syrovice" sheetId="8" r:id="rId8"/>
    <sheet name="DD M.Curierových" sheetId="9" r:id="rId9"/>
    <sheet name="DD Třebíč Kubešova" sheetId="10" r:id="rId10"/>
    <sheet name="DD Třebíč Koutkova" sheetId="11" r:id="rId11"/>
    <sheet name="DD Náměšť nad Os" sheetId="12" r:id="rId12"/>
    <sheet name="DD Velký Újezd" sheetId="13" r:id="rId13"/>
    <sheet name="Psych.Jihl." sheetId="14" r:id="rId14"/>
    <sheet name="ÚSP Křižanov" sheetId="15" r:id="rId15"/>
    <sheet name="DD Mitrov" sheetId="16" r:id="rId16"/>
    <sheet name="DD Velké Meziříčí" sheetId="17" r:id="rId17"/>
    <sheet name="DD Havlíčkův Brod" sheetId="18" r:id="rId18"/>
    <sheet name="DD Humpolec" sheetId="19" r:id="rId19"/>
    <sheet name="DD Proseč u Pošné" sheetId="20" r:id="rId20"/>
    <sheet name="DD Onšov" sheetId="21" r:id="rId21"/>
    <sheet name="DD Proseč Obořiště" sheetId="22" r:id="rId22"/>
    <sheet name="DD Ždírec" sheetId="23" r:id="rId23"/>
  </sheets>
  <definedNames>
    <definedName name="_xlnm.Print_Area" localSheetId="17">'DD Havlíčkův Brod'!$A$1:$O$128</definedName>
    <definedName name="_xlnm.Print_Area" localSheetId="18">'DD Humpolec'!$A$1:$O$126</definedName>
    <definedName name="_xlnm.Print_Area" localSheetId="20">'DD Onšov'!$A$1:$O$130</definedName>
    <definedName name="_xlnm.Print_Area" localSheetId="21">'DD Proseč Obořiště'!$A$1:$O$130</definedName>
    <definedName name="_xlnm.Print_Area" localSheetId="19">'DD Proseč u Pošné'!$A$1:$O$131</definedName>
    <definedName name="_xlnm.Print_Area" localSheetId="9">'DD Třebíč Kubešova'!$A$1:$O$134</definedName>
    <definedName name="_xlnm.Print_Area" localSheetId="16">'DD Velké Meziříčí'!$A$1:$O$130</definedName>
    <definedName name="_xlnm.Print_Area" localSheetId="12">'DD Velký Újezd'!$A$1:$O$115</definedName>
    <definedName name="_xlnm.Print_Area" localSheetId="22">'DD Ždírec'!$A$1:$O$125</definedName>
    <definedName name="_xlnm.Print_Area" localSheetId="0">'DÚSP Černovice'!$A$1:$O$135</definedName>
    <definedName name="_xlnm.Print_Area" localSheetId="14">'ÚSP Křižanov'!$A$1:$O$121</definedName>
    <definedName name="_xlnm.Print_Area" localSheetId="2">'USP Ledeč nad Sázavou'!$A$1:$O$124</definedName>
    <definedName name="_xlnm.Print_Area" localSheetId="3">'ÚSP Lidmaň'!$A$1:$O$123</definedName>
    <definedName name="_xlnm.Print_Area" localSheetId="5">'ÚSP Těchobuz'!$A$1:$O$123</definedName>
    <definedName name="_xlnm.Print_Area" localSheetId="4">'ÚSP Věž'!$A$1:$O$118</definedName>
    <definedName name="_xlnm.Print_Area" localSheetId="1">'ÚSP Zboží'!$A$1:$O$125</definedName>
  </definedNames>
  <calcPr fullCalcOnLoad="1"/>
</workbook>
</file>

<file path=xl/sharedStrings.xml><?xml version="1.0" encoding="utf-8"?>
<sst xmlns="http://schemas.openxmlformats.org/spreadsheetml/2006/main" count="4883" uniqueCount="552">
  <si>
    <t>Finanční plán</t>
  </si>
  <si>
    <t>Skutečnost za rok 2004</t>
  </si>
  <si>
    <t>Rozdíl 2005 - 2004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</si>
  <si>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</si>
  <si>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</si>
  <si>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</si>
  <si>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</si>
  <si>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</si>
  <si>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</si>
  <si>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</si>
  <si>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</si>
  <si>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</si>
  <si>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</si>
  <si>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</si>
  <si>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</si>
  <si>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</si>
  <si>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</si>
  <si>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</si>
  <si>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</si>
  <si>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</si>
  <si>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</si>
  <si>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</si>
  <si>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</si>
  <si>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</si>
  <si>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</si>
  <si>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</si>
  <si>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</si>
  <si>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</si>
  <si>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</si>
  <si>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</si>
  <si>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</si>
  <si>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</si>
  <si>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</si>
  <si>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</si>
  <si>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</si>
  <si>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</si>
  <si>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</si>
  <si>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</si>
  <si>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</si>
  <si>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</si>
  <si>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</si>
  <si>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>v tis.Kč</t>
  </si>
  <si>
    <t>Investice 2004</t>
  </si>
  <si>
    <t>Odvod do rozpočtu zřizovatele</t>
  </si>
  <si>
    <t>Obložení stěny</t>
  </si>
  <si>
    <t>Oprava nábytku</t>
  </si>
  <si>
    <t>Oprava čalounění</t>
  </si>
  <si>
    <t>Oprava tiskárny</t>
  </si>
  <si>
    <t>Další investice:</t>
  </si>
  <si>
    <t>Investiční výdaje ISPROFIN</t>
  </si>
  <si>
    <t xml:space="preserve">   z toho stavby</t>
  </si>
  <si>
    <t>Limit mzdových prostředků</t>
  </si>
  <si>
    <t>Limit</t>
  </si>
  <si>
    <t>Skutečnost</t>
  </si>
  <si>
    <t>Zaměstnanci</t>
  </si>
  <si>
    <t>průměrný přepočtený počet zaměstnanců</t>
  </si>
  <si>
    <t>Průměrná mzda</t>
  </si>
  <si>
    <t>Rozdíl</t>
  </si>
  <si>
    <t>hospodářskosprávní a provoznětechničtí zam.</t>
  </si>
  <si>
    <t>Ředitel</t>
  </si>
  <si>
    <t>NZP</t>
  </si>
  <si>
    <t>PZP</t>
  </si>
  <si>
    <t>Psychologové</t>
  </si>
  <si>
    <t>pedagogičtí pracovníci vychovatelé</t>
  </si>
  <si>
    <t>nepedagog.prac.-pomocní Vychovatelé</t>
  </si>
  <si>
    <t>prac. sociální péče</t>
  </si>
  <si>
    <t>sociální pracovníci</t>
  </si>
  <si>
    <t>zam.převážně manuelně pracující</t>
  </si>
  <si>
    <t>Přepočtený počet zaměstnanců</t>
  </si>
  <si>
    <t>Počty lůžek</t>
  </si>
  <si>
    <t>rok</t>
  </si>
  <si>
    <t>Plán</t>
  </si>
  <si>
    <t>kapacita</t>
  </si>
  <si>
    <t>Pořizovací cena majetku</t>
  </si>
  <si>
    <t>Oprávky k 1.1.2005</t>
  </si>
  <si>
    <t>Zůstatková cena k 31.12.2005</t>
  </si>
  <si>
    <t>celkem</t>
  </si>
  <si>
    <t>z toho odpisová skupina:</t>
  </si>
  <si>
    <t>Deficit (-) BÚ</t>
  </si>
  <si>
    <t>Tvorba</t>
  </si>
  <si>
    <t>Čerpání</t>
  </si>
  <si>
    <t>Stav k 1.1.2005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</si>
  <si>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</si>
  <si>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</si>
  <si>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</si>
  <si>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</si>
  <si>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</si>
  <si>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Běžný účet FKSP</t>
  </si>
  <si>
    <t>z toho po lhůtě splatnosti</t>
  </si>
  <si>
    <t>do 30 dnů</t>
  </si>
  <si>
    <t>31-90</t>
  </si>
  <si>
    <t>91-180</t>
  </si>
  <si>
    <t>181-360</t>
  </si>
  <si>
    <t>nad 360</t>
  </si>
  <si>
    <t>Pohledávky</t>
  </si>
  <si>
    <t>Závazky</t>
  </si>
  <si>
    <t>odvod do rozpočtu zřizovatele</t>
  </si>
  <si>
    <t>lednice</t>
  </si>
  <si>
    <t>SZP</t>
  </si>
  <si>
    <t>lékaři</t>
  </si>
  <si>
    <t>vyvíječ páry</t>
  </si>
  <si>
    <t>čtecí zařízení</t>
  </si>
  <si>
    <t>žehlič válcový - mandl</t>
  </si>
  <si>
    <t>odvod zřizovateli</t>
  </si>
  <si>
    <t>kotel varný</t>
  </si>
  <si>
    <t>konvektomat</t>
  </si>
  <si>
    <t>běžná údržba</t>
  </si>
  <si>
    <t>zastřešení rampy</t>
  </si>
  <si>
    <t>zastřešení chodníku</t>
  </si>
  <si>
    <t>výměna oken</t>
  </si>
  <si>
    <t>opravy aut</t>
  </si>
  <si>
    <t>běžné opravy</t>
  </si>
  <si>
    <t>Fondy v tis. Kč</t>
  </si>
  <si>
    <t xml:space="preserve">          investiční fond</t>
  </si>
  <si>
    <t>Stav k 31.12.2005</t>
  </si>
  <si>
    <t>užitkový automobil</t>
  </si>
  <si>
    <t>osobní automobil</t>
  </si>
  <si>
    <t>kopírka</t>
  </si>
  <si>
    <t>oprava schodiště</t>
  </si>
  <si>
    <t>Oprava podlah</t>
  </si>
  <si>
    <t xml:space="preserve"> </t>
  </si>
  <si>
    <t>opravy strojního zařízení</t>
  </si>
  <si>
    <t>oprava strojního zařízení</t>
  </si>
  <si>
    <t>údržba zeleně parku</t>
  </si>
  <si>
    <t>malířské a natěračské práce</t>
  </si>
  <si>
    <t>mycí stroj</t>
  </si>
  <si>
    <t>nářezový stroj</t>
  </si>
  <si>
    <t>odvod do rozp. Zřizovatele</t>
  </si>
  <si>
    <t>pračka</t>
  </si>
  <si>
    <t>Zahradní traktor</t>
  </si>
  <si>
    <t>Dezinfekční stroj na podložní mísy</t>
  </si>
  <si>
    <t>Pánev elektrická</t>
  </si>
  <si>
    <t>Elektroúdržba</t>
  </si>
  <si>
    <t>Opravy a údržba podlah</t>
  </si>
  <si>
    <t>Nátěry, malby</t>
  </si>
  <si>
    <t>sadové úpravy, údržba zeleně</t>
  </si>
  <si>
    <t>Sadové úpravy, údržba zeleně</t>
  </si>
  <si>
    <t>různé</t>
  </si>
  <si>
    <t>Nepředvídané</t>
  </si>
  <si>
    <t xml:space="preserve">malování </t>
  </si>
  <si>
    <t xml:space="preserve">ostatní opravy </t>
  </si>
  <si>
    <t>ÚSP Zboží</t>
  </si>
  <si>
    <t>traktor travní</t>
  </si>
  <si>
    <t>regenerace parku</t>
  </si>
  <si>
    <t>úpravna vody</t>
  </si>
  <si>
    <t>myčka nádobí</t>
  </si>
  <si>
    <t>pánev smažící</t>
  </si>
  <si>
    <t>práce zednické</t>
  </si>
  <si>
    <t>práce malířské</t>
  </si>
  <si>
    <t>práce truhlářské</t>
  </si>
  <si>
    <t>práce topenářské</t>
  </si>
  <si>
    <t>chlazení výtahu</t>
  </si>
  <si>
    <t>oprava výtahů</t>
  </si>
  <si>
    <t>oprava bazénu</t>
  </si>
  <si>
    <t>oprava kuchyňského zařízení</t>
  </si>
  <si>
    <t>oprava prádelenského zařízení</t>
  </si>
  <si>
    <t>malování</t>
  </si>
  <si>
    <t>oprava nouzového světla</t>
  </si>
  <si>
    <t>běžná oprava a údržba</t>
  </si>
  <si>
    <t>oprava RHP</t>
  </si>
  <si>
    <t>el. pečící trouba</t>
  </si>
  <si>
    <t>společná chladnička pro obyvatele</t>
  </si>
  <si>
    <t xml:space="preserve">běžná údržba zařízení </t>
  </si>
  <si>
    <t>běžná údržba zařízení</t>
  </si>
  <si>
    <t>telefonní ústředna</t>
  </si>
  <si>
    <t>kotel plynový</t>
  </si>
  <si>
    <t>myčka podl. Mís</t>
  </si>
  <si>
    <t>běžné provozní opravy</t>
  </si>
  <si>
    <t>myčka podložních mís</t>
  </si>
  <si>
    <t>ostatní opravy</t>
  </si>
  <si>
    <t>DD Proseč u Pošné</t>
  </si>
  <si>
    <t>centrální zámky</t>
  </si>
  <si>
    <t>v tis. Kč</t>
  </si>
  <si>
    <t>v tis . Kč</t>
  </si>
  <si>
    <t xml:space="preserve">Příděl ze zlepšeného ročního VH </t>
  </si>
  <si>
    <t>Dary</t>
  </si>
  <si>
    <t>Počáteční stav k 1.1.</t>
  </si>
  <si>
    <t>Příděl ze zlep. ročního VH</t>
  </si>
  <si>
    <t>Neinvest. výdaje ISPROFIN</t>
  </si>
  <si>
    <t>Převod do IF</t>
  </si>
  <si>
    <t>oprava žaluzií</t>
  </si>
  <si>
    <t>DD Onšov</t>
  </si>
  <si>
    <t>Skutečnost za rok 2005</t>
  </si>
  <si>
    <t>Návrh na rok 2006</t>
  </si>
  <si>
    <t>Rozdíl 2006 - 2005</t>
  </si>
  <si>
    <t>Investice 2005</t>
  </si>
  <si>
    <t>Plán čerpání investičního fondu 2006</t>
  </si>
  <si>
    <t>průmyslový žehlič</t>
  </si>
  <si>
    <t>dezinfektor Meiko</t>
  </si>
  <si>
    <t>Opel Zafira</t>
  </si>
  <si>
    <t>macerátor - drtička HB</t>
  </si>
  <si>
    <t>rekonstrukce koupelny</t>
  </si>
  <si>
    <t>Opravy a údržba  2004</t>
  </si>
  <si>
    <t>Opravy a údržba 2005</t>
  </si>
  <si>
    <t>Plán oprav  dlouhodobého majetku  2006</t>
  </si>
  <si>
    <t>Výměna bojlerů Břevnice</t>
  </si>
  <si>
    <t>stavební úpravy koupelna Břevnice</t>
  </si>
  <si>
    <t>drobné opravy omítek, vstupní brány, apod.</t>
  </si>
  <si>
    <t>vybudování víceúčelové místnosti v HB</t>
  </si>
  <si>
    <t>havarijní situace, drobné opravy</t>
  </si>
  <si>
    <t xml:space="preserve">havarijní situace </t>
  </si>
  <si>
    <t>Protiskluzová dlažba na rampě u kuchyně</t>
  </si>
  <si>
    <t>sanační omítka ve skladu</t>
  </si>
  <si>
    <t>zpevněné plochy pod kontejner Bř</t>
  </si>
  <si>
    <t>Havarijní situace (oprava výtahu,auta,škrabky,pračky,atd.)</t>
  </si>
  <si>
    <t>stav k 31.12.2005</t>
  </si>
  <si>
    <t>průměrný přepočtený počet zaměstnaců k poslednímu dni sledovaného období</t>
  </si>
  <si>
    <t>chladící skříně</t>
  </si>
  <si>
    <t>sporák plynový</t>
  </si>
  <si>
    <t>zpracování projekt. Dokumentace</t>
  </si>
  <si>
    <t>odvod do rozp.zřizovatele</t>
  </si>
  <si>
    <t>opravy nemovitého majetku</t>
  </si>
  <si>
    <t>oprava a úsržba</t>
  </si>
  <si>
    <t>prádelna</t>
  </si>
  <si>
    <t>zařízení vodárny</t>
  </si>
  <si>
    <t>el sporák</t>
  </si>
  <si>
    <t>automobil Opel</t>
  </si>
  <si>
    <t>PC síť</t>
  </si>
  <si>
    <t>opravy auta</t>
  </si>
  <si>
    <t>ostatní opravy DDHM, DHM</t>
  </si>
  <si>
    <t>ostatní opravy  DDHM,DHM</t>
  </si>
  <si>
    <t>myčka podlo. mís</t>
  </si>
  <si>
    <t>myčka černého nádobí</t>
  </si>
  <si>
    <t>el. varný kotel</t>
  </si>
  <si>
    <t>odpis nekryt. Fondu</t>
  </si>
  <si>
    <t>oddělení Slunečnice</t>
  </si>
  <si>
    <t>oprava příj. cesty+márnice</t>
  </si>
  <si>
    <t>schodiště</t>
  </si>
  <si>
    <t>oprava střechy dílna</t>
  </si>
  <si>
    <t>přípojka</t>
  </si>
  <si>
    <t>podlahy</t>
  </si>
  <si>
    <t>kanalizace a svody</t>
  </si>
  <si>
    <t>kotelna</t>
  </si>
  <si>
    <t>Daně a poplatky /sesk.úč.53/</t>
  </si>
  <si>
    <t>pračka průmyslová</t>
  </si>
  <si>
    <t>skleník ALFA</t>
  </si>
  <si>
    <t>klimatizace ubytovacích prostor</t>
  </si>
  <si>
    <t>prkno žehlící</t>
  </si>
  <si>
    <t>keramická pec</t>
  </si>
  <si>
    <t>automobil OPEL Zafira</t>
  </si>
  <si>
    <t>oprava střechy - domeček</t>
  </si>
  <si>
    <t>oprava střechy</t>
  </si>
  <si>
    <t>běžné opravy a udržování</t>
  </si>
  <si>
    <t>opravy praček</t>
  </si>
  <si>
    <t>natírání věže</t>
  </si>
  <si>
    <t>výměna dveří</t>
  </si>
  <si>
    <t>opravy elektro</t>
  </si>
  <si>
    <t>opravy vodovodu a WC</t>
  </si>
  <si>
    <t>opravy zařízení</t>
  </si>
  <si>
    <t xml:space="preserve">Rekonstrukce Zadní Hamry </t>
  </si>
  <si>
    <t>Žehlící stůl</t>
  </si>
  <si>
    <t>Sekačka na trávu</t>
  </si>
  <si>
    <t>Blixer</t>
  </si>
  <si>
    <t>Manipulační zařízení pro imobilní</t>
  </si>
  <si>
    <t>Mikrobus 9 místný</t>
  </si>
  <si>
    <t>Udržovací skříň</t>
  </si>
  <si>
    <t xml:space="preserve">Manipulační zařízení pro imobilní </t>
  </si>
  <si>
    <t>Rehabilitační přístroj</t>
  </si>
  <si>
    <t xml:space="preserve">klempířské a pokrývačské práce </t>
  </si>
  <si>
    <t>oprava střechy a okapů</t>
  </si>
  <si>
    <t xml:space="preserve">oprava podlah, obložení </t>
  </si>
  <si>
    <t>oprava hygienického zařízení na oddělení</t>
  </si>
  <si>
    <t>oprava konstrukce stropu</t>
  </si>
  <si>
    <t>oprava a výměna podlahových kritin na oddělění</t>
  </si>
  <si>
    <t>oprava praček prádelna</t>
  </si>
  <si>
    <t>oprava a údržba motorových vozidel</t>
  </si>
  <si>
    <t>revize a údržba požární signalizace</t>
  </si>
  <si>
    <t>oprava a udržba strojního zařizení</t>
  </si>
  <si>
    <t xml:space="preserve">oprava a údržba mot. vozidel </t>
  </si>
  <si>
    <t>ostatní údržba</t>
  </si>
  <si>
    <t>vůz Opel Vivaro</t>
  </si>
  <si>
    <t>práce instalatérské</t>
  </si>
  <si>
    <t>práce elktroinstalatérské</t>
  </si>
  <si>
    <t>Práce truhlářské</t>
  </si>
  <si>
    <t>oprava strojů a přístrojů</t>
  </si>
  <si>
    <t>údržba autoparku</t>
  </si>
  <si>
    <t>práce zámečnické</t>
  </si>
  <si>
    <t>odvod do rozpočtu</t>
  </si>
  <si>
    <t>pec vypalovací</t>
  </si>
  <si>
    <t>masážní křeslo</t>
  </si>
  <si>
    <t>kamerový systém</t>
  </si>
  <si>
    <t>čipový zámkový systém</t>
  </si>
  <si>
    <t>klimatizace</t>
  </si>
  <si>
    <t>oprava podlahy v ošetřovně</t>
  </si>
  <si>
    <t>oprava podlahy v jídelně</t>
  </si>
  <si>
    <t>oprava obkladů</t>
  </si>
  <si>
    <t>1 ks mycího a dezinfekčního automatu</t>
  </si>
  <si>
    <t>na sanitár.nádoby</t>
  </si>
  <si>
    <t>prádelenský lis</t>
  </si>
  <si>
    <t xml:space="preserve">odvlhčení budovy </t>
  </si>
  <si>
    <t>oprava vránice</t>
  </si>
  <si>
    <t>oprava oplocení arálu</t>
  </si>
  <si>
    <t>oprava vodohosp.infrastruktury</t>
  </si>
  <si>
    <t>úpravy a čistění studní</t>
  </si>
  <si>
    <t>oprava vodárny</t>
  </si>
  <si>
    <t>oprava dveří, obložení a rohů na chodbách</t>
  </si>
  <si>
    <t>žací stroj</t>
  </si>
  <si>
    <t>signalizace</t>
  </si>
  <si>
    <t>výtahová plošina</t>
  </si>
  <si>
    <t>plastová lavice osmihranná</t>
  </si>
  <si>
    <t>masážní vana</t>
  </si>
  <si>
    <t>automobil Opel Combo</t>
  </si>
  <si>
    <t>běžná údržba a oprava zařízení</t>
  </si>
  <si>
    <t>oprava zámecké zdi</t>
  </si>
  <si>
    <t>opravy budovy</t>
  </si>
  <si>
    <t>opravy a údržba staveb</t>
  </si>
  <si>
    <t>oprava krovů u zámku a kaple</t>
  </si>
  <si>
    <t>oprava plotu parku</t>
  </si>
  <si>
    <t>údržba parku</t>
  </si>
  <si>
    <t>ošetření stromů</t>
  </si>
  <si>
    <t>oprava mobiliáře kaple</t>
  </si>
  <si>
    <t>modernizace podlah-lité podlahy</t>
  </si>
  <si>
    <t>plynový sušič</t>
  </si>
  <si>
    <t>mandl</t>
  </si>
  <si>
    <t>klimatizace v prádelně</t>
  </si>
  <si>
    <t>sklad zahradní techniky</t>
  </si>
  <si>
    <t>myčka toaletních křesel</t>
  </si>
  <si>
    <t>pokoj pro nepřizpůsobivé klienty</t>
  </si>
  <si>
    <t>odvod z investičního fondu</t>
  </si>
  <si>
    <t>výměna lin na chodbách ve 3. patrech</t>
  </si>
  <si>
    <t>nátěry oken a mříží, plotů, střechy</t>
  </si>
  <si>
    <t>opravy omítek</t>
  </si>
  <si>
    <t>nátěry a opravy balkonů</t>
  </si>
  <si>
    <t>opravy aut a ostatní opravy</t>
  </si>
  <si>
    <t>opravy a servis výtahů</t>
  </si>
  <si>
    <t>nátěry oken a mříží</t>
  </si>
  <si>
    <t>opravy a servis v kotelně</t>
  </si>
  <si>
    <t>oprava záložních zdrojů osvětlení</t>
  </si>
  <si>
    <t>opravy balkonů 5.patro-výdřeva</t>
  </si>
  <si>
    <t>oprava a servis výtahů</t>
  </si>
  <si>
    <t>oprava rozvodů vody</t>
  </si>
  <si>
    <t>rezerva</t>
  </si>
  <si>
    <t>oprava podlah, čištění lin</t>
  </si>
  <si>
    <t>oprava a servis el. zařízení</t>
  </si>
  <si>
    <t>CONVOTHERM</t>
  </si>
  <si>
    <t>Europračka</t>
  </si>
  <si>
    <t>altán zahradní</t>
  </si>
  <si>
    <t>myčka na sklo a nádobí</t>
  </si>
  <si>
    <t>sušička</t>
  </si>
  <si>
    <t>Žehlič průmyslový ELEKTROLUX</t>
  </si>
  <si>
    <t>sklad pracovní terapie</t>
  </si>
  <si>
    <t>oprava stroj. Zařízení</t>
  </si>
  <si>
    <t>Oprava stroj. Zařizení</t>
  </si>
  <si>
    <t>běžná údržba a opravy zařízení</t>
  </si>
  <si>
    <t>oprava omítek, oprava stavebních prvků</t>
  </si>
  <si>
    <t>malby a nátěry</t>
  </si>
  <si>
    <t>malby, nátěry</t>
  </si>
  <si>
    <t>postupná oprava el. Instalací</t>
  </si>
  <si>
    <t>oprava podlah, krytin</t>
  </si>
  <si>
    <t>oprava podlah na pokojích klientů a na chod.</t>
  </si>
  <si>
    <t>oprava podlah a oken - půda</t>
  </si>
  <si>
    <t>opravy venkovních omítek</t>
  </si>
  <si>
    <t>úprava části kotelny na sociální zařízení pro klienty</t>
  </si>
  <si>
    <t>bezdrátový tel. systém</t>
  </si>
  <si>
    <t>opravy sušky a mandlu</t>
  </si>
  <si>
    <t xml:space="preserve">oprava elektroinstalace 4. a 5.NP </t>
  </si>
  <si>
    <t>oprava izolace ve společných koupelnách</t>
  </si>
  <si>
    <t>oprava elektroinstalace 2. a 3. NP</t>
  </si>
  <si>
    <t>nátěry dveří a zárubní</t>
  </si>
  <si>
    <t>oprava signalizace 6. -9.NP</t>
  </si>
  <si>
    <t>gen. oprava 3 ks praček</t>
  </si>
  <si>
    <t>zpevnění ploch v zahradě</t>
  </si>
  <si>
    <t>oprava elektroinstalace 6. - 9. NP</t>
  </si>
  <si>
    <t>výměna vadných vodovodních baterií</t>
  </si>
  <si>
    <t>revize zařízení</t>
  </si>
  <si>
    <t>revize</t>
  </si>
  <si>
    <t>opravy strojů a zařízení</t>
  </si>
  <si>
    <t>další opravy a revize zařízení</t>
  </si>
  <si>
    <t>aktualizace softwaru</t>
  </si>
  <si>
    <t>fyzioterapeut</t>
  </si>
  <si>
    <t xml:space="preserve">samočnné  otvírání dveří </t>
  </si>
  <si>
    <t>myčku na nádobí</t>
  </si>
  <si>
    <t>vnitřní kamerový systém</t>
  </si>
  <si>
    <t>automobil OPEL combo tour</t>
  </si>
  <si>
    <t>kráječ</t>
  </si>
  <si>
    <t>pračka prům. odpružená</t>
  </si>
  <si>
    <t>žehlič prádla PRIMUS</t>
  </si>
  <si>
    <t>dezinfektor MEIKO</t>
  </si>
  <si>
    <t>odvod z odpisů zřizovateli</t>
  </si>
  <si>
    <t>výdejní vozík skříňový</t>
  </si>
  <si>
    <t>NZP + prac. soc. péče</t>
  </si>
  <si>
    <t>dělička masa</t>
  </si>
  <si>
    <t xml:space="preserve">oprava kuchyňského zařízení </t>
  </si>
  <si>
    <t xml:space="preserve">oprava prádelenského zařízení </t>
  </si>
  <si>
    <t>oprava vzduchotechniky</t>
  </si>
  <si>
    <t>oprava bazénu a rehabil.zařízení</t>
  </si>
  <si>
    <t>údržba softwaru</t>
  </si>
  <si>
    <t>oprava nouzových světel</t>
  </si>
  <si>
    <t>prac.soc.péče-přímá obslužná péče</t>
  </si>
  <si>
    <t>instruktoři soc.péče</t>
  </si>
  <si>
    <t xml:space="preserve">Dezinfekční stroj na podložní mísy </t>
  </si>
  <si>
    <t>Rekonstrukce soc. zařízení (zdroj Kr.Ú)</t>
  </si>
  <si>
    <t>různé drobné opravy</t>
  </si>
  <si>
    <t>Servis - kuchyně,  prádelna</t>
  </si>
  <si>
    <t>Opravy zdravotnických přístrojů</t>
  </si>
  <si>
    <t>údržba v prádelně</t>
  </si>
  <si>
    <t>Servis výtahů</t>
  </si>
  <si>
    <t>opravy střech</t>
  </si>
  <si>
    <t>brigádníci</t>
  </si>
  <si>
    <t>Cestovné 512</t>
  </si>
  <si>
    <t>Automobil Ople Vivaro</t>
  </si>
  <si>
    <t xml:space="preserve">Zvedací židle </t>
  </si>
  <si>
    <t xml:space="preserve">odod zřizovateli </t>
  </si>
  <si>
    <t>Convektomat - kuchyně</t>
  </si>
  <si>
    <t>Běžné opravy</t>
  </si>
  <si>
    <t xml:space="preserve">Běžné opravy a údržby </t>
  </si>
  <si>
    <t xml:space="preserve">Běžné opravy a údžba </t>
  </si>
  <si>
    <t xml:space="preserve">malování celé budovy </t>
  </si>
  <si>
    <t>masér</t>
  </si>
  <si>
    <t>fytzioteraoeut</t>
  </si>
  <si>
    <t xml:space="preserve">Vybavení inf. Technikou z dotace zřizovatele </t>
  </si>
  <si>
    <t>Nákup automobilu z dotace zřizovatele</t>
  </si>
  <si>
    <t>Výměna plynového topidla</t>
  </si>
  <si>
    <t>Výměna vchdových dveří</t>
  </si>
  <si>
    <t>Odvětrávací mřížka</t>
  </si>
  <si>
    <t>Běžná údržba a opravy  - budova a vybavení pracovišť</t>
  </si>
  <si>
    <t>Výměna svítidla</t>
  </si>
  <si>
    <t>Üdržba auta - pneumatiky</t>
  </si>
  <si>
    <t>Osazení dveří ve sklepě</t>
  </si>
  <si>
    <t>Čalounění nábytku</t>
  </si>
  <si>
    <t>Drobné opravy zařízení a budovy</t>
  </si>
  <si>
    <t>DÚSP Černovice</t>
  </si>
  <si>
    <t>ÚSP Ledeč nad Sázavou</t>
  </si>
  <si>
    <t>ÚSP Lidmaň</t>
  </si>
  <si>
    <t>ÚSP Těchobuz</t>
  </si>
  <si>
    <t>ÚSP Jinošov</t>
  </si>
  <si>
    <t>ÚSP Nové Syrovice</t>
  </si>
  <si>
    <t>DD Třebíč - Kubešova</t>
  </si>
  <si>
    <t>DD Třebíč  - Koutkova</t>
  </si>
  <si>
    <t>DD Náměšť nad Oslavou</t>
  </si>
  <si>
    <t>DD Velké Meziříčí</t>
  </si>
  <si>
    <t>ÚSP Křižanov</t>
  </si>
  <si>
    <t>DD Mitrov</t>
  </si>
  <si>
    <t>DD Havlíčkův Brod</t>
  </si>
  <si>
    <t>DD Humpolec</t>
  </si>
  <si>
    <t>DD Proseč Obořiště</t>
  </si>
  <si>
    <t>DD Ždírec</t>
  </si>
  <si>
    <t>sklopná pánev</t>
  </si>
  <si>
    <t>zvedací židle Calypso</t>
  </si>
  <si>
    <t>kráječ chleba</t>
  </si>
  <si>
    <t>garážová vrata</t>
  </si>
  <si>
    <t>elektrická trouba</t>
  </si>
  <si>
    <t>rekonstrukce - oddělení se zvýšeným dohledem</t>
  </si>
  <si>
    <t>el. zvedací židla Calypso</t>
  </si>
  <si>
    <t>automobil OPEL - dotace z  rozpočtu zřiz.</t>
  </si>
  <si>
    <t>dělička těsta</t>
  </si>
  <si>
    <t>oprava šaten</t>
  </si>
  <si>
    <t>malování, nátěry soklů v celé budově</t>
  </si>
  <si>
    <t>oprava podlah</t>
  </si>
  <si>
    <t>oprava sklepních prostor - archív</t>
  </si>
  <si>
    <t>podlaha v jídelně obyvatel</t>
  </si>
  <si>
    <t>malování zbývajících pokojů</t>
  </si>
  <si>
    <t>oprava místnosti rehabilitace</t>
  </si>
  <si>
    <t>opravy - voda, topení, odpady</t>
  </si>
  <si>
    <t>opravy zařízení, voda, topení, odpady</t>
  </si>
  <si>
    <t>počítač</t>
  </si>
  <si>
    <t>varný kotel</t>
  </si>
  <si>
    <t>motoped</t>
  </si>
  <si>
    <t>odsavač par - kuchyň (financoval KÚ)</t>
  </si>
  <si>
    <t>malířské práce</t>
  </si>
  <si>
    <t>oprava betonu + položení PVC</t>
  </si>
  <si>
    <t>malířské práce, oprava fasády</t>
  </si>
  <si>
    <t>zastřešení sušáku</t>
  </si>
  <si>
    <t>ostatní</t>
  </si>
  <si>
    <t>oprava auta</t>
  </si>
  <si>
    <t>drobné opravy movitých věcí</t>
  </si>
  <si>
    <t>elektrický sporák 2 ks á 65 tis. Kč</t>
  </si>
  <si>
    <t>docházkový systém</t>
  </si>
  <si>
    <t>oprava balkonu nad vchodem do budovy DD</t>
  </si>
  <si>
    <t>DD Třebíč - Manž. Curieových</t>
  </si>
  <si>
    <t>Opravy kotlů a sporáku</t>
  </si>
  <si>
    <t>Ostatní opravy a údržba</t>
  </si>
  <si>
    <t>Ostatní opravy a údržby</t>
  </si>
  <si>
    <t>Ostatní drobné opravy</t>
  </si>
  <si>
    <t>Psychocentrum</t>
  </si>
  <si>
    <t>- navýšení během roku</t>
  </si>
  <si>
    <t>- schválená na začátku roku</t>
  </si>
  <si>
    <t>Účetní odpisy na rok 2006</t>
  </si>
  <si>
    <t>Rezervní fond 2005</t>
  </si>
  <si>
    <t>Plán tvorby a čerpání rezervního fondu 2006</t>
  </si>
  <si>
    <t>Účetní stav 2005</t>
  </si>
  <si>
    <t>Plán 2006</t>
  </si>
  <si>
    <t>Zůstatek účtu k 1.1.2005</t>
  </si>
  <si>
    <t>Zůstatek účtu k 31.12.2005</t>
  </si>
  <si>
    <t>Stav k 1.1.2006</t>
  </si>
  <si>
    <t>Stav k 31.12.2006</t>
  </si>
  <si>
    <t>oprava podlah-pastování Pavilon</t>
  </si>
  <si>
    <t>oprava vstupní brány- omítka</t>
  </si>
  <si>
    <t>oprava odpadu prádelna</t>
  </si>
  <si>
    <t>venkovní osvětlení¨+ nové světlo</t>
  </si>
  <si>
    <t xml:space="preserve">  </t>
  </si>
  <si>
    <t>K dalšímu rozvoji činnosti</t>
  </si>
  <si>
    <t xml:space="preserve">                 </t>
  </si>
  <si>
    <t>ÚSP Věž</t>
  </si>
  <si>
    <t xml:space="preserve">             </t>
  </si>
  <si>
    <t>Oprávky k 1.1.2006</t>
  </si>
  <si>
    <t>Zůstatková cena k 31.12.2006</t>
  </si>
  <si>
    <t>Ztráta za předchozí léta</t>
  </si>
  <si>
    <t>Odvod z investičního fondu do rozpočtu zřizovatele</t>
  </si>
  <si>
    <t>oprava plotu</t>
  </si>
  <si>
    <t>oprava praček</t>
  </si>
  <si>
    <t xml:space="preserve">elektroinstalace </t>
  </si>
  <si>
    <t>Obnova malby</t>
  </si>
  <si>
    <t>Nátěry</t>
  </si>
  <si>
    <t>Podlahy</t>
  </si>
  <si>
    <t>postupná obnova výtahu</t>
  </si>
  <si>
    <t xml:space="preserve">      </t>
  </si>
  <si>
    <t>DD Velký Újezd</t>
  </si>
  <si>
    <t>nákup auta</t>
  </si>
  <si>
    <t>oprava prádelny</t>
  </si>
  <si>
    <t>kuchyně</t>
  </si>
  <si>
    <t>Výtah</t>
  </si>
  <si>
    <t>Nákup auta</t>
  </si>
  <si>
    <t>elektrická pec</t>
  </si>
  <si>
    <t>automobil Opel Movano</t>
  </si>
  <si>
    <t>automobil</t>
  </si>
  <si>
    <t>technické zhodnocení - garáž</t>
  </si>
  <si>
    <t>Opravy</t>
  </si>
  <si>
    <t>opravy podlah - investiční fond</t>
  </si>
  <si>
    <t>opravy stavební</t>
  </si>
  <si>
    <t>opravy strojní</t>
  </si>
  <si>
    <t>opravy autopark</t>
  </si>
  <si>
    <t>PZP sanitář</t>
  </si>
  <si>
    <t>terapeut</t>
  </si>
  <si>
    <t>robot</t>
  </si>
  <si>
    <t>K úhradě ztráty za předchozí léta</t>
  </si>
  <si>
    <t>odvod z odpisů</t>
  </si>
  <si>
    <t>zvedací vany -2 ks</t>
  </si>
  <si>
    <t>sedačkový zvedák</t>
  </si>
  <si>
    <t>odvlhčení budov</t>
  </si>
  <si>
    <t>oprava sociálního zařízení</t>
  </si>
  <si>
    <t>vypravení pohřbu obyvatelky</t>
  </si>
  <si>
    <t>kotel</t>
  </si>
  <si>
    <t>zařehlovací lis</t>
  </si>
  <si>
    <t>Konečný stav k 31.12.</t>
  </si>
  <si>
    <t xml:space="preserve">Běžná údržba a opravy - automobil </t>
  </si>
  <si>
    <t>docház.,vstup. a strav. systém</t>
  </si>
  <si>
    <t>odvod do rozp. zřizovatele</t>
  </si>
  <si>
    <t xml:space="preserve"> malování a nátěry</t>
  </si>
  <si>
    <t xml:space="preserve"> údržba rozvodů ÚT</t>
  </si>
  <si>
    <t xml:space="preserve"> oprava kanalizace</t>
  </si>
  <si>
    <t xml:space="preserve"> údržba kotelny</t>
  </si>
  <si>
    <t>údržba Náhrad. Zdroje</t>
  </si>
  <si>
    <t xml:space="preserve"> malování</t>
  </si>
  <si>
    <t xml:space="preserve"> opravy el. Instal.</t>
  </si>
  <si>
    <t xml:space="preserve"> opravy poslah</t>
  </si>
  <si>
    <t xml:space="preserve"> oprava lůžka Terno</t>
  </si>
  <si>
    <t>opravy radiátorů</t>
  </si>
  <si>
    <t>opr. kotlů, údržba</t>
  </si>
  <si>
    <t>opravy el.</t>
  </si>
  <si>
    <t xml:space="preserve"> malování, nátěry</t>
  </si>
  <si>
    <t>zvedák ARJO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</si>
</sst>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12"/>
      <name val="Times New Roman CE"/>
      <family val="1"/>
    </font>
    <font>
      <sz val="9"/>
      <name val="Arial CE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b/>
      <sz val="14"/>
      <name val="Arial CE"/>
      <family val="2"/>
    </font>
    <font>
      <b/>
      <sz val="12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 quotePrefix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3" fontId="2" fillId="3" borderId="11" xfId="0" applyNumberFormat="1" applyFont="1" applyFill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3" fontId="2" fillId="3" borderId="16" xfId="0" applyNumberFormat="1" applyFont="1" applyFill="1" applyBorder="1" applyAlignment="1">
      <alignment vertical="center" wrapText="1"/>
    </xf>
    <xf numFmtId="10" fontId="2" fillId="3" borderId="19" xfId="0" applyNumberFormat="1" applyFont="1" applyFill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10" fontId="2" fillId="3" borderId="21" xfId="0" applyNumberFormat="1" applyFont="1" applyFill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2" fillId="3" borderId="5" xfId="0" applyNumberFormat="1" applyFont="1" applyFill="1" applyBorder="1" applyAlignment="1">
      <alignment vertical="center" wrapText="1"/>
    </xf>
    <xf numFmtId="10" fontId="2" fillId="3" borderId="8" xfId="0" applyNumberFormat="1" applyFont="1" applyFill="1" applyBorder="1" applyAlignment="1">
      <alignment vertical="center" wrapText="1"/>
    </xf>
    <xf numFmtId="10" fontId="2" fillId="3" borderId="7" xfId="0" applyNumberFormat="1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left" vertical="center" wrapText="1"/>
    </xf>
    <xf numFmtId="3" fontId="2" fillId="2" borderId="22" xfId="0" applyNumberFormat="1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vertical="center" wrapText="1"/>
    </xf>
    <xf numFmtId="3" fontId="2" fillId="2" borderId="24" xfId="0" applyNumberFormat="1" applyFont="1" applyFill="1" applyBorder="1" applyAlignment="1">
      <alignment vertical="center" wrapText="1"/>
    </xf>
    <xf numFmtId="3" fontId="2" fillId="3" borderId="22" xfId="0" applyNumberFormat="1" applyFont="1" applyFill="1" applyBorder="1" applyAlignment="1">
      <alignment vertical="center" wrapText="1"/>
    </xf>
    <xf numFmtId="10" fontId="2" fillId="3" borderId="23" xfId="0" applyNumberFormat="1" applyFont="1" applyFill="1" applyBorder="1" applyAlignment="1">
      <alignment vertical="center" wrapText="1"/>
    </xf>
    <xf numFmtId="3" fontId="2" fillId="2" borderId="25" xfId="0" applyNumberFormat="1" applyFont="1" applyFill="1" applyBorder="1" applyAlignment="1">
      <alignment vertical="center" wrapText="1"/>
    </xf>
    <xf numFmtId="10" fontId="2" fillId="3" borderId="24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0" fontId="2" fillId="3" borderId="26" xfId="0" applyNumberFormat="1" applyFont="1" applyFill="1" applyBorder="1" applyAlignment="1">
      <alignment vertical="center" wrapText="1"/>
    </xf>
    <xf numFmtId="10" fontId="2" fillId="3" borderId="15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3" fontId="2" fillId="3" borderId="28" xfId="0" applyNumberFormat="1" applyFont="1" applyFill="1" applyBorder="1" applyAlignment="1">
      <alignment vertical="center" wrapText="1"/>
    </xf>
    <xf numFmtId="10" fontId="2" fillId="3" borderId="29" xfId="0" applyNumberFormat="1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2" fillId="2" borderId="2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26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3" fontId="2" fillId="2" borderId="2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" fontId="5" fillId="0" borderId="17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2" borderId="32" xfId="0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" fontId="2" fillId="0" borderId="32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4" fontId="7" fillId="0" borderId="17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0" fontId="7" fillId="0" borderId="32" xfId="0" applyFont="1" applyBorder="1" applyAlignment="1">
      <alignment wrapText="1"/>
    </xf>
    <xf numFmtId="4" fontId="7" fillId="0" borderId="33" xfId="0" applyNumberFormat="1" applyFont="1" applyBorder="1" applyAlignment="1">
      <alignment/>
    </xf>
    <xf numFmtId="4" fontId="7" fillId="0" borderId="34" xfId="0" applyNumberFormat="1" applyFont="1" applyBorder="1" applyAlignment="1">
      <alignment/>
    </xf>
    <xf numFmtId="4" fontId="7" fillId="0" borderId="32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7" fillId="0" borderId="34" xfId="0" applyNumberFormat="1" applyFont="1" applyFill="1" applyBorder="1" applyAlignment="1">
      <alignment horizontal="right"/>
    </xf>
    <xf numFmtId="0" fontId="2" fillId="2" borderId="33" xfId="20" applyFont="1" applyFill="1" applyBorder="1" applyAlignment="1">
      <alignment horizontal="center" vertical="center"/>
      <protection/>
    </xf>
    <xf numFmtId="3" fontId="2" fillId="0" borderId="27" xfId="20" applyNumberFormat="1" applyFont="1" applyBorder="1" applyAlignment="1">
      <alignment horizontal="center" vertical="center"/>
      <protection/>
    </xf>
    <xf numFmtId="3" fontId="2" fillId="0" borderId="35" xfId="20" applyNumberFormat="1" applyFont="1" applyBorder="1" applyAlignment="1">
      <alignment horizontal="right" vertical="center"/>
      <protection/>
    </xf>
    <xf numFmtId="3" fontId="2" fillId="0" borderId="34" xfId="20" applyNumberFormat="1" applyFont="1" applyBorder="1" applyAlignment="1">
      <alignment horizontal="right" vertical="center"/>
      <protection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0" xfId="0" applyNumberFormat="1" applyFont="1" applyBorder="1" applyAlignment="1" quotePrefix="1">
      <alignment horizontal="center"/>
    </xf>
    <xf numFmtId="3" fontId="2" fillId="0" borderId="17" xfId="0" applyNumberFormat="1" applyFont="1" applyBorder="1" applyAlignment="1" quotePrefix="1">
      <alignment horizontal="center"/>
    </xf>
    <xf numFmtId="3" fontId="2" fillId="0" borderId="15" xfId="0" applyNumberFormat="1" applyFont="1" applyBorder="1" applyAlignment="1" quotePrefix="1">
      <alignment horizontal="center"/>
    </xf>
    <xf numFmtId="3" fontId="2" fillId="0" borderId="39" xfId="0" applyNumberFormat="1" applyFont="1" applyBorder="1" applyAlignment="1">
      <alignment/>
    </xf>
    <xf numFmtId="0" fontId="7" fillId="0" borderId="40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0" fontId="7" fillId="0" borderId="41" xfId="0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0" fontId="2" fillId="2" borderId="17" xfId="0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 horizontal="center"/>
    </xf>
    <xf numFmtId="3" fontId="2" fillId="2" borderId="21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16" xfId="0" applyNumberFormat="1" applyFont="1" applyBorder="1" applyAlignment="1" quotePrefix="1">
      <alignment horizontal="center"/>
    </xf>
    <xf numFmtId="3" fontId="2" fillId="0" borderId="42" xfId="0" applyNumberFormat="1" applyFont="1" applyBorder="1" applyAlignment="1" quotePrefix="1">
      <alignment horizontal="center"/>
    </xf>
    <xf numFmtId="3" fontId="2" fillId="0" borderId="21" xfId="0" applyNumberFormat="1" applyFont="1" applyBorder="1" applyAlignment="1" quotePrefix="1">
      <alignment horizontal="center"/>
    </xf>
    <xf numFmtId="2" fontId="7" fillId="2" borderId="3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3" fontId="2" fillId="0" borderId="3" xfId="0" applyNumberFormat="1" applyFont="1" applyBorder="1" applyAlignment="1">
      <alignment horizontal="right"/>
    </xf>
    <xf numFmtId="0" fontId="4" fillId="2" borderId="45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2" fillId="0" borderId="29" xfId="20" applyNumberFormat="1" applyFont="1" applyBorder="1" applyAlignment="1">
      <alignment horizontal="right" vertical="center"/>
      <protection/>
    </xf>
    <xf numFmtId="3" fontId="2" fillId="0" borderId="46" xfId="20" applyNumberFormat="1" applyFont="1" applyBorder="1" applyAlignment="1">
      <alignment horizontal="right" vertical="center"/>
      <protection/>
    </xf>
    <xf numFmtId="0" fontId="2" fillId="2" borderId="34" xfId="20" applyFont="1" applyFill="1" applyBorder="1" applyAlignment="1">
      <alignment horizontal="center" vertical="center"/>
      <protection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3" fontId="7" fillId="0" borderId="8" xfId="0" applyNumberFormat="1" applyFont="1" applyBorder="1" applyAlignment="1">
      <alignment/>
    </xf>
    <xf numFmtId="0" fontId="4" fillId="2" borderId="47" xfId="0" applyFont="1" applyFill="1" applyBorder="1" applyAlignment="1">
      <alignment vertical="top"/>
    </xf>
    <xf numFmtId="0" fontId="4" fillId="2" borderId="48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49" xfId="0" applyFont="1" applyFill="1" applyBorder="1" applyAlignment="1">
      <alignment vertical="top"/>
    </xf>
    <xf numFmtId="1" fontId="4" fillId="0" borderId="38" xfId="0" applyNumberFormat="1" applyFont="1" applyBorder="1" applyAlignment="1">
      <alignment/>
    </xf>
    <xf numFmtId="1" fontId="2" fillId="0" borderId="38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9" fontId="4" fillId="2" borderId="5" xfId="21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17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4" borderId="50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4" fillId="4" borderId="53" xfId="0" applyFont="1" applyFill="1" applyBorder="1" applyAlignment="1">
      <alignment horizontal="center"/>
    </xf>
    <xf numFmtId="0" fontId="4" fillId="4" borderId="54" xfId="0" applyFont="1" applyFill="1" applyBorder="1" applyAlignment="1">
      <alignment horizontal="center"/>
    </xf>
    <xf numFmtId="3" fontId="4" fillId="0" borderId="55" xfId="0" applyNumberFormat="1" applyFont="1" applyBorder="1" applyAlignment="1">
      <alignment vertical="center" wrapText="1"/>
    </xf>
    <xf numFmtId="3" fontId="4" fillId="0" borderId="56" xfId="0" applyNumberFormat="1" applyFont="1" applyBorder="1" applyAlignment="1">
      <alignment vertical="center" wrapText="1"/>
    </xf>
    <xf numFmtId="3" fontId="4" fillId="0" borderId="57" xfId="0" applyNumberFormat="1" applyFont="1" applyBorder="1" applyAlignment="1">
      <alignment vertical="center" wrapText="1"/>
    </xf>
    <xf numFmtId="3" fontId="2" fillId="5" borderId="58" xfId="0" applyNumberFormat="1" applyFont="1" applyFill="1" applyBorder="1" applyAlignment="1">
      <alignment vertical="center" wrapText="1"/>
    </xf>
    <xf numFmtId="10" fontId="2" fillId="5" borderId="59" xfId="0" applyNumberFormat="1" applyFont="1" applyFill="1" applyBorder="1" applyAlignment="1">
      <alignment vertical="center" wrapText="1"/>
    </xf>
    <xf numFmtId="3" fontId="4" fillId="0" borderId="60" xfId="0" applyNumberFormat="1" applyFont="1" applyBorder="1" applyAlignment="1">
      <alignment vertical="center" wrapText="1"/>
    </xf>
    <xf numFmtId="10" fontId="2" fillId="5" borderId="61" xfId="0" applyNumberFormat="1" applyFont="1" applyFill="1" applyBorder="1" applyAlignment="1">
      <alignment vertical="center" wrapText="1"/>
    </xf>
    <xf numFmtId="0" fontId="4" fillId="0" borderId="58" xfId="0" applyFont="1" applyBorder="1" applyAlignment="1">
      <alignment horizontal="left" vertical="center" wrapText="1"/>
    </xf>
    <xf numFmtId="3" fontId="4" fillId="0" borderId="58" xfId="0" applyNumberFormat="1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0" fontId="5" fillId="0" borderId="58" xfId="0" applyFont="1" applyBorder="1" applyAlignment="1">
      <alignment horizontal="left" vertical="center" wrapText="1"/>
    </xf>
    <xf numFmtId="3" fontId="4" fillId="0" borderId="50" xfId="0" applyNumberFormat="1" applyFont="1" applyBorder="1" applyAlignment="1">
      <alignment vertical="center" wrapText="1"/>
    </xf>
    <xf numFmtId="3" fontId="4" fillId="0" borderId="51" xfId="0" applyNumberFormat="1" applyFont="1" applyBorder="1" applyAlignment="1">
      <alignment vertical="center" wrapText="1"/>
    </xf>
    <xf numFmtId="3" fontId="2" fillId="5" borderId="50" xfId="0" applyNumberFormat="1" applyFont="1" applyFill="1" applyBorder="1" applyAlignment="1">
      <alignment vertical="center" wrapText="1"/>
    </xf>
    <xf numFmtId="10" fontId="2" fillId="5" borderId="53" xfId="0" applyNumberFormat="1" applyFont="1" applyFill="1" applyBorder="1" applyAlignment="1">
      <alignment vertical="center" wrapText="1"/>
    </xf>
    <xf numFmtId="10" fontId="2" fillId="5" borderId="52" xfId="0" applyNumberFormat="1" applyFont="1" applyFill="1" applyBorder="1" applyAlignment="1">
      <alignment vertical="center" wrapText="1"/>
    </xf>
    <xf numFmtId="0" fontId="2" fillId="4" borderId="64" xfId="0" applyFont="1" applyFill="1" applyBorder="1" applyAlignment="1">
      <alignment horizontal="left" vertical="center" wrapText="1"/>
    </xf>
    <xf numFmtId="3" fontId="2" fillId="4" borderId="64" xfId="0" applyNumberFormat="1" applyFont="1" applyFill="1" applyBorder="1" applyAlignment="1">
      <alignment vertical="center" wrapText="1"/>
    </xf>
    <xf numFmtId="3" fontId="2" fillId="4" borderId="65" xfId="0" applyNumberFormat="1" applyFont="1" applyFill="1" applyBorder="1" applyAlignment="1">
      <alignment vertical="center" wrapText="1"/>
    </xf>
    <xf numFmtId="3" fontId="2" fillId="4" borderId="66" xfId="0" applyNumberFormat="1" applyFont="1" applyFill="1" applyBorder="1" applyAlignment="1">
      <alignment vertical="center" wrapText="1"/>
    </xf>
    <xf numFmtId="3" fontId="2" fillId="5" borderId="64" xfId="0" applyNumberFormat="1" applyFont="1" applyFill="1" applyBorder="1" applyAlignment="1">
      <alignment vertical="center" wrapText="1"/>
    </xf>
    <xf numFmtId="10" fontId="2" fillId="5" borderId="65" xfId="0" applyNumberFormat="1" applyFont="1" applyFill="1" applyBorder="1" applyAlignment="1">
      <alignment vertical="center" wrapText="1"/>
    </xf>
    <xf numFmtId="3" fontId="2" fillId="4" borderId="67" xfId="0" applyNumberFormat="1" applyFont="1" applyFill="1" applyBorder="1" applyAlignment="1">
      <alignment vertical="center" wrapText="1"/>
    </xf>
    <xf numFmtId="10" fontId="2" fillId="5" borderId="66" xfId="0" applyNumberFormat="1" applyFont="1" applyFill="1" applyBorder="1" applyAlignment="1">
      <alignment vertical="center" wrapText="1"/>
    </xf>
    <xf numFmtId="0" fontId="4" fillId="0" borderId="68" xfId="0" applyFont="1" applyBorder="1" applyAlignment="1">
      <alignment horizontal="left" vertical="center" wrapText="1"/>
    </xf>
    <xf numFmtId="3" fontId="4" fillId="0" borderId="69" xfId="0" applyNumberFormat="1" applyFont="1" applyBorder="1" applyAlignment="1">
      <alignment vertical="center" wrapText="1"/>
    </xf>
    <xf numFmtId="3" fontId="2" fillId="5" borderId="55" xfId="0" applyNumberFormat="1" applyFont="1" applyFill="1" applyBorder="1" applyAlignment="1">
      <alignment vertical="center" wrapText="1"/>
    </xf>
    <xf numFmtId="10" fontId="2" fillId="5" borderId="70" xfId="0" applyNumberFormat="1" applyFont="1" applyFill="1" applyBorder="1" applyAlignment="1">
      <alignment vertical="center" wrapText="1"/>
    </xf>
    <xf numFmtId="3" fontId="4" fillId="0" borderId="71" xfId="0" applyNumberFormat="1" applyFont="1" applyBorder="1" applyAlignment="1">
      <alignment vertical="center" wrapText="1"/>
    </xf>
    <xf numFmtId="10" fontId="2" fillId="5" borderId="71" xfId="0" applyNumberFormat="1" applyFont="1" applyFill="1" applyBorder="1" applyAlignment="1">
      <alignment vertical="center" wrapText="1"/>
    </xf>
    <xf numFmtId="3" fontId="4" fillId="0" borderId="63" xfId="0" applyNumberFormat="1" applyFont="1" applyFill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3" fontId="4" fillId="0" borderId="62" xfId="0" applyNumberFormat="1" applyFont="1" applyFill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3" fontId="4" fillId="0" borderId="54" xfId="0" applyNumberFormat="1" applyFont="1" applyBorder="1" applyAlignment="1">
      <alignment vertical="center" wrapText="1"/>
    </xf>
    <xf numFmtId="3" fontId="2" fillId="5" borderId="73" xfId="0" applyNumberFormat="1" applyFont="1" applyFill="1" applyBorder="1" applyAlignment="1">
      <alignment vertical="center" wrapText="1"/>
    </xf>
    <xf numFmtId="10" fontId="2" fillId="5" borderId="74" xfId="0" applyNumberFormat="1" applyFont="1" applyFill="1" applyBorder="1" applyAlignment="1">
      <alignment vertical="center" wrapText="1"/>
    </xf>
    <xf numFmtId="0" fontId="7" fillId="4" borderId="64" xfId="0" applyFont="1" applyFill="1" applyBorder="1" applyAlignment="1">
      <alignment horizontal="left" vertical="center" wrapText="1"/>
    </xf>
    <xf numFmtId="3" fontId="7" fillId="0" borderId="71" xfId="0" applyNumberFormat="1" applyFont="1" applyBorder="1" applyAlignment="1">
      <alignment/>
    </xf>
    <xf numFmtId="3" fontId="7" fillId="0" borderId="71" xfId="0" applyNumberFormat="1" applyFont="1" applyBorder="1" applyAlignment="1">
      <alignment/>
    </xf>
    <xf numFmtId="3" fontId="2" fillId="0" borderId="71" xfId="0" applyNumberFormat="1" applyFont="1" applyBorder="1" applyAlignment="1">
      <alignment horizontal="right"/>
    </xf>
    <xf numFmtId="3" fontId="7" fillId="0" borderId="61" xfId="0" applyNumberFormat="1" applyFont="1" applyBorder="1" applyAlignment="1">
      <alignment/>
    </xf>
    <xf numFmtId="3" fontId="7" fillId="0" borderId="61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2" fillId="4" borderId="66" xfId="0" applyNumberFormat="1" applyFont="1" applyFill="1" applyBorder="1" applyAlignment="1">
      <alignment vertical="center"/>
    </xf>
    <xf numFmtId="3" fontId="7" fillId="0" borderId="70" xfId="0" applyNumberFormat="1" applyFont="1" applyBorder="1" applyAlignment="1">
      <alignment/>
    </xf>
    <xf numFmtId="3" fontId="7" fillId="0" borderId="59" xfId="0" applyNumberFormat="1" applyFont="1" applyBorder="1" applyAlignment="1">
      <alignment/>
    </xf>
    <xf numFmtId="3" fontId="2" fillId="0" borderId="61" xfId="0" applyNumberFormat="1" applyFont="1" applyBorder="1" applyAlignment="1">
      <alignment horizontal="right"/>
    </xf>
    <xf numFmtId="3" fontId="7" fillId="0" borderId="53" xfId="0" applyNumberFormat="1" applyFont="1" applyBorder="1" applyAlignment="1">
      <alignment/>
    </xf>
    <xf numFmtId="3" fontId="2" fillId="0" borderId="52" xfId="0" applyNumberFormat="1" applyFont="1" applyBorder="1" applyAlignment="1">
      <alignment horizontal="right"/>
    </xf>
    <xf numFmtId="3" fontId="7" fillId="0" borderId="75" xfId="0" applyNumberFormat="1" applyFont="1" applyBorder="1" applyAlignment="1">
      <alignment/>
    </xf>
    <xf numFmtId="3" fontId="2" fillId="0" borderId="76" xfId="0" applyNumberFormat="1" applyFont="1" applyBorder="1" applyAlignment="1">
      <alignment horizontal="right"/>
    </xf>
    <xf numFmtId="3" fontId="2" fillId="4" borderId="65" xfId="0" applyNumberFormat="1" applyFont="1" applyFill="1" applyBorder="1" applyAlignment="1">
      <alignment vertical="center"/>
    </xf>
    <xf numFmtId="0" fontId="2" fillId="4" borderId="62" xfId="0" applyFont="1" applyFill="1" applyBorder="1" applyAlignment="1">
      <alignment horizontal="center"/>
    </xf>
    <xf numFmtId="3" fontId="2" fillId="4" borderId="62" xfId="0" applyNumberFormat="1" applyFont="1" applyFill="1" applyBorder="1" applyAlignment="1">
      <alignment horizontal="center"/>
    </xf>
    <xf numFmtId="3" fontId="2" fillId="4" borderId="59" xfId="0" applyNumberFormat="1" applyFont="1" applyFill="1" applyBorder="1" applyAlignment="1">
      <alignment horizontal="center"/>
    </xf>
    <xf numFmtId="3" fontId="2" fillId="4" borderId="61" xfId="0" applyNumberFormat="1" applyFont="1" applyFill="1" applyBorder="1" applyAlignment="1">
      <alignment horizontal="center"/>
    </xf>
    <xf numFmtId="0" fontId="0" fillId="4" borderId="77" xfId="0" applyFill="1" applyBorder="1" applyAlignment="1">
      <alignment horizontal="center" vertical="center"/>
    </xf>
    <xf numFmtId="0" fontId="7" fillId="4" borderId="78" xfId="0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center" vertical="center"/>
    </xf>
    <xf numFmtId="0" fontId="2" fillId="0" borderId="63" xfId="0" applyFon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1" fontId="2" fillId="0" borderId="60" xfId="0" applyNumberFormat="1" applyFont="1" applyBorder="1" applyAlignment="1">
      <alignment horizontal="center"/>
    </xf>
    <xf numFmtId="3" fontId="2" fillId="0" borderId="70" xfId="0" applyNumberFormat="1" applyFont="1" applyBorder="1" applyAlignment="1">
      <alignment/>
    </xf>
    <xf numFmtId="3" fontId="2" fillId="0" borderId="80" xfId="0" applyNumberFormat="1" applyFont="1" applyBorder="1" applyAlignment="1">
      <alignment/>
    </xf>
    <xf numFmtId="0" fontId="2" fillId="0" borderId="77" xfId="0" applyFont="1" applyBorder="1" applyAlignment="1">
      <alignment/>
    </xf>
    <xf numFmtId="3" fontId="2" fillId="0" borderId="81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2" fillId="0" borderId="79" xfId="0" applyNumberFormat="1" applyFont="1" applyBorder="1" applyAlignment="1">
      <alignment/>
    </xf>
    <xf numFmtId="1" fontId="2" fillId="0" borderId="77" xfId="0" applyNumberFormat="1" applyFont="1" applyBorder="1" applyAlignment="1">
      <alignment horizontal="center"/>
    </xf>
    <xf numFmtId="3" fontId="2" fillId="0" borderId="81" xfId="0" applyNumberFormat="1" applyFont="1" applyBorder="1" applyAlignment="1">
      <alignment/>
    </xf>
    <xf numFmtId="3" fontId="2" fillId="0" borderId="79" xfId="0" applyNumberFormat="1" applyFont="1" applyBorder="1" applyAlignment="1">
      <alignment/>
    </xf>
    <xf numFmtId="0" fontId="7" fillId="4" borderId="62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7" fillId="4" borderId="63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wrapText="1"/>
    </xf>
    <xf numFmtId="4" fontId="7" fillId="0" borderId="62" xfId="0" applyNumberFormat="1" applyFont="1" applyBorder="1" applyAlignment="1">
      <alignment/>
    </xf>
    <xf numFmtId="4" fontId="7" fillId="0" borderId="61" xfId="0" applyNumberFormat="1" applyFont="1" applyBorder="1" applyAlignment="1">
      <alignment/>
    </xf>
    <xf numFmtId="4" fontId="7" fillId="0" borderId="63" xfId="0" applyNumberFormat="1" applyFont="1" applyBorder="1" applyAlignment="1">
      <alignment horizontal="right"/>
    </xf>
    <xf numFmtId="4" fontId="7" fillId="0" borderId="62" xfId="0" applyNumberFormat="1" applyFont="1" applyFill="1" applyBorder="1" applyAlignment="1">
      <alignment horizontal="right"/>
    </xf>
    <xf numFmtId="4" fontId="7" fillId="0" borderId="61" xfId="0" applyNumberFormat="1" applyFont="1" applyFill="1" applyBorder="1" applyAlignment="1">
      <alignment horizontal="right"/>
    </xf>
    <xf numFmtId="4" fontId="7" fillId="0" borderId="62" xfId="0" applyNumberFormat="1" applyFont="1" applyBorder="1" applyAlignment="1">
      <alignment horizontal="right"/>
    </xf>
    <xf numFmtId="0" fontId="7" fillId="0" borderId="77" xfId="0" applyFont="1" applyBorder="1" applyAlignment="1">
      <alignment wrapText="1"/>
    </xf>
    <xf numFmtId="4" fontId="7" fillId="0" borderId="78" xfId="0" applyNumberFormat="1" applyFont="1" applyBorder="1" applyAlignment="1">
      <alignment/>
    </xf>
    <xf numFmtId="4" fontId="7" fillId="0" borderId="79" xfId="0" applyNumberFormat="1" applyFont="1" applyBorder="1" applyAlignment="1">
      <alignment/>
    </xf>
    <xf numFmtId="4" fontId="7" fillId="0" borderId="77" xfId="0" applyNumberFormat="1" applyFont="1" applyBorder="1" applyAlignment="1">
      <alignment horizontal="right"/>
    </xf>
    <xf numFmtId="4" fontId="7" fillId="0" borderId="78" xfId="0" applyNumberFormat="1" applyFont="1" applyBorder="1" applyAlignment="1">
      <alignment horizontal="right"/>
    </xf>
    <xf numFmtId="4" fontId="7" fillId="0" borderId="79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2" fontId="2" fillId="2" borderId="2" xfId="0" applyNumberFormat="1" applyFont="1" applyFill="1" applyBorder="1" applyAlignment="1">
      <alignment horizontal="centerContinuous" vertical="center"/>
    </xf>
    <xf numFmtId="2" fontId="4" fillId="2" borderId="6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vertical="center" wrapText="1"/>
    </xf>
    <xf numFmtId="2" fontId="4" fillId="0" borderId="17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2" fontId="2" fillId="2" borderId="23" xfId="0" applyNumberFormat="1" applyFont="1" applyFill="1" applyBorder="1" applyAlignment="1">
      <alignment vertical="center" wrapText="1"/>
    </xf>
    <xf numFmtId="2" fontId="0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2" fontId="2" fillId="2" borderId="24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7" fillId="0" borderId="3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vertical="top"/>
    </xf>
    <xf numFmtId="2" fontId="0" fillId="0" borderId="0" xfId="0" applyNumberFormat="1" applyFill="1" applyBorder="1" applyAlignment="1">
      <alignment horizontal="left"/>
    </xf>
    <xf numFmtId="2" fontId="4" fillId="0" borderId="0" xfId="0" applyNumberFormat="1" applyFont="1" applyAlignment="1">
      <alignment/>
    </xf>
    <xf numFmtId="2" fontId="2" fillId="2" borderId="17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7" fillId="2" borderId="17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4" fontId="7" fillId="0" borderId="33" xfId="0" applyNumberFormat="1" applyFont="1" applyFill="1" applyBorder="1" applyAlignment="1">
      <alignment horizontal="right"/>
    </xf>
    <xf numFmtId="3" fontId="2" fillId="2" borderId="28" xfId="0" applyNumberFormat="1" applyFont="1" applyFill="1" applyBorder="1" applyAlignment="1">
      <alignment vertical="center"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2" borderId="11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82" xfId="0" applyFont="1" applyFill="1" applyBorder="1" applyAlignment="1">
      <alignment horizontal="centerContinuous" vertical="center"/>
    </xf>
    <xf numFmtId="0" fontId="2" fillId="2" borderId="83" xfId="0" applyFont="1" applyFill="1" applyBorder="1" applyAlignment="1">
      <alignment horizontal="centerContinuous" vertical="center"/>
    </xf>
    <xf numFmtId="0" fontId="4" fillId="2" borderId="84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8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8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3" fontId="4" fillId="0" borderId="82" xfId="0" applyNumberFormat="1" applyFont="1" applyBorder="1" applyAlignment="1">
      <alignment vertical="center" wrapText="1"/>
    </xf>
    <xf numFmtId="3" fontId="2" fillId="3" borderId="42" xfId="0" applyNumberFormat="1" applyFont="1" applyFill="1" applyBorder="1" applyAlignment="1">
      <alignment vertical="center" wrapText="1"/>
    </xf>
    <xf numFmtId="3" fontId="4" fillId="0" borderId="83" xfId="0" applyNumberFormat="1" applyFont="1" applyBorder="1" applyAlignment="1">
      <alignment vertical="center" wrapText="1"/>
    </xf>
    <xf numFmtId="3" fontId="2" fillId="3" borderId="82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3" fontId="4" fillId="0" borderId="84" xfId="0" applyNumberFormat="1" applyFont="1" applyBorder="1" applyAlignment="1">
      <alignment vertical="center" wrapText="1"/>
    </xf>
    <xf numFmtId="3" fontId="4" fillId="0" borderId="44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10" fontId="2" fillId="3" borderId="31" xfId="0" applyNumberFormat="1" applyFont="1" applyFill="1" applyBorder="1" applyAlignment="1">
      <alignment vertical="center" wrapText="1"/>
    </xf>
    <xf numFmtId="3" fontId="4" fillId="0" borderId="43" xfId="0" applyNumberFormat="1" applyFont="1" applyBorder="1" applyAlignment="1">
      <alignment vertical="center" wrapText="1"/>
    </xf>
    <xf numFmtId="3" fontId="4" fillId="0" borderId="86" xfId="0" applyNumberFormat="1" applyFont="1" applyBorder="1" applyAlignment="1">
      <alignment vertical="center" wrapText="1"/>
    </xf>
    <xf numFmtId="10" fontId="2" fillId="3" borderId="30" xfId="0" applyNumberFormat="1" applyFont="1" applyFill="1" applyBorder="1" applyAlignment="1">
      <alignment vertical="center" wrapText="1"/>
    </xf>
    <xf numFmtId="0" fontId="2" fillId="2" borderId="87" xfId="0" applyFont="1" applyFill="1" applyBorder="1" applyAlignment="1">
      <alignment horizontal="left" vertical="center" wrapText="1"/>
    </xf>
    <xf numFmtId="3" fontId="2" fillId="2" borderId="28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87" xfId="0" applyFont="1" applyBorder="1" applyAlignment="1">
      <alignment vertical="center" wrapText="1"/>
    </xf>
    <xf numFmtId="3" fontId="2" fillId="3" borderId="88" xfId="0" applyNumberFormat="1" applyFont="1" applyFill="1" applyBorder="1" applyAlignment="1">
      <alignment vertical="center" wrapText="1"/>
    </xf>
    <xf numFmtId="3" fontId="2" fillId="3" borderId="87" xfId="0" applyNumberFormat="1" applyFont="1" applyFill="1" applyBorder="1" applyAlignment="1">
      <alignment vertical="center" wrapText="1"/>
    </xf>
    <xf numFmtId="10" fontId="2" fillId="3" borderId="38" xfId="0" applyNumberFormat="1" applyFont="1" applyFill="1" applyBorder="1" applyAlignment="1">
      <alignment vertical="center" wrapText="1"/>
    </xf>
    <xf numFmtId="0" fontId="7" fillId="2" borderId="87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8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7" fillId="0" borderId="85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89" xfId="0" applyNumberFormat="1" applyFont="1" applyBorder="1" applyAlignment="1">
      <alignment/>
    </xf>
    <xf numFmtId="3" fontId="2" fillId="2" borderId="4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3" fontId="7" fillId="0" borderId="30" xfId="0" applyNumberFormat="1" applyFont="1" applyBorder="1" applyAlignment="1">
      <alignment/>
    </xf>
    <xf numFmtId="3" fontId="2" fillId="0" borderId="85" xfId="0" applyNumberFormat="1" applyFont="1" applyBorder="1" applyAlignment="1">
      <alignment horizontal="right"/>
    </xf>
    <xf numFmtId="3" fontId="7" fillId="0" borderId="90" xfId="0" applyNumberFormat="1" applyFont="1" applyBorder="1" applyAlignment="1">
      <alignment/>
    </xf>
    <xf numFmtId="3" fontId="2" fillId="0" borderId="89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3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2" borderId="91" xfId="0" applyNumberFormat="1" applyFont="1" applyFill="1" applyBorder="1" applyAlignment="1">
      <alignment horizontal="center"/>
    </xf>
    <xf numFmtId="3" fontId="2" fillId="2" borderId="42" xfId="0" applyNumberFormat="1" applyFont="1" applyFill="1" applyBorder="1" applyAlignment="1">
      <alignment horizontal="center"/>
    </xf>
    <xf numFmtId="0" fontId="7" fillId="2" borderId="92" xfId="0" applyFont="1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3" fontId="2" fillId="0" borderId="8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83" xfId="0" applyNumberFormat="1" applyFont="1" applyBorder="1" applyAlignment="1">
      <alignment/>
    </xf>
    <xf numFmtId="0" fontId="2" fillId="0" borderId="36" xfId="0" applyFont="1" applyBorder="1" applyAlignment="1">
      <alignment/>
    </xf>
    <xf numFmtId="3" fontId="2" fillId="0" borderId="88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1" fontId="2" fillId="0" borderId="36" xfId="0" applyNumberFormat="1" applyFont="1" applyBorder="1" applyAlignment="1">
      <alignment horizontal="center"/>
    </xf>
    <xf numFmtId="0" fontId="7" fillId="2" borderId="8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4" fontId="7" fillId="0" borderId="8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8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36" xfId="0" applyFont="1" applyBorder="1" applyAlignment="1">
      <alignment wrapText="1"/>
    </xf>
    <xf numFmtId="4" fontId="7" fillId="0" borderId="37" xfId="0" applyNumberFormat="1" applyFont="1" applyBorder="1" applyAlignment="1">
      <alignment/>
    </xf>
    <xf numFmtId="4" fontId="7" fillId="0" borderId="94" xfId="0" applyNumberFormat="1" applyFont="1" applyBorder="1" applyAlignment="1">
      <alignment/>
    </xf>
    <xf numFmtId="4" fontId="7" fillId="0" borderId="37" xfId="0" applyNumberFormat="1" applyFont="1" applyBorder="1" applyAlignment="1">
      <alignment horizontal="right"/>
    </xf>
    <xf numFmtId="4" fontId="7" fillId="0" borderId="94" xfId="0" applyNumberFormat="1" applyFont="1" applyBorder="1" applyAlignment="1">
      <alignment horizontal="right"/>
    </xf>
    <xf numFmtId="0" fontId="0" fillId="2" borderId="36" xfId="0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Continuous"/>
    </xf>
    <xf numFmtId="0" fontId="16" fillId="0" borderId="88" xfId="0" applyFont="1" applyFill="1" applyBorder="1" applyAlignment="1">
      <alignment horizontal="right"/>
    </xf>
    <xf numFmtId="0" fontId="0" fillId="0" borderId="88" xfId="0" applyFill="1" applyBorder="1" applyAlignment="1">
      <alignment/>
    </xf>
    <xf numFmtId="3" fontId="2" fillId="2" borderId="87" xfId="0" applyNumberFormat="1" applyFont="1" applyFill="1" applyBorder="1" applyAlignment="1">
      <alignment vertical="center" wrapText="1"/>
    </xf>
    <xf numFmtId="3" fontId="2" fillId="2" borderId="29" xfId="0" applyNumberFormat="1" applyFont="1" applyFill="1" applyBorder="1" applyAlignment="1">
      <alignment vertical="center" wrapText="1"/>
    </xf>
    <xf numFmtId="3" fontId="2" fillId="2" borderId="38" xfId="0" applyNumberFormat="1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32" xfId="0" applyNumberFormat="1" applyFont="1" applyBorder="1" applyAlignment="1">
      <alignment vertical="center" wrapText="1"/>
    </xf>
    <xf numFmtId="3" fontId="4" fillId="0" borderId="33" xfId="0" applyNumberFormat="1" applyFont="1" applyBorder="1" applyAlignment="1">
      <alignment vertical="center" wrapText="1"/>
    </xf>
    <xf numFmtId="3" fontId="4" fillId="0" borderId="34" xfId="0" applyNumberFormat="1" applyFont="1" applyBorder="1" applyAlignment="1">
      <alignment vertical="center" wrapText="1"/>
    </xf>
    <xf numFmtId="3" fontId="4" fillId="0" borderId="95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3" fontId="4" fillId="0" borderId="35" xfId="0" applyNumberFormat="1" applyFont="1" applyBorder="1" applyAlignment="1">
      <alignment vertical="center" wrapText="1"/>
    </xf>
    <xf numFmtId="3" fontId="2" fillId="3" borderId="90" xfId="0" applyNumberFormat="1" applyFont="1" applyFill="1" applyBorder="1" applyAlignment="1">
      <alignment vertical="center" wrapText="1"/>
    </xf>
    <xf numFmtId="3" fontId="2" fillId="2" borderId="36" xfId="0" applyNumberFormat="1" applyFont="1" applyFill="1" applyBorder="1" applyAlignment="1">
      <alignment vertical="center" wrapText="1"/>
    </xf>
    <xf numFmtId="3" fontId="4" fillId="0" borderId="32" xfId="0" applyNumberFormat="1" applyFont="1" applyFill="1" applyBorder="1" applyAlignment="1">
      <alignment vertical="center" wrapText="1"/>
    </xf>
    <xf numFmtId="49" fontId="4" fillId="0" borderId="35" xfId="0" applyNumberFormat="1" applyFont="1" applyBorder="1" applyAlignment="1">
      <alignment horizontal="left" vertical="center" wrapText="1"/>
    </xf>
    <xf numFmtId="0" fontId="4" fillId="2" borderId="31" xfId="0" applyFont="1" applyFill="1" applyBorder="1" applyAlignment="1" quotePrefix="1">
      <alignment horizontal="center"/>
    </xf>
    <xf numFmtId="10" fontId="2" fillId="3" borderId="3" xfId="0" applyNumberFormat="1" applyFont="1" applyFill="1" applyBorder="1" applyAlignment="1">
      <alignment vertical="center" wrapText="1"/>
    </xf>
    <xf numFmtId="10" fontId="2" fillId="3" borderId="34" xfId="0" applyNumberFormat="1" applyFont="1" applyFill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49" fontId="4" fillId="0" borderId="90" xfId="0" applyNumberFormat="1" applyFont="1" applyBorder="1" applyAlignment="1">
      <alignment horizontal="left" vertical="center" wrapText="1"/>
    </xf>
    <xf numFmtId="3" fontId="2" fillId="3" borderId="96" xfId="0" applyNumberFormat="1" applyFont="1" applyFill="1" applyBorder="1" applyAlignment="1">
      <alignment vertical="center" wrapText="1"/>
    </xf>
    <xf numFmtId="3" fontId="2" fillId="3" borderId="91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 quotePrefix="1">
      <alignment horizontal="right"/>
    </xf>
    <xf numFmtId="3" fontId="2" fillId="2" borderId="38" xfId="0" applyNumberFormat="1" applyFont="1" applyFill="1" applyBorder="1" applyAlignment="1">
      <alignment vertical="center"/>
    </xf>
    <xf numFmtId="3" fontId="2" fillId="0" borderId="97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0" fontId="0" fillId="0" borderId="41" xfId="0" applyFont="1" applyBorder="1" applyAlignment="1">
      <alignment/>
    </xf>
    <xf numFmtId="3" fontId="2" fillId="0" borderId="96" xfId="0" applyNumberFormat="1" applyFont="1" applyBorder="1" applyAlignment="1" quotePrefix="1">
      <alignment horizontal="center"/>
    </xf>
    <xf numFmtId="3" fontId="2" fillId="0" borderId="42" xfId="0" applyNumberFormat="1" applyFont="1" applyBorder="1" applyAlignment="1">
      <alignment/>
    </xf>
    <xf numFmtId="3" fontId="2" fillId="0" borderId="98" xfId="0" applyNumberFormat="1" applyFont="1" applyBorder="1" applyAlignment="1">
      <alignment/>
    </xf>
    <xf numFmtId="0" fontId="7" fillId="2" borderId="44" xfId="0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 quotePrefix="1">
      <alignment horizontal="center"/>
    </xf>
    <xf numFmtId="3" fontId="2" fillId="0" borderId="4" xfId="0" applyNumberFormat="1" applyFont="1" applyBorder="1" applyAlignment="1" quotePrefix="1">
      <alignment horizontal="center"/>
    </xf>
    <xf numFmtId="3" fontId="2" fillId="0" borderId="3" xfId="0" applyNumberFormat="1" applyFont="1" applyBorder="1" applyAlignment="1" quotePrefix="1">
      <alignment horizontal="center"/>
    </xf>
    <xf numFmtId="3" fontId="2" fillId="0" borderId="20" xfId="0" applyNumberFormat="1" applyFont="1" applyFill="1" applyBorder="1" applyAlignment="1" quotePrefix="1">
      <alignment horizontal="right"/>
    </xf>
    <xf numFmtId="3" fontId="2" fillId="0" borderId="21" xfId="0" applyNumberFormat="1" applyFont="1" applyBorder="1" applyAlignment="1" quotePrefix="1">
      <alignment horizontal="right"/>
    </xf>
    <xf numFmtId="0" fontId="17" fillId="0" borderId="0" xfId="0" applyFont="1" applyFill="1" applyBorder="1" applyAlignment="1">
      <alignment wrapText="1"/>
    </xf>
    <xf numFmtId="3" fontId="2" fillId="3" borderId="2" xfId="0" applyNumberFormat="1" applyFont="1" applyFill="1" applyBorder="1" applyAlignment="1">
      <alignment vertical="center" wrapText="1"/>
    </xf>
    <xf numFmtId="3" fontId="2" fillId="3" borderId="20" xfId="0" applyNumberFormat="1" applyFont="1" applyFill="1" applyBorder="1" applyAlignment="1">
      <alignment vertical="center" wrapText="1"/>
    </xf>
    <xf numFmtId="3" fontId="2" fillId="3" borderId="32" xfId="0" applyNumberFormat="1" applyFont="1" applyFill="1" applyBorder="1" applyAlignment="1">
      <alignment vertical="center" wrapText="1"/>
    </xf>
    <xf numFmtId="3" fontId="4" fillId="0" borderId="99" xfId="0" applyNumberFormat="1" applyFont="1" applyBorder="1" applyAlignment="1">
      <alignment vertical="center" wrapText="1"/>
    </xf>
    <xf numFmtId="3" fontId="4" fillId="0" borderId="91" xfId="0" applyNumberFormat="1" applyFont="1" applyBorder="1" applyAlignment="1">
      <alignment vertical="center" wrapText="1"/>
    </xf>
    <xf numFmtId="3" fontId="4" fillId="0" borderId="91" xfId="0" applyNumberFormat="1" applyFont="1" applyFill="1" applyBorder="1" applyAlignment="1">
      <alignment vertical="center" wrapText="1"/>
    </xf>
    <xf numFmtId="3" fontId="4" fillId="0" borderId="92" xfId="0" applyNumberFormat="1" applyFont="1" applyFill="1" applyBorder="1" applyAlignment="1">
      <alignment vertical="center" wrapText="1"/>
    </xf>
    <xf numFmtId="10" fontId="2" fillId="3" borderId="95" xfId="0" applyNumberFormat="1" applyFont="1" applyFill="1" applyBorder="1" applyAlignment="1">
      <alignment vertical="center" wrapText="1"/>
    </xf>
    <xf numFmtId="10" fontId="2" fillId="3" borderId="35" xfId="0" applyNumberFormat="1" applyFont="1" applyFill="1" applyBorder="1" applyAlignment="1">
      <alignment vertical="center" wrapText="1"/>
    </xf>
    <xf numFmtId="2" fontId="4" fillId="2" borderId="44" xfId="0" applyNumberFormat="1" applyFont="1" applyFill="1" applyBorder="1" applyAlignment="1">
      <alignment horizontal="center"/>
    </xf>
    <xf numFmtId="2" fontId="2" fillId="2" borderId="29" xfId="0" applyNumberFormat="1" applyFont="1" applyFill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2" fontId="4" fillId="0" borderId="33" xfId="0" applyNumberFormat="1" applyFont="1" applyBorder="1" applyAlignment="1">
      <alignment vertical="center" wrapText="1"/>
    </xf>
    <xf numFmtId="3" fontId="2" fillId="3" borderId="99" xfId="0" applyNumberFormat="1" applyFont="1" applyFill="1" applyBorder="1" applyAlignment="1">
      <alignment vertical="center" wrapText="1"/>
    </xf>
    <xf numFmtId="0" fontId="2" fillId="4" borderId="100" xfId="0" applyFont="1" applyFill="1" applyBorder="1" applyAlignment="1">
      <alignment horizontal="left" vertical="center" wrapText="1"/>
    </xf>
    <xf numFmtId="0" fontId="4" fillId="4" borderId="101" xfId="0" applyFont="1" applyFill="1" applyBorder="1" applyAlignment="1">
      <alignment horizontal="center"/>
    </xf>
    <xf numFmtId="0" fontId="4" fillId="4" borderId="102" xfId="0" applyFont="1" applyFill="1" applyBorder="1" applyAlignment="1">
      <alignment horizontal="center"/>
    </xf>
    <xf numFmtId="0" fontId="4" fillId="4" borderId="76" xfId="0" applyFont="1" applyFill="1" applyBorder="1" applyAlignment="1">
      <alignment horizontal="center"/>
    </xf>
    <xf numFmtId="3" fontId="2" fillId="4" borderId="100" xfId="0" applyNumberFormat="1" applyFont="1" applyFill="1" applyBorder="1" applyAlignment="1">
      <alignment vertical="center" wrapText="1"/>
    </xf>
    <xf numFmtId="3" fontId="2" fillId="4" borderId="74" xfId="0" applyNumberFormat="1" applyFont="1" applyFill="1" applyBorder="1" applyAlignment="1">
      <alignment vertical="center" wrapText="1"/>
    </xf>
    <xf numFmtId="3" fontId="2" fillId="4" borderId="103" xfId="0" applyNumberFormat="1" applyFont="1" applyFill="1" applyBorder="1" applyAlignment="1">
      <alignment vertical="center" wrapText="1"/>
    </xf>
    <xf numFmtId="0" fontId="4" fillId="4" borderId="75" xfId="0" applyFont="1" applyFill="1" applyBorder="1" applyAlignment="1">
      <alignment horizontal="center"/>
    </xf>
    <xf numFmtId="3" fontId="2" fillId="5" borderId="100" xfId="0" applyNumberFormat="1" applyFont="1" applyFill="1" applyBorder="1" applyAlignment="1">
      <alignment vertical="center" wrapText="1"/>
    </xf>
    <xf numFmtId="3" fontId="2" fillId="5" borderId="2" xfId="0" applyNumberFormat="1" applyFont="1" applyFill="1" applyBorder="1" applyAlignment="1">
      <alignment vertical="center" wrapText="1"/>
    </xf>
    <xf numFmtId="10" fontId="2" fillId="5" borderId="3" xfId="0" applyNumberFormat="1" applyFont="1" applyFill="1" applyBorder="1" applyAlignment="1">
      <alignment vertical="center" wrapText="1"/>
    </xf>
    <xf numFmtId="3" fontId="2" fillId="5" borderId="20" xfId="0" applyNumberFormat="1" applyFont="1" applyFill="1" applyBorder="1" applyAlignment="1">
      <alignment vertical="center" wrapText="1"/>
    </xf>
    <xf numFmtId="10" fontId="2" fillId="5" borderId="21" xfId="0" applyNumberFormat="1" applyFont="1" applyFill="1" applyBorder="1" applyAlignment="1">
      <alignment vertical="center" wrapText="1"/>
    </xf>
    <xf numFmtId="10" fontId="2" fillId="5" borderId="95" xfId="0" applyNumberFormat="1" applyFont="1" applyFill="1" applyBorder="1" applyAlignment="1">
      <alignment vertical="center" wrapText="1"/>
    </xf>
    <xf numFmtId="10" fontId="2" fillId="5" borderId="19" xfId="0" applyNumberFormat="1" applyFont="1" applyFill="1" applyBorder="1" applyAlignment="1">
      <alignment vertical="center" wrapText="1"/>
    </xf>
    <xf numFmtId="0" fontId="4" fillId="4" borderId="104" xfId="0" applyFont="1" applyFill="1" applyBorder="1" applyAlignment="1">
      <alignment horizontal="center"/>
    </xf>
    <xf numFmtId="3" fontId="2" fillId="4" borderId="105" xfId="0" applyNumberFormat="1" applyFont="1" applyFill="1" applyBorder="1" applyAlignment="1">
      <alignment vertical="center" wrapText="1"/>
    </xf>
    <xf numFmtId="10" fontId="2" fillId="5" borderId="103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/>
    </xf>
    <xf numFmtId="0" fontId="0" fillId="0" borderId="88" xfId="0" applyFont="1" applyBorder="1" applyAlignment="1">
      <alignment/>
    </xf>
    <xf numFmtId="0" fontId="3" fillId="0" borderId="88" xfId="0" applyFont="1" applyBorder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1" xfId="0" applyFont="1" applyBorder="1" applyAlignment="1">
      <alignment/>
    </xf>
    <xf numFmtId="0" fontId="0" fillId="0" borderId="34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3" fontId="2" fillId="2" borderId="88" xfId="0" applyNumberFormat="1" applyFont="1" applyFill="1" applyBorder="1" applyAlignment="1">
      <alignment vertical="center" wrapText="1"/>
    </xf>
    <xf numFmtId="3" fontId="2" fillId="0" borderId="38" xfId="0" applyNumberFormat="1" applyFont="1" applyBorder="1" applyAlignment="1">
      <alignment horizontal="right"/>
    </xf>
    <xf numFmtId="0" fontId="4" fillId="0" borderId="97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49" fontId="4" fillId="0" borderId="106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left" vertical="center" wrapText="1"/>
    </xf>
    <xf numFmtId="3" fontId="7" fillId="0" borderId="107" xfId="0" applyNumberFormat="1" applyFont="1" applyBorder="1" applyAlignment="1">
      <alignment/>
    </xf>
    <xf numFmtId="3" fontId="7" fillId="0" borderId="108" xfId="0" applyNumberFormat="1" applyFont="1" applyBorder="1" applyAlignment="1">
      <alignment/>
    </xf>
    <xf numFmtId="3" fontId="7" fillId="0" borderId="109" xfId="0" applyNumberFormat="1" applyFont="1" applyBorder="1" applyAlignment="1">
      <alignment/>
    </xf>
    <xf numFmtId="3" fontId="7" fillId="0" borderId="110" xfId="0" applyNumberFormat="1" applyFont="1" applyBorder="1" applyAlignment="1">
      <alignment/>
    </xf>
    <xf numFmtId="3" fontId="2" fillId="4" borderId="111" xfId="0" applyNumberFormat="1" applyFont="1" applyFill="1" applyBorder="1" applyAlignment="1">
      <alignment vertical="center"/>
    </xf>
    <xf numFmtId="0" fontId="4" fillId="0" borderId="106" xfId="0" applyFont="1" applyBorder="1" applyAlignment="1">
      <alignment horizontal="left" vertical="center" wrapText="1"/>
    </xf>
    <xf numFmtId="3" fontId="2" fillId="4" borderId="112" xfId="0" applyNumberFormat="1" applyFont="1" applyFill="1" applyBorder="1" applyAlignment="1">
      <alignment vertical="center"/>
    </xf>
    <xf numFmtId="3" fontId="2" fillId="4" borderId="113" xfId="0" applyNumberFormat="1" applyFont="1" applyFill="1" applyBorder="1" applyAlignment="1">
      <alignment vertical="center"/>
    </xf>
    <xf numFmtId="3" fontId="2" fillId="4" borderId="114" xfId="0" applyNumberFormat="1" applyFont="1" applyFill="1" applyBorder="1" applyAlignment="1">
      <alignment vertical="center"/>
    </xf>
    <xf numFmtId="0" fontId="2" fillId="4" borderId="67" xfId="0" applyFont="1" applyFill="1" applyBorder="1" applyAlignment="1">
      <alignment vertical="center"/>
    </xf>
    <xf numFmtId="3" fontId="7" fillId="0" borderId="63" xfId="0" applyNumberFormat="1" applyFont="1" applyBorder="1" applyAlignment="1">
      <alignment horizontal="left"/>
    </xf>
    <xf numFmtId="3" fontId="2" fillId="4" borderId="115" xfId="0" applyNumberFormat="1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center" vertical="center"/>
    </xf>
    <xf numFmtId="3" fontId="7" fillId="0" borderId="104" xfId="0" applyNumberFormat="1" applyFont="1" applyBorder="1" applyAlignment="1">
      <alignment horizontal="left"/>
    </xf>
    <xf numFmtId="3" fontId="2" fillId="4" borderId="116" xfId="0" applyNumberFormat="1" applyFont="1" applyFill="1" applyBorder="1" applyAlignment="1">
      <alignment horizontal="center" vertical="center"/>
    </xf>
    <xf numFmtId="0" fontId="2" fillId="4" borderId="115" xfId="0" applyFont="1" applyFill="1" applyBorder="1" applyAlignment="1">
      <alignment horizontal="center" vertical="center" wrapText="1"/>
    </xf>
    <xf numFmtId="0" fontId="1" fillId="4" borderId="117" xfId="0" applyFont="1" applyFill="1" applyBorder="1" applyAlignment="1">
      <alignment horizontal="center" vertical="center"/>
    </xf>
    <xf numFmtId="0" fontId="1" fillId="4" borderId="118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3" fontId="2" fillId="0" borderId="80" xfId="0" applyNumberFormat="1" applyFont="1" applyBorder="1" applyAlignment="1">
      <alignment/>
    </xf>
    <xf numFmtId="3" fontId="2" fillId="0" borderId="79" xfId="0" applyNumberFormat="1" applyFont="1" applyBorder="1" applyAlignment="1">
      <alignment/>
    </xf>
    <xf numFmtId="3" fontId="2" fillId="4" borderId="119" xfId="0" applyNumberFormat="1" applyFont="1" applyFill="1" applyBorder="1" applyAlignment="1">
      <alignment horizontal="center" vertical="center"/>
    </xf>
    <xf numFmtId="3" fontId="2" fillId="4" borderId="120" xfId="0" applyNumberFormat="1" applyFont="1" applyFill="1" applyBorder="1" applyAlignment="1">
      <alignment horizontal="center" vertical="center"/>
    </xf>
    <xf numFmtId="0" fontId="1" fillId="4" borderId="121" xfId="0" applyFont="1" applyFill="1" applyBorder="1" applyAlignment="1">
      <alignment horizontal="center" vertical="center"/>
    </xf>
    <xf numFmtId="0" fontId="3" fillId="4" borderId="122" xfId="0" applyFont="1" applyFill="1" applyBorder="1" applyAlignment="1">
      <alignment vertical="center"/>
    </xf>
    <xf numFmtId="0" fontId="2" fillId="4" borderId="123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4" borderId="115" xfId="0" applyFont="1" applyFill="1" applyBorder="1" applyAlignment="1">
      <alignment horizontal="center" vertical="center"/>
    </xf>
    <xf numFmtId="3" fontId="7" fillId="0" borderId="84" xfId="0" applyNumberFormat="1" applyFont="1" applyBorder="1" applyAlignment="1">
      <alignment/>
    </xf>
    <xf numFmtId="3" fontId="7" fillId="0" borderId="101" xfId="0" applyNumberFormat="1" applyFont="1" applyBorder="1" applyAlignment="1">
      <alignment/>
    </xf>
    <xf numFmtId="3" fontId="7" fillId="0" borderId="124" xfId="0" applyNumberFormat="1" applyFont="1" applyBorder="1" applyAlignment="1">
      <alignment/>
    </xf>
    <xf numFmtId="3" fontId="7" fillId="0" borderId="125" xfId="0" applyNumberFormat="1" applyFont="1" applyBorder="1" applyAlignment="1">
      <alignment/>
    </xf>
    <xf numFmtId="3" fontId="7" fillId="0" borderId="58" xfId="0" applyNumberFormat="1" applyFont="1" applyBorder="1" applyAlignment="1">
      <alignment/>
    </xf>
    <xf numFmtId="3" fontId="7" fillId="0" borderId="126" xfId="0" applyNumberFormat="1" applyFont="1" applyBorder="1" applyAlignment="1">
      <alignment/>
    </xf>
    <xf numFmtId="3" fontId="7" fillId="0" borderId="59" xfId="0" applyNumberFormat="1" applyFont="1" applyBorder="1" applyAlignment="1">
      <alignment/>
    </xf>
    <xf numFmtId="3" fontId="2" fillId="4" borderId="66" xfId="0" applyNumberFormat="1" applyFont="1" applyFill="1" applyBorder="1" applyAlignment="1">
      <alignment horizontal="center" vertical="center"/>
    </xf>
    <xf numFmtId="3" fontId="7" fillId="0" borderId="127" xfId="0" applyNumberFormat="1" applyFont="1" applyBorder="1" applyAlignment="1">
      <alignment/>
    </xf>
    <xf numFmtId="3" fontId="7" fillId="0" borderId="117" xfId="0" applyNumberFormat="1" applyFont="1" applyBorder="1" applyAlignment="1">
      <alignment/>
    </xf>
    <xf numFmtId="3" fontId="7" fillId="0" borderId="128" xfId="0" applyNumberFormat="1" applyFont="1" applyBorder="1" applyAlignment="1">
      <alignment/>
    </xf>
    <xf numFmtId="3" fontId="7" fillId="0" borderId="60" xfId="0" applyNumberFormat="1" applyFont="1" applyBorder="1" applyAlignment="1">
      <alignment horizontal="left"/>
    </xf>
    <xf numFmtId="3" fontId="2" fillId="4" borderId="67" xfId="0" applyNumberFormat="1" applyFont="1" applyFill="1" applyBorder="1" applyAlignment="1">
      <alignment vertical="center"/>
    </xf>
    <xf numFmtId="3" fontId="2" fillId="4" borderId="105" xfId="0" applyNumberFormat="1" applyFont="1" applyFill="1" applyBorder="1" applyAlignment="1">
      <alignment vertical="center"/>
    </xf>
    <xf numFmtId="0" fontId="10" fillId="4" borderId="129" xfId="0" applyFont="1" applyFill="1" applyBorder="1" applyAlignment="1">
      <alignment horizontal="center" vertical="center"/>
    </xf>
    <xf numFmtId="0" fontId="10" fillId="4" borderId="130" xfId="0" applyFont="1" applyFill="1" applyBorder="1" applyAlignment="1">
      <alignment horizontal="center" vertical="center"/>
    </xf>
    <xf numFmtId="0" fontId="10" fillId="4" borderId="131" xfId="0" applyFont="1" applyFill="1" applyBorder="1" applyAlignment="1">
      <alignment horizontal="center" vertical="center"/>
    </xf>
    <xf numFmtId="0" fontId="10" fillId="4" borderId="64" xfId="0" applyFont="1" applyFill="1" applyBorder="1" applyAlignment="1">
      <alignment horizontal="center" vertical="center"/>
    </xf>
    <xf numFmtId="3" fontId="2" fillId="4" borderId="132" xfId="0" applyNumberFormat="1" applyFont="1" applyFill="1" applyBorder="1" applyAlignment="1">
      <alignment horizontal="center" vertical="center"/>
    </xf>
    <xf numFmtId="3" fontId="2" fillId="4" borderId="133" xfId="0" applyNumberFormat="1" applyFont="1" applyFill="1" applyBorder="1" applyAlignment="1">
      <alignment horizontal="center" vertical="center"/>
    </xf>
    <xf numFmtId="0" fontId="10" fillId="4" borderId="73" xfId="0" applyFont="1" applyFill="1" applyBorder="1" applyAlignment="1">
      <alignment horizontal="center" vertical="center"/>
    </xf>
    <xf numFmtId="3" fontId="2" fillId="4" borderId="65" xfId="0" applyNumberFormat="1" applyFont="1" applyFill="1" applyBorder="1" applyAlignment="1">
      <alignment horizontal="center" vertical="center"/>
    </xf>
    <xf numFmtId="3" fontId="10" fillId="4" borderId="67" xfId="0" applyNumberFormat="1" applyFont="1" applyFill="1" applyBorder="1" applyAlignment="1">
      <alignment horizontal="left" vertical="center"/>
    </xf>
    <xf numFmtId="3" fontId="7" fillId="0" borderId="63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7" fillId="0" borderId="77" xfId="0" applyNumberFormat="1" applyFont="1" applyBorder="1" applyAlignment="1">
      <alignment/>
    </xf>
    <xf numFmtId="3" fontId="7" fillId="0" borderId="60" xfId="0" applyNumberFormat="1" applyFont="1" applyBorder="1" applyAlignment="1">
      <alignment/>
    </xf>
    <xf numFmtId="3" fontId="7" fillId="0" borderId="134" xfId="0" applyNumberFormat="1" applyFont="1" applyBorder="1" applyAlignment="1">
      <alignment/>
    </xf>
    <xf numFmtId="3" fontId="2" fillId="4" borderId="118" xfId="0" applyNumberFormat="1" applyFont="1" applyFill="1" applyBorder="1" applyAlignment="1">
      <alignment horizontal="center" vertical="center" wrapText="1"/>
    </xf>
    <xf numFmtId="3" fontId="2" fillId="4" borderId="64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0" fontId="4" fillId="0" borderId="99" xfId="0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91" xfId="0" applyFont="1" applyFill="1" applyBorder="1" applyAlignment="1">
      <alignment vertical="top"/>
    </xf>
    <xf numFmtId="0" fontId="0" fillId="0" borderId="17" xfId="0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135" xfId="0" applyFont="1" applyFill="1" applyBorder="1" applyAlignment="1">
      <alignment vertical="top"/>
    </xf>
    <xf numFmtId="0" fontId="0" fillId="0" borderId="6" xfId="0" applyBorder="1" applyAlignment="1">
      <alignment vertical="top"/>
    </xf>
    <xf numFmtId="0" fontId="4" fillId="2" borderId="45" xfId="0" applyFont="1" applyFill="1" applyBorder="1" applyAlignment="1">
      <alignment vertical="top"/>
    </xf>
    <xf numFmtId="0" fontId="4" fillId="2" borderId="136" xfId="0" applyFont="1" applyFill="1" applyBorder="1" applyAlignment="1">
      <alignment vertical="top"/>
    </xf>
    <xf numFmtId="0" fontId="0" fillId="2" borderId="45" xfId="0" applyFill="1" applyBorder="1" applyAlignment="1">
      <alignment vertical="top"/>
    </xf>
    <xf numFmtId="0" fontId="2" fillId="2" borderId="22" xfId="0" applyFont="1" applyFill="1" applyBorder="1" applyAlignment="1">
      <alignment vertical="top"/>
    </xf>
    <xf numFmtId="0" fontId="0" fillId="0" borderId="49" xfId="0" applyBorder="1" applyAlignment="1">
      <alignment/>
    </xf>
    <xf numFmtId="0" fontId="5" fillId="2" borderId="1" xfId="0" applyFont="1" applyFill="1" applyBorder="1" applyAlignment="1">
      <alignment vertical="center"/>
    </xf>
    <xf numFmtId="0" fontId="0" fillId="0" borderId="99" xfId="0" applyBorder="1" applyAlignment="1">
      <alignment vertical="center"/>
    </xf>
    <xf numFmtId="0" fontId="2" fillId="2" borderId="20" xfId="20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2" fillId="2" borderId="17" xfId="2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/>
    </xf>
    <xf numFmtId="0" fontId="2" fillId="2" borderId="137" xfId="20" applyFont="1" applyFill="1" applyBorder="1" applyAlignment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2" borderId="138" xfId="20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2" borderId="2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/>
    </xf>
    <xf numFmtId="0" fontId="7" fillId="2" borderId="139" xfId="20" applyFont="1" applyFill="1" applyBorder="1" applyAlignment="1">
      <alignment horizontal="center" vertical="center" wrapText="1"/>
      <protection/>
    </xf>
    <xf numFmtId="0" fontId="5" fillId="0" borderId="85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2" fillId="2" borderId="139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96" xfId="0" applyFont="1" applyBorder="1" applyAlignment="1">
      <alignment/>
    </xf>
    <xf numFmtId="0" fontId="3" fillId="0" borderId="140" xfId="0" applyFont="1" applyBorder="1" applyAlignment="1">
      <alignment/>
    </xf>
    <xf numFmtId="0" fontId="3" fillId="2" borderId="141" xfId="0" applyFont="1" applyFill="1" applyBorder="1" applyAlignment="1">
      <alignment vertical="center"/>
    </xf>
    <xf numFmtId="0" fontId="0" fillId="0" borderId="142" xfId="0" applyFont="1" applyBorder="1" applyAlignment="1">
      <alignment vertical="center"/>
    </xf>
    <xf numFmtId="0" fontId="7" fillId="2" borderId="137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96" xfId="0" applyFont="1" applyFill="1" applyBorder="1" applyAlignment="1">
      <alignment horizontal="center"/>
    </xf>
    <xf numFmtId="0" fontId="0" fillId="0" borderId="140" xfId="0" applyBorder="1" applyAlignment="1">
      <alignment/>
    </xf>
    <xf numFmtId="0" fontId="7" fillId="2" borderId="141" xfId="0" applyFont="1" applyFill="1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3" fontId="7" fillId="0" borderId="43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86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3" xfId="0" applyNumberFormat="1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3" fontId="2" fillId="2" borderId="22" xfId="0" applyNumberFormat="1" applyFont="1" applyFill="1" applyBorder="1" applyAlignment="1">
      <alignment vertical="center"/>
    </xf>
    <xf numFmtId="3" fontId="2" fillId="2" borderId="28" xfId="0" applyNumberFormat="1" applyFont="1" applyFill="1" applyBorder="1" applyAlignment="1">
      <alignment vertical="center"/>
    </xf>
    <xf numFmtId="3" fontId="2" fillId="2" borderId="136" xfId="0" applyNumberFormat="1" applyFont="1" applyFill="1" applyBorder="1" applyAlignment="1">
      <alignment vertical="center"/>
    </xf>
    <xf numFmtId="3" fontId="2" fillId="2" borderId="45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3" fontId="7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91" xfId="0" applyNumberFormat="1" applyFont="1" applyBorder="1" applyAlignment="1">
      <alignment/>
    </xf>
    <xf numFmtId="3" fontId="7" fillId="0" borderId="16" xfId="0" applyNumberFormat="1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91" xfId="0" applyBorder="1" applyAlignment="1">
      <alignment horizontal="left"/>
    </xf>
    <xf numFmtId="3" fontId="7" fillId="0" borderId="17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0" fillId="0" borderId="42" xfId="0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3" fontId="2" fillId="2" borderId="143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7" fillId="0" borderId="137" xfId="0" applyNumberFormat="1" applyFont="1" applyBorder="1" applyAlignment="1">
      <alignment/>
    </xf>
    <xf numFmtId="3" fontId="7" fillId="0" borderId="144" xfId="0" applyNumberFormat="1" applyFont="1" applyBorder="1" applyAlignment="1">
      <alignment/>
    </xf>
    <xf numFmtId="3" fontId="7" fillId="0" borderId="8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4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3" fontId="2" fillId="2" borderId="36" xfId="0" applyNumberFormat="1" applyFont="1" applyFill="1" applyBorder="1" applyAlignment="1">
      <alignment vertical="center"/>
    </xf>
    <xf numFmtId="3" fontId="2" fillId="2" borderId="46" xfId="0" applyNumberFormat="1" applyFont="1" applyFill="1" applyBorder="1" applyAlignment="1">
      <alignment vertical="center"/>
    </xf>
    <xf numFmtId="0" fontId="10" fillId="2" borderId="137" xfId="0" applyFont="1" applyFill="1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0" fillId="2" borderId="144" xfId="0" applyFont="1" applyFill="1" applyBorder="1" applyAlignment="1">
      <alignment horizontal="center" vertical="center"/>
    </xf>
    <xf numFmtId="3" fontId="2" fillId="2" borderId="13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10" fillId="2" borderId="137" xfId="0" applyNumberFormat="1" applyFont="1" applyFill="1" applyBorder="1" applyAlignment="1">
      <alignment horizontal="left" vertical="center"/>
    </xf>
    <xf numFmtId="0" fontId="0" fillId="0" borderId="144" xfId="0" applyBorder="1" applyAlignment="1">
      <alignment horizontal="left" vertical="center"/>
    </xf>
    <xf numFmtId="0" fontId="0" fillId="0" borderId="145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91" xfId="0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2" fillId="2" borderId="22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3" fontId="7" fillId="0" borderId="145" xfId="0" applyNumberFormat="1" applyFont="1" applyBorder="1" applyAlignment="1">
      <alignment/>
    </xf>
    <xf numFmtId="0" fontId="1" fillId="2" borderId="137" xfId="0" applyFont="1" applyFill="1" applyBorder="1" applyAlignment="1">
      <alignment horizontal="center" vertical="center"/>
    </xf>
    <xf numFmtId="0" fontId="6" fillId="0" borderId="84" xfId="0" applyFont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2" fillId="2" borderId="96" xfId="0" applyFont="1" applyFill="1" applyBorder="1" applyAlignment="1">
      <alignment horizontal="center" vertical="center"/>
    </xf>
    <xf numFmtId="0" fontId="2" fillId="2" borderId="14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2" fillId="2" borderId="144" xfId="0" applyFont="1" applyFill="1" applyBorder="1" applyAlignment="1">
      <alignment horizontal="center" vertical="center"/>
    </xf>
    <xf numFmtId="0" fontId="0" fillId="0" borderId="139" xfId="0" applyBorder="1" applyAlignment="1">
      <alignment/>
    </xf>
    <xf numFmtId="3" fontId="2" fillId="2" borderId="137" xfId="0" applyNumberFormat="1" applyFont="1" applyFill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0" xfId="0" applyFont="1" applyFill="1" applyBorder="1" applyAlignment="1">
      <alignment/>
    </xf>
    <xf numFmtId="0" fontId="2" fillId="2" borderId="95" xfId="0" applyFont="1" applyFill="1" applyBorder="1" applyAlignment="1">
      <alignment horizontal="center" vertical="center" wrapText="1"/>
    </xf>
    <xf numFmtId="0" fontId="2" fillId="2" borderId="96" xfId="0" applyFont="1" applyFill="1" applyBorder="1" applyAlignment="1">
      <alignment horizontal="center" vertical="center" wrapText="1"/>
    </xf>
    <xf numFmtId="0" fontId="2" fillId="2" borderId="99" xfId="0" applyFont="1" applyFill="1" applyBorder="1" applyAlignment="1">
      <alignment horizontal="center" vertical="center" wrapText="1"/>
    </xf>
    <xf numFmtId="0" fontId="2" fillId="2" borderId="14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35" xfId="0" applyNumberFormat="1" applyFont="1" applyBorder="1" applyAlignment="1">
      <alignment/>
    </xf>
    <xf numFmtId="0" fontId="0" fillId="0" borderId="93" xfId="0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3" fontId="2" fillId="0" borderId="95" xfId="0" applyNumberFormat="1" applyFont="1" applyBorder="1" applyAlignment="1">
      <alignment/>
    </xf>
    <xf numFmtId="0" fontId="0" fillId="0" borderId="88" xfId="0" applyBorder="1" applyAlignment="1">
      <alignment/>
    </xf>
    <xf numFmtId="0" fontId="0" fillId="0" borderId="94" xfId="0" applyBorder="1" applyAlignment="1">
      <alignment/>
    </xf>
    <xf numFmtId="2" fontId="2" fillId="2" borderId="143" xfId="0" applyNumberFormat="1" applyFont="1" applyFill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16" fillId="0" borderId="88" xfId="0" applyFont="1" applyFill="1" applyBorder="1" applyAlignment="1">
      <alignment horizontal="right"/>
    </xf>
    <xf numFmtId="0" fontId="0" fillId="0" borderId="88" xfId="0" applyFill="1" applyBorder="1" applyAlignment="1">
      <alignment/>
    </xf>
    <xf numFmtId="0" fontId="5" fillId="2" borderId="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0" borderId="20" xfId="0" applyFont="1" applyBorder="1" applyAlignment="1">
      <alignment/>
    </xf>
    <xf numFmtId="0" fontId="0" fillId="0" borderId="17" xfId="0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8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3" fontId="7" fillId="0" borderId="2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2" borderId="36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3" fontId="7" fillId="0" borderId="32" xfId="0" applyNumberFormat="1" applyFont="1" applyBorder="1" applyAlignment="1">
      <alignment horizontal="left"/>
    </xf>
    <xf numFmtId="0" fontId="0" fillId="0" borderId="33" xfId="0" applyBorder="1" applyAlignment="1">
      <alignment horizontal="left"/>
    </xf>
    <xf numFmtId="3" fontId="7" fillId="0" borderId="36" xfId="0" applyNumberFormat="1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0" fillId="0" borderId="98" xfId="0" applyBorder="1" applyAlignment="1">
      <alignment/>
    </xf>
    <xf numFmtId="0" fontId="5" fillId="0" borderId="19" xfId="0" applyFont="1" applyBorder="1" applyAlignment="1">
      <alignment horizontal="left"/>
    </xf>
    <xf numFmtId="3" fontId="7" fillId="0" borderId="2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0" fillId="0" borderId="95" xfId="0" applyBorder="1" applyAlignment="1">
      <alignment/>
    </xf>
    <xf numFmtId="3" fontId="2" fillId="0" borderId="137" xfId="0" applyNumberFormat="1" applyFont="1" applyBorder="1" applyAlignment="1">
      <alignment/>
    </xf>
    <xf numFmtId="3" fontId="2" fillId="0" borderId="14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2" fillId="0" borderId="2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4" fillId="0" borderId="91" xfId="0" applyFont="1" applyBorder="1" applyAlignment="1">
      <alignment/>
    </xf>
    <xf numFmtId="0" fontId="4" fillId="0" borderId="42" xfId="0" applyFont="1" applyBorder="1" applyAlignment="1">
      <alignment/>
    </xf>
    <xf numFmtId="3" fontId="2" fillId="0" borderId="16" xfId="0" applyNumberFormat="1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91" xfId="0" applyFont="1" applyBorder="1" applyAlignment="1">
      <alignment horizontal="left"/>
    </xf>
    <xf numFmtId="3" fontId="2" fillId="0" borderId="144" xfId="0" applyNumberFormat="1" applyFont="1" applyBorder="1" applyAlignment="1">
      <alignment/>
    </xf>
    <xf numFmtId="3" fontId="2" fillId="0" borderId="83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91" xfId="0" applyNumberFormat="1" applyFont="1" applyBorder="1" applyAlignment="1">
      <alignment/>
    </xf>
    <xf numFmtId="3" fontId="2" fillId="0" borderId="20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146" xfId="0" applyNumberFormat="1" applyFont="1" applyBorder="1" applyAlignment="1">
      <alignment/>
    </xf>
    <xf numFmtId="3" fontId="2" fillId="2" borderId="96" xfId="0" applyNumberFormat="1" applyFont="1" applyFill="1" applyBorder="1" applyAlignment="1">
      <alignment horizontal="center" vertical="center"/>
    </xf>
    <xf numFmtId="3" fontId="2" fillId="2" borderId="147" xfId="0" applyNumberFormat="1" applyFont="1" applyFill="1" applyBorder="1" applyAlignment="1">
      <alignment horizontal="center" vertical="center"/>
    </xf>
    <xf numFmtId="0" fontId="7" fillId="2" borderId="146" xfId="0" applyFont="1" applyFill="1" applyBorder="1" applyAlignment="1">
      <alignment horizontal="center" vertical="center"/>
    </xf>
    <xf numFmtId="3" fontId="2" fillId="0" borderId="95" xfId="0" applyNumberFormat="1" applyFont="1" applyBorder="1" applyAlignment="1">
      <alignment/>
    </xf>
    <xf numFmtId="3" fontId="2" fillId="0" borderId="147" xfId="0" applyNumberFormat="1" applyFont="1" applyBorder="1" applyAlignment="1">
      <alignment/>
    </xf>
    <xf numFmtId="3" fontId="2" fillId="2" borderId="95" xfId="0" applyNumberFormat="1" applyFont="1" applyFill="1" applyBorder="1" applyAlignment="1">
      <alignment horizontal="center" vertical="center"/>
    </xf>
    <xf numFmtId="0" fontId="2" fillId="2" borderId="148" xfId="0" applyFont="1" applyFill="1" applyBorder="1" applyAlignment="1">
      <alignment horizontal="center" vertical="center" wrapText="1"/>
    </xf>
    <xf numFmtId="0" fontId="2" fillId="2" borderId="149" xfId="0" applyFont="1" applyFill="1" applyBorder="1" applyAlignment="1">
      <alignment horizontal="center" vertical="center" wrapText="1"/>
    </xf>
    <xf numFmtId="0" fontId="2" fillId="2" borderId="147" xfId="0" applyFont="1" applyFill="1" applyBorder="1" applyAlignment="1">
      <alignment horizontal="center" vertical="center" wrapText="1"/>
    </xf>
    <xf numFmtId="0" fontId="2" fillId="2" borderId="150" xfId="0" applyFont="1" applyFill="1" applyBorder="1" applyAlignment="1">
      <alignment horizontal="center" vertical="center" wrapText="1"/>
    </xf>
    <xf numFmtId="0" fontId="3" fillId="2" borderId="151" xfId="0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horizontal="center" vertical="center"/>
    </xf>
    <xf numFmtId="3" fontId="2" fillId="2" borderId="152" xfId="0" applyNumberFormat="1" applyFont="1" applyFill="1" applyBorder="1" applyAlignment="1">
      <alignment horizontal="center" vertical="center"/>
    </xf>
    <xf numFmtId="3" fontId="7" fillId="0" borderId="27" xfId="0" applyNumberFormat="1" applyFont="1" applyBorder="1" applyAlignment="1">
      <alignment/>
    </xf>
    <xf numFmtId="3" fontId="7" fillId="0" borderId="92" xfId="0" applyNumberFormat="1" applyFont="1" applyBorder="1" applyAlignment="1">
      <alignment/>
    </xf>
    <xf numFmtId="3" fontId="7" fillId="0" borderId="98" xfId="0" applyNumberFormat="1" applyFont="1" applyBorder="1" applyAlignment="1">
      <alignment/>
    </xf>
    <xf numFmtId="3" fontId="7" fillId="0" borderId="27" xfId="0" applyNumberFormat="1" applyFont="1" applyBorder="1" applyAlignment="1">
      <alignment horizontal="left"/>
    </xf>
    <xf numFmtId="3" fontId="7" fillId="0" borderId="98" xfId="0" applyNumberFormat="1" applyFont="1" applyBorder="1" applyAlignment="1">
      <alignment horizontal="left"/>
    </xf>
    <xf numFmtId="3" fontId="7" fillId="0" borderId="92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/>
    </xf>
    <xf numFmtId="3" fontId="7" fillId="0" borderId="9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153" xfId="0" applyNumberFormat="1" applyFont="1" applyBorder="1" applyAlignment="1">
      <alignment/>
    </xf>
    <xf numFmtId="3" fontId="7" fillId="0" borderId="42" xfId="0" applyNumberFormat="1" applyFont="1" applyBorder="1" applyAlignment="1">
      <alignment horizontal="left"/>
    </xf>
    <xf numFmtId="3" fontId="7" fillId="0" borderId="153" xfId="0" applyNumberFormat="1" applyFont="1" applyBorder="1" applyAlignment="1">
      <alignment horizontal="left"/>
    </xf>
    <xf numFmtId="0" fontId="2" fillId="2" borderId="22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36" xfId="0" applyFont="1" applyFill="1" applyBorder="1" applyAlignment="1">
      <alignment vertical="center"/>
    </xf>
    <xf numFmtId="3" fontId="7" fillId="0" borderId="1" xfId="0" applyNumberFormat="1" applyFont="1" applyBorder="1" applyAlignment="1">
      <alignment/>
    </xf>
    <xf numFmtId="3" fontId="7" fillId="0" borderId="99" xfId="0" applyNumberFormat="1" applyFont="1" applyBorder="1" applyAlignment="1">
      <alignment/>
    </xf>
    <xf numFmtId="3" fontId="7" fillId="0" borderId="154" xfId="0" applyNumberFormat="1" applyFont="1" applyBorder="1" applyAlignment="1">
      <alignment/>
    </xf>
    <xf numFmtId="3" fontId="7" fillId="0" borderId="155" xfId="0" applyNumberFormat="1" applyFont="1" applyBorder="1" applyAlignment="1">
      <alignment/>
    </xf>
    <xf numFmtId="3" fontId="7" fillId="0" borderId="156" xfId="0" applyNumberFormat="1" applyFont="1" applyBorder="1" applyAlignment="1">
      <alignment horizontal="left"/>
    </xf>
    <xf numFmtId="3" fontId="7" fillId="0" borderId="154" xfId="0" applyNumberFormat="1" applyFont="1" applyBorder="1" applyAlignment="1">
      <alignment horizontal="left"/>
    </xf>
    <xf numFmtId="3" fontId="7" fillId="0" borderId="155" xfId="0" applyNumberFormat="1" applyFont="1" applyBorder="1" applyAlignment="1">
      <alignment horizontal="left"/>
    </xf>
    <xf numFmtId="3" fontId="7" fillId="0" borderId="91" xfId="0" applyNumberFormat="1" applyFont="1" applyBorder="1" applyAlignment="1">
      <alignment horizontal="left"/>
    </xf>
    <xf numFmtId="3" fontId="2" fillId="2" borderId="157" xfId="0" applyNumberFormat="1" applyFont="1" applyFill="1" applyBorder="1" applyAlignment="1">
      <alignment vertical="center"/>
    </xf>
    <xf numFmtId="0" fontId="10" fillId="2" borderId="145" xfId="0" applyFont="1" applyFill="1" applyBorder="1" applyAlignment="1">
      <alignment horizontal="center" vertical="center"/>
    </xf>
    <xf numFmtId="0" fontId="10" fillId="2" borderId="87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3" fontId="2" fillId="2" borderId="158" xfId="0" applyNumberFormat="1" applyFont="1" applyFill="1" applyBorder="1" applyAlignment="1">
      <alignment horizontal="center" vertical="center"/>
    </xf>
    <xf numFmtId="0" fontId="10" fillId="2" borderId="159" xfId="0" applyFont="1" applyFill="1" applyBorder="1" applyAlignment="1">
      <alignment horizontal="center" vertical="center"/>
    </xf>
    <xf numFmtId="0" fontId="10" fillId="2" borderId="160" xfId="0" applyFont="1" applyFill="1" applyBorder="1" applyAlignment="1">
      <alignment horizontal="center" vertical="center"/>
    </xf>
    <xf numFmtId="3" fontId="10" fillId="2" borderId="144" xfId="0" applyNumberFormat="1" applyFont="1" applyFill="1" applyBorder="1" applyAlignment="1">
      <alignment horizontal="left" vertical="center"/>
    </xf>
    <xf numFmtId="3" fontId="10" fillId="2" borderId="145" xfId="0" applyNumberFormat="1" applyFont="1" applyFill="1" applyBorder="1" applyAlignment="1">
      <alignment horizontal="left" vertical="center"/>
    </xf>
    <xf numFmtId="3" fontId="10" fillId="2" borderId="161" xfId="0" applyNumberFormat="1" applyFont="1" applyFill="1" applyBorder="1" applyAlignment="1">
      <alignment horizontal="left" vertical="center"/>
    </xf>
    <xf numFmtId="3" fontId="10" fillId="2" borderId="159" xfId="0" applyNumberFormat="1" applyFont="1" applyFill="1" applyBorder="1" applyAlignment="1">
      <alignment horizontal="left" vertical="center"/>
    </xf>
    <xf numFmtId="3" fontId="10" fillId="2" borderId="160" xfId="0" applyNumberFormat="1" applyFont="1" applyFill="1" applyBorder="1" applyAlignment="1">
      <alignment horizontal="left" vertical="center"/>
    </xf>
    <xf numFmtId="3" fontId="7" fillId="0" borderId="148" xfId="0" applyNumberFormat="1" applyFont="1" applyBorder="1" applyAlignment="1">
      <alignment/>
    </xf>
    <xf numFmtId="3" fontId="7" fillId="0" borderId="156" xfId="0" applyNumberFormat="1" applyFont="1" applyBorder="1" applyAlignment="1">
      <alignment/>
    </xf>
    <xf numFmtId="0" fontId="10" fillId="2" borderId="161" xfId="0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 wrapText="1"/>
    </xf>
    <xf numFmtId="3" fontId="2" fillId="2" borderId="162" xfId="0" applyNumberFormat="1" applyFont="1" applyFill="1" applyBorder="1" applyAlignment="1">
      <alignment horizontal="center" vertical="center" wrapText="1"/>
    </xf>
    <xf numFmtId="3" fontId="2" fillId="2" borderId="163" xfId="0" applyNumberFormat="1" applyFont="1" applyFill="1" applyBorder="1" applyAlignment="1">
      <alignment horizontal="center" vertical="center" wrapText="1"/>
    </xf>
    <xf numFmtId="3" fontId="2" fillId="2" borderId="49" xfId="0" applyNumberFormat="1" applyFont="1" applyFill="1" applyBorder="1" applyAlignment="1">
      <alignment horizontal="center" vertical="center" wrapText="1"/>
    </xf>
    <xf numFmtId="0" fontId="1" fillId="2" borderId="141" xfId="0" applyFont="1" applyFill="1" applyBorder="1" applyAlignment="1">
      <alignment horizontal="center" vertical="center"/>
    </xf>
    <xf numFmtId="0" fontId="1" fillId="2" borderId="16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88" xfId="0" applyFont="1" applyFill="1" applyBorder="1" applyAlignment="1">
      <alignment horizontal="center" vertical="center"/>
    </xf>
    <xf numFmtId="0" fontId="1" fillId="2" borderId="165" xfId="0" applyFont="1" applyFill="1" applyBorder="1" applyAlignment="1">
      <alignment horizontal="center" vertical="center"/>
    </xf>
    <xf numFmtId="0" fontId="2" fillId="2" borderId="147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view="pageBreakPreview" zoomScaleSheetLayoutView="100" workbookViewId="0" topLeftCell="A1">
      <selection activeCell="J29" sqref="J29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8.00390625" style="7" customWidth="1"/>
    <col min="12" max="12" width="8.625" style="7" customWidth="1"/>
    <col min="13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536" t="s">
        <v>0</v>
      </c>
      <c r="B3" s="530" t="s">
        <v>421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</row>
    <row r="4" spans="1:14" ht="14.25" thickBot="1" thickTop="1">
      <c r="A4" s="536"/>
      <c r="B4" s="540" t="s">
        <v>1</v>
      </c>
      <c r="C4" s="540"/>
      <c r="D4" s="540"/>
      <c r="E4" s="540" t="s">
        <v>182</v>
      </c>
      <c r="F4" s="540"/>
      <c r="G4" s="540"/>
      <c r="H4" s="531" t="s">
        <v>2</v>
      </c>
      <c r="I4" s="531"/>
      <c r="J4" s="540" t="s">
        <v>183</v>
      </c>
      <c r="K4" s="540"/>
      <c r="L4" s="540"/>
      <c r="M4" s="540" t="s">
        <v>184</v>
      </c>
      <c r="N4" s="540"/>
    </row>
    <row r="5" spans="1:14" ht="14.25" thickBot="1" thickTop="1">
      <c r="A5" s="536"/>
      <c r="B5" s="200" t="s">
        <v>3</v>
      </c>
      <c r="C5" s="201" t="s">
        <v>4</v>
      </c>
      <c r="D5" s="202" t="s">
        <v>5</v>
      </c>
      <c r="E5" s="200" t="s">
        <v>3</v>
      </c>
      <c r="F5" s="201" t="s">
        <v>4</v>
      </c>
      <c r="G5" s="202" t="s">
        <v>5</v>
      </c>
      <c r="H5" s="203" t="s">
        <v>5</v>
      </c>
      <c r="I5" s="203" t="s">
        <v>6</v>
      </c>
      <c r="J5" s="204" t="s">
        <v>3</v>
      </c>
      <c r="K5" s="201" t="s">
        <v>4</v>
      </c>
      <c r="L5" s="202" t="s">
        <v>5</v>
      </c>
      <c r="M5" s="203" t="s">
        <v>5</v>
      </c>
      <c r="N5" s="202" t="s">
        <v>6</v>
      </c>
    </row>
    <row r="6" spans="1:14" ht="14.25" thickBot="1" thickTop="1">
      <c r="A6" s="529"/>
      <c r="B6" s="479" t="s">
        <v>7</v>
      </c>
      <c r="C6" s="480" t="s">
        <v>7</v>
      </c>
      <c r="D6" s="481"/>
      <c r="E6" s="479" t="s">
        <v>7</v>
      </c>
      <c r="F6" s="480" t="s">
        <v>7</v>
      </c>
      <c r="G6" s="481"/>
      <c r="H6" s="485" t="s">
        <v>8</v>
      </c>
      <c r="I6" s="485" t="s">
        <v>9</v>
      </c>
      <c r="J6" s="493" t="s">
        <v>7</v>
      </c>
      <c r="K6" s="480" t="s">
        <v>7</v>
      </c>
      <c r="L6" s="481"/>
      <c r="M6" s="485" t="s">
        <v>8</v>
      </c>
      <c r="N6" s="481" t="s">
        <v>9</v>
      </c>
    </row>
    <row r="7" spans="1:14" ht="13.5" customHeight="1">
      <c r="A7" s="508" t="s">
        <v>10</v>
      </c>
      <c r="B7" s="427"/>
      <c r="C7" s="428"/>
      <c r="D7" s="433">
        <f aca="true" t="shared" si="0" ref="D7:D15">SUM(B7:C7)</f>
        <v>0</v>
      </c>
      <c r="E7" s="427"/>
      <c r="F7" s="428"/>
      <c r="G7" s="433">
        <f aca="true" t="shared" si="1" ref="G7:G17">SUM(E7:F7)</f>
        <v>0</v>
      </c>
      <c r="H7" s="487">
        <f aca="true" t="shared" si="2" ref="H7:H37">+G7-D7</f>
        <v>0</v>
      </c>
      <c r="I7" s="491"/>
      <c r="J7" s="427"/>
      <c r="K7" s="428"/>
      <c r="L7" s="433">
        <f aca="true" t="shared" si="3" ref="L7:L17">SUM(J7:K7)</f>
        <v>0</v>
      </c>
      <c r="M7" s="487">
        <f aca="true" t="shared" si="4" ref="M7:M37">+L7-G7</f>
        <v>0</v>
      </c>
      <c r="N7" s="488"/>
    </row>
    <row r="8" spans="1:14" ht="13.5" customHeight="1">
      <c r="A8" s="509" t="s">
        <v>11</v>
      </c>
      <c r="B8" s="37">
        <v>6537</v>
      </c>
      <c r="C8" s="33">
        <v>1686</v>
      </c>
      <c r="D8" s="434">
        <f t="shared" si="0"/>
        <v>8223</v>
      </c>
      <c r="E8" s="37">
        <v>7369</v>
      </c>
      <c r="F8" s="33">
        <v>1096</v>
      </c>
      <c r="G8" s="434">
        <f t="shared" si="1"/>
        <v>8465</v>
      </c>
      <c r="H8" s="489">
        <f t="shared" si="2"/>
        <v>242</v>
      </c>
      <c r="I8" s="492">
        <f aca="true" t="shared" si="5" ref="I8:I21">+G8/D8</f>
        <v>1.0294296485467591</v>
      </c>
      <c r="J8" s="37">
        <v>7603</v>
      </c>
      <c r="K8" s="33">
        <v>1002</v>
      </c>
      <c r="L8" s="434">
        <f t="shared" si="3"/>
        <v>8605</v>
      </c>
      <c r="M8" s="489">
        <f t="shared" si="4"/>
        <v>140</v>
      </c>
      <c r="N8" s="490">
        <f aca="true" t="shared" si="6" ref="N8:N21">+L8/G8</f>
        <v>1.0165386887182517</v>
      </c>
    </row>
    <row r="9" spans="1:14" ht="13.5" customHeight="1">
      <c r="A9" s="509" t="s">
        <v>12</v>
      </c>
      <c r="B9" s="37"/>
      <c r="C9" s="33"/>
      <c r="D9" s="434">
        <f t="shared" si="0"/>
        <v>0</v>
      </c>
      <c r="E9" s="37"/>
      <c r="F9" s="33"/>
      <c r="G9" s="434">
        <f t="shared" si="1"/>
        <v>0</v>
      </c>
      <c r="H9" s="489">
        <f t="shared" si="2"/>
        <v>0</v>
      </c>
      <c r="I9" s="492"/>
      <c r="J9" s="37"/>
      <c r="K9" s="33"/>
      <c r="L9" s="434">
        <f t="shared" si="3"/>
        <v>0</v>
      </c>
      <c r="M9" s="489">
        <f t="shared" si="4"/>
        <v>0</v>
      </c>
      <c r="N9" s="490"/>
    </row>
    <row r="10" spans="1:14" ht="13.5" customHeight="1">
      <c r="A10" s="509" t="s">
        <v>13</v>
      </c>
      <c r="B10" s="37">
        <v>65</v>
      </c>
      <c r="C10" s="33"/>
      <c r="D10" s="434">
        <f t="shared" si="0"/>
        <v>65</v>
      </c>
      <c r="E10" s="37"/>
      <c r="F10" s="33"/>
      <c r="G10" s="434">
        <f t="shared" si="1"/>
        <v>0</v>
      </c>
      <c r="H10" s="489">
        <f t="shared" si="2"/>
        <v>-65</v>
      </c>
      <c r="I10" s="492">
        <f t="shared" si="5"/>
        <v>0</v>
      </c>
      <c r="J10" s="37"/>
      <c r="K10" s="33"/>
      <c r="L10" s="434">
        <f t="shared" si="3"/>
        <v>0</v>
      </c>
      <c r="M10" s="489">
        <f t="shared" si="4"/>
        <v>0</v>
      </c>
      <c r="N10" s="490"/>
    </row>
    <row r="11" spans="1:14" ht="13.5" customHeight="1">
      <c r="A11" s="509" t="s">
        <v>14</v>
      </c>
      <c r="B11" s="37">
        <v>274</v>
      </c>
      <c r="C11" s="33"/>
      <c r="D11" s="434">
        <f t="shared" si="0"/>
        <v>274</v>
      </c>
      <c r="E11" s="37">
        <v>325</v>
      </c>
      <c r="F11" s="33">
        <v>59</v>
      </c>
      <c r="G11" s="434">
        <f t="shared" si="1"/>
        <v>384</v>
      </c>
      <c r="H11" s="489">
        <f t="shared" si="2"/>
        <v>110</v>
      </c>
      <c r="I11" s="492">
        <f t="shared" si="5"/>
        <v>1.4014598540145986</v>
      </c>
      <c r="J11" s="37">
        <v>255</v>
      </c>
      <c r="K11" s="33">
        <v>59</v>
      </c>
      <c r="L11" s="434">
        <f t="shared" si="3"/>
        <v>314</v>
      </c>
      <c r="M11" s="489">
        <f t="shared" si="4"/>
        <v>-70</v>
      </c>
      <c r="N11" s="490">
        <f t="shared" si="6"/>
        <v>0.8177083333333334</v>
      </c>
    </row>
    <row r="12" spans="1:14" ht="13.5" customHeight="1">
      <c r="A12" s="510" t="s">
        <v>15</v>
      </c>
      <c r="B12" s="37">
        <v>250</v>
      </c>
      <c r="C12" s="33"/>
      <c r="D12" s="434">
        <f t="shared" si="0"/>
        <v>250</v>
      </c>
      <c r="E12" s="37">
        <v>311</v>
      </c>
      <c r="F12" s="33">
        <v>59</v>
      </c>
      <c r="G12" s="434">
        <f t="shared" si="1"/>
        <v>370</v>
      </c>
      <c r="H12" s="489">
        <f t="shared" si="2"/>
        <v>120</v>
      </c>
      <c r="I12" s="492">
        <f t="shared" si="5"/>
        <v>1.48</v>
      </c>
      <c r="J12" s="37">
        <v>240</v>
      </c>
      <c r="K12" s="33">
        <v>59</v>
      </c>
      <c r="L12" s="434">
        <f t="shared" si="3"/>
        <v>299</v>
      </c>
      <c r="M12" s="489">
        <f t="shared" si="4"/>
        <v>-71</v>
      </c>
      <c r="N12" s="490">
        <f t="shared" si="6"/>
        <v>0.8081081081081081</v>
      </c>
    </row>
    <row r="13" spans="1:14" ht="13.5" customHeight="1">
      <c r="A13" s="510" t="s">
        <v>16</v>
      </c>
      <c r="B13" s="37">
        <v>43</v>
      </c>
      <c r="C13" s="33"/>
      <c r="D13" s="434">
        <f t="shared" si="0"/>
        <v>43</v>
      </c>
      <c r="E13" s="37">
        <v>42</v>
      </c>
      <c r="F13" s="33"/>
      <c r="G13" s="434">
        <f t="shared" si="1"/>
        <v>42</v>
      </c>
      <c r="H13" s="489">
        <f t="shared" si="2"/>
        <v>-1</v>
      </c>
      <c r="I13" s="492">
        <f t="shared" si="5"/>
        <v>0.9767441860465116</v>
      </c>
      <c r="J13" s="37">
        <v>42</v>
      </c>
      <c r="K13" s="33"/>
      <c r="L13" s="434">
        <f t="shared" si="3"/>
        <v>42</v>
      </c>
      <c r="M13" s="489">
        <f t="shared" si="4"/>
        <v>0</v>
      </c>
      <c r="N13" s="490">
        <f t="shared" si="6"/>
        <v>1</v>
      </c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89">
        <f t="shared" si="2"/>
        <v>0</v>
      </c>
      <c r="I14" s="492"/>
      <c r="J14" s="37"/>
      <c r="K14" s="33"/>
      <c r="L14" s="434">
        <f t="shared" si="3"/>
        <v>0</v>
      </c>
      <c r="M14" s="489">
        <f t="shared" si="4"/>
        <v>0</v>
      </c>
      <c r="N14" s="490"/>
    </row>
    <row r="15" spans="1:14" ht="13.5" customHeight="1">
      <c r="A15" s="509" t="s">
        <v>18</v>
      </c>
      <c r="B15" s="37">
        <v>46035</v>
      </c>
      <c r="C15" s="33"/>
      <c r="D15" s="434">
        <f t="shared" si="0"/>
        <v>46035</v>
      </c>
      <c r="E15" s="37">
        <v>46794</v>
      </c>
      <c r="F15" s="33"/>
      <c r="G15" s="434">
        <f t="shared" si="1"/>
        <v>46794</v>
      </c>
      <c r="H15" s="489">
        <f t="shared" si="2"/>
        <v>759</v>
      </c>
      <c r="I15" s="492">
        <f t="shared" si="5"/>
        <v>1.0164874551971326</v>
      </c>
      <c r="J15" s="57">
        <f>SUM(J16:J17)</f>
        <v>49781</v>
      </c>
      <c r="K15" s="33"/>
      <c r="L15" s="434">
        <f t="shared" si="3"/>
        <v>49781</v>
      </c>
      <c r="M15" s="489">
        <f t="shared" si="4"/>
        <v>2987</v>
      </c>
      <c r="N15" s="490">
        <f t="shared" si="6"/>
        <v>1.0638329700388938</v>
      </c>
    </row>
    <row r="16" spans="1:14" ht="13.5" customHeight="1">
      <c r="A16" s="511" t="s">
        <v>476</v>
      </c>
      <c r="B16" s="37"/>
      <c r="C16" s="33"/>
      <c r="D16" s="434"/>
      <c r="E16" s="37">
        <v>46000</v>
      </c>
      <c r="F16" s="33"/>
      <c r="G16" s="434">
        <f t="shared" si="1"/>
        <v>46000</v>
      </c>
      <c r="H16" s="489">
        <f t="shared" si="2"/>
        <v>46000</v>
      </c>
      <c r="I16" s="492"/>
      <c r="J16" s="57">
        <f>48037</f>
        <v>48037</v>
      </c>
      <c r="K16" s="33"/>
      <c r="L16" s="434">
        <f t="shared" si="3"/>
        <v>48037</v>
      </c>
      <c r="M16" s="489">
        <f t="shared" si="4"/>
        <v>2037</v>
      </c>
      <c r="N16" s="490">
        <f t="shared" si="6"/>
        <v>1.0442826086956523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794</v>
      </c>
      <c r="F17" s="431"/>
      <c r="G17" s="434">
        <f t="shared" si="1"/>
        <v>794</v>
      </c>
      <c r="H17" s="489">
        <f t="shared" si="2"/>
        <v>794</v>
      </c>
      <c r="I17" s="492"/>
      <c r="J17" s="438">
        <v>1744</v>
      </c>
      <c r="K17" s="431"/>
      <c r="L17" s="434">
        <f t="shared" si="3"/>
        <v>1744</v>
      </c>
      <c r="M17" s="489">
        <f t="shared" si="4"/>
        <v>950</v>
      </c>
      <c r="N17" s="490">
        <f t="shared" si="6"/>
        <v>2.1964735516372795</v>
      </c>
    </row>
    <row r="18" spans="1:14" ht="13.5" customHeight="1" thickBot="1">
      <c r="A18" s="478" t="s">
        <v>19</v>
      </c>
      <c r="B18" s="482">
        <f aca="true" t="shared" si="7" ref="B18:G18">SUM(B7+B8+B9+B10+B11+B13+B15)</f>
        <v>52954</v>
      </c>
      <c r="C18" s="483">
        <f t="shared" si="7"/>
        <v>1686</v>
      </c>
      <c r="D18" s="484">
        <f t="shared" si="7"/>
        <v>54640</v>
      </c>
      <c r="E18" s="482">
        <f t="shared" si="7"/>
        <v>54530</v>
      </c>
      <c r="F18" s="483">
        <f t="shared" si="7"/>
        <v>1155</v>
      </c>
      <c r="G18" s="484">
        <f t="shared" si="7"/>
        <v>55685</v>
      </c>
      <c r="H18" s="486">
        <f t="shared" si="2"/>
        <v>1045</v>
      </c>
      <c r="I18" s="242">
        <f t="shared" si="5"/>
        <v>1.0191251830161054</v>
      </c>
      <c r="J18" s="494">
        <f>SUM(J7+J8+J9+J10+J11+J13+J15)</f>
        <v>57681</v>
      </c>
      <c r="K18" s="483">
        <f>SUM(K7+K8+K9+K10+K11+K13+K15)</f>
        <v>1061</v>
      </c>
      <c r="L18" s="484">
        <f>SUM(L7+L8+L9+L10+L11+L13+L15)</f>
        <v>58742</v>
      </c>
      <c r="M18" s="486">
        <f t="shared" si="4"/>
        <v>3057</v>
      </c>
      <c r="N18" s="495">
        <f t="shared" si="6"/>
        <v>1.054898087456227</v>
      </c>
    </row>
    <row r="19" spans="1:14" ht="13.5" customHeight="1">
      <c r="A19" s="230" t="s">
        <v>20</v>
      </c>
      <c r="B19" s="205">
        <v>6919</v>
      </c>
      <c r="C19" s="206">
        <v>296</v>
      </c>
      <c r="D19" s="207">
        <f aca="true" t="shared" si="8" ref="D19:D36">SUM(B19:C19)</f>
        <v>7215</v>
      </c>
      <c r="E19" s="205">
        <v>6985</v>
      </c>
      <c r="F19" s="206">
        <v>283</v>
      </c>
      <c r="G19" s="231">
        <f aca="true" t="shared" si="9" ref="G19:G36">SUM(E19:F19)</f>
        <v>7268</v>
      </c>
      <c r="H19" s="232">
        <f t="shared" si="2"/>
        <v>53</v>
      </c>
      <c r="I19" s="233">
        <f t="shared" si="5"/>
        <v>1.0073458073458073</v>
      </c>
      <c r="J19" s="210">
        <v>7884</v>
      </c>
      <c r="K19" s="206">
        <v>270</v>
      </c>
      <c r="L19" s="234">
        <f aca="true" t="shared" si="10" ref="L19:L36">SUM(J19:K19)</f>
        <v>8154</v>
      </c>
      <c r="M19" s="232">
        <f t="shared" si="4"/>
        <v>886</v>
      </c>
      <c r="N19" s="235">
        <f t="shared" si="6"/>
        <v>1.1219042377545405</v>
      </c>
    </row>
    <row r="20" spans="1:14" ht="21" customHeight="1">
      <c r="A20" s="216" t="s">
        <v>21</v>
      </c>
      <c r="B20" s="205">
        <v>850</v>
      </c>
      <c r="C20" s="206">
        <v>41</v>
      </c>
      <c r="D20" s="207">
        <f t="shared" si="8"/>
        <v>891</v>
      </c>
      <c r="E20" s="205">
        <v>911</v>
      </c>
      <c r="F20" s="206">
        <v>10</v>
      </c>
      <c r="G20" s="231">
        <f t="shared" si="9"/>
        <v>921</v>
      </c>
      <c r="H20" s="208">
        <f t="shared" si="2"/>
        <v>30</v>
      </c>
      <c r="I20" s="209">
        <f t="shared" si="5"/>
        <v>1.0336700336700337</v>
      </c>
      <c r="J20" s="210">
        <v>890</v>
      </c>
      <c r="K20" s="206">
        <v>10</v>
      </c>
      <c r="L20" s="234">
        <f t="shared" si="10"/>
        <v>900</v>
      </c>
      <c r="M20" s="208">
        <f t="shared" si="4"/>
        <v>-21</v>
      </c>
      <c r="N20" s="211">
        <f t="shared" si="6"/>
        <v>0.9771986970684039</v>
      </c>
    </row>
    <row r="21" spans="1:14" ht="13.5" customHeight="1">
      <c r="A21" s="212" t="s">
        <v>22</v>
      </c>
      <c r="B21" s="213">
        <v>2665</v>
      </c>
      <c r="C21" s="214">
        <v>167</v>
      </c>
      <c r="D21" s="207">
        <f t="shared" si="8"/>
        <v>2832</v>
      </c>
      <c r="E21" s="213">
        <v>2909</v>
      </c>
      <c r="F21" s="214">
        <v>91</v>
      </c>
      <c r="G21" s="231">
        <f t="shared" si="9"/>
        <v>3000</v>
      </c>
      <c r="H21" s="208">
        <f t="shared" si="2"/>
        <v>168</v>
      </c>
      <c r="I21" s="209">
        <f t="shared" si="5"/>
        <v>1.0593220338983051</v>
      </c>
      <c r="J21" s="215">
        <v>3170</v>
      </c>
      <c r="K21" s="214">
        <v>100</v>
      </c>
      <c r="L21" s="234">
        <f t="shared" si="10"/>
        <v>3270</v>
      </c>
      <c r="M21" s="208">
        <f t="shared" si="4"/>
        <v>270</v>
      </c>
      <c r="N21" s="211">
        <f t="shared" si="6"/>
        <v>1.09</v>
      </c>
    </row>
    <row r="22" spans="1:14" ht="13.5" customHeight="1">
      <c r="A22" s="216" t="s">
        <v>23</v>
      </c>
      <c r="B22" s="213"/>
      <c r="C22" s="214"/>
      <c r="D22" s="207">
        <f t="shared" si="8"/>
        <v>0</v>
      </c>
      <c r="E22" s="213"/>
      <c r="F22" s="214"/>
      <c r="G22" s="231">
        <f t="shared" si="9"/>
        <v>0</v>
      </c>
      <c r="H22" s="208">
        <f t="shared" si="2"/>
        <v>0</v>
      </c>
      <c r="I22" s="209"/>
      <c r="J22" s="215"/>
      <c r="K22" s="214"/>
      <c r="L22" s="234">
        <f t="shared" si="10"/>
        <v>0</v>
      </c>
      <c r="M22" s="208">
        <f t="shared" si="4"/>
        <v>0</v>
      </c>
      <c r="N22" s="211"/>
    </row>
    <row r="23" spans="1:14" ht="13.5" customHeight="1">
      <c r="A23" s="212" t="s">
        <v>24</v>
      </c>
      <c r="B23" s="213"/>
      <c r="C23" s="214"/>
      <c r="D23" s="207">
        <f t="shared" si="8"/>
        <v>0</v>
      </c>
      <c r="E23" s="213"/>
      <c r="F23" s="214"/>
      <c r="G23" s="231">
        <f t="shared" si="9"/>
        <v>0</v>
      </c>
      <c r="H23" s="208">
        <f t="shared" si="2"/>
        <v>0</v>
      </c>
      <c r="I23" s="209"/>
      <c r="J23" s="215"/>
      <c r="K23" s="214"/>
      <c r="L23" s="234">
        <f t="shared" si="10"/>
        <v>0</v>
      </c>
      <c r="M23" s="208">
        <f t="shared" si="4"/>
        <v>0</v>
      </c>
      <c r="N23" s="211"/>
    </row>
    <row r="24" spans="1:14" ht="13.5" customHeight="1">
      <c r="A24" s="212" t="s">
        <v>25</v>
      </c>
      <c r="B24" s="215">
        <v>2127</v>
      </c>
      <c r="C24" s="214">
        <v>144</v>
      </c>
      <c r="D24" s="207">
        <f t="shared" si="8"/>
        <v>2271</v>
      </c>
      <c r="E24" s="215">
        <v>2103</v>
      </c>
      <c r="F24" s="214">
        <v>52</v>
      </c>
      <c r="G24" s="231">
        <f t="shared" si="9"/>
        <v>2155</v>
      </c>
      <c r="H24" s="208">
        <f t="shared" si="2"/>
        <v>-116</v>
      </c>
      <c r="I24" s="209">
        <f aca="true" t="shared" si="11" ref="I24:I37">+G24/D24</f>
        <v>0.9489211800968737</v>
      </c>
      <c r="J24" s="215">
        <v>2103</v>
      </c>
      <c r="K24" s="214">
        <v>52</v>
      </c>
      <c r="L24" s="234">
        <f t="shared" si="10"/>
        <v>2155</v>
      </c>
      <c r="M24" s="208">
        <f t="shared" si="4"/>
        <v>0</v>
      </c>
      <c r="N24" s="211">
        <f aca="true" t="shared" si="12" ref="N24:N37">+L24/G24</f>
        <v>1</v>
      </c>
    </row>
    <row r="25" spans="1:14" ht="13.5" customHeight="1">
      <c r="A25" s="216" t="s">
        <v>26</v>
      </c>
      <c r="B25" s="213">
        <v>1155</v>
      </c>
      <c r="C25" s="214">
        <v>103</v>
      </c>
      <c r="D25" s="207">
        <f t="shared" si="8"/>
        <v>1258</v>
      </c>
      <c r="E25" s="213">
        <v>1189</v>
      </c>
      <c r="F25" s="214">
        <v>16</v>
      </c>
      <c r="G25" s="231">
        <f t="shared" si="9"/>
        <v>1205</v>
      </c>
      <c r="H25" s="208">
        <f t="shared" si="2"/>
        <v>-53</v>
      </c>
      <c r="I25" s="209">
        <f t="shared" si="11"/>
        <v>0.9578696343402225</v>
      </c>
      <c r="J25" s="236">
        <v>1189</v>
      </c>
      <c r="K25" s="214">
        <v>16</v>
      </c>
      <c r="L25" s="234">
        <f t="shared" si="10"/>
        <v>1205</v>
      </c>
      <c r="M25" s="208">
        <f t="shared" si="4"/>
        <v>0</v>
      </c>
      <c r="N25" s="211">
        <f t="shared" si="12"/>
        <v>1</v>
      </c>
    </row>
    <row r="26" spans="1:14" ht="13.5" customHeight="1">
      <c r="A26" s="212" t="s">
        <v>27</v>
      </c>
      <c r="B26" s="213">
        <v>944</v>
      </c>
      <c r="C26" s="214">
        <v>34</v>
      </c>
      <c r="D26" s="207">
        <f t="shared" si="8"/>
        <v>978</v>
      </c>
      <c r="E26" s="213">
        <v>883</v>
      </c>
      <c r="F26" s="214">
        <v>28</v>
      </c>
      <c r="G26" s="231">
        <f t="shared" si="9"/>
        <v>911</v>
      </c>
      <c r="H26" s="208">
        <f t="shared" si="2"/>
        <v>-67</v>
      </c>
      <c r="I26" s="209">
        <f t="shared" si="11"/>
        <v>0.9314928425357873</v>
      </c>
      <c r="J26" s="236">
        <v>883</v>
      </c>
      <c r="K26" s="214">
        <v>28</v>
      </c>
      <c r="L26" s="234">
        <f t="shared" si="10"/>
        <v>911</v>
      </c>
      <c r="M26" s="208">
        <f t="shared" si="4"/>
        <v>0</v>
      </c>
      <c r="N26" s="211">
        <f t="shared" si="12"/>
        <v>1</v>
      </c>
    </row>
    <row r="27" spans="1:14" ht="13.5" customHeight="1">
      <c r="A27" s="237" t="s">
        <v>28</v>
      </c>
      <c r="B27" s="215">
        <v>37849</v>
      </c>
      <c r="C27" s="214">
        <v>411</v>
      </c>
      <c r="D27" s="207">
        <f t="shared" si="8"/>
        <v>38260</v>
      </c>
      <c r="E27" s="215">
        <v>38988</v>
      </c>
      <c r="F27" s="214">
        <v>407</v>
      </c>
      <c r="G27" s="231">
        <f t="shared" si="9"/>
        <v>39395</v>
      </c>
      <c r="H27" s="208">
        <f t="shared" si="2"/>
        <v>1135</v>
      </c>
      <c r="I27" s="209">
        <f t="shared" si="11"/>
        <v>1.029665446941976</v>
      </c>
      <c r="J27" s="215">
        <f>J28+J31</f>
        <v>41578</v>
      </c>
      <c r="K27" s="214">
        <v>401</v>
      </c>
      <c r="L27" s="234">
        <f t="shared" si="10"/>
        <v>41979</v>
      </c>
      <c r="M27" s="208">
        <f t="shared" si="4"/>
        <v>2584</v>
      </c>
      <c r="N27" s="211">
        <f t="shared" si="12"/>
        <v>1.065592080213225</v>
      </c>
    </row>
    <row r="28" spans="1:14" ht="13.5" customHeight="1">
      <c r="A28" s="216" t="s">
        <v>29</v>
      </c>
      <c r="B28" s="213">
        <v>27598</v>
      </c>
      <c r="C28" s="214">
        <v>305</v>
      </c>
      <c r="D28" s="207">
        <f t="shared" si="8"/>
        <v>27903</v>
      </c>
      <c r="E28" s="213">
        <v>28449</v>
      </c>
      <c r="F28" s="214">
        <v>303</v>
      </c>
      <c r="G28" s="231">
        <f t="shared" si="9"/>
        <v>28752</v>
      </c>
      <c r="H28" s="208">
        <f t="shared" si="2"/>
        <v>849</v>
      </c>
      <c r="I28" s="209">
        <f t="shared" si="11"/>
        <v>1.0304268358241049</v>
      </c>
      <c r="J28" s="236">
        <f>J29+J30</f>
        <v>30349</v>
      </c>
      <c r="K28" s="238">
        <v>297</v>
      </c>
      <c r="L28" s="234">
        <f t="shared" si="10"/>
        <v>30646</v>
      </c>
      <c r="M28" s="208">
        <f t="shared" si="4"/>
        <v>1894</v>
      </c>
      <c r="N28" s="211">
        <f t="shared" si="12"/>
        <v>1.0658736783528102</v>
      </c>
    </row>
    <row r="29" spans="1:14" ht="13.5" customHeight="1">
      <c r="A29" s="237" t="s">
        <v>30</v>
      </c>
      <c r="B29" s="213">
        <v>27408</v>
      </c>
      <c r="C29" s="214">
        <v>305</v>
      </c>
      <c r="D29" s="207">
        <f t="shared" si="8"/>
        <v>27713</v>
      </c>
      <c r="E29" s="213">
        <v>28266</v>
      </c>
      <c r="F29" s="214">
        <v>296</v>
      </c>
      <c r="G29" s="231">
        <f t="shared" si="9"/>
        <v>28562</v>
      </c>
      <c r="H29" s="208">
        <f t="shared" si="2"/>
        <v>849</v>
      </c>
      <c r="I29" s="209">
        <f t="shared" si="11"/>
        <v>1.0306354418503951</v>
      </c>
      <c r="J29" s="215">
        <f>28893+1273</f>
        <v>30166</v>
      </c>
      <c r="K29" s="214">
        <v>290</v>
      </c>
      <c r="L29" s="234">
        <f t="shared" si="10"/>
        <v>30456</v>
      </c>
      <c r="M29" s="208">
        <f t="shared" si="4"/>
        <v>1894</v>
      </c>
      <c r="N29" s="211">
        <f t="shared" si="12"/>
        <v>1.066311882921364</v>
      </c>
    </row>
    <row r="30" spans="1:14" ht="13.5" customHeight="1">
      <c r="A30" s="216" t="s">
        <v>31</v>
      </c>
      <c r="B30" s="213">
        <v>190</v>
      </c>
      <c r="C30" s="214"/>
      <c r="D30" s="207">
        <f t="shared" si="8"/>
        <v>190</v>
      </c>
      <c r="E30" s="213">
        <v>183</v>
      </c>
      <c r="F30" s="214">
        <v>7</v>
      </c>
      <c r="G30" s="231">
        <f t="shared" si="9"/>
        <v>190</v>
      </c>
      <c r="H30" s="208">
        <f t="shared" si="2"/>
        <v>0</v>
      </c>
      <c r="I30" s="209">
        <f t="shared" si="11"/>
        <v>1</v>
      </c>
      <c r="J30" s="215">
        <v>183</v>
      </c>
      <c r="K30" s="214">
        <v>7</v>
      </c>
      <c r="L30" s="234">
        <f t="shared" si="10"/>
        <v>190</v>
      </c>
      <c r="M30" s="208">
        <f t="shared" si="4"/>
        <v>0</v>
      </c>
      <c r="N30" s="211">
        <f t="shared" si="12"/>
        <v>1</v>
      </c>
    </row>
    <row r="31" spans="1:14" ht="13.5" customHeight="1">
      <c r="A31" s="216" t="s">
        <v>32</v>
      </c>
      <c r="B31" s="213">
        <v>10251</v>
      </c>
      <c r="C31" s="214">
        <v>106</v>
      </c>
      <c r="D31" s="207">
        <f t="shared" si="8"/>
        <v>10357</v>
      </c>
      <c r="E31" s="213">
        <v>10539</v>
      </c>
      <c r="F31" s="214">
        <v>104</v>
      </c>
      <c r="G31" s="231">
        <f t="shared" si="9"/>
        <v>10643</v>
      </c>
      <c r="H31" s="208">
        <f t="shared" si="2"/>
        <v>286</v>
      </c>
      <c r="I31" s="209">
        <f t="shared" si="11"/>
        <v>1.0276141739886067</v>
      </c>
      <c r="J31" s="215">
        <f>10758+471</f>
        <v>11229</v>
      </c>
      <c r="K31" s="214">
        <v>104</v>
      </c>
      <c r="L31" s="234">
        <f t="shared" si="10"/>
        <v>11333</v>
      </c>
      <c r="M31" s="208">
        <f t="shared" si="4"/>
        <v>690</v>
      </c>
      <c r="N31" s="211">
        <f t="shared" si="12"/>
        <v>1.0648313445457107</v>
      </c>
    </row>
    <row r="32" spans="1:14" ht="13.5" customHeight="1">
      <c r="A32" s="237" t="s">
        <v>33</v>
      </c>
      <c r="B32" s="213">
        <v>8</v>
      </c>
      <c r="C32" s="214">
        <v>12</v>
      </c>
      <c r="D32" s="207">
        <f t="shared" si="8"/>
        <v>20</v>
      </c>
      <c r="E32" s="213">
        <v>9</v>
      </c>
      <c r="F32" s="214">
        <v>12</v>
      </c>
      <c r="G32" s="231">
        <f t="shared" si="9"/>
        <v>21</v>
      </c>
      <c r="H32" s="208">
        <f t="shared" si="2"/>
        <v>1</v>
      </c>
      <c r="I32" s="209">
        <f t="shared" si="11"/>
        <v>1.05</v>
      </c>
      <c r="J32" s="215">
        <v>9</v>
      </c>
      <c r="K32" s="214">
        <v>12</v>
      </c>
      <c r="L32" s="234">
        <f t="shared" si="10"/>
        <v>21</v>
      </c>
      <c r="M32" s="208">
        <f t="shared" si="4"/>
        <v>0</v>
      </c>
      <c r="N32" s="211">
        <f t="shared" si="12"/>
        <v>1</v>
      </c>
    </row>
    <row r="33" spans="1:14" ht="13.5" customHeight="1">
      <c r="A33" s="237" t="s">
        <v>34</v>
      </c>
      <c r="B33" s="213">
        <v>535</v>
      </c>
      <c r="C33" s="214">
        <v>32</v>
      </c>
      <c r="D33" s="207">
        <f t="shared" si="8"/>
        <v>567</v>
      </c>
      <c r="E33" s="213">
        <v>361</v>
      </c>
      <c r="F33" s="214">
        <v>30</v>
      </c>
      <c r="G33" s="231">
        <f t="shared" si="9"/>
        <v>391</v>
      </c>
      <c r="H33" s="208">
        <f t="shared" si="2"/>
        <v>-176</v>
      </c>
      <c r="I33" s="209">
        <f t="shared" si="11"/>
        <v>0.689594356261023</v>
      </c>
      <c r="J33" s="215">
        <v>418</v>
      </c>
      <c r="K33" s="214">
        <v>30</v>
      </c>
      <c r="L33" s="234">
        <f t="shared" si="10"/>
        <v>448</v>
      </c>
      <c r="M33" s="208">
        <f t="shared" si="4"/>
        <v>57</v>
      </c>
      <c r="N33" s="211">
        <f t="shared" si="12"/>
        <v>1.145780051150895</v>
      </c>
    </row>
    <row r="34" spans="1:14" ht="13.5" customHeight="1">
      <c r="A34" s="216" t="s">
        <v>35</v>
      </c>
      <c r="B34" s="213">
        <v>2982</v>
      </c>
      <c r="C34" s="214">
        <v>218</v>
      </c>
      <c r="D34" s="207">
        <f t="shared" si="8"/>
        <v>3200</v>
      </c>
      <c r="E34" s="213">
        <v>2761</v>
      </c>
      <c r="F34" s="214">
        <v>105</v>
      </c>
      <c r="G34" s="231">
        <f t="shared" si="9"/>
        <v>2866</v>
      </c>
      <c r="H34" s="208">
        <f t="shared" si="2"/>
        <v>-334</v>
      </c>
      <c r="I34" s="209">
        <f t="shared" si="11"/>
        <v>0.895625</v>
      </c>
      <c r="J34" s="236">
        <v>2615</v>
      </c>
      <c r="K34" s="214">
        <v>100</v>
      </c>
      <c r="L34" s="234">
        <f t="shared" si="10"/>
        <v>2715</v>
      </c>
      <c r="M34" s="208">
        <f t="shared" si="4"/>
        <v>-151</v>
      </c>
      <c r="N34" s="211">
        <f t="shared" si="12"/>
        <v>0.9473133286810886</v>
      </c>
    </row>
    <row r="35" spans="1:14" ht="22.5" customHeight="1">
      <c r="A35" s="216" t="s">
        <v>36</v>
      </c>
      <c r="B35" s="213">
        <v>2982</v>
      </c>
      <c r="C35" s="214">
        <v>218</v>
      </c>
      <c r="D35" s="207">
        <f t="shared" si="8"/>
        <v>3200</v>
      </c>
      <c r="E35" s="213">
        <v>2752</v>
      </c>
      <c r="F35" s="214">
        <v>105</v>
      </c>
      <c r="G35" s="231">
        <f t="shared" si="9"/>
        <v>2857</v>
      </c>
      <c r="H35" s="208">
        <f t="shared" si="2"/>
        <v>-343</v>
      </c>
      <c r="I35" s="209">
        <f t="shared" si="11"/>
        <v>0.8928125</v>
      </c>
      <c r="J35" s="236">
        <v>2615</v>
      </c>
      <c r="K35" s="214">
        <v>100</v>
      </c>
      <c r="L35" s="234">
        <f t="shared" si="10"/>
        <v>2715</v>
      </c>
      <c r="M35" s="208">
        <f t="shared" si="4"/>
        <v>-142</v>
      </c>
      <c r="N35" s="211">
        <f t="shared" si="12"/>
        <v>0.9502975148757438</v>
      </c>
    </row>
    <row r="36" spans="1:14" ht="13.5" customHeight="1" thickBot="1">
      <c r="A36" s="239" t="s">
        <v>37</v>
      </c>
      <c r="B36" s="217"/>
      <c r="C36" s="218"/>
      <c r="D36" s="207">
        <f t="shared" si="8"/>
        <v>0</v>
      </c>
      <c r="E36" s="217"/>
      <c r="F36" s="218"/>
      <c r="G36" s="231">
        <f t="shared" si="9"/>
        <v>0</v>
      </c>
      <c r="H36" s="219">
        <f t="shared" si="2"/>
        <v>0</v>
      </c>
      <c r="I36" s="220"/>
      <c r="J36" s="240"/>
      <c r="K36" s="218"/>
      <c r="L36" s="234">
        <f t="shared" si="10"/>
        <v>0</v>
      </c>
      <c r="M36" s="219">
        <f t="shared" si="4"/>
        <v>0</v>
      </c>
      <c r="N36" s="221"/>
    </row>
    <row r="37" spans="1:14" ht="13.5" customHeight="1" thickBot="1">
      <c r="A37" s="222" t="s">
        <v>38</v>
      </c>
      <c r="B37" s="223">
        <f aca="true" t="shared" si="13" ref="B37:G37">SUM(B19+B21+B22+B23+B24+B27+B32+B33+B34+B36)</f>
        <v>53085</v>
      </c>
      <c r="C37" s="224">
        <f t="shared" si="13"/>
        <v>1280</v>
      </c>
      <c r="D37" s="225">
        <f t="shared" si="13"/>
        <v>54365</v>
      </c>
      <c r="E37" s="223">
        <f t="shared" si="13"/>
        <v>54116</v>
      </c>
      <c r="F37" s="224">
        <f t="shared" si="13"/>
        <v>980</v>
      </c>
      <c r="G37" s="225">
        <f t="shared" si="13"/>
        <v>55096</v>
      </c>
      <c r="H37" s="226">
        <f t="shared" si="2"/>
        <v>731</v>
      </c>
      <c r="I37" s="227">
        <f t="shared" si="11"/>
        <v>1.0134461510162789</v>
      </c>
      <c r="J37" s="228">
        <f>SUM(J19+J21+J22+J23+J24+J27+J32+J33+J34+J36)</f>
        <v>57777</v>
      </c>
      <c r="K37" s="224">
        <f>SUM(K19+K21+K22+K23+K24+K27+K32+K33+K34+K36)</f>
        <v>965</v>
      </c>
      <c r="L37" s="225">
        <f>SUM(L19+L21+L22+L23+L24+L27+L32+L33+L34+L36)</f>
        <v>58742</v>
      </c>
      <c r="M37" s="226">
        <f t="shared" si="4"/>
        <v>3646</v>
      </c>
      <c r="N37" s="229">
        <f t="shared" si="12"/>
        <v>1.0661754029330623</v>
      </c>
    </row>
    <row r="38" spans="1:14" ht="13.5" customHeight="1" thickBot="1">
      <c r="A38" s="222" t="s">
        <v>39</v>
      </c>
      <c r="B38" s="569">
        <f>+D18-D37</f>
        <v>275</v>
      </c>
      <c r="C38" s="569"/>
      <c r="D38" s="569"/>
      <c r="E38" s="569">
        <f>+G18-G37</f>
        <v>589</v>
      </c>
      <c r="F38" s="569"/>
      <c r="G38" s="569">
        <v>-50784</v>
      </c>
      <c r="H38" s="241">
        <f>+E38-B38</f>
        <v>314</v>
      </c>
      <c r="I38" s="242"/>
      <c r="J38" s="570">
        <f>+L18-L37</f>
        <v>0</v>
      </c>
      <c r="K38" s="570"/>
      <c r="L38" s="570">
        <v>0</v>
      </c>
      <c r="M38" s="226"/>
      <c r="N38" s="229"/>
    </row>
    <row r="39" spans="1:16" ht="20.25" customHeight="1" thickBot="1">
      <c r="A39" s="243" t="s">
        <v>40</v>
      </c>
      <c r="B39" s="569"/>
      <c r="C39" s="569"/>
      <c r="D39" s="569"/>
      <c r="E39" s="569"/>
      <c r="F39" s="569"/>
      <c r="G39" s="56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3.5" thickBot="1">
      <c r="A41" s="558" t="s">
        <v>42</v>
      </c>
      <c r="B41" s="558"/>
      <c r="C41" s="548" t="s">
        <v>41</v>
      </c>
      <c r="D41" s="558" t="s">
        <v>185</v>
      </c>
      <c r="E41" s="558"/>
      <c r="F41" s="558"/>
      <c r="G41" s="548" t="s">
        <v>41</v>
      </c>
      <c r="H41" s="563" t="s">
        <v>186</v>
      </c>
      <c r="I41" s="563"/>
      <c r="J41" s="563"/>
      <c r="K41" s="563"/>
      <c r="L41" s="548" t="s">
        <v>41</v>
      </c>
      <c r="O41"/>
      <c r="P41"/>
    </row>
    <row r="42" spans="1:16" ht="13.5" thickBot="1">
      <c r="A42" s="558"/>
      <c r="B42" s="558"/>
      <c r="C42" s="548"/>
      <c r="D42" s="558"/>
      <c r="E42" s="558"/>
      <c r="F42" s="558"/>
      <c r="G42" s="548"/>
      <c r="H42" s="563"/>
      <c r="I42" s="563"/>
      <c r="J42" s="563"/>
      <c r="K42" s="563"/>
      <c r="L42" s="548"/>
      <c r="O42"/>
      <c r="P42"/>
    </row>
    <row r="43" spans="1:16" ht="12.75">
      <c r="A43" s="568" t="s">
        <v>249</v>
      </c>
      <c r="B43" s="568"/>
      <c r="C43" s="244">
        <v>62</v>
      </c>
      <c r="D43" s="567" t="s">
        <v>250</v>
      </c>
      <c r="E43" s="567"/>
      <c r="F43" s="567"/>
      <c r="G43" s="245">
        <v>74</v>
      </c>
      <c r="H43" s="552" t="s">
        <v>251</v>
      </c>
      <c r="I43" s="552"/>
      <c r="J43" s="552"/>
      <c r="K43" s="552"/>
      <c r="L43" s="246">
        <v>250</v>
      </c>
      <c r="O43"/>
      <c r="P43"/>
    </row>
    <row r="44" spans="1:16" ht="12.75">
      <c r="A44" s="564" t="s">
        <v>252</v>
      </c>
      <c r="B44" s="564"/>
      <c r="C44" s="247">
        <v>97</v>
      </c>
      <c r="D44" s="567" t="s">
        <v>253</v>
      </c>
      <c r="E44" s="567"/>
      <c r="F44" s="567"/>
      <c r="G44" s="248">
        <v>125</v>
      </c>
      <c r="H44" s="552" t="s">
        <v>254</v>
      </c>
      <c r="I44" s="552"/>
      <c r="J44" s="552"/>
      <c r="K44" s="552"/>
      <c r="L44" s="246">
        <v>850</v>
      </c>
      <c r="O44"/>
      <c r="P44"/>
    </row>
    <row r="45" spans="1:16" ht="12.75">
      <c r="A45" s="564" t="s">
        <v>253</v>
      </c>
      <c r="B45" s="564"/>
      <c r="C45" s="247">
        <v>175</v>
      </c>
      <c r="D45" s="567" t="s">
        <v>255</v>
      </c>
      <c r="E45" s="567"/>
      <c r="F45" s="567"/>
      <c r="G45" s="248">
        <v>113</v>
      </c>
      <c r="H45" s="552" t="s">
        <v>256</v>
      </c>
      <c r="I45" s="552"/>
      <c r="J45" s="552"/>
      <c r="K45" s="552"/>
      <c r="L45" s="246">
        <v>300</v>
      </c>
      <c r="O45"/>
      <c r="P45"/>
    </row>
    <row r="46" spans="1:16" ht="12.75">
      <c r="A46" s="564"/>
      <c r="B46" s="564"/>
      <c r="C46" s="249"/>
      <c r="D46" s="564"/>
      <c r="E46" s="564"/>
      <c r="F46" s="564"/>
      <c r="G46" s="250"/>
      <c r="H46" s="523" t="s">
        <v>257</v>
      </c>
      <c r="I46" s="523"/>
      <c r="J46" s="523"/>
      <c r="K46" s="523"/>
      <c r="L46" s="246">
        <v>70</v>
      </c>
      <c r="O46"/>
      <c r="P46"/>
    </row>
    <row r="47" spans="1:16" ht="12.75">
      <c r="A47" s="564"/>
      <c r="B47" s="564"/>
      <c r="C47" s="249"/>
      <c r="D47" s="564"/>
      <c r="E47" s="564"/>
      <c r="F47" s="564"/>
      <c r="G47" s="250"/>
      <c r="H47" s="523" t="s">
        <v>43</v>
      </c>
      <c r="I47" s="523"/>
      <c r="J47" s="523"/>
      <c r="K47" s="523"/>
      <c r="L47" s="246">
        <v>1477</v>
      </c>
      <c r="O47"/>
      <c r="P47"/>
    </row>
    <row r="48" spans="1:16" ht="12.75">
      <c r="A48" s="564"/>
      <c r="B48" s="564"/>
      <c r="C48" s="249"/>
      <c r="D48" s="564"/>
      <c r="E48" s="564"/>
      <c r="F48" s="564"/>
      <c r="G48" s="250"/>
      <c r="H48" s="523"/>
      <c r="I48" s="523"/>
      <c r="J48" s="523"/>
      <c r="K48" s="523"/>
      <c r="L48" s="246"/>
      <c r="O48"/>
      <c r="P48"/>
    </row>
    <row r="49" spans="1:16" ht="13.5" thickBot="1">
      <c r="A49" s="565"/>
      <c r="B49" s="565"/>
      <c r="C49" s="249"/>
      <c r="D49" s="566"/>
      <c r="E49" s="566"/>
      <c r="F49" s="566"/>
      <c r="G49" s="250"/>
      <c r="H49" s="552"/>
      <c r="I49" s="552"/>
      <c r="J49" s="552"/>
      <c r="K49" s="552"/>
      <c r="L49" s="246"/>
      <c r="O49"/>
      <c r="P49"/>
    </row>
    <row r="50" spans="1:16" ht="13.5" thickBot="1">
      <c r="A50" s="553"/>
      <c r="B50" s="553"/>
      <c r="C50" s="251">
        <f>SUM(C43:C49)</f>
        <v>334</v>
      </c>
      <c r="D50" s="554" t="s">
        <v>5</v>
      </c>
      <c r="E50" s="554"/>
      <c r="F50" s="554"/>
      <c r="G50" s="251">
        <f>SUM(G43:G49)</f>
        <v>312</v>
      </c>
      <c r="H50" s="522" t="s">
        <v>5</v>
      </c>
      <c r="I50" s="522"/>
      <c r="J50" s="522"/>
      <c r="K50" s="522"/>
      <c r="L50" s="251">
        <f>SUM(L43:L49)</f>
        <v>2947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555" t="s">
        <v>192</v>
      </c>
      <c r="B52" s="556"/>
      <c r="C52" s="559" t="s">
        <v>41</v>
      </c>
      <c r="D52" s="561" t="s">
        <v>193</v>
      </c>
      <c r="E52" s="561"/>
      <c r="F52" s="561"/>
      <c r="G52" s="562" t="s">
        <v>41</v>
      </c>
      <c r="H52" s="563" t="s">
        <v>194</v>
      </c>
      <c r="I52" s="563"/>
      <c r="J52" s="563"/>
      <c r="K52" s="563"/>
      <c r="L52" s="548" t="s">
        <v>41</v>
      </c>
      <c r="O52"/>
      <c r="P52"/>
    </row>
    <row r="53" spans="1:16" ht="13.5" thickBot="1">
      <c r="A53" s="557"/>
      <c r="B53" s="558"/>
      <c r="C53" s="560"/>
      <c r="D53" s="561"/>
      <c r="E53" s="561"/>
      <c r="F53" s="561"/>
      <c r="G53" s="562"/>
      <c r="H53" s="563"/>
      <c r="I53" s="563"/>
      <c r="J53" s="563"/>
      <c r="K53" s="563"/>
      <c r="L53" s="548"/>
      <c r="O53"/>
      <c r="P53"/>
    </row>
    <row r="54" spans="1:16" ht="12.75">
      <c r="A54" s="549"/>
      <c r="B54" s="550"/>
      <c r="C54" s="513">
        <v>1258</v>
      </c>
      <c r="D54" s="551" t="s">
        <v>258</v>
      </c>
      <c r="E54" s="551"/>
      <c r="F54" s="551"/>
      <c r="G54" s="252">
        <v>100</v>
      </c>
      <c r="H54" s="552" t="s">
        <v>259</v>
      </c>
      <c r="I54" s="552"/>
      <c r="J54" s="552"/>
      <c r="K54" s="552"/>
      <c r="L54" s="246">
        <v>100</v>
      </c>
      <c r="O54"/>
      <c r="P54"/>
    </row>
    <row r="55" spans="1:16" ht="13.5" customHeight="1">
      <c r="A55" s="544"/>
      <c r="B55" s="545"/>
      <c r="C55" s="514"/>
      <c r="D55" s="546" t="s">
        <v>260</v>
      </c>
      <c r="E55" s="546"/>
      <c r="F55" s="546"/>
      <c r="G55" s="253">
        <v>150</v>
      </c>
      <c r="H55" s="523" t="s">
        <v>261</v>
      </c>
      <c r="I55" s="523"/>
      <c r="J55" s="523"/>
      <c r="K55" s="523"/>
      <c r="L55" s="254">
        <v>50</v>
      </c>
      <c r="O55"/>
      <c r="P55"/>
    </row>
    <row r="56" spans="1:16" ht="13.5" customHeight="1">
      <c r="A56" s="544"/>
      <c r="B56" s="545"/>
      <c r="C56" s="514"/>
      <c r="D56" s="546" t="s">
        <v>262</v>
      </c>
      <c r="E56" s="546"/>
      <c r="F56" s="546"/>
      <c r="G56" s="253">
        <v>90</v>
      </c>
      <c r="H56" s="523" t="s">
        <v>263</v>
      </c>
      <c r="I56" s="523"/>
      <c r="J56" s="523"/>
      <c r="K56" s="523"/>
      <c r="L56" s="254">
        <v>150</v>
      </c>
      <c r="O56"/>
      <c r="P56"/>
    </row>
    <row r="57" spans="1:16" ht="13.5" customHeight="1">
      <c r="A57" s="544"/>
      <c r="B57" s="545"/>
      <c r="C57" s="514"/>
      <c r="D57" s="546" t="s">
        <v>264</v>
      </c>
      <c r="E57" s="546"/>
      <c r="F57" s="546"/>
      <c r="G57" s="253">
        <v>80</v>
      </c>
      <c r="H57" s="523" t="s">
        <v>265</v>
      </c>
      <c r="I57" s="523"/>
      <c r="J57" s="523"/>
      <c r="K57" s="523"/>
      <c r="L57" s="254">
        <v>100</v>
      </c>
      <c r="O57"/>
      <c r="P57"/>
    </row>
    <row r="58" spans="1:16" ht="13.5" customHeight="1">
      <c r="A58" s="544"/>
      <c r="B58" s="545"/>
      <c r="C58" s="515"/>
      <c r="D58" s="546" t="s">
        <v>266</v>
      </c>
      <c r="E58" s="546"/>
      <c r="F58" s="546"/>
      <c r="G58" s="255">
        <v>50</v>
      </c>
      <c r="H58" s="523" t="s">
        <v>267</v>
      </c>
      <c r="I58" s="523"/>
      <c r="J58" s="523"/>
      <c r="K58" s="523"/>
      <c r="L58" s="256">
        <v>300</v>
      </c>
      <c r="O58"/>
      <c r="P58"/>
    </row>
    <row r="59" spans="1:16" ht="13.5" customHeight="1">
      <c r="A59" s="544"/>
      <c r="B59" s="545"/>
      <c r="C59" s="515"/>
      <c r="D59" s="546" t="s">
        <v>268</v>
      </c>
      <c r="E59" s="546"/>
      <c r="F59" s="546"/>
      <c r="G59" s="255">
        <v>100</v>
      </c>
      <c r="H59" s="523" t="s">
        <v>269</v>
      </c>
      <c r="I59" s="523"/>
      <c r="J59" s="523"/>
      <c r="K59" s="523"/>
      <c r="L59" s="256">
        <v>505</v>
      </c>
      <c r="O59"/>
      <c r="P59"/>
    </row>
    <row r="60" spans="1:16" ht="13.5" customHeight="1">
      <c r="A60" s="544"/>
      <c r="B60" s="547"/>
      <c r="C60" s="514"/>
      <c r="D60" s="546" t="s">
        <v>269</v>
      </c>
      <c r="E60" s="546"/>
      <c r="F60" s="546"/>
      <c r="G60" s="253">
        <v>635</v>
      </c>
      <c r="H60" s="523"/>
      <c r="I60" s="523"/>
      <c r="J60" s="523"/>
      <c r="K60" s="523"/>
      <c r="L60" s="254"/>
      <c r="O60"/>
      <c r="P60"/>
    </row>
    <row r="61" spans="1:16" ht="13.5" thickBot="1">
      <c r="A61" s="541"/>
      <c r="B61" s="542"/>
      <c r="C61" s="516"/>
      <c r="D61" s="543"/>
      <c r="E61" s="543"/>
      <c r="F61" s="543"/>
      <c r="G61" s="257"/>
      <c r="H61" s="526"/>
      <c r="I61" s="526"/>
      <c r="J61" s="526"/>
      <c r="K61" s="526"/>
      <c r="L61" s="258"/>
      <c r="O61"/>
      <c r="P61"/>
    </row>
    <row r="62" spans="1:16" ht="13.5" thickBot="1">
      <c r="A62" s="519" t="s">
        <v>5</v>
      </c>
      <c r="B62" s="520"/>
      <c r="C62" s="517">
        <f>SUM(C54:C61)</f>
        <v>1258</v>
      </c>
      <c r="D62" s="521" t="s">
        <v>5</v>
      </c>
      <c r="E62" s="521"/>
      <c r="F62" s="521"/>
      <c r="G62" s="259">
        <f>SUM(G54:G61)</f>
        <v>1205</v>
      </c>
      <c r="H62" s="522" t="s">
        <v>5</v>
      </c>
      <c r="I62" s="522"/>
      <c r="J62" s="522"/>
      <c r="K62" s="522"/>
      <c r="L62" s="251">
        <f>SUM(L54:L61)</f>
        <v>1205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808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1050</v>
      </c>
      <c r="I67" s="580" t="s">
        <v>179</v>
      </c>
      <c r="J67" s="582"/>
      <c r="K67" s="582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221</v>
      </c>
      <c r="C68" s="583" t="s">
        <v>175</v>
      </c>
      <c r="D68" s="583"/>
      <c r="E68" s="159">
        <v>9</v>
      </c>
      <c r="F68" s="584" t="s">
        <v>177</v>
      </c>
      <c r="G68" s="585"/>
      <c r="H68" s="151">
        <v>419</v>
      </c>
      <c r="I68" s="583"/>
      <c r="J68" s="585"/>
      <c r="K68" s="585"/>
      <c r="L68" s="159"/>
      <c r="M68" s="84"/>
      <c r="N68" s="84"/>
    </row>
    <row r="69" spans="1:14" s="1" customFormat="1" ht="12.75">
      <c r="A69" s="158" t="s">
        <v>175</v>
      </c>
      <c r="B69" s="151">
        <v>30</v>
      </c>
      <c r="C69" s="583"/>
      <c r="D69" s="583"/>
      <c r="E69" s="159"/>
      <c r="F69" s="583" t="s">
        <v>175</v>
      </c>
      <c r="G69" s="583"/>
      <c r="H69" s="151"/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1059</v>
      </c>
      <c r="C71" s="589" t="s">
        <v>5</v>
      </c>
      <c r="D71" s="589"/>
      <c r="E71" s="165">
        <f>SUM(E67:E70)</f>
        <v>9</v>
      </c>
      <c r="F71" s="590" t="s">
        <v>5</v>
      </c>
      <c r="G71" s="591"/>
      <c r="H71" s="161">
        <f>SUM(H67:H70)</f>
        <v>1469</v>
      </c>
      <c r="I71" s="589" t="s">
        <v>5</v>
      </c>
      <c r="J71" s="591"/>
      <c r="K71" s="591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1050</v>
      </c>
      <c r="C72" s="84"/>
      <c r="D72" s="84"/>
      <c r="E72" s="84"/>
      <c r="F72" s="592" t="s">
        <v>534</v>
      </c>
      <c r="G72" s="593"/>
      <c r="H72" s="183">
        <f>H71-L71</f>
        <v>1469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4" s="1" customFormat="1" ht="12.7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</row>
    <row r="75" spans="1:12" s="1" customFormat="1" ht="12.75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2" s="1" customFormat="1" ht="13.5" thickBot="1">
      <c r="A76" s="85"/>
      <c r="B76" s="86"/>
      <c r="C76" s="86"/>
      <c r="D76" s="86"/>
      <c r="E76" s="2"/>
      <c r="F76" s="4"/>
      <c r="G76" s="4"/>
      <c r="H76" s="85"/>
      <c r="I76" s="86"/>
      <c r="J76" s="86"/>
      <c r="K76" s="86"/>
      <c r="L76" s="2"/>
    </row>
    <row r="77" spans="1:15" s="1" customFormat="1" ht="12.75">
      <c r="A77" s="601" t="s">
        <v>73</v>
      </c>
      <c r="B77" s="604" t="s">
        <v>495</v>
      </c>
      <c r="C77" s="607" t="s">
        <v>477</v>
      </c>
      <c r="D77" s="608"/>
      <c r="E77" s="608"/>
      <c r="F77" s="608"/>
      <c r="G77" s="608"/>
      <c r="H77" s="608"/>
      <c r="I77" s="609"/>
      <c r="J77" s="610" t="s">
        <v>496</v>
      </c>
      <c r="K77" s="7"/>
      <c r="L77" s="594" t="s">
        <v>48</v>
      </c>
      <c r="M77" s="595"/>
      <c r="N77" s="193">
        <v>2004</v>
      </c>
      <c r="O77" s="194">
        <v>2005</v>
      </c>
    </row>
    <row r="78" spans="1:15" s="1" customFormat="1" ht="12.75">
      <c r="A78" s="602"/>
      <c r="B78" s="605"/>
      <c r="C78" s="596" t="s">
        <v>76</v>
      </c>
      <c r="D78" s="598" t="s">
        <v>77</v>
      </c>
      <c r="E78" s="599"/>
      <c r="F78" s="599"/>
      <c r="G78" s="599"/>
      <c r="H78" s="599"/>
      <c r="I78" s="600"/>
      <c r="J78" s="611"/>
      <c r="K78" s="7"/>
      <c r="L78" s="197" t="s">
        <v>178</v>
      </c>
      <c r="M78" s="196"/>
      <c r="N78" s="192"/>
      <c r="O78" s="195"/>
    </row>
    <row r="79" spans="1:15" s="1" customFormat="1" ht="13.5" thickBot="1">
      <c r="A79" s="603"/>
      <c r="B79" s="606"/>
      <c r="C79" s="597"/>
      <c r="D79" s="115">
        <v>1</v>
      </c>
      <c r="E79" s="115">
        <v>2</v>
      </c>
      <c r="F79" s="115">
        <v>3</v>
      </c>
      <c r="G79" s="115">
        <v>4</v>
      </c>
      <c r="H79" s="115">
        <v>5</v>
      </c>
      <c r="I79" s="172">
        <v>6</v>
      </c>
      <c r="J79" s="612"/>
      <c r="K79" s="7"/>
      <c r="L79" s="196" t="s">
        <v>49</v>
      </c>
      <c r="M79" s="197"/>
      <c r="N79" s="87">
        <v>0</v>
      </c>
      <c r="O79" s="88">
        <v>0</v>
      </c>
    </row>
    <row r="80" spans="1:15" s="1" customFormat="1" ht="13.5" thickBot="1">
      <c r="A80" s="116">
        <v>141049</v>
      </c>
      <c r="B80" s="117">
        <v>22907</v>
      </c>
      <c r="C80" s="170">
        <v>2715</v>
      </c>
      <c r="D80" s="171">
        <v>431</v>
      </c>
      <c r="E80" s="171">
        <v>760</v>
      </c>
      <c r="F80" s="171">
        <v>53</v>
      </c>
      <c r="G80" s="171">
        <v>338</v>
      </c>
      <c r="H80" s="170">
        <v>1133</v>
      </c>
      <c r="I80" s="184">
        <v>0</v>
      </c>
      <c r="J80" s="118">
        <f>SUM(A80-B80-C80)</f>
        <v>115427</v>
      </c>
      <c r="K80" s="7"/>
      <c r="L80" s="198" t="s">
        <v>50</v>
      </c>
      <c r="M80" s="199"/>
      <c r="N80" s="168">
        <v>0</v>
      </c>
      <c r="O80" s="169">
        <v>0</v>
      </c>
    </row>
    <row r="81" spans="1:12" s="1" customFormat="1" ht="12.75">
      <c r="A81" s="85"/>
      <c r="B81" s="86"/>
      <c r="C81" s="86"/>
      <c r="D81" s="86"/>
      <c r="E81" s="2"/>
      <c r="F81" s="496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96"/>
      <c r="G82" s="4"/>
      <c r="H82" s="85"/>
      <c r="I82" s="86"/>
      <c r="J82" s="86"/>
      <c r="K82" s="86"/>
      <c r="L82" s="2"/>
    </row>
    <row r="83" spans="1:12" s="1" customFormat="1" ht="12.75">
      <c r="A83" s="618" t="s">
        <v>112</v>
      </c>
      <c r="B83" s="620" t="s">
        <v>482</v>
      </c>
      <c r="C83" s="622" t="s">
        <v>480</v>
      </c>
      <c r="D83" s="623"/>
      <c r="E83" s="623"/>
      <c r="F83" s="624"/>
      <c r="G83" s="625" t="s">
        <v>483</v>
      </c>
      <c r="H83" s="613" t="s">
        <v>78</v>
      </c>
      <c r="I83" s="615" t="s">
        <v>481</v>
      </c>
      <c r="J83" s="616"/>
      <c r="K83" s="616"/>
      <c r="L83" s="617"/>
    </row>
    <row r="84" spans="1:12" s="1" customFormat="1" ht="18.75" thickBot="1">
      <c r="A84" s="619"/>
      <c r="B84" s="621"/>
      <c r="C84" s="119" t="s">
        <v>81</v>
      </c>
      <c r="D84" s="120" t="s">
        <v>79</v>
      </c>
      <c r="E84" s="120" t="s">
        <v>80</v>
      </c>
      <c r="F84" s="121" t="s">
        <v>114</v>
      </c>
      <c r="G84" s="626"/>
      <c r="H84" s="614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9929.45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11028.6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161.15</v>
      </c>
      <c r="C86" s="130">
        <v>161.15</v>
      </c>
      <c r="D86" s="131">
        <v>54</v>
      </c>
      <c r="E86" s="131">
        <v>70</v>
      </c>
      <c r="F86" s="132">
        <f>C86+D86-E86</f>
        <v>145.15</v>
      </c>
      <c r="G86" s="133">
        <v>145.51</v>
      </c>
      <c r="H86" s="453">
        <f>+G86-F86</f>
        <v>0.3599999999999852</v>
      </c>
      <c r="I86" s="130">
        <v>145</v>
      </c>
      <c r="J86" s="131">
        <v>170</v>
      </c>
      <c r="K86" s="131">
        <v>0</v>
      </c>
      <c r="L86" s="132">
        <f>I86+J86-K86</f>
        <v>315</v>
      </c>
    </row>
    <row r="87" spans="1:12" s="1" customFormat="1" ht="12.75">
      <c r="A87" s="128" t="s">
        <v>85</v>
      </c>
      <c r="B87" s="129">
        <v>808.15</v>
      </c>
      <c r="C87" s="130">
        <v>808.15</v>
      </c>
      <c r="D87" s="131">
        <v>251</v>
      </c>
      <c r="E87" s="131">
        <v>9</v>
      </c>
      <c r="F87" s="132">
        <f>C87+D87-E87</f>
        <v>1050.15</v>
      </c>
      <c r="G87" s="133">
        <v>1049.9</v>
      </c>
      <c r="H87" s="453">
        <f>+G87-F87</f>
        <v>-0.25</v>
      </c>
      <c r="I87" s="130">
        <v>1050</v>
      </c>
      <c r="J87" s="131">
        <v>419</v>
      </c>
      <c r="K87" s="131">
        <v>0</v>
      </c>
      <c r="L87" s="132">
        <f>I87+J87-K87</f>
        <v>1469</v>
      </c>
    </row>
    <row r="88" spans="1:12" s="1" customFormat="1" ht="12.75">
      <c r="A88" s="128" t="s">
        <v>113</v>
      </c>
      <c r="B88" s="129">
        <v>4217.1</v>
      </c>
      <c r="C88" s="130">
        <v>4217</v>
      </c>
      <c r="D88" s="131">
        <v>2857</v>
      </c>
      <c r="E88" s="131">
        <v>1778</v>
      </c>
      <c r="F88" s="132">
        <f>C88+D88-E88</f>
        <v>5296</v>
      </c>
      <c r="G88" s="133">
        <v>5295.83</v>
      </c>
      <c r="H88" s="453">
        <f>+G88-F88</f>
        <v>-0.17000000000007276</v>
      </c>
      <c r="I88" s="461">
        <v>5296</v>
      </c>
      <c r="J88" s="447">
        <v>2715</v>
      </c>
      <c r="K88" s="447">
        <v>2947</v>
      </c>
      <c r="L88" s="132">
        <f>I88+J88-K88</f>
        <v>5064</v>
      </c>
    </row>
    <row r="89" spans="1:12" s="1" customFormat="1" ht="12.75">
      <c r="A89" s="128" t="s">
        <v>86</v>
      </c>
      <c r="B89" s="129">
        <v>4743.05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4537.36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91.7</v>
      </c>
      <c r="C90" s="136">
        <v>92</v>
      </c>
      <c r="D90" s="137">
        <v>571</v>
      </c>
      <c r="E90" s="137">
        <v>589</v>
      </c>
      <c r="F90" s="138">
        <f>C90+D90-E90</f>
        <v>74</v>
      </c>
      <c r="G90" s="139">
        <v>94.24</v>
      </c>
      <c r="H90" s="454">
        <f>+G90-F90</f>
        <v>20.239999999999995</v>
      </c>
      <c r="I90" s="136">
        <v>74</v>
      </c>
      <c r="J90" s="137">
        <v>609</v>
      </c>
      <c r="K90" s="137">
        <v>590</v>
      </c>
      <c r="L90" s="138">
        <f>I90+J90-K90</f>
        <v>93</v>
      </c>
    </row>
    <row r="91" spans="1:12" s="1" customFormat="1" ht="12.75">
      <c r="A91" s="85"/>
      <c r="B91" s="86"/>
      <c r="C91" s="86"/>
      <c r="D91" s="86"/>
      <c r="E91" s="2"/>
      <c r="F91" s="496"/>
      <c r="G91" s="4"/>
      <c r="H91" s="85"/>
      <c r="I91" s="86"/>
      <c r="J91" s="86"/>
      <c r="K91" s="86"/>
      <c r="L91" s="2"/>
    </row>
    <row r="92" spans="1:12" s="1" customFormat="1" ht="12.75">
      <c r="A92" s="85"/>
      <c r="B92" s="86"/>
      <c r="C92" s="86"/>
      <c r="D92" s="86"/>
      <c r="E92" s="2"/>
      <c r="F92" s="496"/>
      <c r="G92" s="4"/>
      <c r="H92" s="85"/>
      <c r="I92" s="86"/>
      <c r="J92" s="86"/>
      <c r="K92" s="86"/>
      <c r="L92" s="2"/>
    </row>
    <row r="93" spans="1:12" s="1" customFormat="1" ht="12.75">
      <c r="A93" s="85"/>
      <c r="B93" s="86"/>
      <c r="C93" s="86"/>
      <c r="D93" s="86"/>
      <c r="E93" s="2"/>
      <c r="F93" s="496"/>
      <c r="G93" s="4"/>
      <c r="H93" s="85"/>
      <c r="I93" s="86"/>
      <c r="J93" s="86"/>
      <c r="K93" s="86"/>
      <c r="L93" s="2"/>
    </row>
    <row r="94" spans="1:12" s="1" customFormat="1" ht="12.75">
      <c r="A94" s="85"/>
      <c r="B94" s="86"/>
      <c r="C94" s="86"/>
      <c r="D94" s="86"/>
      <c r="E94" s="2"/>
      <c r="F94" s="496"/>
      <c r="G94" s="4"/>
      <c r="H94" s="85"/>
      <c r="I94" s="86"/>
      <c r="J94" s="86"/>
      <c r="K94" s="86"/>
      <c r="L94" s="2"/>
    </row>
    <row r="95" spans="1:12" s="1" customFormat="1" ht="12.75">
      <c r="A95" s="85"/>
      <c r="B95" s="86"/>
      <c r="C95" s="86"/>
      <c r="D95" s="86"/>
      <c r="E95" s="2"/>
      <c r="F95" s="496"/>
      <c r="G95" s="4"/>
      <c r="H95" s="85"/>
      <c r="I95" s="86"/>
      <c r="J95" s="86"/>
      <c r="K95" s="86"/>
      <c r="L95" s="2"/>
    </row>
    <row r="96" spans="1:12" s="1" customFormat="1" ht="12.75">
      <c r="A96" s="85"/>
      <c r="B96" s="86"/>
      <c r="C96" s="86"/>
      <c r="D96" s="86"/>
      <c r="E96" s="2"/>
      <c r="F96" s="4"/>
      <c r="G96" s="4"/>
      <c r="H96" s="85"/>
      <c r="I96" s="86"/>
      <c r="J96" s="86"/>
      <c r="K96" s="86"/>
      <c r="L96" s="2"/>
    </row>
    <row r="97" spans="1:12" s="1" customFormat="1" ht="12.75">
      <c r="A97" s="85"/>
      <c r="B97" s="86"/>
      <c r="C97" s="86"/>
      <c r="D97" s="86"/>
      <c r="E97" s="2"/>
      <c r="F97" s="4"/>
      <c r="G97" s="4"/>
      <c r="H97" s="85"/>
      <c r="I97" s="86"/>
      <c r="J97" s="86"/>
      <c r="K97" s="86"/>
      <c r="L97" s="2"/>
    </row>
    <row r="98" ht="13.5" thickBot="1"/>
    <row r="99" spans="1:12" ht="13.5" thickBot="1">
      <c r="A99" s="537" t="s">
        <v>205</v>
      </c>
      <c r="B99" s="534" t="s">
        <v>5</v>
      </c>
      <c r="C99" s="535" t="s">
        <v>88</v>
      </c>
      <c r="D99" s="535"/>
      <c r="E99" s="535"/>
      <c r="F99" s="535"/>
      <c r="G99" s="535"/>
      <c r="H99" s="535"/>
      <c r="I99" s="89"/>
      <c r="J99" s="527" t="s">
        <v>51</v>
      </c>
      <c r="K99" s="527"/>
      <c r="L99" s="527"/>
    </row>
    <row r="100" spans="1:12" ht="13.5" thickBot="1">
      <c r="A100" s="537"/>
      <c r="B100" s="534"/>
      <c r="C100" s="260" t="s">
        <v>89</v>
      </c>
      <c r="D100" s="261" t="s">
        <v>90</v>
      </c>
      <c r="E100" s="261" t="s">
        <v>91</v>
      </c>
      <c r="F100" s="261" t="s">
        <v>92</v>
      </c>
      <c r="G100" s="262" t="s">
        <v>93</v>
      </c>
      <c r="H100" s="263" t="s">
        <v>76</v>
      </c>
      <c r="I100" s="89"/>
      <c r="J100" s="264"/>
      <c r="K100" s="265" t="s">
        <v>52</v>
      </c>
      <c r="L100" s="266" t="s">
        <v>53</v>
      </c>
    </row>
    <row r="101" spans="1:12" ht="12.75">
      <c r="A101" s="267" t="s">
        <v>94</v>
      </c>
      <c r="B101" s="268">
        <v>1061</v>
      </c>
      <c r="C101" s="269">
        <v>32</v>
      </c>
      <c r="D101" s="269">
        <v>12</v>
      </c>
      <c r="E101" s="269">
        <v>7</v>
      </c>
      <c r="F101" s="269">
        <v>68</v>
      </c>
      <c r="G101" s="268">
        <v>942</v>
      </c>
      <c r="H101" s="270">
        <f>SUM(C101:G101)</f>
        <v>1061</v>
      </c>
      <c r="I101" s="89"/>
      <c r="J101" s="271">
        <v>2005</v>
      </c>
      <c r="K101" s="272">
        <v>28492</v>
      </c>
      <c r="L101" s="273">
        <f>+G29</f>
        <v>28562</v>
      </c>
    </row>
    <row r="102" spans="1:12" ht="13.5" thickBot="1">
      <c r="A102" s="274" t="s">
        <v>95</v>
      </c>
      <c r="B102" s="275">
        <v>0</v>
      </c>
      <c r="C102" s="276">
        <v>0</v>
      </c>
      <c r="D102" s="276">
        <v>0</v>
      </c>
      <c r="E102" s="276" t="s">
        <v>494</v>
      </c>
      <c r="F102" s="276">
        <v>0</v>
      </c>
      <c r="G102" s="275">
        <v>0</v>
      </c>
      <c r="H102" s="277">
        <f>SUM(C102:G102)</f>
        <v>0</v>
      </c>
      <c r="I102" s="89"/>
      <c r="J102" s="278">
        <v>2006</v>
      </c>
      <c r="K102" s="279">
        <f>L29</f>
        <v>30456</v>
      </c>
      <c r="L102" s="280"/>
    </row>
    <row r="103" ht="12.75" customHeight="1"/>
    <row r="104" ht="13.5" thickBot="1"/>
    <row r="105" spans="1:10" ht="21" customHeight="1" thickBot="1">
      <c r="A105" s="537" t="s">
        <v>54</v>
      </c>
      <c r="B105" s="538" t="s">
        <v>55</v>
      </c>
      <c r="C105" s="538"/>
      <c r="D105" s="538"/>
      <c r="E105" s="539" t="s">
        <v>206</v>
      </c>
      <c r="F105" s="539"/>
      <c r="G105" s="539"/>
      <c r="H105" s="528" t="s">
        <v>56</v>
      </c>
      <c r="I105" s="528"/>
      <c r="J105" s="528"/>
    </row>
    <row r="106" spans="1:10" ht="12.75">
      <c r="A106" s="537"/>
      <c r="B106" s="281">
        <v>2004</v>
      </c>
      <c r="C106" s="281">
        <v>2005</v>
      </c>
      <c r="D106" s="281" t="s">
        <v>57</v>
      </c>
      <c r="E106" s="281">
        <v>2004</v>
      </c>
      <c r="F106" s="281">
        <v>2005</v>
      </c>
      <c r="G106" s="282" t="s">
        <v>57</v>
      </c>
      <c r="H106" s="283">
        <v>2004</v>
      </c>
      <c r="I106" s="281">
        <v>2005</v>
      </c>
      <c r="J106" s="282" t="s">
        <v>57</v>
      </c>
    </row>
    <row r="107" spans="1:10" ht="18.75">
      <c r="A107" s="284" t="s">
        <v>58</v>
      </c>
      <c r="B107" s="285">
        <v>10.4</v>
      </c>
      <c r="C107" s="285">
        <v>10.5</v>
      </c>
      <c r="D107" s="285">
        <f aca="true" t="shared" si="14" ref="D107:D117">+C107-B107</f>
        <v>0.09999999999999964</v>
      </c>
      <c r="E107" s="285">
        <v>10.5</v>
      </c>
      <c r="F107" s="285">
        <v>10.5</v>
      </c>
      <c r="G107" s="286">
        <f aca="true" t="shared" si="15" ref="G107:G117">+F107-E107</f>
        <v>0</v>
      </c>
      <c r="H107" s="287">
        <v>19061</v>
      </c>
      <c r="I107" s="288">
        <v>19542</v>
      </c>
      <c r="J107" s="289">
        <f aca="true" t="shared" si="16" ref="J107:J117">+I107-H107</f>
        <v>481</v>
      </c>
    </row>
    <row r="108" spans="1:10" ht="12.75">
      <c r="A108" s="284" t="s">
        <v>98</v>
      </c>
      <c r="B108" s="285">
        <v>25.1</v>
      </c>
      <c r="C108" s="285">
        <v>25.51</v>
      </c>
      <c r="D108" s="285">
        <f t="shared" si="14"/>
        <v>0.41000000000000014</v>
      </c>
      <c r="E108" s="285">
        <v>24.95</v>
      </c>
      <c r="F108" s="285">
        <v>25.7</v>
      </c>
      <c r="G108" s="286">
        <f t="shared" si="15"/>
        <v>0.75</v>
      </c>
      <c r="H108" s="287">
        <v>19237</v>
      </c>
      <c r="I108" s="290">
        <v>19745</v>
      </c>
      <c r="J108" s="289">
        <f t="shared" si="16"/>
        <v>508</v>
      </c>
    </row>
    <row r="109" spans="1:10" ht="12.75">
      <c r="A109" s="284" t="s">
        <v>60</v>
      </c>
      <c r="B109" s="285">
        <v>2.4</v>
      </c>
      <c r="C109" s="285">
        <v>1</v>
      </c>
      <c r="D109" s="285">
        <f t="shared" si="14"/>
        <v>-1.4</v>
      </c>
      <c r="E109" s="285">
        <v>1</v>
      </c>
      <c r="F109" s="285">
        <v>1</v>
      </c>
      <c r="G109" s="286">
        <f t="shared" si="15"/>
        <v>0</v>
      </c>
      <c r="H109" s="287">
        <v>13285</v>
      </c>
      <c r="I109" s="290">
        <v>18818</v>
      </c>
      <c r="J109" s="289">
        <f t="shared" si="16"/>
        <v>5533</v>
      </c>
    </row>
    <row r="110" spans="1:10" ht="12.75">
      <c r="A110" s="284" t="s">
        <v>61</v>
      </c>
      <c r="B110" s="285">
        <v>13.2</v>
      </c>
      <c r="C110" s="285">
        <v>12.82</v>
      </c>
      <c r="D110" s="285">
        <f t="shared" si="14"/>
        <v>-0.379999999999999</v>
      </c>
      <c r="E110" s="285">
        <v>14</v>
      </c>
      <c r="F110" s="285">
        <v>10</v>
      </c>
      <c r="G110" s="286">
        <f t="shared" si="15"/>
        <v>-4</v>
      </c>
      <c r="H110" s="287">
        <v>13830</v>
      </c>
      <c r="I110" s="290">
        <v>14120</v>
      </c>
      <c r="J110" s="289">
        <f t="shared" si="16"/>
        <v>290</v>
      </c>
    </row>
    <row r="111" spans="1:10" ht="12.75">
      <c r="A111" s="284" t="s">
        <v>99</v>
      </c>
      <c r="B111" s="285">
        <v>0.4</v>
      </c>
      <c r="C111" s="285">
        <v>0.4</v>
      </c>
      <c r="D111" s="285">
        <f t="shared" si="14"/>
        <v>0</v>
      </c>
      <c r="E111" s="285">
        <v>0.4</v>
      </c>
      <c r="F111" s="285">
        <v>0.4</v>
      </c>
      <c r="G111" s="286">
        <f t="shared" si="15"/>
        <v>0</v>
      </c>
      <c r="H111" s="287">
        <v>29220</v>
      </c>
      <c r="I111" s="290">
        <v>30786</v>
      </c>
      <c r="J111" s="289">
        <f t="shared" si="16"/>
        <v>1566</v>
      </c>
    </row>
    <row r="112" spans="1:10" ht="12.75">
      <c r="A112" s="284" t="s">
        <v>63</v>
      </c>
      <c r="B112" s="285">
        <v>47.5</v>
      </c>
      <c r="C112" s="285">
        <v>51.16</v>
      </c>
      <c r="D112" s="285">
        <f t="shared" si="14"/>
        <v>3.6599999999999966</v>
      </c>
      <c r="E112" s="285">
        <v>47.76</v>
      </c>
      <c r="F112" s="285">
        <v>53.69</v>
      </c>
      <c r="G112" s="286">
        <f t="shared" si="15"/>
        <v>5.93</v>
      </c>
      <c r="H112" s="287">
        <v>18127</v>
      </c>
      <c r="I112" s="290">
        <v>18579</v>
      </c>
      <c r="J112" s="289">
        <f t="shared" si="16"/>
        <v>452</v>
      </c>
    </row>
    <row r="113" spans="1:10" ht="12.75">
      <c r="A113" s="284" t="s">
        <v>64</v>
      </c>
      <c r="B113" s="285">
        <v>0</v>
      </c>
      <c r="C113" s="285">
        <v>0</v>
      </c>
      <c r="D113" s="285">
        <f t="shared" si="14"/>
        <v>0</v>
      </c>
      <c r="E113" s="285">
        <v>0</v>
      </c>
      <c r="F113" s="285">
        <v>0</v>
      </c>
      <c r="G113" s="286">
        <f t="shared" si="15"/>
        <v>0</v>
      </c>
      <c r="H113" s="287">
        <v>0</v>
      </c>
      <c r="I113" s="290">
        <v>0</v>
      </c>
      <c r="J113" s="289">
        <f t="shared" si="16"/>
        <v>0</v>
      </c>
    </row>
    <row r="114" spans="1:10" ht="12.75">
      <c r="A114" s="284" t="s">
        <v>65</v>
      </c>
      <c r="B114" s="285">
        <v>9.1</v>
      </c>
      <c r="C114" s="285">
        <v>6.25</v>
      </c>
      <c r="D114" s="285">
        <f t="shared" si="14"/>
        <v>-2.8499999999999996</v>
      </c>
      <c r="E114" s="285">
        <v>9</v>
      </c>
      <c r="F114" s="285">
        <v>5</v>
      </c>
      <c r="G114" s="286">
        <f t="shared" si="15"/>
        <v>-4</v>
      </c>
      <c r="H114" s="287">
        <v>12689</v>
      </c>
      <c r="I114" s="290">
        <v>12715</v>
      </c>
      <c r="J114" s="289">
        <f t="shared" si="16"/>
        <v>26</v>
      </c>
    </row>
    <row r="115" spans="1:10" ht="12.75">
      <c r="A115" s="284" t="s">
        <v>66</v>
      </c>
      <c r="B115" s="285">
        <v>2</v>
      </c>
      <c r="C115" s="285">
        <v>2</v>
      </c>
      <c r="D115" s="285">
        <f t="shared" si="14"/>
        <v>0</v>
      </c>
      <c r="E115" s="285">
        <v>2</v>
      </c>
      <c r="F115" s="285">
        <v>2</v>
      </c>
      <c r="G115" s="286">
        <f t="shared" si="15"/>
        <v>0</v>
      </c>
      <c r="H115" s="287">
        <v>12956</v>
      </c>
      <c r="I115" s="290">
        <v>13942</v>
      </c>
      <c r="J115" s="289">
        <f t="shared" si="16"/>
        <v>986</v>
      </c>
    </row>
    <row r="116" spans="1:10" ht="12.75">
      <c r="A116" s="284" t="s">
        <v>67</v>
      </c>
      <c r="B116" s="285">
        <v>33.5</v>
      </c>
      <c r="C116" s="285">
        <v>33.4</v>
      </c>
      <c r="D116" s="285">
        <f t="shared" si="14"/>
        <v>-0.10000000000000142</v>
      </c>
      <c r="E116" s="285">
        <v>33.45</v>
      </c>
      <c r="F116" s="285">
        <v>33.2</v>
      </c>
      <c r="G116" s="286">
        <f t="shared" si="15"/>
        <v>-0.25</v>
      </c>
      <c r="H116" s="287">
        <v>11956</v>
      </c>
      <c r="I116" s="290">
        <v>12021</v>
      </c>
      <c r="J116" s="289">
        <f t="shared" si="16"/>
        <v>65</v>
      </c>
    </row>
    <row r="117" spans="1:10" ht="13.5" thickBot="1">
      <c r="A117" s="291" t="s">
        <v>5</v>
      </c>
      <c r="B117" s="292">
        <f>SUM(B107:B116)</f>
        <v>143.6</v>
      </c>
      <c r="C117" s="292">
        <f>SUM(C107:C116)</f>
        <v>143.04</v>
      </c>
      <c r="D117" s="292">
        <f t="shared" si="14"/>
        <v>-0.5600000000000023</v>
      </c>
      <c r="E117" s="292">
        <f>SUM(E107:E116)</f>
        <v>143.06</v>
      </c>
      <c r="F117" s="292">
        <f>SUM(F107:F116)</f>
        <v>141.49</v>
      </c>
      <c r="G117" s="293">
        <f t="shared" si="15"/>
        <v>-1.5699999999999932</v>
      </c>
      <c r="H117" s="294">
        <v>16083</v>
      </c>
      <c r="I117" s="295">
        <v>16641</v>
      </c>
      <c r="J117" s="296">
        <f t="shared" si="16"/>
        <v>558</v>
      </c>
    </row>
    <row r="118" ht="13.5" thickBot="1"/>
    <row r="119" spans="1:16" ht="12.75">
      <c r="A119" s="524" t="s">
        <v>68</v>
      </c>
      <c r="B119" s="524"/>
      <c r="C119" s="524"/>
      <c r="D119" s="89"/>
      <c r="E119" s="524" t="s">
        <v>69</v>
      </c>
      <c r="F119" s="524"/>
      <c r="G119" s="524"/>
      <c r="H119"/>
      <c r="I119"/>
      <c r="J119"/>
      <c r="K119"/>
      <c r="L119"/>
      <c r="M119"/>
      <c r="N119"/>
      <c r="O119"/>
      <c r="P119"/>
    </row>
    <row r="120" spans="1:16" ht="13.5" thickBot="1">
      <c r="A120" s="264" t="s">
        <v>70</v>
      </c>
      <c r="B120" s="265" t="s">
        <v>71</v>
      </c>
      <c r="C120" s="266" t="s">
        <v>53</v>
      </c>
      <c r="D120" s="89"/>
      <c r="E120" s="264"/>
      <c r="F120" s="525" t="s">
        <v>72</v>
      </c>
      <c r="G120" s="525"/>
      <c r="H120"/>
      <c r="I120"/>
      <c r="J120"/>
      <c r="K120"/>
      <c r="L120"/>
      <c r="M120"/>
      <c r="N120"/>
      <c r="O120"/>
      <c r="P120"/>
    </row>
    <row r="121" spans="1:16" ht="12.75">
      <c r="A121" s="271">
        <v>2005</v>
      </c>
      <c r="B121" s="272">
        <v>144</v>
      </c>
      <c r="C121" s="273">
        <v>143.06</v>
      </c>
      <c r="D121" s="89"/>
      <c r="E121" s="271">
        <v>2005</v>
      </c>
      <c r="F121" s="532">
        <v>159</v>
      </c>
      <c r="G121" s="532"/>
      <c r="H121"/>
      <c r="I121"/>
      <c r="J121"/>
      <c r="K121"/>
      <c r="L121"/>
      <c r="M121"/>
      <c r="N121"/>
      <c r="O121"/>
      <c r="P121"/>
    </row>
    <row r="122" spans="1:16" ht="13.5" thickBot="1">
      <c r="A122" s="278">
        <v>2006</v>
      </c>
      <c r="B122" s="279">
        <v>144</v>
      </c>
      <c r="C122" s="280"/>
      <c r="D122" s="89"/>
      <c r="E122" s="278">
        <v>2006</v>
      </c>
      <c r="F122" s="533">
        <v>159</v>
      </c>
      <c r="G122" s="533"/>
      <c r="H122"/>
      <c r="I122"/>
      <c r="J122"/>
      <c r="K122"/>
      <c r="L122"/>
      <c r="M122"/>
      <c r="N122"/>
      <c r="O122"/>
      <c r="P122"/>
    </row>
  </sheetData>
  <mergeCells count="122">
    <mergeCell ref="H83:H84"/>
    <mergeCell ref="I83:L83"/>
    <mergeCell ref="A83:A84"/>
    <mergeCell ref="B83:B84"/>
    <mergeCell ref="C83:F83"/>
    <mergeCell ref="G83:G84"/>
    <mergeCell ref="L77:M77"/>
    <mergeCell ref="C78:C79"/>
    <mergeCell ref="D78:I78"/>
    <mergeCell ref="A77:A79"/>
    <mergeCell ref="B77:B79"/>
    <mergeCell ref="C77:I77"/>
    <mergeCell ref="J77:J79"/>
    <mergeCell ref="C71:D71"/>
    <mergeCell ref="F71:G71"/>
    <mergeCell ref="I71:K71"/>
    <mergeCell ref="F72:G72"/>
    <mergeCell ref="C69:D69"/>
    <mergeCell ref="F69:G69"/>
    <mergeCell ref="I69:K69"/>
    <mergeCell ref="C70:D70"/>
    <mergeCell ref="F70:G70"/>
    <mergeCell ref="I70:K70"/>
    <mergeCell ref="C67:D67"/>
    <mergeCell ref="F67:G67"/>
    <mergeCell ref="I67:K67"/>
    <mergeCell ref="C68:D68"/>
    <mergeCell ref="F68:G68"/>
    <mergeCell ref="I68:K68"/>
    <mergeCell ref="A65:E65"/>
    <mergeCell ref="F65:L65"/>
    <mergeCell ref="C66:D66"/>
    <mergeCell ref="F66:G66"/>
    <mergeCell ref="I66:K66"/>
    <mergeCell ref="B38:D38"/>
    <mergeCell ref="E38:G38"/>
    <mergeCell ref="J38:L38"/>
    <mergeCell ref="B39:D39"/>
    <mergeCell ref="E39:G39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L52:L53"/>
    <mergeCell ref="A54:B54"/>
    <mergeCell ref="D54:F54"/>
    <mergeCell ref="H54:K54"/>
    <mergeCell ref="A55:B55"/>
    <mergeCell ref="D55:F55"/>
    <mergeCell ref="H55:K55"/>
    <mergeCell ref="A56:B56"/>
    <mergeCell ref="H56:K56"/>
    <mergeCell ref="D56:F56"/>
    <mergeCell ref="H57:K57"/>
    <mergeCell ref="A58:B58"/>
    <mergeCell ref="D58:F58"/>
    <mergeCell ref="H58:K58"/>
    <mergeCell ref="D57:F57"/>
    <mergeCell ref="H59:K59"/>
    <mergeCell ref="A60:B60"/>
    <mergeCell ref="D60:F60"/>
    <mergeCell ref="H60:K60"/>
    <mergeCell ref="H61:K61"/>
    <mergeCell ref="A62:B62"/>
    <mergeCell ref="D62:F62"/>
    <mergeCell ref="H62:K62"/>
    <mergeCell ref="F121:G121"/>
    <mergeCell ref="F122:G122"/>
    <mergeCell ref="A99:A100"/>
    <mergeCell ref="B99:B100"/>
    <mergeCell ref="C99:H99"/>
    <mergeCell ref="H105:J105"/>
    <mergeCell ref="J99:L99"/>
    <mergeCell ref="A119:C119"/>
    <mergeCell ref="E119:G119"/>
    <mergeCell ref="F120:G120"/>
    <mergeCell ref="J4:L4"/>
    <mergeCell ref="A3:A6"/>
    <mergeCell ref="B3:N3"/>
    <mergeCell ref="H4:I4"/>
    <mergeCell ref="M4:N4"/>
    <mergeCell ref="A105:A106"/>
    <mergeCell ref="B105:D105"/>
    <mergeCell ref="E105:G105"/>
    <mergeCell ref="B4:D4"/>
    <mergeCell ref="E4:G4"/>
    <mergeCell ref="A61:B61"/>
    <mergeCell ref="D61:F61"/>
    <mergeCell ref="A59:B59"/>
    <mergeCell ref="D59:F59"/>
    <mergeCell ref="A57:B57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5" r:id="rId1"/>
  <headerFooter alignWithMargins="0">
    <oddHeader>&amp;RRK-17-2006-30, př. 1
počet stran: 46
</oddHeader>
    <oddFooter>&amp;C&amp;P</oddFooter>
  </headerFooter>
  <rowBreaks count="1" manualBreakCount="1">
    <brk id="76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L90" sqref="L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84" t="s">
        <v>0</v>
      </c>
      <c r="B3" s="686" t="s">
        <v>427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59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>
        <v>0</v>
      </c>
      <c r="C7" s="428"/>
      <c r="D7" s="433">
        <f>SUM(B7:C7)</f>
        <v>0</v>
      </c>
      <c r="E7" s="427">
        <v>0</v>
      </c>
      <c r="F7" s="428"/>
      <c r="G7" s="433">
        <f>SUM(E7:F7)</f>
        <v>0</v>
      </c>
      <c r="H7" s="464">
        <f>+G7-D7</f>
        <v>0</v>
      </c>
      <c r="I7" s="471"/>
      <c r="J7" s="427">
        <v>0</v>
      </c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5515</v>
      </c>
      <c r="C8" s="33"/>
      <c r="D8" s="434">
        <f>SUM(B8:C8)</f>
        <v>5515</v>
      </c>
      <c r="E8" s="37">
        <v>5643</v>
      </c>
      <c r="F8" s="33"/>
      <c r="G8" s="434">
        <f>SUM(E8:F8)</f>
        <v>5643</v>
      </c>
      <c r="H8" s="465">
        <f>+G8-D8</f>
        <v>128</v>
      </c>
      <c r="I8" s="36">
        <f>+G8/D8</f>
        <v>1.0232094288304623</v>
      </c>
      <c r="J8" s="37">
        <v>6100</v>
      </c>
      <c r="K8" s="33"/>
      <c r="L8" s="434">
        <f>SUM(J8:K8)</f>
        <v>6100</v>
      </c>
      <c r="M8" s="465">
        <f>+L8-G8</f>
        <v>457</v>
      </c>
      <c r="N8" s="39">
        <f>+L8/G8</f>
        <v>1.0809852915116074</v>
      </c>
    </row>
    <row r="9" spans="1:14" ht="13.5" customHeight="1">
      <c r="A9" s="509" t="s">
        <v>12</v>
      </c>
      <c r="B9" s="37">
        <v>0</v>
      </c>
      <c r="C9" s="33"/>
      <c r="D9" s="434">
        <f>SUM(B9:C9)</f>
        <v>0</v>
      </c>
      <c r="E9" s="37">
        <v>0</v>
      </c>
      <c r="F9" s="33"/>
      <c r="G9" s="434">
        <f aca="true" t="shared" si="0" ref="G9:G17">SUM(E9:F9)</f>
        <v>0</v>
      </c>
      <c r="H9" s="465">
        <f aca="true" t="shared" si="1" ref="H9:H37">+G9-D9</f>
        <v>0</v>
      </c>
      <c r="I9" s="36"/>
      <c r="J9" s="37">
        <v>0</v>
      </c>
      <c r="K9" s="33"/>
      <c r="L9" s="434">
        <f aca="true" t="shared" si="2" ref="L9:L17">SUM(J9:K9)</f>
        <v>0</v>
      </c>
      <c r="M9" s="465">
        <f aca="true" t="shared" si="3" ref="M9:M37">+L9-G9</f>
        <v>0</v>
      </c>
      <c r="N9" s="39"/>
    </row>
    <row r="10" spans="1:14" ht="13.5" customHeight="1">
      <c r="A10" s="509" t="s">
        <v>13</v>
      </c>
      <c r="B10" s="37">
        <v>0</v>
      </c>
      <c r="C10" s="33"/>
      <c r="D10" s="434">
        <v>0</v>
      </c>
      <c r="E10" s="37"/>
      <c r="F10" s="33"/>
      <c r="G10" s="434">
        <f t="shared" si="0"/>
        <v>0</v>
      </c>
      <c r="H10" s="465">
        <f t="shared" si="1"/>
        <v>0</v>
      </c>
      <c r="I10" s="36"/>
      <c r="J10" s="37">
        <v>0</v>
      </c>
      <c r="K10" s="33"/>
      <c r="L10" s="434">
        <f t="shared" si="2"/>
        <v>0</v>
      </c>
      <c r="M10" s="465">
        <f t="shared" si="3"/>
        <v>0</v>
      </c>
      <c r="N10" s="39"/>
    </row>
    <row r="11" spans="1:14" ht="13.5" customHeight="1">
      <c r="A11" s="509" t="s">
        <v>14</v>
      </c>
      <c r="B11" s="37">
        <v>138</v>
      </c>
      <c r="C11" s="33"/>
      <c r="D11" s="434">
        <v>138</v>
      </c>
      <c r="E11" s="37">
        <v>121</v>
      </c>
      <c r="F11" s="33"/>
      <c r="G11" s="434">
        <f t="shared" si="0"/>
        <v>121</v>
      </c>
      <c r="H11" s="465">
        <f t="shared" si="1"/>
        <v>-17</v>
      </c>
      <c r="I11" s="36">
        <f aca="true" t="shared" si="4" ref="I11:I37">+G11/D11</f>
        <v>0.8768115942028986</v>
      </c>
      <c r="J11" s="37">
        <v>0</v>
      </c>
      <c r="K11" s="33"/>
      <c r="L11" s="434">
        <f t="shared" si="2"/>
        <v>0</v>
      </c>
      <c r="M11" s="465">
        <f t="shared" si="3"/>
        <v>-121</v>
      </c>
      <c r="N11" s="39">
        <f aca="true" t="shared" si="5" ref="N11:N37">+L11/G11</f>
        <v>0</v>
      </c>
    </row>
    <row r="12" spans="1:14" ht="13.5" customHeight="1">
      <c r="A12" s="510" t="s">
        <v>15</v>
      </c>
      <c r="B12" s="37">
        <v>0</v>
      </c>
      <c r="C12" s="33"/>
      <c r="D12" s="434">
        <v>0</v>
      </c>
      <c r="E12" s="37"/>
      <c r="F12" s="33"/>
      <c r="G12" s="434">
        <f t="shared" si="0"/>
        <v>0</v>
      </c>
      <c r="H12" s="465">
        <f t="shared" si="1"/>
        <v>0</v>
      </c>
      <c r="I12" s="36"/>
      <c r="J12" s="37">
        <v>0</v>
      </c>
      <c r="K12" s="33"/>
      <c r="L12" s="434">
        <f t="shared" si="2"/>
        <v>0</v>
      </c>
      <c r="M12" s="465">
        <f t="shared" si="3"/>
        <v>0</v>
      </c>
      <c r="N12" s="39"/>
    </row>
    <row r="13" spans="1:14" ht="13.5" customHeight="1">
      <c r="A13" s="510" t="s">
        <v>16</v>
      </c>
      <c r="B13" s="37">
        <v>0</v>
      </c>
      <c r="C13" s="33"/>
      <c r="D13" s="434">
        <v>0</v>
      </c>
      <c r="E13" s="37"/>
      <c r="F13" s="33"/>
      <c r="G13" s="434">
        <f t="shared" si="0"/>
        <v>0</v>
      </c>
      <c r="H13" s="465">
        <f t="shared" si="1"/>
        <v>0</v>
      </c>
      <c r="I13" s="36"/>
      <c r="J13" s="37">
        <v>0</v>
      </c>
      <c r="K13" s="33"/>
      <c r="L13" s="434">
        <f t="shared" si="2"/>
        <v>0</v>
      </c>
      <c r="M13" s="465">
        <f t="shared" si="3"/>
        <v>0</v>
      </c>
      <c r="N13" s="39"/>
    </row>
    <row r="14" spans="1:14" ht="23.25" customHeight="1">
      <c r="A14" s="510" t="s">
        <v>17</v>
      </c>
      <c r="B14" s="37">
        <v>0</v>
      </c>
      <c r="C14" s="33"/>
      <c r="D14" s="434">
        <v>0</v>
      </c>
      <c r="E14" s="37"/>
      <c r="F14" s="33"/>
      <c r="G14" s="434">
        <f t="shared" si="0"/>
        <v>0</v>
      </c>
      <c r="H14" s="465">
        <f t="shared" si="1"/>
        <v>0</v>
      </c>
      <c r="I14" s="36"/>
      <c r="J14" s="37">
        <v>0</v>
      </c>
      <c r="K14" s="33"/>
      <c r="L14" s="434">
        <f t="shared" si="2"/>
        <v>0</v>
      </c>
      <c r="M14" s="465">
        <f t="shared" si="3"/>
        <v>0</v>
      </c>
      <c r="N14" s="39"/>
    </row>
    <row r="15" spans="1:14" ht="13.5" customHeight="1">
      <c r="A15" s="509" t="s">
        <v>18</v>
      </c>
      <c r="B15" s="37">
        <v>8831</v>
      </c>
      <c r="C15" s="33"/>
      <c r="D15" s="434">
        <v>8831</v>
      </c>
      <c r="E15" s="37">
        <v>9482</v>
      </c>
      <c r="F15" s="33"/>
      <c r="G15" s="434">
        <f t="shared" si="0"/>
        <v>9482</v>
      </c>
      <c r="H15" s="465">
        <f t="shared" si="1"/>
        <v>651</v>
      </c>
      <c r="I15" s="36">
        <f t="shared" si="4"/>
        <v>1.073717585777375</v>
      </c>
      <c r="J15" s="57">
        <f>SUM(J16:J17)</f>
        <v>10089</v>
      </c>
      <c r="K15" s="33"/>
      <c r="L15" s="434">
        <f t="shared" si="2"/>
        <v>10089</v>
      </c>
      <c r="M15" s="465">
        <f t="shared" si="3"/>
        <v>607</v>
      </c>
      <c r="N15" s="39">
        <f t="shared" si="5"/>
        <v>1.064016030373339</v>
      </c>
    </row>
    <row r="16" spans="1:14" ht="13.5" customHeight="1">
      <c r="A16" s="511" t="s">
        <v>476</v>
      </c>
      <c r="B16" s="37"/>
      <c r="C16" s="33"/>
      <c r="D16" s="434"/>
      <c r="E16" s="37">
        <v>9068</v>
      </c>
      <c r="F16" s="33"/>
      <c r="G16" s="434">
        <f t="shared" si="0"/>
        <v>9068</v>
      </c>
      <c r="H16" s="465"/>
      <c r="I16" s="36"/>
      <c r="J16" s="57">
        <f>9812</f>
        <v>9812</v>
      </c>
      <c r="K16" s="33"/>
      <c r="L16" s="434">
        <f t="shared" si="2"/>
        <v>9812</v>
      </c>
      <c r="M16" s="465">
        <f t="shared" si="3"/>
        <v>744</v>
      </c>
      <c r="N16" s="39">
        <f t="shared" si="5"/>
        <v>1.082046757829731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414</v>
      </c>
      <c r="F17" s="431"/>
      <c r="G17" s="434">
        <f t="shared" si="0"/>
        <v>414</v>
      </c>
      <c r="H17" s="466"/>
      <c r="I17" s="472"/>
      <c r="J17" s="438">
        <v>277</v>
      </c>
      <c r="K17" s="431"/>
      <c r="L17" s="434">
        <f t="shared" si="2"/>
        <v>277</v>
      </c>
      <c r="M17" s="465">
        <f t="shared" si="3"/>
        <v>-137</v>
      </c>
      <c r="N17" s="39">
        <f t="shared" si="5"/>
        <v>0.6690821256038647</v>
      </c>
    </row>
    <row r="18" spans="1:14" ht="13.5" customHeight="1" thickBot="1">
      <c r="A18" s="364" t="s">
        <v>19</v>
      </c>
      <c r="B18" s="424">
        <v>14484</v>
      </c>
      <c r="C18" s="425">
        <f>SUM(C7+C8+C9+C10+C11+C13+C15)</f>
        <v>0</v>
      </c>
      <c r="D18" s="426">
        <f>SUM(D7+D8+D9+D10+D11+D13+D15)</f>
        <v>14484</v>
      </c>
      <c r="E18" s="424">
        <v>15246</v>
      </c>
      <c r="F18" s="425">
        <f>SUM(F7+F8+F9+F10+F11+F13+F15)</f>
        <v>0</v>
      </c>
      <c r="G18" s="426">
        <f>SUM(G7+G8+G9+G10+G11+G13+G15)</f>
        <v>15246</v>
      </c>
      <c r="H18" s="369">
        <f t="shared" si="1"/>
        <v>762</v>
      </c>
      <c r="I18" s="63">
        <f t="shared" si="4"/>
        <v>1.052609776304888</v>
      </c>
      <c r="J18" s="437">
        <v>15912</v>
      </c>
      <c r="K18" s="425">
        <f>SUM(K7+K8+K9+K10+K11+K13+K15)</f>
        <v>0</v>
      </c>
      <c r="L18" s="426">
        <f>SUM(L7+L8+L9+L10+L11+L13+L15)</f>
        <v>16189</v>
      </c>
      <c r="M18" s="369">
        <f t="shared" si="3"/>
        <v>943</v>
      </c>
      <c r="N18" s="370">
        <f t="shared" si="5"/>
        <v>1.0618522891250164</v>
      </c>
    </row>
    <row r="19" spans="1:14" ht="13.5" customHeight="1">
      <c r="A19" s="54" t="s">
        <v>20</v>
      </c>
      <c r="B19" s="25">
        <v>2708</v>
      </c>
      <c r="C19" s="26"/>
      <c r="D19" s="34">
        <f aca="true" t="shared" si="6" ref="D19:D36">SUM(B19:C19)</f>
        <v>2708</v>
      </c>
      <c r="E19" s="25">
        <v>2844</v>
      </c>
      <c r="F19" s="26"/>
      <c r="G19" s="27">
        <f>SUM(E19:F19)</f>
        <v>2844</v>
      </c>
      <c r="H19" s="28">
        <f t="shared" si="1"/>
        <v>136</v>
      </c>
      <c r="I19" s="55">
        <f t="shared" si="4"/>
        <v>1.0502215657311669</v>
      </c>
      <c r="J19" s="29">
        <v>3027</v>
      </c>
      <c r="K19" s="26"/>
      <c r="L19" s="30">
        <f>SUM(J19:K19)</f>
        <v>3027</v>
      </c>
      <c r="M19" s="28">
        <f t="shared" si="3"/>
        <v>183</v>
      </c>
      <c r="N19" s="56">
        <f t="shared" si="5"/>
        <v>1.0643459915611815</v>
      </c>
    </row>
    <row r="20" spans="1:14" ht="21" customHeight="1">
      <c r="A20" s="40" t="s">
        <v>21</v>
      </c>
      <c r="B20" s="25">
        <v>590</v>
      </c>
      <c r="C20" s="26"/>
      <c r="D20" s="34">
        <f t="shared" si="6"/>
        <v>590</v>
      </c>
      <c r="E20" s="25">
        <v>585</v>
      </c>
      <c r="F20" s="26"/>
      <c r="G20" s="27">
        <f aca="true" t="shared" si="7" ref="G20:G36">SUM(E20:F20)</f>
        <v>585</v>
      </c>
      <c r="H20" s="35">
        <f t="shared" si="1"/>
        <v>-5</v>
      </c>
      <c r="I20" s="36">
        <f t="shared" si="4"/>
        <v>0.9915254237288136</v>
      </c>
      <c r="J20" s="29">
        <v>500</v>
      </c>
      <c r="K20" s="26"/>
      <c r="L20" s="30">
        <f aca="true" t="shared" si="8" ref="L20:L36">SUM(J20:K20)</f>
        <v>500</v>
      </c>
      <c r="M20" s="35">
        <f t="shared" si="3"/>
        <v>-85</v>
      </c>
      <c r="N20" s="39">
        <f t="shared" si="5"/>
        <v>0.8547008547008547</v>
      </c>
    </row>
    <row r="21" spans="1:14" ht="13.5" customHeight="1">
      <c r="A21" s="31" t="s">
        <v>22</v>
      </c>
      <c r="B21" s="32">
        <v>751</v>
      </c>
      <c r="C21" s="33"/>
      <c r="D21" s="34">
        <f t="shared" si="6"/>
        <v>751</v>
      </c>
      <c r="E21" s="32">
        <v>881</v>
      </c>
      <c r="F21" s="33"/>
      <c r="G21" s="27">
        <f t="shared" si="7"/>
        <v>881</v>
      </c>
      <c r="H21" s="35">
        <f t="shared" si="1"/>
        <v>130</v>
      </c>
      <c r="I21" s="36">
        <f t="shared" si="4"/>
        <v>1.1731025299600533</v>
      </c>
      <c r="J21" s="37">
        <v>970</v>
      </c>
      <c r="K21" s="33"/>
      <c r="L21" s="30">
        <f t="shared" si="8"/>
        <v>970</v>
      </c>
      <c r="M21" s="35">
        <f t="shared" si="3"/>
        <v>89</v>
      </c>
      <c r="N21" s="39">
        <f t="shared" si="5"/>
        <v>1.1010215664018161</v>
      </c>
    </row>
    <row r="22" spans="1:14" ht="13.5" customHeight="1">
      <c r="A22" s="40" t="s">
        <v>23</v>
      </c>
      <c r="B22" s="32">
        <v>0</v>
      </c>
      <c r="C22" s="33"/>
      <c r="D22" s="34">
        <f t="shared" si="6"/>
        <v>0</v>
      </c>
      <c r="E22" s="32">
        <v>0</v>
      </c>
      <c r="F22" s="33"/>
      <c r="G22" s="27">
        <f t="shared" si="7"/>
        <v>0</v>
      </c>
      <c r="H22" s="35">
        <f t="shared" si="1"/>
        <v>0</v>
      </c>
      <c r="I22" s="36"/>
      <c r="J22" s="37">
        <v>0</v>
      </c>
      <c r="K22" s="33"/>
      <c r="L22" s="30">
        <f t="shared" si="8"/>
        <v>0</v>
      </c>
      <c r="M22" s="35">
        <f t="shared" si="3"/>
        <v>0</v>
      </c>
      <c r="N22" s="39"/>
    </row>
    <row r="23" spans="1:14" ht="13.5" customHeight="1">
      <c r="A23" s="31" t="s">
        <v>24</v>
      </c>
      <c r="B23" s="32">
        <v>0</v>
      </c>
      <c r="C23" s="33"/>
      <c r="D23" s="34">
        <f t="shared" si="6"/>
        <v>0</v>
      </c>
      <c r="E23" s="32">
        <v>0</v>
      </c>
      <c r="F23" s="33"/>
      <c r="G23" s="27">
        <f t="shared" si="7"/>
        <v>0</v>
      </c>
      <c r="H23" s="35">
        <f t="shared" si="1"/>
        <v>0</v>
      </c>
      <c r="I23" s="36"/>
      <c r="J23" s="37">
        <v>0</v>
      </c>
      <c r="K23" s="33"/>
      <c r="L23" s="30">
        <f t="shared" si="8"/>
        <v>0</v>
      </c>
      <c r="M23" s="35">
        <f t="shared" si="3"/>
        <v>0</v>
      </c>
      <c r="N23" s="39"/>
    </row>
    <row r="24" spans="1:14" ht="13.5" customHeight="1">
      <c r="A24" s="31" t="s">
        <v>25</v>
      </c>
      <c r="B24" s="37">
        <v>525</v>
      </c>
      <c r="C24" s="33"/>
      <c r="D24" s="34">
        <f t="shared" si="6"/>
        <v>525</v>
      </c>
      <c r="E24" s="37">
        <v>627</v>
      </c>
      <c r="F24" s="33"/>
      <c r="G24" s="27">
        <f t="shared" si="7"/>
        <v>627</v>
      </c>
      <c r="H24" s="35">
        <f t="shared" si="1"/>
        <v>102</v>
      </c>
      <c r="I24" s="36">
        <f t="shared" si="4"/>
        <v>1.1942857142857144</v>
      </c>
      <c r="J24" s="37">
        <v>702</v>
      </c>
      <c r="K24" s="33"/>
      <c r="L24" s="30">
        <f t="shared" si="8"/>
        <v>702</v>
      </c>
      <c r="M24" s="35">
        <f t="shared" si="3"/>
        <v>75</v>
      </c>
      <c r="N24" s="39">
        <f t="shared" si="5"/>
        <v>1.1196172248803828</v>
      </c>
    </row>
    <row r="25" spans="1:14" ht="13.5" customHeight="1">
      <c r="A25" s="40" t="s">
        <v>26</v>
      </c>
      <c r="B25" s="32">
        <v>170</v>
      </c>
      <c r="C25" s="33"/>
      <c r="D25" s="34">
        <f t="shared" si="6"/>
        <v>170</v>
      </c>
      <c r="E25" s="32">
        <v>245</v>
      </c>
      <c r="F25" s="33"/>
      <c r="G25" s="27">
        <f t="shared" si="7"/>
        <v>245</v>
      </c>
      <c r="H25" s="35">
        <f t="shared" si="1"/>
        <v>75</v>
      </c>
      <c r="I25" s="36">
        <f t="shared" si="4"/>
        <v>1.4411764705882353</v>
      </c>
      <c r="J25" s="57">
        <v>250</v>
      </c>
      <c r="K25" s="33"/>
      <c r="L25" s="30">
        <f t="shared" si="8"/>
        <v>250</v>
      </c>
      <c r="M25" s="35">
        <f t="shared" si="3"/>
        <v>5</v>
      </c>
      <c r="N25" s="39">
        <f t="shared" si="5"/>
        <v>1.0204081632653061</v>
      </c>
    </row>
    <row r="26" spans="1:14" ht="13.5" customHeight="1">
      <c r="A26" s="31" t="s">
        <v>27</v>
      </c>
      <c r="B26" s="32">
        <v>347</v>
      </c>
      <c r="C26" s="33"/>
      <c r="D26" s="34">
        <f t="shared" si="6"/>
        <v>347</v>
      </c>
      <c r="E26" s="32">
        <v>339</v>
      </c>
      <c r="F26" s="33"/>
      <c r="G26" s="27">
        <f t="shared" si="7"/>
        <v>339</v>
      </c>
      <c r="H26" s="35">
        <f t="shared" si="1"/>
        <v>-8</v>
      </c>
      <c r="I26" s="36">
        <f t="shared" si="4"/>
        <v>0.9769452449567724</v>
      </c>
      <c r="J26" s="57">
        <v>422</v>
      </c>
      <c r="K26" s="33"/>
      <c r="L26" s="30">
        <f t="shared" si="8"/>
        <v>422</v>
      </c>
      <c r="M26" s="35">
        <f t="shared" si="3"/>
        <v>83</v>
      </c>
      <c r="N26" s="39">
        <f t="shared" si="5"/>
        <v>1.2448377581120944</v>
      </c>
    </row>
    <row r="27" spans="1:14" ht="13.5" customHeight="1">
      <c r="A27" s="58" t="s">
        <v>28</v>
      </c>
      <c r="B27" s="37">
        <v>10128</v>
      </c>
      <c r="C27" s="33"/>
      <c r="D27" s="34">
        <f t="shared" si="6"/>
        <v>10128</v>
      </c>
      <c r="E27" s="37">
        <v>10458</v>
      </c>
      <c r="F27" s="33"/>
      <c r="G27" s="27">
        <f t="shared" si="7"/>
        <v>10458</v>
      </c>
      <c r="H27" s="35">
        <f t="shared" si="1"/>
        <v>330</v>
      </c>
      <c r="I27" s="36">
        <f t="shared" si="4"/>
        <v>1.0325829383886256</v>
      </c>
      <c r="J27" s="37">
        <f>J28+J31</f>
        <v>11137</v>
      </c>
      <c r="K27" s="33"/>
      <c r="L27" s="30">
        <f t="shared" si="8"/>
        <v>11137</v>
      </c>
      <c r="M27" s="35">
        <f t="shared" si="3"/>
        <v>679</v>
      </c>
      <c r="N27" s="39">
        <f t="shared" si="5"/>
        <v>1.0649263721552877</v>
      </c>
    </row>
    <row r="28" spans="1:14" ht="13.5" customHeight="1">
      <c r="A28" s="40" t="s">
        <v>29</v>
      </c>
      <c r="B28" s="32">
        <v>7392</v>
      </c>
      <c r="C28" s="33"/>
      <c r="D28" s="34">
        <f t="shared" si="6"/>
        <v>7392</v>
      </c>
      <c r="E28" s="32">
        <v>7644</v>
      </c>
      <c r="F28" s="33"/>
      <c r="G28" s="27">
        <f t="shared" si="7"/>
        <v>7644</v>
      </c>
      <c r="H28" s="35">
        <f t="shared" si="1"/>
        <v>252</v>
      </c>
      <c r="I28" s="36">
        <f t="shared" si="4"/>
        <v>1.0340909090909092</v>
      </c>
      <c r="J28" s="57">
        <f>J29+J30</f>
        <v>8129</v>
      </c>
      <c r="K28" s="59"/>
      <c r="L28" s="30">
        <f t="shared" si="8"/>
        <v>8129</v>
      </c>
      <c r="M28" s="35">
        <f t="shared" si="3"/>
        <v>485</v>
      </c>
      <c r="N28" s="39">
        <f t="shared" si="5"/>
        <v>1.0634484563055993</v>
      </c>
    </row>
    <row r="29" spans="1:14" ht="13.5" customHeight="1">
      <c r="A29" s="58" t="s">
        <v>30</v>
      </c>
      <c r="B29" s="32">
        <v>7378</v>
      </c>
      <c r="C29" s="33"/>
      <c r="D29" s="34">
        <f t="shared" si="6"/>
        <v>7378</v>
      </c>
      <c r="E29" s="32">
        <v>7629</v>
      </c>
      <c r="F29" s="33"/>
      <c r="G29" s="27">
        <f t="shared" si="7"/>
        <v>7629</v>
      </c>
      <c r="H29" s="35">
        <f t="shared" si="1"/>
        <v>251</v>
      </c>
      <c r="I29" s="36">
        <f t="shared" si="4"/>
        <v>1.034020059636758</v>
      </c>
      <c r="J29" s="37">
        <f>7912+202</f>
        <v>8114</v>
      </c>
      <c r="K29" s="33"/>
      <c r="L29" s="30">
        <f t="shared" si="8"/>
        <v>8114</v>
      </c>
      <c r="M29" s="35">
        <f t="shared" si="3"/>
        <v>485</v>
      </c>
      <c r="N29" s="39">
        <f t="shared" si="5"/>
        <v>1.0635732074977062</v>
      </c>
    </row>
    <row r="30" spans="1:14" ht="13.5" customHeight="1">
      <c r="A30" s="40" t="s">
        <v>31</v>
      </c>
      <c r="B30" s="32">
        <v>14</v>
      </c>
      <c r="C30" s="33"/>
      <c r="D30" s="34">
        <f t="shared" si="6"/>
        <v>14</v>
      </c>
      <c r="E30" s="32">
        <v>15</v>
      </c>
      <c r="F30" s="33"/>
      <c r="G30" s="27">
        <f t="shared" si="7"/>
        <v>15</v>
      </c>
      <c r="H30" s="35">
        <f t="shared" si="1"/>
        <v>1</v>
      </c>
      <c r="I30" s="36">
        <f t="shared" si="4"/>
        <v>1.0714285714285714</v>
      </c>
      <c r="J30" s="37">
        <v>15</v>
      </c>
      <c r="K30" s="33"/>
      <c r="L30" s="30">
        <f t="shared" si="8"/>
        <v>15</v>
      </c>
      <c r="M30" s="35">
        <f t="shared" si="3"/>
        <v>0</v>
      </c>
      <c r="N30" s="39">
        <f t="shared" si="5"/>
        <v>1</v>
      </c>
    </row>
    <row r="31" spans="1:14" ht="13.5" customHeight="1">
      <c r="A31" s="40" t="s">
        <v>32</v>
      </c>
      <c r="B31" s="32">
        <v>2736</v>
      </c>
      <c r="C31" s="33"/>
      <c r="D31" s="34">
        <f t="shared" si="6"/>
        <v>2736</v>
      </c>
      <c r="E31" s="32">
        <v>2814</v>
      </c>
      <c r="F31" s="33"/>
      <c r="G31" s="27">
        <f t="shared" si="7"/>
        <v>2814</v>
      </c>
      <c r="H31" s="35">
        <f t="shared" si="1"/>
        <v>78</v>
      </c>
      <c r="I31" s="36">
        <f t="shared" si="4"/>
        <v>1.0285087719298245</v>
      </c>
      <c r="J31" s="37">
        <f>2933+75</f>
        <v>3008</v>
      </c>
      <c r="K31" s="33"/>
      <c r="L31" s="30">
        <f t="shared" si="8"/>
        <v>3008</v>
      </c>
      <c r="M31" s="35">
        <f t="shared" si="3"/>
        <v>194</v>
      </c>
      <c r="N31" s="39">
        <f t="shared" si="5"/>
        <v>1.0689410092395166</v>
      </c>
    </row>
    <row r="32" spans="1:14" ht="13.5" customHeight="1">
      <c r="A32" s="58" t="s">
        <v>33</v>
      </c>
      <c r="B32" s="32">
        <v>0</v>
      </c>
      <c r="C32" s="33"/>
      <c r="D32" s="34">
        <f t="shared" si="6"/>
        <v>0</v>
      </c>
      <c r="E32" s="32">
        <v>0</v>
      </c>
      <c r="F32" s="33"/>
      <c r="G32" s="27">
        <f t="shared" si="7"/>
        <v>0</v>
      </c>
      <c r="H32" s="35">
        <f t="shared" si="1"/>
        <v>0</v>
      </c>
      <c r="I32" s="36"/>
      <c r="J32" s="37">
        <v>0</v>
      </c>
      <c r="K32" s="33"/>
      <c r="L32" s="30">
        <f t="shared" si="8"/>
        <v>0</v>
      </c>
      <c r="M32" s="35">
        <f t="shared" si="3"/>
        <v>0</v>
      </c>
      <c r="N32" s="39"/>
    </row>
    <row r="33" spans="1:14" ht="13.5" customHeight="1">
      <c r="A33" s="58" t="s">
        <v>34</v>
      </c>
      <c r="B33" s="32">
        <v>66</v>
      </c>
      <c r="C33" s="33"/>
      <c r="D33" s="34">
        <f t="shared" si="6"/>
        <v>66</v>
      </c>
      <c r="E33" s="32">
        <v>88</v>
      </c>
      <c r="F33" s="33"/>
      <c r="G33" s="27">
        <f t="shared" si="7"/>
        <v>88</v>
      </c>
      <c r="H33" s="35">
        <f t="shared" si="1"/>
        <v>22</v>
      </c>
      <c r="I33" s="36">
        <f t="shared" si="4"/>
        <v>1.3333333333333333</v>
      </c>
      <c r="J33" s="37">
        <v>90</v>
      </c>
      <c r="K33" s="33"/>
      <c r="L33" s="30">
        <f t="shared" si="8"/>
        <v>90</v>
      </c>
      <c r="M33" s="35">
        <f t="shared" si="3"/>
        <v>2</v>
      </c>
      <c r="N33" s="39">
        <f t="shared" si="5"/>
        <v>1.0227272727272727</v>
      </c>
    </row>
    <row r="34" spans="1:14" ht="13.5" customHeight="1">
      <c r="A34" s="40" t="s">
        <v>35</v>
      </c>
      <c r="B34" s="32">
        <v>196</v>
      </c>
      <c r="C34" s="33"/>
      <c r="D34" s="34">
        <f t="shared" si="6"/>
        <v>196</v>
      </c>
      <c r="E34" s="32">
        <v>260</v>
      </c>
      <c r="F34" s="33"/>
      <c r="G34" s="27">
        <f t="shared" si="7"/>
        <v>260</v>
      </c>
      <c r="H34" s="35">
        <f t="shared" si="1"/>
        <v>64</v>
      </c>
      <c r="I34" s="36">
        <f t="shared" si="4"/>
        <v>1.3265306122448979</v>
      </c>
      <c r="J34" s="57">
        <v>263</v>
      </c>
      <c r="K34" s="33"/>
      <c r="L34" s="30">
        <f t="shared" si="8"/>
        <v>263</v>
      </c>
      <c r="M34" s="35">
        <f t="shared" si="3"/>
        <v>3</v>
      </c>
      <c r="N34" s="39">
        <f t="shared" si="5"/>
        <v>1.0115384615384615</v>
      </c>
    </row>
    <row r="35" spans="1:14" ht="22.5" customHeight="1">
      <c r="A35" s="40" t="s">
        <v>36</v>
      </c>
      <c r="B35" s="32">
        <v>196</v>
      </c>
      <c r="C35" s="33"/>
      <c r="D35" s="34">
        <f t="shared" si="6"/>
        <v>196</v>
      </c>
      <c r="E35" s="32">
        <v>260</v>
      </c>
      <c r="F35" s="33"/>
      <c r="G35" s="27">
        <f t="shared" si="7"/>
        <v>260</v>
      </c>
      <c r="H35" s="35">
        <f t="shared" si="1"/>
        <v>64</v>
      </c>
      <c r="I35" s="36">
        <f t="shared" si="4"/>
        <v>1.3265306122448979</v>
      </c>
      <c r="J35" s="57">
        <v>263</v>
      </c>
      <c r="K35" s="33"/>
      <c r="L35" s="30">
        <f t="shared" si="8"/>
        <v>263</v>
      </c>
      <c r="M35" s="35">
        <f t="shared" si="3"/>
        <v>3</v>
      </c>
      <c r="N35" s="39">
        <f t="shared" si="5"/>
        <v>1.0115384615384615</v>
      </c>
    </row>
    <row r="36" spans="1:14" ht="13.5" customHeight="1" thickBot="1">
      <c r="A36" s="60" t="s">
        <v>37</v>
      </c>
      <c r="B36" s="41">
        <v>0</v>
      </c>
      <c r="C36" s="42"/>
      <c r="D36" s="34">
        <f t="shared" si="6"/>
        <v>0</v>
      </c>
      <c r="E36" s="41">
        <v>0</v>
      </c>
      <c r="F36" s="42"/>
      <c r="G36" s="27">
        <f t="shared" si="7"/>
        <v>0</v>
      </c>
      <c r="H36" s="43">
        <f t="shared" si="1"/>
        <v>0</v>
      </c>
      <c r="I36" s="44"/>
      <c r="J36" s="61">
        <v>0</v>
      </c>
      <c r="K36" s="42"/>
      <c r="L36" s="30">
        <f t="shared" si="8"/>
        <v>0</v>
      </c>
      <c r="M36" s="43">
        <f t="shared" si="3"/>
        <v>0</v>
      </c>
      <c r="N36" s="45"/>
    </row>
    <row r="37" spans="1:14" ht="13.5" customHeight="1" thickBot="1">
      <c r="A37" s="46" t="s">
        <v>38</v>
      </c>
      <c r="B37" s="47">
        <v>14374</v>
      </c>
      <c r="C37" s="48">
        <f>SUM(C19+C21+C22+C23+C24+C27+C32+C33+C34+C36)</f>
        <v>0</v>
      </c>
      <c r="D37" s="49">
        <f>SUM(D19+D21+D22+D23+D24+D27+D32+D33+D34+D36)</f>
        <v>14374</v>
      </c>
      <c r="E37" s="47">
        <f>SUM(E19+E21+E22+E23+E24+E27+E32+E33+E34+E36)</f>
        <v>15158</v>
      </c>
      <c r="F37" s="48">
        <f>SUM(F19+F21+F22+F23+F24+F27+F32+F33+F34+F36)</f>
        <v>0</v>
      </c>
      <c r="G37" s="49">
        <f>SUM(G19+G21+G22+G23+G24+G27+G32+G33+G34+G36)</f>
        <v>15158</v>
      </c>
      <c r="H37" s="50">
        <f t="shared" si="1"/>
        <v>784</v>
      </c>
      <c r="I37" s="51">
        <f t="shared" si="4"/>
        <v>1.0545429247251983</v>
      </c>
      <c r="J37" s="52">
        <f>SUM(J19+J21+J22+J23+J24+J27+J32+J33+J34+J36)</f>
        <v>16189</v>
      </c>
      <c r="K37" s="48">
        <f>SUM(K19+K21+K22+K23+K24+K27+K32+K33+K34+K36)</f>
        <v>0</v>
      </c>
      <c r="L37" s="49">
        <f>SUM(L19+L21+L22+L23+L24+L27+L32+L33+L34+L36)</f>
        <v>16189</v>
      </c>
      <c r="M37" s="50">
        <f t="shared" si="3"/>
        <v>1031</v>
      </c>
      <c r="N37" s="53">
        <f t="shared" si="5"/>
        <v>1.0680168887716057</v>
      </c>
    </row>
    <row r="38" spans="1:14" ht="13.5" customHeight="1" thickBot="1">
      <c r="A38" s="46" t="s">
        <v>39</v>
      </c>
      <c r="B38" s="680">
        <f>+D18-D37</f>
        <v>110</v>
      </c>
      <c r="C38" s="681"/>
      <c r="D38" s="682"/>
      <c r="E38" s="680">
        <f>+G18-G37</f>
        <v>88</v>
      </c>
      <c r="F38" s="681"/>
      <c r="G38" s="682">
        <v>-50784</v>
      </c>
      <c r="H38" s="62">
        <f>+E38-B38</f>
        <v>-22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116</v>
      </c>
      <c r="B43" s="683"/>
      <c r="C43" s="66">
        <v>396</v>
      </c>
      <c r="D43" s="679" t="s">
        <v>128</v>
      </c>
      <c r="E43" s="657"/>
      <c r="F43" s="657"/>
      <c r="G43" s="67">
        <v>141</v>
      </c>
      <c r="H43" s="658" t="s">
        <v>96</v>
      </c>
      <c r="I43" s="659"/>
      <c r="J43" s="659"/>
      <c r="K43" s="659"/>
      <c r="L43" s="68">
        <v>25</v>
      </c>
      <c r="O43"/>
      <c r="P43"/>
    </row>
    <row r="44" spans="1:16" ht="12.75">
      <c r="A44" s="639" t="s">
        <v>96</v>
      </c>
      <c r="B44" s="646"/>
      <c r="C44" s="69">
        <v>5</v>
      </c>
      <c r="D44" s="679" t="s">
        <v>96</v>
      </c>
      <c r="E44" s="657"/>
      <c r="F44" s="657"/>
      <c r="G44" s="70">
        <v>25</v>
      </c>
      <c r="H44" s="658" t="s">
        <v>505</v>
      </c>
      <c r="I44" s="659"/>
      <c r="J44" s="659"/>
      <c r="K44" s="659"/>
      <c r="L44" s="68">
        <v>523</v>
      </c>
      <c r="O44"/>
      <c r="P44"/>
    </row>
    <row r="45" spans="1:16" ht="12.75">
      <c r="A45" s="639"/>
      <c r="B45" s="646"/>
      <c r="C45" s="69"/>
      <c r="D45" s="679"/>
      <c r="E45" s="657"/>
      <c r="F45" s="657"/>
      <c r="G45" s="70"/>
      <c r="H45" s="658"/>
      <c r="I45" s="659"/>
      <c r="J45" s="659"/>
      <c r="K45" s="659"/>
      <c r="L45" s="68"/>
      <c r="O45"/>
      <c r="P45"/>
    </row>
    <row r="46" spans="1:16" ht="12.75">
      <c r="A46" s="647"/>
      <c r="B46" s="674"/>
      <c r="C46" s="71"/>
      <c r="D46" s="647"/>
      <c r="E46" s="648"/>
      <c r="F46" s="674"/>
      <c r="G46" s="72"/>
      <c r="H46" s="643" t="s">
        <v>506</v>
      </c>
      <c r="I46" s="644"/>
      <c r="J46" s="644"/>
      <c r="K46" s="645"/>
      <c r="L46" s="68"/>
      <c r="O46"/>
      <c r="P46"/>
    </row>
    <row r="47" spans="1:16" ht="12.75">
      <c r="A47" s="647"/>
      <c r="B47" s="674"/>
      <c r="C47" s="71"/>
      <c r="D47" s="647"/>
      <c r="E47" s="648"/>
      <c r="F47" s="674"/>
      <c r="G47" s="72"/>
      <c r="H47" s="643"/>
      <c r="I47" s="644"/>
      <c r="J47" s="644"/>
      <c r="K47" s="645"/>
      <c r="L47" s="68"/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/>
      <c r="I48" s="644"/>
      <c r="J48" s="644"/>
      <c r="K48" s="645"/>
      <c r="L48" s="68"/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 t="s">
        <v>76</v>
      </c>
      <c r="B50" s="635"/>
      <c r="C50" s="73">
        <f>SUM(C43:C49)</f>
        <v>401</v>
      </c>
      <c r="D50" s="660" t="s">
        <v>5</v>
      </c>
      <c r="E50" s="661"/>
      <c r="F50" s="661"/>
      <c r="G50" s="73">
        <f>SUM(G43:G44)</f>
        <v>166</v>
      </c>
      <c r="H50" s="637" t="s">
        <v>5</v>
      </c>
      <c r="I50" s="638"/>
      <c r="J50" s="638"/>
      <c r="K50" s="638"/>
      <c r="L50" s="73">
        <f>SUM(L43:L44)</f>
        <v>548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106</v>
      </c>
      <c r="B54" s="655"/>
      <c r="C54" s="66">
        <v>170</v>
      </c>
      <c r="D54" s="656" t="s">
        <v>106</v>
      </c>
      <c r="E54" s="657"/>
      <c r="F54" s="657"/>
      <c r="G54" s="76">
        <v>245</v>
      </c>
      <c r="H54" s="658" t="s">
        <v>106</v>
      </c>
      <c r="I54" s="659"/>
      <c r="J54" s="659"/>
      <c r="K54" s="659"/>
      <c r="L54" s="68">
        <v>50</v>
      </c>
      <c r="O54"/>
      <c r="P54"/>
    </row>
    <row r="55" spans="1:16" ht="13.5" customHeight="1">
      <c r="A55" s="639"/>
      <c r="B55" s="649"/>
      <c r="C55" s="69"/>
      <c r="D55" s="642"/>
      <c r="E55" s="646"/>
      <c r="F55" s="646"/>
      <c r="G55" s="77"/>
      <c r="H55" s="650" t="s">
        <v>502</v>
      </c>
      <c r="I55" s="651"/>
      <c r="J55" s="651"/>
      <c r="K55" s="651"/>
      <c r="L55" s="78">
        <v>90</v>
      </c>
      <c r="O55"/>
      <c r="P55"/>
    </row>
    <row r="56" spans="1:16" ht="13.5" customHeight="1">
      <c r="A56" s="639"/>
      <c r="B56" s="640"/>
      <c r="C56" s="69"/>
      <c r="D56" s="642"/>
      <c r="E56" s="646"/>
      <c r="F56" s="646"/>
      <c r="G56" s="77"/>
      <c r="H56" s="643" t="s">
        <v>503</v>
      </c>
      <c r="I56" s="644"/>
      <c r="J56" s="644"/>
      <c r="K56" s="645"/>
      <c r="L56" s="78">
        <v>60</v>
      </c>
      <c r="O56"/>
      <c r="P56"/>
    </row>
    <row r="57" spans="1:16" ht="13.5" customHeight="1">
      <c r="A57" s="639"/>
      <c r="B57" s="640"/>
      <c r="C57" s="69"/>
      <c r="D57" s="642"/>
      <c r="E57" s="646"/>
      <c r="F57" s="646"/>
      <c r="G57" s="77"/>
      <c r="H57" s="643" t="s">
        <v>504</v>
      </c>
      <c r="I57" s="644"/>
      <c r="J57" s="644"/>
      <c r="K57" s="645"/>
      <c r="L57" s="78">
        <v>50</v>
      </c>
      <c r="O57"/>
      <c r="P57"/>
    </row>
    <row r="58" spans="1:16" ht="13.5" customHeight="1">
      <c r="A58" s="647"/>
      <c r="B58" s="648"/>
      <c r="C58" s="71"/>
      <c r="D58" s="641"/>
      <c r="E58" s="641"/>
      <c r="F58" s="642"/>
      <c r="G58" s="178"/>
      <c r="H58" s="643"/>
      <c r="I58" s="644"/>
      <c r="J58" s="644"/>
      <c r="K58" s="645"/>
      <c r="L58" s="79"/>
      <c r="O58"/>
      <c r="P58"/>
    </row>
    <row r="59" spans="1:16" ht="13.5" customHeight="1">
      <c r="A59" s="639"/>
      <c r="B59" s="640"/>
      <c r="C59" s="71"/>
      <c r="D59" s="641"/>
      <c r="E59" s="641"/>
      <c r="F59" s="642"/>
      <c r="G59" s="178"/>
      <c r="H59" s="643"/>
      <c r="I59" s="644"/>
      <c r="J59" s="644"/>
      <c r="K59" s="645"/>
      <c r="L59" s="79"/>
      <c r="O59"/>
      <c r="P59"/>
    </row>
    <row r="60" spans="1:16" ht="13.5" customHeight="1">
      <c r="A60" s="646"/>
      <c r="B60" s="640"/>
      <c r="C60" s="69"/>
      <c r="D60" s="642"/>
      <c r="E60" s="646"/>
      <c r="F60" s="646"/>
      <c r="G60" s="77"/>
      <c r="H60" s="643"/>
      <c r="I60" s="644"/>
      <c r="J60" s="644"/>
      <c r="K60" s="645"/>
      <c r="L60" s="78"/>
      <c r="O60"/>
      <c r="P60"/>
    </row>
    <row r="61" spans="1:16" ht="13.5" thickBot="1">
      <c r="A61" s="627"/>
      <c r="B61" s="628"/>
      <c r="C61" s="80"/>
      <c r="D61" s="629"/>
      <c r="E61" s="630"/>
      <c r="F61" s="630"/>
      <c r="G61" s="81"/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83">
        <f>SUM(C54:C61)</f>
        <v>170</v>
      </c>
      <c r="D62" s="635" t="s">
        <v>5</v>
      </c>
      <c r="E62" s="636"/>
      <c r="F62" s="636"/>
      <c r="G62" s="83">
        <f>SUM(G54:G61)</f>
        <v>245</v>
      </c>
      <c r="H62" s="637" t="s">
        <v>5</v>
      </c>
      <c r="I62" s="638"/>
      <c r="J62" s="638"/>
      <c r="K62" s="638"/>
      <c r="L62" s="73">
        <f>SUM(L54:L61)</f>
        <v>250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0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88</v>
      </c>
      <c r="I67" s="580" t="s">
        <v>491</v>
      </c>
      <c r="J67" s="582"/>
      <c r="K67" s="582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88</v>
      </c>
      <c r="C68" s="583" t="s">
        <v>175</v>
      </c>
      <c r="D68" s="583"/>
      <c r="E68" s="159">
        <v>0</v>
      </c>
      <c r="F68" s="584" t="s">
        <v>177</v>
      </c>
      <c r="G68" s="585"/>
      <c r="H68" s="151">
        <v>71</v>
      </c>
      <c r="I68" s="583"/>
      <c r="J68" s="585"/>
      <c r="K68" s="585"/>
      <c r="L68" s="159"/>
      <c r="M68" s="84"/>
      <c r="N68" s="84"/>
    </row>
    <row r="69" spans="1:14" s="1" customFormat="1" ht="12.75">
      <c r="A69" s="158" t="s">
        <v>175</v>
      </c>
      <c r="B69" s="151">
        <v>0</v>
      </c>
      <c r="C69" s="583"/>
      <c r="D69" s="583"/>
      <c r="E69" s="159"/>
      <c r="F69" s="583" t="s">
        <v>175</v>
      </c>
      <c r="G69" s="583"/>
      <c r="H69" s="151"/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88</v>
      </c>
      <c r="C71" s="589" t="s">
        <v>5</v>
      </c>
      <c r="D71" s="589"/>
      <c r="E71" s="165">
        <f>SUM(E67:E70)</f>
        <v>0</v>
      </c>
      <c r="F71" s="590" t="s">
        <v>5</v>
      </c>
      <c r="G71" s="591"/>
      <c r="H71" s="161">
        <f>SUM(H67:H70)</f>
        <v>159</v>
      </c>
      <c r="I71" s="589" t="s">
        <v>5</v>
      </c>
      <c r="J71" s="591"/>
      <c r="K71" s="591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88</v>
      </c>
      <c r="C72" s="84"/>
      <c r="D72" s="84"/>
      <c r="E72" s="84"/>
      <c r="F72" s="592" t="s">
        <v>534</v>
      </c>
      <c r="G72" s="593"/>
      <c r="H72" s="183">
        <f>H71-L71</f>
        <v>159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601" t="s">
        <v>73</v>
      </c>
      <c r="B76" s="604" t="s">
        <v>495</v>
      </c>
      <c r="C76" s="607" t="s">
        <v>477</v>
      </c>
      <c r="D76" s="608"/>
      <c r="E76" s="608"/>
      <c r="F76" s="608"/>
      <c r="G76" s="608"/>
      <c r="H76" s="608"/>
      <c r="I76" s="609"/>
      <c r="J76" s="610" t="s">
        <v>496</v>
      </c>
      <c r="K76" s="7"/>
      <c r="L76" s="594" t="s">
        <v>48</v>
      </c>
      <c r="M76" s="595"/>
      <c r="N76" s="193">
        <v>2004</v>
      </c>
      <c r="O76" s="194">
        <v>2005</v>
      </c>
    </row>
    <row r="77" spans="1:15" s="1" customFormat="1" ht="12.75">
      <c r="A77" s="602"/>
      <c r="B77" s="605"/>
      <c r="C77" s="596" t="s">
        <v>76</v>
      </c>
      <c r="D77" s="598" t="s">
        <v>77</v>
      </c>
      <c r="E77" s="599"/>
      <c r="F77" s="599"/>
      <c r="G77" s="599"/>
      <c r="H77" s="599"/>
      <c r="I77" s="600"/>
      <c r="J77" s="611"/>
      <c r="K77" s="7"/>
      <c r="L77" s="197" t="s">
        <v>178</v>
      </c>
      <c r="M77" s="197"/>
      <c r="N77" s="192"/>
      <c r="O77" s="195"/>
    </row>
    <row r="78" spans="1:15" s="1" customFormat="1" ht="13.5" thickBot="1">
      <c r="A78" s="603"/>
      <c r="B78" s="606"/>
      <c r="C78" s="597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612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5873</v>
      </c>
      <c r="B79" s="117">
        <v>3312</v>
      </c>
      <c r="C79" s="170">
        <v>263</v>
      </c>
      <c r="D79" s="171">
        <v>60</v>
      </c>
      <c r="E79" s="171">
        <v>129</v>
      </c>
      <c r="F79" s="171">
        <v>49</v>
      </c>
      <c r="G79" s="171">
        <v>0</v>
      </c>
      <c r="H79" s="170">
        <v>25</v>
      </c>
      <c r="I79" s="184">
        <v>0</v>
      </c>
      <c r="J79" s="118">
        <f>SUM(A79-B79-C79)</f>
        <v>2298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618" t="s">
        <v>112</v>
      </c>
      <c r="B83" s="620" t="s">
        <v>482</v>
      </c>
      <c r="C83" s="622" t="s">
        <v>480</v>
      </c>
      <c r="D83" s="623"/>
      <c r="E83" s="623"/>
      <c r="F83" s="624"/>
      <c r="G83" s="625" t="s">
        <v>483</v>
      </c>
      <c r="H83" s="613" t="s">
        <v>78</v>
      </c>
      <c r="I83" s="615" t="s">
        <v>481</v>
      </c>
      <c r="J83" s="616"/>
      <c r="K83" s="616"/>
      <c r="L83" s="617"/>
    </row>
    <row r="84" spans="1:12" s="1" customFormat="1" ht="18.75" thickBot="1">
      <c r="A84" s="619"/>
      <c r="B84" s="621"/>
      <c r="C84" s="119" t="s">
        <v>81</v>
      </c>
      <c r="D84" s="120" t="s">
        <v>79</v>
      </c>
      <c r="E84" s="120" t="s">
        <v>80</v>
      </c>
      <c r="F84" s="121" t="s">
        <v>114</v>
      </c>
      <c r="G84" s="626"/>
      <c r="H84" s="614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1269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1315.91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0</v>
      </c>
      <c r="D86" s="131">
        <v>22</v>
      </c>
      <c r="E86" s="131">
        <v>0</v>
      </c>
      <c r="F86" s="132">
        <v>22</v>
      </c>
      <c r="G86" s="133">
        <v>21.9</v>
      </c>
      <c r="H86" s="453">
        <f>+G86-F86</f>
        <v>-0.10000000000000142</v>
      </c>
      <c r="I86" s="130">
        <v>22</v>
      </c>
      <c r="J86" s="131">
        <v>17</v>
      </c>
      <c r="K86" s="131">
        <v>92</v>
      </c>
      <c r="L86" s="132">
        <v>0</v>
      </c>
    </row>
    <row r="87" spans="1:12" s="1" customFormat="1" ht="12.75">
      <c r="A87" s="128" t="s">
        <v>85</v>
      </c>
      <c r="B87" s="129">
        <v>0</v>
      </c>
      <c r="C87" s="130">
        <v>0</v>
      </c>
      <c r="D87" s="131">
        <v>88</v>
      </c>
      <c r="E87" s="131">
        <v>0</v>
      </c>
      <c r="F87" s="132">
        <f>C87+D87-E87</f>
        <v>88</v>
      </c>
      <c r="G87" s="133">
        <v>87.61</v>
      </c>
      <c r="H87" s="453">
        <f>+G87-F87</f>
        <v>-0.39000000000000057</v>
      </c>
      <c r="I87" s="130">
        <v>88</v>
      </c>
      <c r="J87" s="131">
        <v>71</v>
      </c>
      <c r="K87" s="131">
        <v>0</v>
      </c>
      <c r="L87" s="132">
        <f>I87+J87-K87</f>
        <v>159</v>
      </c>
    </row>
    <row r="88" spans="1:12" s="1" customFormat="1" ht="12.75">
      <c r="A88" s="128" t="s">
        <v>113</v>
      </c>
      <c r="B88" s="129">
        <v>191.47</v>
      </c>
      <c r="C88" s="130">
        <v>191</v>
      </c>
      <c r="D88" s="131">
        <v>260</v>
      </c>
      <c r="E88" s="131">
        <v>166</v>
      </c>
      <c r="F88" s="132">
        <f>C88+D88-E88</f>
        <v>285</v>
      </c>
      <c r="G88" s="133">
        <v>285.27</v>
      </c>
      <c r="H88" s="453">
        <f>+G88-F88</f>
        <v>0.2699999999999818</v>
      </c>
      <c r="I88" s="461">
        <v>285</v>
      </c>
      <c r="J88" s="447">
        <v>263</v>
      </c>
      <c r="K88" s="447">
        <v>548</v>
      </c>
      <c r="L88" s="132">
        <f>I88+J88-K88</f>
        <v>0</v>
      </c>
    </row>
    <row r="89" spans="1:12" s="1" customFormat="1" ht="12.75">
      <c r="A89" s="128" t="s">
        <v>86</v>
      </c>
      <c r="B89" s="129">
        <v>1077.41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921.13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119.09</v>
      </c>
      <c r="C90" s="136">
        <v>130</v>
      </c>
      <c r="D90" s="137">
        <v>153</v>
      </c>
      <c r="E90" s="137">
        <v>196</v>
      </c>
      <c r="F90" s="138">
        <f>C90+D90-E90</f>
        <v>87</v>
      </c>
      <c r="G90" s="139">
        <v>77.84</v>
      </c>
      <c r="H90" s="454">
        <f>+G90-F90</f>
        <v>-9.159999999999997</v>
      </c>
      <c r="I90" s="136">
        <v>87</v>
      </c>
      <c r="J90" s="137">
        <v>162</v>
      </c>
      <c r="K90" s="137">
        <v>183</v>
      </c>
      <c r="L90" s="138">
        <f>I90+J90-K90</f>
        <v>66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/>
      <c r="E95" s="131"/>
      <c r="F95" s="131"/>
      <c r="G95" s="129"/>
      <c r="H95" s="132">
        <f>SUM(C95:G95)</f>
        <v>0</v>
      </c>
      <c r="I95" s="89"/>
      <c r="J95" s="93">
        <v>2005</v>
      </c>
      <c r="K95" s="94">
        <v>7629</v>
      </c>
      <c r="L95" s="95">
        <f>+G29</f>
        <v>7629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8114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5</v>
      </c>
      <c r="C101" s="103">
        <v>5</v>
      </c>
      <c r="D101" s="103">
        <f>+C101-B101</f>
        <v>0</v>
      </c>
      <c r="E101" s="103">
        <v>5</v>
      </c>
      <c r="F101" s="103">
        <v>4</v>
      </c>
      <c r="G101" s="104">
        <f>+F101-E101</f>
        <v>-1</v>
      </c>
      <c r="H101" s="105">
        <v>15005</v>
      </c>
      <c r="I101" s="106">
        <v>14555</v>
      </c>
      <c r="J101" s="107">
        <f>+I101-H101</f>
        <v>-450</v>
      </c>
    </row>
    <row r="102" spans="1:10" ht="12.75">
      <c r="A102" s="102" t="s">
        <v>98</v>
      </c>
      <c r="B102" s="103">
        <v>10</v>
      </c>
      <c r="C102" s="103">
        <v>10</v>
      </c>
      <c r="D102" s="103">
        <f aca="true" t="shared" si="9" ref="D102:D111">+C102-B102</f>
        <v>0</v>
      </c>
      <c r="E102" s="103">
        <v>10</v>
      </c>
      <c r="F102" s="103">
        <v>9</v>
      </c>
      <c r="G102" s="104">
        <f aca="true" t="shared" si="10" ref="G102:G111">+F102-E102</f>
        <v>-1</v>
      </c>
      <c r="H102" s="105">
        <v>13943</v>
      </c>
      <c r="I102" s="108">
        <v>15611</v>
      </c>
      <c r="J102" s="107">
        <f aca="true" t="shared" si="11" ref="J102:J111">+I102-H102</f>
        <v>1668</v>
      </c>
    </row>
    <row r="103" spans="1:10" ht="12.75">
      <c r="A103" s="102" t="s">
        <v>60</v>
      </c>
      <c r="B103" s="103">
        <v>0</v>
      </c>
      <c r="C103" s="103">
        <v>0</v>
      </c>
      <c r="D103" s="103">
        <f t="shared" si="9"/>
        <v>0</v>
      </c>
      <c r="E103" s="103">
        <v>0</v>
      </c>
      <c r="F103" s="103">
        <v>0</v>
      </c>
      <c r="G103" s="104">
        <f t="shared" si="10"/>
        <v>0</v>
      </c>
      <c r="H103" s="105">
        <v>0</v>
      </c>
      <c r="I103" s="108">
        <v>0</v>
      </c>
      <c r="J103" s="107">
        <f t="shared" si="11"/>
        <v>0</v>
      </c>
    </row>
    <row r="104" spans="1:10" ht="12.75">
      <c r="A104" s="102" t="s">
        <v>61</v>
      </c>
      <c r="B104" s="103">
        <v>14</v>
      </c>
      <c r="C104" s="103">
        <v>14</v>
      </c>
      <c r="D104" s="103">
        <f t="shared" si="9"/>
        <v>0</v>
      </c>
      <c r="E104" s="103">
        <v>14</v>
      </c>
      <c r="F104" s="103">
        <v>15</v>
      </c>
      <c r="G104" s="104">
        <f t="shared" si="10"/>
        <v>1</v>
      </c>
      <c r="H104" s="105">
        <v>13131</v>
      </c>
      <c r="I104" s="108">
        <v>13504</v>
      </c>
      <c r="J104" s="107">
        <f t="shared" si="11"/>
        <v>373</v>
      </c>
    </row>
    <row r="105" spans="1:10" ht="12.75">
      <c r="A105" s="102" t="s">
        <v>99</v>
      </c>
      <c r="B105" s="103">
        <v>0</v>
      </c>
      <c r="C105" s="103">
        <v>0</v>
      </c>
      <c r="D105" s="103">
        <f t="shared" si="9"/>
        <v>0</v>
      </c>
      <c r="E105" s="103">
        <v>0</v>
      </c>
      <c r="F105" s="103">
        <v>0</v>
      </c>
      <c r="G105" s="104">
        <f t="shared" si="10"/>
        <v>0</v>
      </c>
      <c r="H105" s="105">
        <v>0</v>
      </c>
      <c r="I105" s="108">
        <v>0</v>
      </c>
      <c r="J105" s="107">
        <f t="shared" si="11"/>
        <v>0</v>
      </c>
    </row>
    <row r="106" spans="1:10" ht="12.75">
      <c r="A106" s="102" t="s">
        <v>63</v>
      </c>
      <c r="B106" s="103">
        <v>0</v>
      </c>
      <c r="C106" s="103">
        <v>0</v>
      </c>
      <c r="D106" s="103">
        <f t="shared" si="9"/>
        <v>0</v>
      </c>
      <c r="E106" s="103">
        <v>0</v>
      </c>
      <c r="F106" s="103">
        <v>0</v>
      </c>
      <c r="G106" s="104">
        <f t="shared" si="10"/>
        <v>0</v>
      </c>
      <c r="H106" s="105">
        <v>0</v>
      </c>
      <c r="I106" s="108">
        <v>0</v>
      </c>
      <c r="J106" s="107">
        <f t="shared" si="11"/>
        <v>0</v>
      </c>
    </row>
    <row r="107" spans="1:10" ht="12.75">
      <c r="A107" s="102" t="s">
        <v>64</v>
      </c>
      <c r="B107" s="103">
        <v>1</v>
      </c>
      <c r="C107" s="103">
        <v>1</v>
      </c>
      <c r="D107" s="103">
        <f t="shared" si="9"/>
        <v>0</v>
      </c>
      <c r="E107" s="103">
        <v>1</v>
      </c>
      <c r="F107" s="103">
        <v>1</v>
      </c>
      <c r="G107" s="104">
        <f t="shared" si="10"/>
        <v>0</v>
      </c>
      <c r="H107" s="105">
        <v>15450</v>
      </c>
      <c r="I107" s="108">
        <v>16276</v>
      </c>
      <c r="J107" s="107">
        <f t="shared" si="11"/>
        <v>826</v>
      </c>
    </row>
    <row r="108" spans="1:10" ht="12.75">
      <c r="A108" s="102" t="s">
        <v>65</v>
      </c>
      <c r="B108" s="103">
        <v>0</v>
      </c>
      <c r="C108" s="103">
        <v>0</v>
      </c>
      <c r="D108" s="103">
        <f t="shared" si="9"/>
        <v>0</v>
      </c>
      <c r="E108" s="103">
        <v>0</v>
      </c>
      <c r="F108" s="103">
        <v>0</v>
      </c>
      <c r="G108" s="104">
        <f t="shared" si="10"/>
        <v>0</v>
      </c>
      <c r="H108" s="105">
        <v>0</v>
      </c>
      <c r="I108" s="108">
        <v>0</v>
      </c>
      <c r="J108" s="107">
        <f t="shared" si="11"/>
        <v>0</v>
      </c>
    </row>
    <row r="109" spans="1:10" ht="12.75">
      <c r="A109" s="102" t="s">
        <v>66</v>
      </c>
      <c r="B109" s="103">
        <v>1</v>
      </c>
      <c r="C109" s="103">
        <v>1</v>
      </c>
      <c r="D109" s="103">
        <f t="shared" si="9"/>
        <v>0</v>
      </c>
      <c r="E109" s="103">
        <v>1</v>
      </c>
      <c r="F109" s="103">
        <v>1</v>
      </c>
      <c r="G109" s="104">
        <f t="shared" si="10"/>
        <v>0</v>
      </c>
      <c r="H109" s="105">
        <v>17675</v>
      </c>
      <c r="I109" s="108">
        <v>17615</v>
      </c>
      <c r="J109" s="107">
        <f t="shared" si="11"/>
        <v>-60</v>
      </c>
    </row>
    <row r="110" spans="1:10" ht="12.75">
      <c r="A110" s="102" t="s">
        <v>67</v>
      </c>
      <c r="B110" s="103">
        <v>19</v>
      </c>
      <c r="C110" s="103">
        <v>18</v>
      </c>
      <c r="D110" s="103">
        <f t="shared" si="9"/>
        <v>-1</v>
      </c>
      <c r="E110" s="103">
        <v>19</v>
      </c>
      <c r="F110" s="103">
        <v>19</v>
      </c>
      <c r="G110" s="104">
        <f t="shared" si="10"/>
        <v>0</v>
      </c>
      <c r="H110" s="105">
        <v>10331</v>
      </c>
      <c r="I110" s="108">
        <v>10218</v>
      </c>
      <c r="J110" s="107">
        <f t="shared" si="11"/>
        <v>-113</v>
      </c>
    </row>
    <row r="111" spans="1:10" ht="13.5" thickBot="1">
      <c r="A111" s="109" t="s">
        <v>5</v>
      </c>
      <c r="B111" s="110">
        <v>50</v>
      </c>
      <c r="C111" s="110">
        <v>49</v>
      </c>
      <c r="D111" s="110">
        <f t="shared" si="9"/>
        <v>-1</v>
      </c>
      <c r="E111" s="110">
        <v>50</v>
      </c>
      <c r="F111" s="110">
        <v>49</v>
      </c>
      <c r="G111" s="111">
        <f t="shared" si="10"/>
        <v>-1</v>
      </c>
      <c r="H111" s="112">
        <v>12297</v>
      </c>
      <c r="I111" s="113">
        <v>12974</v>
      </c>
      <c r="J111" s="114">
        <f t="shared" si="11"/>
        <v>677</v>
      </c>
    </row>
    <row r="112" ht="13.5" thickBot="1"/>
    <row r="113" spans="1:16" ht="12.75">
      <c r="A113" s="706" t="s">
        <v>68</v>
      </c>
      <c r="B113" s="707"/>
      <c r="C113" s="708"/>
      <c r="D113" s="89"/>
      <c r="E113" s="706" t="s">
        <v>69</v>
      </c>
      <c r="F113" s="707"/>
      <c r="G113" s="708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709" t="s">
        <v>72</v>
      </c>
      <c r="G114" s="71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48</v>
      </c>
      <c r="C115" s="95">
        <v>49</v>
      </c>
      <c r="D115" s="89"/>
      <c r="E115" s="93">
        <v>2005</v>
      </c>
      <c r="F115" s="711">
        <v>81</v>
      </c>
      <c r="G115" s="624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49</v>
      </c>
      <c r="C116" s="98"/>
      <c r="D116" s="89"/>
      <c r="E116" s="96">
        <v>2006</v>
      </c>
      <c r="F116" s="704">
        <v>81</v>
      </c>
      <c r="G116" s="705"/>
      <c r="H116"/>
      <c r="I116"/>
      <c r="J116"/>
      <c r="K116"/>
      <c r="L116"/>
      <c r="M116"/>
      <c r="N116"/>
      <c r="O116"/>
      <c r="P116"/>
    </row>
  </sheetData>
  <mergeCells count="119">
    <mergeCell ref="J76:J78"/>
    <mergeCell ref="L76:M76"/>
    <mergeCell ref="C77:C78"/>
    <mergeCell ref="D77:I77"/>
    <mergeCell ref="F72:G72"/>
    <mergeCell ref="A76:A78"/>
    <mergeCell ref="B76:B78"/>
    <mergeCell ref="C76:I76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C66:D66"/>
    <mergeCell ref="F66:G66"/>
    <mergeCell ref="I66:K66"/>
    <mergeCell ref="C67:D67"/>
    <mergeCell ref="F67:G67"/>
    <mergeCell ref="I67:K67"/>
    <mergeCell ref="A3:A6"/>
    <mergeCell ref="B3:N3"/>
    <mergeCell ref="H4:I4"/>
    <mergeCell ref="M4:N4"/>
    <mergeCell ref="B38:D38"/>
    <mergeCell ref="E38:G38"/>
    <mergeCell ref="J38:L38"/>
    <mergeCell ref="B39:D39"/>
    <mergeCell ref="E39:G39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L52:L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61:B61"/>
    <mergeCell ref="D61:F61"/>
    <mergeCell ref="H61:K61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A62:B62"/>
    <mergeCell ref="D62:F62"/>
    <mergeCell ref="A65:E65"/>
    <mergeCell ref="F65:L65"/>
    <mergeCell ref="H62:K62"/>
    <mergeCell ref="H99:J99"/>
    <mergeCell ref="A113:C113"/>
    <mergeCell ref="E113:G113"/>
    <mergeCell ref="A93:A94"/>
    <mergeCell ref="B93:B94"/>
    <mergeCell ref="C93:H93"/>
    <mergeCell ref="J93:L93"/>
    <mergeCell ref="A99:A100"/>
    <mergeCell ref="F114:G114"/>
    <mergeCell ref="F115:G115"/>
    <mergeCell ref="F116:G116"/>
    <mergeCell ref="B99:D99"/>
    <mergeCell ref="E99:G99"/>
    <mergeCell ref="H83:H84"/>
    <mergeCell ref="I83:L83"/>
    <mergeCell ref="A83:A84"/>
    <mergeCell ref="B83:B84"/>
    <mergeCell ref="C83:F83"/>
    <mergeCell ref="G83:G84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Normal="90" zoomScaleSheetLayoutView="100" workbookViewId="0" topLeftCell="A1">
      <selection activeCell="M89" sqref="M89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84" t="s">
        <v>0</v>
      </c>
      <c r="B3" s="686" t="s">
        <v>428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59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7448</v>
      </c>
      <c r="C8" s="33"/>
      <c r="D8" s="434">
        <f>SUM(B8:C8)</f>
        <v>7448</v>
      </c>
      <c r="E8" s="37">
        <v>8031</v>
      </c>
      <c r="F8" s="33"/>
      <c r="G8" s="434">
        <f>SUM(E8:F8)</f>
        <v>8031</v>
      </c>
      <c r="H8" s="465">
        <f>+G8-D8</f>
        <v>583</v>
      </c>
      <c r="I8" s="36">
        <f>+G8/D8</f>
        <v>1.0782760472610096</v>
      </c>
      <c r="J8" s="37">
        <v>8264</v>
      </c>
      <c r="K8" s="33"/>
      <c r="L8" s="434">
        <f>SUM(J8:K8)</f>
        <v>8264</v>
      </c>
      <c r="M8" s="465">
        <f>+L8-G8</f>
        <v>233</v>
      </c>
      <c r="N8" s="39">
        <f>+L8/G8</f>
        <v>1.0290125762669655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17</v>
      </c>
      <c r="C11" s="33"/>
      <c r="D11" s="434">
        <f t="shared" si="0"/>
        <v>17</v>
      </c>
      <c r="E11" s="37">
        <v>20</v>
      </c>
      <c r="F11" s="33"/>
      <c r="G11" s="434">
        <f t="shared" si="1"/>
        <v>20</v>
      </c>
      <c r="H11" s="465">
        <f t="shared" si="2"/>
        <v>3</v>
      </c>
      <c r="I11" s="36">
        <f aca="true" t="shared" si="5" ref="I11:I37">+G11/D11</f>
        <v>1.1764705882352942</v>
      </c>
      <c r="J11" s="37">
        <v>26</v>
      </c>
      <c r="K11" s="33"/>
      <c r="L11" s="434">
        <f t="shared" si="3"/>
        <v>26</v>
      </c>
      <c r="M11" s="465">
        <f t="shared" si="4"/>
        <v>6</v>
      </c>
      <c r="N11" s="39">
        <f aca="true" t="shared" si="6" ref="N11:N37">+L11/G11</f>
        <v>1.3</v>
      </c>
    </row>
    <row r="12" spans="1:14" ht="13.5" customHeight="1">
      <c r="A12" s="510" t="s">
        <v>15</v>
      </c>
      <c r="B12" s="37"/>
      <c r="C12" s="33"/>
      <c r="D12" s="434">
        <f t="shared" si="0"/>
        <v>0</v>
      </c>
      <c r="E12" s="37"/>
      <c r="F12" s="33"/>
      <c r="G12" s="434">
        <f t="shared" si="1"/>
        <v>0</v>
      </c>
      <c r="H12" s="465">
        <f t="shared" si="2"/>
        <v>0</v>
      </c>
      <c r="I12" s="36"/>
      <c r="J12" s="37"/>
      <c r="K12" s="33"/>
      <c r="L12" s="434">
        <f t="shared" si="3"/>
        <v>0</v>
      </c>
      <c r="M12" s="465">
        <f t="shared" si="4"/>
        <v>0</v>
      </c>
      <c r="N12" s="39"/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11170</v>
      </c>
      <c r="C15" s="33"/>
      <c r="D15" s="434">
        <f t="shared" si="0"/>
        <v>11170</v>
      </c>
      <c r="E15" s="37">
        <v>12053</v>
      </c>
      <c r="F15" s="33"/>
      <c r="G15" s="434">
        <f t="shared" si="1"/>
        <v>12053</v>
      </c>
      <c r="H15" s="465">
        <f t="shared" si="2"/>
        <v>883</v>
      </c>
      <c r="I15" s="36">
        <f t="shared" si="5"/>
        <v>1.07905102954342</v>
      </c>
      <c r="J15" s="57">
        <f>SUM(J16:J17)</f>
        <v>12671</v>
      </c>
      <c r="K15" s="33"/>
      <c r="L15" s="434">
        <f t="shared" si="3"/>
        <v>12671</v>
      </c>
      <c r="M15" s="465">
        <f t="shared" si="4"/>
        <v>618</v>
      </c>
      <c r="N15" s="39">
        <f t="shared" si="6"/>
        <v>1.051273541856799</v>
      </c>
    </row>
    <row r="16" spans="1:14" ht="13.5" customHeight="1">
      <c r="A16" s="511" t="s">
        <v>476</v>
      </c>
      <c r="B16" s="37"/>
      <c r="C16" s="33"/>
      <c r="D16" s="434"/>
      <c r="E16" s="37">
        <v>11808</v>
      </c>
      <c r="F16" s="33"/>
      <c r="G16" s="434">
        <f t="shared" si="1"/>
        <v>11808</v>
      </c>
      <c r="H16" s="465"/>
      <c r="I16" s="36"/>
      <c r="J16" s="57">
        <f>12376</f>
        <v>12376</v>
      </c>
      <c r="K16" s="33"/>
      <c r="L16" s="434">
        <f t="shared" si="3"/>
        <v>12376</v>
      </c>
      <c r="M16" s="465">
        <f t="shared" si="4"/>
        <v>568</v>
      </c>
      <c r="N16" s="39">
        <f t="shared" si="6"/>
        <v>1.0481029810298104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245</v>
      </c>
      <c r="F17" s="431"/>
      <c r="G17" s="434">
        <f t="shared" si="1"/>
        <v>245</v>
      </c>
      <c r="H17" s="466"/>
      <c r="I17" s="472"/>
      <c r="J17" s="438">
        <v>295</v>
      </c>
      <c r="K17" s="431"/>
      <c r="L17" s="434">
        <f t="shared" si="3"/>
        <v>295</v>
      </c>
      <c r="M17" s="465">
        <f t="shared" si="4"/>
        <v>50</v>
      </c>
      <c r="N17" s="39">
        <f t="shared" si="6"/>
        <v>1.2040816326530612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18635</v>
      </c>
      <c r="C18" s="425">
        <f t="shared" si="7"/>
        <v>0</v>
      </c>
      <c r="D18" s="426">
        <f t="shared" si="7"/>
        <v>18635</v>
      </c>
      <c r="E18" s="424">
        <f t="shared" si="7"/>
        <v>20104</v>
      </c>
      <c r="F18" s="425">
        <f t="shared" si="7"/>
        <v>0</v>
      </c>
      <c r="G18" s="426">
        <f t="shared" si="7"/>
        <v>20104</v>
      </c>
      <c r="H18" s="369">
        <f t="shared" si="2"/>
        <v>1469</v>
      </c>
      <c r="I18" s="63">
        <f t="shared" si="5"/>
        <v>1.078830158304266</v>
      </c>
      <c r="J18" s="437">
        <f>SUM(J7+J8+J9+J10+J11+J13+J15)</f>
        <v>20961</v>
      </c>
      <c r="K18" s="425">
        <f>SUM(K7+K8+K9+K10+K11+K13+K15)</f>
        <v>0</v>
      </c>
      <c r="L18" s="426">
        <f>SUM(L7+L8+L9+L10+L11+L13+L15)</f>
        <v>20961</v>
      </c>
      <c r="M18" s="369">
        <f t="shared" si="4"/>
        <v>857</v>
      </c>
      <c r="N18" s="370">
        <f t="shared" si="6"/>
        <v>1.0426283326701153</v>
      </c>
    </row>
    <row r="19" spans="1:14" ht="13.5" customHeight="1">
      <c r="A19" s="54" t="s">
        <v>20</v>
      </c>
      <c r="B19" s="25">
        <v>3272</v>
      </c>
      <c r="C19" s="26"/>
      <c r="D19" s="34">
        <f aca="true" t="shared" si="8" ref="D19:D36">SUM(B19:C19)</f>
        <v>3272</v>
      </c>
      <c r="E19" s="25">
        <v>3666</v>
      </c>
      <c r="F19" s="26"/>
      <c r="G19" s="27">
        <f>SUM(E19:F19)</f>
        <v>3666</v>
      </c>
      <c r="H19" s="28">
        <f t="shared" si="2"/>
        <v>394</v>
      </c>
      <c r="I19" s="55">
        <f t="shared" si="5"/>
        <v>1.1204156479217604</v>
      </c>
      <c r="J19" s="29">
        <v>3835</v>
      </c>
      <c r="K19" s="26"/>
      <c r="L19" s="30">
        <f>SUM(J19:K19)</f>
        <v>3835</v>
      </c>
      <c r="M19" s="28">
        <f t="shared" si="4"/>
        <v>169</v>
      </c>
      <c r="N19" s="56">
        <f t="shared" si="6"/>
        <v>1.0460992907801419</v>
      </c>
    </row>
    <row r="20" spans="1:14" ht="21" customHeight="1">
      <c r="A20" s="40" t="s">
        <v>21</v>
      </c>
      <c r="B20" s="25">
        <v>426</v>
      </c>
      <c r="C20" s="26"/>
      <c r="D20" s="34">
        <f t="shared" si="8"/>
        <v>426</v>
      </c>
      <c r="E20" s="25">
        <v>635</v>
      </c>
      <c r="F20" s="26"/>
      <c r="G20" s="27">
        <f aca="true" t="shared" si="9" ref="G20:G36">SUM(E20:F20)</f>
        <v>635</v>
      </c>
      <c r="H20" s="35">
        <f t="shared" si="2"/>
        <v>209</v>
      </c>
      <c r="I20" s="36">
        <f t="shared" si="5"/>
        <v>1.4906103286384977</v>
      </c>
      <c r="J20" s="29">
        <v>300</v>
      </c>
      <c r="K20" s="26"/>
      <c r="L20" s="30">
        <f aca="true" t="shared" si="10" ref="L20:L36">SUM(J20:K20)</f>
        <v>300</v>
      </c>
      <c r="M20" s="35">
        <f t="shared" si="4"/>
        <v>-335</v>
      </c>
      <c r="N20" s="39">
        <f t="shared" si="6"/>
        <v>0.47244094488188976</v>
      </c>
    </row>
    <row r="21" spans="1:14" ht="13.5" customHeight="1">
      <c r="A21" s="31" t="s">
        <v>22</v>
      </c>
      <c r="B21" s="32">
        <v>1712</v>
      </c>
      <c r="C21" s="33"/>
      <c r="D21" s="34">
        <f t="shared" si="8"/>
        <v>1712</v>
      </c>
      <c r="E21" s="32">
        <v>2024</v>
      </c>
      <c r="F21" s="33"/>
      <c r="G21" s="27">
        <f t="shared" si="9"/>
        <v>2024</v>
      </c>
      <c r="H21" s="35">
        <f t="shared" si="2"/>
        <v>312</v>
      </c>
      <c r="I21" s="36">
        <f t="shared" si="5"/>
        <v>1.1822429906542056</v>
      </c>
      <c r="J21" s="37">
        <v>2280</v>
      </c>
      <c r="K21" s="33"/>
      <c r="L21" s="30">
        <f t="shared" si="10"/>
        <v>2280</v>
      </c>
      <c r="M21" s="35">
        <f t="shared" si="4"/>
        <v>256</v>
      </c>
      <c r="N21" s="39">
        <f t="shared" si="6"/>
        <v>1.1264822134387351</v>
      </c>
    </row>
    <row r="22" spans="1:14" ht="13.5" customHeight="1">
      <c r="A22" s="40" t="s">
        <v>23</v>
      </c>
      <c r="B22" s="32"/>
      <c r="C22" s="33"/>
      <c r="D22" s="34">
        <f t="shared" si="8"/>
        <v>0</v>
      </c>
      <c r="E22" s="32"/>
      <c r="F22" s="33"/>
      <c r="G22" s="27">
        <f>SUM(E22:F22)</f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1074</v>
      </c>
      <c r="C24" s="33"/>
      <c r="D24" s="34">
        <f t="shared" si="8"/>
        <v>1074</v>
      </c>
      <c r="E24" s="37">
        <v>1030</v>
      </c>
      <c r="F24" s="33"/>
      <c r="G24" s="27">
        <f t="shared" si="9"/>
        <v>1030</v>
      </c>
      <c r="H24" s="35">
        <f t="shared" si="2"/>
        <v>-44</v>
      </c>
      <c r="I24" s="36">
        <f t="shared" si="5"/>
        <v>0.9590316573556797</v>
      </c>
      <c r="J24" s="37">
        <f>SUM(J25:J26)</f>
        <v>1070</v>
      </c>
      <c r="K24" s="33"/>
      <c r="L24" s="30">
        <f t="shared" si="10"/>
        <v>1070</v>
      </c>
      <c r="M24" s="35">
        <f t="shared" si="4"/>
        <v>40</v>
      </c>
      <c r="N24" s="39">
        <f t="shared" si="6"/>
        <v>1.0388349514563107</v>
      </c>
    </row>
    <row r="25" spans="1:14" ht="13.5" customHeight="1">
      <c r="A25" s="40" t="s">
        <v>26</v>
      </c>
      <c r="B25" s="32">
        <v>317</v>
      </c>
      <c r="C25" s="33"/>
      <c r="D25" s="34">
        <f t="shared" si="8"/>
        <v>317</v>
      </c>
      <c r="E25" s="32">
        <v>341</v>
      </c>
      <c r="F25" s="33"/>
      <c r="G25" s="27">
        <f t="shared" si="9"/>
        <v>341</v>
      </c>
      <c r="H25" s="35">
        <f t="shared" si="2"/>
        <v>24</v>
      </c>
      <c r="I25" s="36">
        <f t="shared" si="5"/>
        <v>1.0757097791798107</v>
      </c>
      <c r="J25" s="57">
        <v>380</v>
      </c>
      <c r="K25" s="33"/>
      <c r="L25" s="30">
        <f t="shared" si="10"/>
        <v>380</v>
      </c>
      <c r="M25" s="35">
        <f t="shared" si="4"/>
        <v>39</v>
      </c>
      <c r="N25" s="39">
        <f t="shared" si="6"/>
        <v>1.1143695014662756</v>
      </c>
    </row>
    <row r="26" spans="1:14" ht="13.5" customHeight="1">
      <c r="A26" s="31" t="s">
        <v>27</v>
      </c>
      <c r="B26" s="32">
        <v>754</v>
      </c>
      <c r="C26" s="33"/>
      <c r="D26" s="34">
        <f t="shared" si="8"/>
        <v>754</v>
      </c>
      <c r="E26" s="32">
        <v>689</v>
      </c>
      <c r="F26" s="33"/>
      <c r="G26" s="27">
        <f t="shared" si="9"/>
        <v>689</v>
      </c>
      <c r="H26" s="35">
        <f t="shared" si="2"/>
        <v>-65</v>
      </c>
      <c r="I26" s="36">
        <f t="shared" si="5"/>
        <v>0.9137931034482759</v>
      </c>
      <c r="J26" s="57">
        <v>690</v>
      </c>
      <c r="K26" s="33"/>
      <c r="L26" s="30">
        <f t="shared" si="10"/>
        <v>690</v>
      </c>
      <c r="M26" s="35">
        <f t="shared" si="4"/>
        <v>1</v>
      </c>
      <c r="N26" s="39">
        <f t="shared" si="6"/>
        <v>1.0014513788098693</v>
      </c>
    </row>
    <row r="27" spans="1:14" ht="13.5" customHeight="1">
      <c r="A27" s="58" t="s">
        <v>28</v>
      </c>
      <c r="B27" s="37">
        <v>10603</v>
      </c>
      <c r="C27" s="33"/>
      <c r="D27" s="34">
        <f t="shared" si="8"/>
        <v>10603</v>
      </c>
      <c r="E27" s="37">
        <v>11108</v>
      </c>
      <c r="F27" s="33"/>
      <c r="G27" s="27">
        <f t="shared" si="9"/>
        <v>11108</v>
      </c>
      <c r="H27" s="35">
        <f t="shared" si="2"/>
        <v>505</v>
      </c>
      <c r="I27" s="36">
        <f t="shared" si="5"/>
        <v>1.047628029802886</v>
      </c>
      <c r="J27" s="37">
        <f>J28+J31</f>
        <v>11572</v>
      </c>
      <c r="K27" s="33"/>
      <c r="L27" s="30">
        <f t="shared" si="10"/>
        <v>11572</v>
      </c>
      <c r="M27" s="35">
        <f t="shared" si="4"/>
        <v>464</v>
      </c>
      <c r="N27" s="39">
        <f t="shared" si="6"/>
        <v>1.041771696074901</v>
      </c>
    </row>
    <row r="28" spans="1:14" ht="13.5" customHeight="1">
      <c r="A28" s="40" t="s">
        <v>29</v>
      </c>
      <c r="B28" s="32">
        <v>7722</v>
      </c>
      <c r="C28" s="33"/>
      <c r="D28" s="34">
        <f t="shared" si="8"/>
        <v>7722</v>
      </c>
      <c r="E28" s="32">
        <v>8113</v>
      </c>
      <c r="F28" s="33"/>
      <c r="G28" s="27">
        <f t="shared" si="9"/>
        <v>8113</v>
      </c>
      <c r="H28" s="35">
        <f t="shared" si="2"/>
        <v>391</v>
      </c>
      <c r="I28" s="36">
        <f t="shared" si="5"/>
        <v>1.0506345506345507</v>
      </c>
      <c r="J28" s="57">
        <f>J29+J30</f>
        <v>8447</v>
      </c>
      <c r="K28" s="59"/>
      <c r="L28" s="30">
        <f t="shared" si="10"/>
        <v>8447</v>
      </c>
      <c r="M28" s="35">
        <f t="shared" si="4"/>
        <v>334</v>
      </c>
      <c r="N28" s="39">
        <f t="shared" si="6"/>
        <v>1.0411684950080118</v>
      </c>
    </row>
    <row r="29" spans="1:14" ht="13.5" customHeight="1">
      <c r="A29" s="58" t="s">
        <v>30</v>
      </c>
      <c r="B29" s="32">
        <v>7694</v>
      </c>
      <c r="C29" s="33"/>
      <c r="D29" s="34">
        <f t="shared" si="8"/>
        <v>7694</v>
      </c>
      <c r="E29" s="32">
        <v>8092</v>
      </c>
      <c r="F29" s="33"/>
      <c r="G29" s="27">
        <f t="shared" si="9"/>
        <v>8092</v>
      </c>
      <c r="H29" s="35">
        <f t="shared" si="2"/>
        <v>398</v>
      </c>
      <c r="I29" s="36">
        <f t="shared" si="5"/>
        <v>1.0517286197036653</v>
      </c>
      <c r="J29" s="37">
        <f>8212+215</f>
        <v>8427</v>
      </c>
      <c r="K29" s="33"/>
      <c r="L29" s="30">
        <f t="shared" si="10"/>
        <v>8427</v>
      </c>
      <c r="M29" s="35">
        <f t="shared" si="4"/>
        <v>335</v>
      </c>
      <c r="N29" s="39">
        <f t="shared" si="6"/>
        <v>1.0413989125061789</v>
      </c>
    </row>
    <row r="30" spans="1:14" ht="13.5" customHeight="1">
      <c r="A30" s="40" t="s">
        <v>31</v>
      </c>
      <c r="B30" s="32">
        <v>28</v>
      </c>
      <c r="C30" s="33"/>
      <c r="D30" s="34">
        <f t="shared" si="8"/>
        <v>28</v>
      </c>
      <c r="E30" s="32">
        <v>21</v>
      </c>
      <c r="F30" s="33"/>
      <c r="G30" s="27">
        <f t="shared" si="9"/>
        <v>21</v>
      </c>
      <c r="H30" s="35">
        <f t="shared" si="2"/>
        <v>-7</v>
      </c>
      <c r="I30" s="36">
        <f t="shared" si="5"/>
        <v>0.75</v>
      </c>
      <c r="J30" s="37">
        <v>20</v>
      </c>
      <c r="K30" s="33"/>
      <c r="L30" s="30">
        <f t="shared" si="10"/>
        <v>20</v>
      </c>
      <c r="M30" s="35">
        <f t="shared" si="4"/>
        <v>-1</v>
      </c>
      <c r="N30" s="39">
        <f t="shared" si="6"/>
        <v>0.9523809523809523</v>
      </c>
    </row>
    <row r="31" spans="1:14" ht="13.5" customHeight="1">
      <c r="A31" s="40" t="s">
        <v>32</v>
      </c>
      <c r="B31" s="32">
        <v>2881</v>
      </c>
      <c r="C31" s="33"/>
      <c r="D31" s="34">
        <f t="shared" si="8"/>
        <v>2881</v>
      </c>
      <c r="E31" s="32">
        <v>2995</v>
      </c>
      <c r="F31" s="33"/>
      <c r="G31" s="27">
        <f t="shared" si="9"/>
        <v>2995</v>
      </c>
      <c r="H31" s="35">
        <f t="shared" si="2"/>
        <v>114</v>
      </c>
      <c r="I31" s="36">
        <f t="shared" si="5"/>
        <v>1.0395695938910101</v>
      </c>
      <c r="J31" s="37">
        <f>3045+80</f>
        <v>3125</v>
      </c>
      <c r="K31" s="33"/>
      <c r="L31" s="30">
        <f t="shared" si="10"/>
        <v>3125</v>
      </c>
      <c r="M31" s="35">
        <f t="shared" si="4"/>
        <v>130</v>
      </c>
      <c r="N31" s="39">
        <f t="shared" si="6"/>
        <v>1.0434056761268782</v>
      </c>
    </row>
    <row r="32" spans="1:14" ht="13.5" customHeight="1">
      <c r="A32" s="58" t="s">
        <v>33</v>
      </c>
      <c r="B32" s="32"/>
      <c r="C32" s="33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94</v>
      </c>
      <c r="C33" s="33"/>
      <c r="D33" s="34">
        <f t="shared" si="8"/>
        <v>94</v>
      </c>
      <c r="E33" s="32">
        <v>108</v>
      </c>
      <c r="F33" s="33"/>
      <c r="G33" s="27">
        <f t="shared" si="9"/>
        <v>108</v>
      </c>
      <c r="H33" s="35">
        <f t="shared" si="2"/>
        <v>14</v>
      </c>
      <c r="I33" s="36">
        <f t="shared" si="5"/>
        <v>1.148936170212766</v>
      </c>
      <c r="J33" s="37">
        <v>110</v>
      </c>
      <c r="K33" s="33"/>
      <c r="L33" s="30">
        <f t="shared" si="10"/>
        <v>110</v>
      </c>
      <c r="M33" s="35">
        <f t="shared" si="4"/>
        <v>2</v>
      </c>
      <c r="N33" s="39">
        <f t="shared" si="6"/>
        <v>1.0185185185185186</v>
      </c>
    </row>
    <row r="34" spans="1:14" ht="13.5" customHeight="1">
      <c r="A34" s="40" t="s">
        <v>35</v>
      </c>
      <c r="B34" s="32">
        <v>1785</v>
      </c>
      <c r="C34" s="33"/>
      <c r="D34" s="34">
        <f t="shared" si="8"/>
        <v>1785</v>
      </c>
      <c r="E34" s="32">
        <v>2085</v>
      </c>
      <c r="F34" s="33"/>
      <c r="G34" s="27">
        <f t="shared" si="9"/>
        <v>2085</v>
      </c>
      <c r="H34" s="35">
        <f t="shared" si="2"/>
        <v>300</v>
      </c>
      <c r="I34" s="36">
        <f t="shared" si="5"/>
        <v>1.1680672268907564</v>
      </c>
      <c r="J34" s="57">
        <v>2094</v>
      </c>
      <c r="K34" s="33"/>
      <c r="L34" s="30">
        <f t="shared" si="10"/>
        <v>2094</v>
      </c>
      <c r="M34" s="35">
        <f t="shared" si="4"/>
        <v>9</v>
      </c>
      <c r="N34" s="39">
        <f t="shared" si="6"/>
        <v>1.0043165467625899</v>
      </c>
    </row>
    <row r="35" spans="1:14" ht="22.5" customHeight="1">
      <c r="A35" s="40" t="s">
        <v>36</v>
      </c>
      <c r="B35" s="32"/>
      <c r="C35" s="33"/>
      <c r="D35" s="34">
        <f t="shared" si="8"/>
        <v>0</v>
      </c>
      <c r="E35" s="32"/>
      <c r="F35" s="33"/>
      <c r="G35" s="27">
        <f t="shared" si="9"/>
        <v>0</v>
      </c>
      <c r="H35" s="35">
        <f t="shared" si="2"/>
        <v>0</v>
      </c>
      <c r="I35" s="36"/>
      <c r="J35" s="57"/>
      <c r="K35" s="33"/>
      <c r="L35" s="30">
        <f t="shared" si="10"/>
        <v>0</v>
      </c>
      <c r="M35" s="35">
        <f t="shared" si="4"/>
        <v>0</v>
      </c>
      <c r="N35" s="39"/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18540</v>
      </c>
      <c r="C37" s="48">
        <f t="shared" si="11"/>
        <v>0</v>
      </c>
      <c r="D37" s="49">
        <f t="shared" si="11"/>
        <v>18540</v>
      </c>
      <c r="E37" s="47">
        <f t="shared" si="11"/>
        <v>20021</v>
      </c>
      <c r="F37" s="48">
        <f t="shared" si="11"/>
        <v>0</v>
      </c>
      <c r="G37" s="49">
        <f t="shared" si="11"/>
        <v>20021</v>
      </c>
      <c r="H37" s="50">
        <f t="shared" si="2"/>
        <v>1481</v>
      </c>
      <c r="I37" s="51">
        <f t="shared" si="5"/>
        <v>1.0798813376483278</v>
      </c>
      <c r="J37" s="52">
        <f>SUM(J19+J21+J22+J23+J24+J27+J32+J33+J34+J36)</f>
        <v>20961</v>
      </c>
      <c r="K37" s="48">
        <f>SUM(K19+K21+K22+K23+K24+K27+K32+K33+K34+K36)</f>
        <v>0</v>
      </c>
      <c r="L37" s="49">
        <f>SUM(L19+L21+L22+L23+L24+L27+L32+L33+L34+L36)</f>
        <v>20961</v>
      </c>
      <c r="M37" s="50">
        <f t="shared" si="4"/>
        <v>940</v>
      </c>
      <c r="N37" s="53">
        <f t="shared" si="6"/>
        <v>1.0469507017631487</v>
      </c>
    </row>
    <row r="38" spans="1:14" ht="13.5" customHeight="1" thickBot="1">
      <c r="A38" s="46" t="s">
        <v>39</v>
      </c>
      <c r="B38" s="680">
        <f>+D18-D37</f>
        <v>95</v>
      </c>
      <c r="C38" s="681"/>
      <c r="D38" s="682"/>
      <c r="E38" s="680">
        <f>+G18-G37</f>
        <v>83</v>
      </c>
      <c r="F38" s="681"/>
      <c r="G38" s="682">
        <v>-50784</v>
      </c>
      <c r="H38" s="62">
        <f>+E38-B38</f>
        <v>-12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125</v>
      </c>
      <c r="B43" s="683"/>
      <c r="C43" s="66">
        <v>108</v>
      </c>
      <c r="D43" s="679" t="s">
        <v>381</v>
      </c>
      <c r="E43" s="657"/>
      <c r="F43" s="657"/>
      <c r="G43" s="67">
        <v>107</v>
      </c>
      <c r="H43" s="658" t="s">
        <v>105</v>
      </c>
      <c r="I43" s="659"/>
      <c r="J43" s="659"/>
      <c r="K43" s="659"/>
      <c r="L43" s="68">
        <v>430</v>
      </c>
      <c r="O43"/>
      <c r="P43"/>
    </row>
    <row r="44" spans="1:16" ht="12.75">
      <c r="A44" s="639" t="s">
        <v>96</v>
      </c>
      <c r="B44" s="646"/>
      <c r="C44" s="69">
        <v>1020</v>
      </c>
      <c r="D44" s="679" t="s">
        <v>144</v>
      </c>
      <c r="E44" s="657"/>
      <c r="F44" s="657"/>
      <c r="G44" s="70">
        <v>115</v>
      </c>
      <c r="H44" s="658" t="s">
        <v>151</v>
      </c>
      <c r="I44" s="659"/>
      <c r="J44" s="659"/>
      <c r="K44" s="659"/>
      <c r="L44" s="68">
        <v>230</v>
      </c>
      <c r="O44"/>
      <c r="P44"/>
    </row>
    <row r="45" spans="1:16" ht="12.75">
      <c r="A45" s="639"/>
      <c r="B45" s="646"/>
      <c r="C45" s="69"/>
      <c r="D45" s="679" t="s">
        <v>96</v>
      </c>
      <c r="E45" s="657"/>
      <c r="F45" s="657"/>
      <c r="G45" s="70">
        <v>1062</v>
      </c>
      <c r="H45" s="658" t="s">
        <v>96</v>
      </c>
      <c r="I45" s="659"/>
      <c r="J45" s="659"/>
      <c r="K45" s="659"/>
      <c r="L45" s="68">
        <v>1062</v>
      </c>
      <c r="O45"/>
      <c r="P45"/>
    </row>
    <row r="46" spans="1:16" ht="12.75">
      <c r="A46" s="647"/>
      <c r="B46" s="674"/>
      <c r="C46" s="71"/>
      <c r="D46" s="647"/>
      <c r="E46" s="648"/>
      <c r="F46" s="674"/>
      <c r="G46" s="72"/>
      <c r="H46" s="643"/>
      <c r="I46" s="644"/>
      <c r="J46" s="644"/>
      <c r="K46" s="645"/>
      <c r="L46" s="68"/>
      <c r="O46"/>
      <c r="P46"/>
    </row>
    <row r="47" spans="1:16" ht="12.75">
      <c r="A47" s="647"/>
      <c r="B47" s="674"/>
      <c r="C47" s="71"/>
      <c r="D47" s="647"/>
      <c r="E47" s="648"/>
      <c r="F47" s="674"/>
      <c r="G47" s="72"/>
      <c r="H47" s="643"/>
      <c r="I47" s="644"/>
      <c r="J47" s="644"/>
      <c r="K47" s="645"/>
      <c r="L47" s="68"/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/>
      <c r="I48" s="644"/>
      <c r="J48" s="644"/>
      <c r="K48" s="645"/>
      <c r="L48" s="68"/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/>
      <c r="B50" s="635"/>
      <c r="C50" s="73">
        <f>SUM(C43:C49)</f>
        <v>1128</v>
      </c>
      <c r="D50" s="660" t="s">
        <v>5</v>
      </c>
      <c r="E50" s="661"/>
      <c r="F50" s="661"/>
      <c r="G50" s="73">
        <f>SUM(G43:G49)</f>
        <v>1284</v>
      </c>
      <c r="H50" s="637" t="s">
        <v>5</v>
      </c>
      <c r="I50" s="638"/>
      <c r="J50" s="638"/>
      <c r="K50" s="638"/>
      <c r="L50" s="73">
        <f>SUM(L43:L49)</f>
        <v>1722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152</v>
      </c>
      <c r="B54" s="655"/>
      <c r="C54" s="66">
        <v>27</v>
      </c>
      <c r="D54" s="656" t="s">
        <v>152</v>
      </c>
      <c r="E54" s="657"/>
      <c r="F54" s="657"/>
      <c r="G54" s="76">
        <v>38</v>
      </c>
      <c r="H54" s="658" t="s">
        <v>152</v>
      </c>
      <c r="I54" s="659"/>
      <c r="J54" s="659"/>
      <c r="K54" s="659"/>
      <c r="L54" s="68">
        <v>30</v>
      </c>
      <c r="O54"/>
      <c r="P54"/>
    </row>
    <row r="55" spans="1:16" ht="13.5" customHeight="1">
      <c r="A55" s="639" t="s">
        <v>153</v>
      </c>
      <c r="B55" s="649"/>
      <c r="C55" s="69">
        <v>55</v>
      </c>
      <c r="D55" s="642" t="s">
        <v>156</v>
      </c>
      <c r="E55" s="646"/>
      <c r="F55" s="646"/>
      <c r="G55" s="77">
        <v>28</v>
      </c>
      <c r="H55" s="650" t="s">
        <v>153</v>
      </c>
      <c r="I55" s="651"/>
      <c r="J55" s="651"/>
      <c r="K55" s="651"/>
      <c r="L55" s="78">
        <v>30</v>
      </c>
      <c r="O55"/>
      <c r="P55"/>
    </row>
    <row r="56" spans="1:16" ht="13.5" customHeight="1">
      <c r="A56" s="639" t="s">
        <v>382</v>
      </c>
      <c r="B56" s="640"/>
      <c r="C56" s="69">
        <v>16</v>
      </c>
      <c r="D56" s="642" t="s">
        <v>154</v>
      </c>
      <c r="E56" s="646"/>
      <c r="F56" s="646"/>
      <c r="G56" s="77">
        <v>26</v>
      </c>
      <c r="H56" s="643" t="s">
        <v>154</v>
      </c>
      <c r="I56" s="644"/>
      <c r="J56" s="644"/>
      <c r="K56" s="645"/>
      <c r="L56" s="78">
        <v>30</v>
      </c>
      <c r="O56"/>
      <c r="P56"/>
    </row>
    <row r="57" spans="1:16" ht="13.5" customHeight="1">
      <c r="A57" s="639" t="s">
        <v>383</v>
      </c>
      <c r="B57" s="640"/>
      <c r="C57" s="69">
        <v>51</v>
      </c>
      <c r="D57" s="642" t="s">
        <v>384</v>
      </c>
      <c r="E57" s="646"/>
      <c r="F57" s="646"/>
      <c r="G57" s="77">
        <v>41</v>
      </c>
      <c r="H57" s="643" t="s">
        <v>155</v>
      </c>
      <c r="I57" s="644"/>
      <c r="J57" s="644"/>
      <c r="K57" s="645"/>
      <c r="L57" s="78">
        <v>20</v>
      </c>
      <c r="O57"/>
      <c r="P57"/>
    </row>
    <row r="58" spans="1:16" ht="13.5" customHeight="1">
      <c r="A58" s="647" t="s">
        <v>157</v>
      </c>
      <c r="B58" s="648"/>
      <c r="C58" s="71">
        <v>42</v>
      </c>
      <c r="D58" s="641" t="s">
        <v>385</v>
      </c>
      <c r="E58" s="641"/>
      <c r="F58" s="642"/>
      <c r="G58" s="178">
        <v>21</v>
      </c>
      <c r="H58" s="643" t="s">
        <v>386</v>
      </c>
      <c r="I58" s="644"/>
      <c r="J58" s="644"/>
      <c r="K58" s="645"/>
      <c r="L58" s="79">
        <v>30</v>
      </c>
      <c r="O58"/>
      <c r="P58"/>
    </row>
    <row r="59" spans="1:16" ht="13.5" customHeight="1">
      <c r="A59" s="639" t="s">
        <v>139</v>
      </c>
      <c r="B59" s="640"/>
      <c r="C59" s="71">
        <v>42</v>
      </c>
      <c r="D59" s="641" t="s">
        <v>386</v>
      </c>
      <c r="E59" s="641"/>
      <c r="F59" s="642"/>
      <c r="G59" s="178">
        <v>32</v>
      </c>
      <c r="H59" s="643" t="s">
        <v>365</v>
      </c>
      <c r="I59" s="644"/>
      <c r="J59" s="644"/>
      <c r="K59" s="645"/>
      <c r="L59" s="79">
        <v>60</v>
      </c>
      <c r="O59"/>
      <c r="P59"/>
    </row>
    <row r="60" spans="1:16" ht="13.5" customHeight="1">
      <c r="A60" s="639" t="s">
        <v>159</v>
      </c>
      <c r="B60" s="640"/>
      <c r="C60" s="69">
        <v>21</v>
      </c>
      <c r="D60" s="642" t="s">
        <v>387</v>
      </c>
      <c r="E60" s="646"/>
      <c r="F60" s="646"/>
      <c r="G60" s="77">
        <v>32</v>
      </c>
      <c r="H60" s="650" t="s">
        <v>158</v>
      </c>
      <c r="I60" s="651"/>
      <c r="J60" s="651"/>
      <c r="K60" s="651"/>
      <c r="L60" s="78">
        <v>180</v>
      </c>
      <c r="O60"/>
      <c r="P60"/>
    </row>
    <row r="61" spans="1:16" ht="13.5" thickBot="1">
      <c r="A61" s="627" t="s">
        <v>158</v>
      </c>
      <c r="B61" s="628"/>
      <c r="C61" s="80">
        <v>63</v>
      </c>
      <c r="D61" s="642" t="s">
        <v>158</v>
      </c>
      <c r="E61" s="646"/>
      <c r="F61" s="646"/>
      <c r="G61" s="81">
        <v>123</v>
      </c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73">
        <f>SUM(C54:C61)</f>
        <v>317</v>
      </c>
      <c r="D62" s="635" t="s">
        <v>5</v>
      </c>
      <c r="E62" s="636"/>
      <c r="F62" s="636"/>
      <c r="G62" s="83">
        <f>SUM(G54:G61)</f>
        <v>341</v>
      </c>
      <c r="H62" s="637" t="s">
        <v>5</v>
      </c>
      <c r="I62" s="638"/>
      <c r="J62" s="638"/>
      <c r="K62" s="638"/>
      <c r="L62" s="73">
        <f>SUM(L54:L61)</f>
        <v>380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39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115</v>
      </c>
      <c r="I67" s="580" t="s">
        <v>179</v>
      </c>
      <c r="J67" s="582"/>
      <c r="K67" s="582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76</v>
      </c>
      <c r="C68" s="583" t="s">
        <v>175</v>
      </c>
      <c r="D68" s="583"/>
      <c r="E68" s="159">
        <v>0</v>
      </c>
      <c r="F68" s="584" t="s">
        <v>177</v>
      </c>
      <c r="G68" s="585"/>
      <c r="H68" s="151">
        <v>67</v>
      </c>
      <c r="I68" s="583"/>
      <c r="J68" s="585"/>
      <c r="K68" s="585"/>
      <c r="L68" s="159"/>
      <c r="M68" s="84"/>
      <c r="N68" s="84"/>
    </row>
    <row r="69" spans="1:14" s="1" customFormat="1" ht="12.75">
      <c r="A69" s="158" t="s">
        <v>175</v>
      </c>
      <c r="B69" s="151"/>
      <c r="C69" s="583"/>
      <c r="D69" s="583"/>
      <c r="E69" s="159"/>
      <c r="F69" s="583" t="s">
        <v>175</v>
      </c>
      <c r="G69" s="583"/>
      <c r="H69" s="151"/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115</v>
      </c>
      <c r="C71" s="589" t="s">
        <v>5</v>
      </c>
      <c r="D71" s="589"/>
      <c r="E71" s="165">
        <f>SUM(E67:E70)</f>
        <v>0</v>
      </c>
      <c r="F71" s="590" t="s">
        <v>5</v>
      </c>
      <c r="G71" s="591"/>
      <c r="H71" s="161">
        <f>SUM(H67:H70)</f>
        <v>182</v>
      </c>
      <c r="I71" s="589" t="s">
        <v>5</v>
      </c>
      <c r="J71" s="591"/>
      <c r="K71" s="591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115</v>
      </c>
      <c r="C72" s="84"/>
      <c r="D72" s="84"/>
      <c r="E72" s="84"/>
      <c r="F72" s="592" t="s">
        <v>534</v>
      </c>
      <c r="G72" s="593"/>
      <c r="H72" s="183">
        <f>H71-L71</f>
        <v>182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601" t="s">
        <v>73</v>
      </c>
      <c r="B76" s="604" t="s">
        <v>495</v>
      </c>
      <c r="C76" s="607" t="s">
        <v>477</v>
      </c>
      <c r="D76" s="608"/>
      <c r="E76" s="608"/>
      <c r="F76" s="608"/>
      <c r="G76" s="608"/>
      <c r="H76" s="608"/>
      <c r="I76" s="609"/>
      <c r="J76" s="610" t="s">
        <v>496</v>
      </c>
      <c r="K76" s="7"/>
      <c r="L76" s="594" t="s">
        <v>48</v>
      </c>
      <c r="M76" s="595"/>
      <c r="N76" s="193">
        <v>2004</v>
      </c>
      <c r="O76" s="194">
        <v>2005</v>
      </c>
    </row>
    <row r="77" spans="1:15" s="1" customFormat="1" ht="12.75">
      <c r="A77" s="602"/>
      <c r="B77" s="605"/>
      <c r="C77" s="596" t="s">
        <v>76</v>
      </c>
      <c r="D77" s="598" t="s">
        <v>77</v>
      </c>
      <c r="E77" s="599"/>
      <c r="F77" s="599"/>
      <c r="G77" s="599"/>
      <c r="H77" s="599"/>
      <c r="I77" s="600"/>
      <c r="J77" s="611"/>
      <c r="K77" s="7"/>
      <c r="L77" s="197" t="s">
        <v>178</v>
      </c>
      <c r="M77" s="197"/>
      <c r="N77" s="192"/>
      <c r="O77" s="195"/>
    </row>
    <row r="78" spans="1:15" s="1" customFormat="1" ht="13.5" thickBot="1">
      <c r="A78" s="603"/>
      <c r="B78" s="606"/>
      <c r="C78" s="597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612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119301</v>
      </c>
      <c r="B79" s="117">
        <v>12323</v>
      </c>
      <c r="C79" s="170">
        <v>2094</v>
      </c>
      <c r="D79" s="171">
        <v>105</v>
      </c>
      <c r="E79" s="171">
        <v>830</v>
      </c>
      <c r="F79" s="171">
        <v>97</v>
      </c>
      <c r="G79" s="171">
        <v>0</v>
      </c>
      <c r="H79" s="170">
        <v>1062</v>
      </c>
      <c r="I79" s="184">
        <v>0</v>
      </c>
      <c r="J79" s="118">
        <f>SUM(A79-B79-C79)</f>
        <v>104884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618" t="s">
        <v>112</v>
      </c>
      <c r="B83" s="620" t="s">
        <v>482</v>
      </c>
      <c r="C83" s="622" t="s">
        <v>480</v>
      </c>
      <c r="D83" s="623"/>
      <c r="E83" s="623"/>
      <c r="F83" s="624"/>
      <c r="G83" s="625" t="s">
        <v>483</v>
      </c>
      <c r="H83" s="613" t="s">
        <v>78</v>
      </c>
      <c r="I83" s="615" t="s">
        <v>481</v>
      </c>
      <c r="J83" s="616"/>
      <c r="K83" s="616"/>
      <c r="L83" s="617"/>
    </row>
    <row r="84" spans="1:12" s="1" customFormat="1" ht="18.75" thickBot="1">
      <c r="A84" s="619"/>
      <c r="B84" s="621"/>
      <c r="C84" s="119" t="s">
        <v>81</v>
      </c>
      <c r="D84" s="120" t="s">
        <v>79</v>
      </c>
      <c r="E84" s="120" t="s">
        <v>80</v>
      </c>
      <c r="F84" s="121" t="s">
        <v>114</v>
      </c>
      <c r="G84" s="626"/>
      <c r="H84" s="614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1171.56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1243.68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0</v>
      </c>
      <c r="D86" s="131">
        <v>19</v>
      </c>
      <c r="E86" s="131">
        <v>0</v>
      </c>
      <c r="F86" s="132">
        <v>19</v>
      </c>
      <c r="G86" s="133">
        <v>0</v>
      </c>
      <c r="H86" s="453">
        <f>+G86-F86</f>
        <v>-19</v>
      </c>
      <c r="I86" s="130">
        <v>19</v>
      </c>
      <c r="J86" s="131">
        <v>16</v>
      </c>
      <c r="K86" s="131">
        <v>0</v>
      </c>
      <c r="L86" s="132">
        <f>I86+J86-K86</f>
        <v>35</v>
      </c>
    </row>
    <row r="87" spans="1:12" s="1" customFormat="1" ht="12.75">
      <c r="A87" s="128" t="s">
        <v>85</v>
      </c>
      <c r="B87" s="129">
        <v>0</v>
      </c>
      <c r="C87" s="130">
        <v>39</v>
      </c>
      <c r="D87" s="131">
        <v>76</v>
      </c>
      <c r="E87" s="131">
        <v>0</v>
      </c>
      <c r="F87" s="132">
        <f>C87+D87-E87</f>
        <v>115</v>
      </c>
      <c r="G87" s="133">
        <v>0</v>
      </c>
      <c r="H87" s="453">
        <f>+G87-F87</f>
        <v>-115</v>
      </c>
      <c r="I87" s="130">
        <v>115</v>
      </c>
      <c r="J87" s="131">
        <v>67</v>
      </c>
      <c r="K87" s="131">
        <v>0</v>
      </c>
      <c r="L87" s="132">
        <f>I87+J87-K87</f>
        <v>182</v>
      </c>
    </row>
    <row r="88" spans="1:12" s="1" customFormat="1" ht="12.75">
      <c r="A88" s="128" t="s">
        <v>113</v>
      </c>
      <c r="B88" s="129">
        <v>0</v>
      </c>
      <c r="C88" s="130">
        <v>656</v>
      </c>
      <c r="D88" s="131">
        <v>2085</v>
      </c>
      <c r="E88" s="131">
        <v>1284</v>
      </c>
      <c r="F88" s="132">
        <f>C88+D88-E88</f>
        <v>1457</v>
      </c>
      <c r="G88" s="133">
        <v>0</v>
      </c>
      <c r="H88" s="453">
        <f>+G88-F88</f>
        <v>-1457</v>
      </c>
      <c r="I88" s="461">
        <v>1457</v>
      </c>
      <c r="J88" s="447">
        <v>2094</v>
      </c>
      <c r="K88" s="447">
        <v>1722</v>
      </c>
      <c r="L88" s="132">
        <f>I88+J88-K88</f>
        <v>1829</v>
      </c>
    </row>
    <row r="89" spans="1:12" s="1" customFormat="1" ht="12.75">
      <c r="A89" s="128" t="s">
        <v>86</v>
      </c>
      <c r="B89" s="129">
        <v>1171.56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1243.68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148" t="s">
        <v>83</v>
      </c>
    </row>
    <row r="90" spans="1:12" s="1" customFormat="1" ht="13.5" thickBot="1">
      <c r="A90" s="134" t="s">
        <v>87</v>
      </c>
      <c r="B90" s="135">
        <v>154.97</v>
      </c>
      <c r="C90" s="136">
        <v>155</v>
      </c>
      <c r="D90" s="137">
        <v>162</v>
      </c>
      <c r="E90" s="137">
        <v>164</v>
      </c>
      <c r="F90" s="138">
        <f>C90+D90-E90</f>
        <v>153</v>
      </c>
      <c r="G90" s="139">
        <v>152.97</v>
      </c>
      <c r="H90" s="454">
        <f>+G90-F90</f>
        <v>-0.030000000000001137</v>
      </c>
      <c r="I90" s="136">
        <v>153</v>
      </c>
      <c r="J90" s="137">
        <v>168</v>
      </c>
      <c r="K90" s="137">
        <v>190</v>
      </c>
      <c r="L90" s="138">
        <f>I90+J90-K90</f>
        <v>131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15.51</v>
      </c>
      <c r="C95" s="131">
        <v>15.51</v>
      </c>
      <c r="D95" s="131"/>
      <c r="E95" s="131"/>
      <c r="F95" s="131"/>
      <c r="G95" s="129"/>
      <c r="H95" s="132">
        <f>SUM(C95:G95)</f>
        <v>15.51</v>
      </c>
      <c r="I95" s="89"/>
      <c r="J95" s="93">
        <v>2005</v>
      </c>
      <c r="K95" s="94">
        <v>8094</v>
      </c>
      <c r="L95" s="95">
        <f>+G29</f>
        <v>8092</v>
      </c>
    </row>
    <row r="96" spans="1:12" ht="13.5" thickBot="1">
      <c r="A96" s="145" t="s">
        <v>95</v>
      </c>
      <c r="B96" s="135">
        <v>1602.82</v>
      </c>
      <c r="C96" s="137">
        <v>1602.82</v>
      </c>
      <c r="D96" s="137"/>
      <c r="E96" s="137"/>
      <c r="F96" s="137"/>
      <c r="G96" s="135"/>
      <c r="H96" s="138">
        <f>SUM(C96:G96)</f>
        <v>1602.82</v>
      </c>
      <c r="I96" s="89"/>
      <c r="J96" s="96">
        <v>2006</v>
      </c>
      <c r="K96" s="97">
        <f>L29</f>
        <v>8427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</v>
      </c>
      <c r="C101" s="103">
        <v>4</v>
      </c>
      <c r="D101" s="103">
        <f>+C101-B101</f>
        <v>0</v>
      </c>
      <c r="E101" s="103">
        <v>4</v>
      </c>
      <c r="F101" s="103">
        <v>4</v>
      </c>
      <c r="G101" s="104">
        <f>+F101-E101</f>
        <v>0</v>
      </c>
      <c r="H101" s="105">
        <v>17273</v>
      </c>
      <c r="I101" s="106">
        <v>17804</v>
      </c>
      <c r="J101" s="107">
        <f>+I101-H101</f>
        <v>531</v>
      </c>
    </row>
    <row r="102" spans="1:10" ht="12.75">
      <c r="A102" s="102" t="s">
        <v>98</v>
      </c>
      <c r="B102" s="103">
        <v>7.7</v>
      </c>
      <c r="C102" s="103">
        <v>7.94</v>
      </c>
      <c r="D102" s="103">
        <f aca="true" t="shared" si="12" ref="D102:D111">+C102-B102</f>
        <v>0.2400000000000002</v>
      </c>
      <c r="E102" s="103">
        <v>7</v>
      </c>
      <c r="F102" s="103">
        <v>8</v>
      </c>
      <c r="G102" s="104">
        <f aca="true" t="shared" si="13" ref="G102:G111">+F102-E102</f>
        <v>1</v>
      </c>
      <c r="H102" s="105">
        <v>17506</v>
      </c>
      <c r="I102" s="108">
        <v>18918</v>
      </c>
      <c r="J102" s="107">
        <f aca="true" t="shared" si="14" ref="J102:J111">+I102-H102</f>
        <v>1412</v>
      </c>
    </row>
    <row r="103" spans="1:10" ht="12.75">
      <c r="A103" s="102" t="s">
        <v>60</v>
      </c>
      <c r="B103" s="103"/>
      <c r="C103" s="103"/>
      <c r="D103" s="103">
        <f t="shared" si="12"/>
        <v>0</v>
      </c>
      <c r="E103" s="103"/>
      <c r="F103" s="103"/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388</v>
      </c>
      <c r="B104" s="103">
        <v>13</v>
      </c>
      <c r="C104" s="103">
        <v>14.25</v>
      </c>
      <c r="D104" s="103">
        <f t="shared" si="12"/>
        <v>1.25</v>
      </c>
      <c r="E104" s="103">
        <v>13</v>
      </c>
      <c r="F104" s="103">
        <v>15</v>
      </c>
      <c r="G104" s="104">
        <f t="shared" si="13"/>
        <v>2</v>
      </c>
      <c r="H104" s="105">
        <v>12357</v>
      </c>
      <c r="I104" s="108">
        <v>12734</v>
      </c>
      <c r="J104" s="107">
        <f t="shared" si="14"/>
        <v>377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64</v>
      </c>
      <c r="B107" s="103"/>
      <c r="C107" s="103"/>
      <c r="D107" s="103">
        <f t="shared" si="12"/>
        <v>0</v>
      </c>
      <c r="E107" s="103"/>
      <c r="F107" s="103"/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389</v>
      </c>
      <c r="B108" s="103">
        <v>3</v>
      </c>
      <c r="C108" s="103">
        <v>3</v>
      </c>
      <c r="D108" s="103">
        <f t="shared" si="12"/>
        <v>0</v>
      </c>
      <c r="E108" s="103">
        <v>3</v>
      </c>
      <c r="F108" s="103">
        <v>3</v>
      </c>
      <c r="G108" s="104">
        <f t="shared" si="13"/>
        <v>0</v>
      </c>
      <c r="H108" s="105">
        <v>11808</v>
      </c>
      <c r="I108" s="108">
        <v>8887</v>
      </c>
      <c r="J108" s="107">
        <f t="shared" si="14"/>
        <v>-2921</v>
      </c>
    </row>
    <row r="109" spans="1:10" ht="12.75">
      <c r="A109" s="102" t="s">
        <v>66</v>
      </c>
      <c r="B109" s="103">
        <v>1</v>
      </c>
      <c r="C109" s="103">
        <v>1</v>
      </c>
      <c r="D109" s="103">
        <f t="shared" si="12"/>
        <v>0</v>
      </c>
      <c r="E109" s="103">
        <v>1</v>
      </c>
      <c r="F109" s="103">
        <v>1</v>
      </c>
      <c r="G109" s="104">
        <f t="shared" si="13"/>
        <v>0</v>
      </c>
      <c r="H109" s="105">
        <v>14386</v>
      </c>
      <c r="I109" s="108">
        <v>11859</v>
      </c>
      <c r="J109" s="107">
        <f t="shared" si="14"/>
        <v>-2527</v>
      </c>
    </row>
    <row r="110" spans="1:10" ht="12.75">
      <c r="A110" s="102" t="s">
        <v>67</v>
      </c>
      <c r="B110" s="103">
        <v>21</v>
      </c>
      <c r="C110" s="103">
        <v>21.59</v>
      </c>
      <c r="D110" s="103">
        <f t="shared" si="12"/>
        <v>0.5899999999999999</v>
      </c>
      <c r="E110" s="103">
        <v>21</v>
      </c>
      <c r="F110" s="103">
        <v>20</v>
      </c>
      <c r="G110" s="104">
        <f t="shared" si="13"/>
        <v>-1</v>
      </c>
      <c r="H110" s="105">
        <v>10800</v>
      </c>
      <c r="I110" s="108">
        <v>10501</v>
      </c>
      <c r="J110" s="107">
        <f t="shared" si="14"/>
        <v>-299</v>
      </c>
    </row>
    <row r="111" spans="1:10" ht="13.5" thickBot="1">
      <c r="A111" s="109" t="s">
        <v>5</v>
      </c>
      <c r="B111" s="110">
        <v>49.7</v>
      </c>
      <c r="C111" s="110">
        <v>51.87</v>
      </c>
      <c r="D111" s="110">
        <f t="shared" si="12"/>
        <v>2.1699999999999946</v>
      </c>
      <c r="E111" s="110">
        <v>49</v>
      </c>
      <c r="F111" s="110">
        <v>51</v>
      </c>
      <c r="G111" s="111">
        <f t="shared" si="13"/>
        <v>2</v>
      </c>
      <c r="H111" s="112">
        <v>12908</v>
      </c>
      <c r="I111" s="113">
        <v>13002</v>
      </c>
      <c r="J111" s="114">
        <f t="shared" si="14"/>
        <v>94</v>
      </c>
    </row>
    <row r="112" ht="13.5" thickBot="1"/>
    <row r="113" spans="1:16" ht="12.75">
      <c r="A113" s="706" t="s">
        <v>68</v>
      </c>
      <c r="B113" s="707"/>
      <c r="C113" s="708"/>
      <c r="D113" s="89"/>
      <c r="E113" s="706" t="s">
        <v>69</v>
      </c>
      <c r="F113" s="707"/>
      <c r="G113" s="708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709" t="s">
        <v>72</v>
      </c>
      <c r="G114" s="71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50</v>
      </c>
      <c r="C115" s="95">
        <v>51.87</v>
      </c>
      <c r="D115" s="89"/>
      <c r="E115" s="93">
        <v>2005</v>
      </c>
      <c r="F115" s="711">
        <v>100</v>
      </c>
      <c r="G115" s="624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50</v>
      </c>
      <c r="C116" s="98"/>
      <c r="D116" s="89"/>
      <c r="E116" s="96">
        <v>2006</v>
      </c>
      <c r="F116" s="704">
        <v>100</v>
      </c>
      <c r="G116" s="705"/>
      <c r="H116"/>
      <c r="I116"/>
      <c r="J116"/>
      <c r="K116"/>
      <c r="L116"/>
      <c r="M116"/>
      <c r="N116"/>
      <c r="O116"/>
      <c r="P116"/>
    </row>
  </sheetData>
  <mergeCells count="119">
    <mergeCell ref="J76:J78"/>
    <mergeCell ref="L76:M76"/>
    <mergeCell ref="C77:C78"/>
    <mergeCell ref="D77:I77"/>
    <mergeCell ref="F72:G72"/>
    <mergeCell ref="A76:A78"/>
    <mergeCell ref="B76:B78"/>
    <mergeCell ref="C76:I76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C66:D66"/>
    <mergeCell ref="F66:G66"/>
    <mergeCell ref="I66:K66"/>
    <mergeCell ref="C67:D67"/>
    <mergeCell ref="F67:G67"/>
    <mergeCell ref="I67:K67"/>
    <mergeCell ref="A61:B61"/>
    <mergeCell ref="D61:F61"/>
    <mergeCell ref="H61:K61"/>
    <mergeCell ref="A62:B62"/>
    <mergeCell ref="D62:F62"/>
    <mergeCell ref="H62:K62"/>
    <mergeCell ref="A59:B59"/>
    <mergeCell ref="D59:F59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H52:K53"/>
    <mergeCell ref="L52:L53"/>
    <mergeCell ref="A54:B54"/>
    <mergeCell ref="D54:F54"/>
    <mergeCell ref="H54:K54"/>
    <mergeCell ref="A52:B53"/>
    <mergeCell ref="C52:C53"/>
    <mergeCell ref="D52:F53"/>
    <mergeCell ref="G52:G53"/>
    <mergeCell ref="A49:B49"/>
    <mergeCell ref="D49:F49"/>
    <mergeCell ref="H49:K49"/>
    <mergeCell ref="A50:B50"/>
    <mergeCell ref="D50:F50"/>
    <mergeCell ref="H50:K50"/>
    <mergeCell ref="A47:B47"/>
    <mergeCell ref="D47:F47"/>
    <mergeCell ref="H47:K47"/>
    <mergeCell ref="A48:B48"/>
    <mergeCell ref="D48:F48"/>
    <mergeCell ref="H48:K48"/>
    <mergeCell ref="A45:B45"/>
    <mergeCell ref="D45:F45"/>
    <mergeCell ref="H45:K45"/>
    <mergeCell ref="A46:B46"/>
    <mergeCell ref="D46:F46"/>
    <mergeCell ref="H46:K46"/>
    <mergeCell ref="H41:K42"/>
    <mergeCell ref="A44:B44"/>
    <mergeCell ref="D44:F44"/>
    <mergeCell ref="H44:K44"/>
    <mergeCell ref="A3:A6"/>
    <mergeCell ref="B3:N3"/>
    <mergeCell ref="H4:I4"/>
    <mergeCell ref="M4:N4"/>
    <mergeCell ref="B38:D38"/>
    <mergeCell ref="E38:G38"/>
    <mergeCell ref="J38:L38"/>
    <mergeCell ref="B39:D39"/>
    <mergeCell ref="E39:G39"/>
    <mergeCell ref="L41:L42"/>
    <mergeCell ref="A43:B43"/>
    <mergeCell ref="D43:F43"/>
    <mergeCell ref="A65:E65"/>
    <mergeCell ref="F65:L65"/>
    <mergeCell ref="H43:K43"/>
    <mergeCell ref="A41:B42"/>
    <mergeCell ref="C41:C42"/>
    <mergeCell ref="D41:F42"/>
    <mergeCell ref="G41:G42"/>
    <mergeCell ref="J93:L93"/>
    <mergeCell ref="A99:A100"/>
    <mergeCell ref="B99:D99"/>
    <mergeCell ref="E99:G99"/>
    <mergeCell ref="H99:J99"/>
    <mergeCell ref="A93:A94"/>
    <mergeCell ref="B93:B94"/>
    <mergeCell ref="C93:H93"/>
    <mergeCell ref="F116:G116"/>
    <mergeCell ref="A113:C113"/>
    <mergeCell ref="E113:G113"/>
    <mergeCell ref="F114:G114"/>
    <mergeCell ref="F115:G115"/>
    <mergeCell ref="H83:H84"/>
    <mergeCell ref="I83:L83"/>
    <mergeCell ref="A83:A84"/>
    <mergeCell ref="B83:B84"/>
    <mergeCell ref="C83:F83"/>
    <mergeCell ref="G83:G84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K96" sqref="K96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M2" s="497"/>
      <c r="N2" s="498"/>
    </row>
    <row r="3" spans="1:14" ht="24" customHeight="1" thickBot="1">
      <c r="A3" s="684" t="s">
        <v>0</v>
      </c>
      <c r="B3" s="686" t="s">
        <v>429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712"/>
      <c r="N3" s="71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>
        <v>7216</v>
      </c>
      <c r="C7" s="428"/>
      <c r="D7" s="433">
        <f>SUM(B7:C7)</f>
        <v>7216</v>
      </c>
      <c r="E7" s="427">
        <v>7601</v>
      </c>
      <c r="F7" s="428"/>
      <c r="G7" s="433">
        <f>SUM(E7:F7)</f>
        <v>7601</v>
      </c>
      <c r="H7" s="464">
        <f>+G7-D7</f>
        <v>385</v>
      </c>
      <c r="I7" s="471">
        <f>+G7/D7</f>
        <v>1.0533536585365855</v>
      </c>
      <c r="J7" s="427">
        <v>7840</v>
      </c>
      <c r="K7" s="428"/>
      <c r="L7" s="433">
        <f>SUM(J7:K7)</f>
        <v>7840</v>
      </c>
      <c r="M7" s="464">
        <f>+L7-G7</f>
        <v>239</v>
      </c>
      <c r="N7" s="441">
        <f>+L7/G7</f>
        <v>1.0314432311537955</v>
      </c>
    </row>
    <row r="8" spans="1:14" ht="13.5" customHeight="1">
      <c r="A8" s="509" t="s">
        <v>11</v>
      </c>
      <c r="B8" s="37"/>
      <c r="C8" s="33"/>
      <c r="D8" s="434">
        <f>SUM(B8:C8)</f>
        <v>0</v>
      </c>
      <c r="E8" s="37"/>
      <c r="F8" s="33"/>
      <c r="G8" s="434">
        <f>SUM(E8:F8)</f>
        <v>0</v>
      </c>
      <c r="H8" s="465">
        <f>+G8-D8</f>
        <v>0</v>
      </c>
      <c r="I8" s="36"/>
      <c r="J8" s="37"/>
      <c r="K8" s="33"/>
      <c r="L8" s="434">
        <f>SUM(J8:K8)</f>
        <v>0</v>
      </c>
      <c r="M8" s="465">
        <f>+L8-G8</f>
        <v>0</v>
      </c>
      <c r="N8" s="39"/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75</v>
      </c>
      <c r="C11" s="33"/>
      <c r="D11" s="434">
        <f t="shared" si="0"/>
        <v>75</v>
      </c>
      <c r="E11" s="37">
        <v>78</v>
      </c>
      <c r="F11" s="33"/>
      <c r="G11" s="434">
        <f t="shared" si="1"/>
        <v>78</v>
      </c>
      <c r="H11" s="465">
        <f t="shared" si="2"/>
        <v>3</v>
      </c>
      <c r="I11" s="36">
        <f aca="true" t="shared" si="5" ref="I11:I37">+G11/D11</f>
        <v>1.04</v>
      </c>
      <c r="J11" s="37">
        <v>80</v>
      </c>
      <c r="K11" s="33"/>
      <c r="L11" s="434">
        <f t="shared" si="3"/>
        <v>80</v>
      </c>
      <c r="M11" s="465">
        <f t="shared" si="4"/>
        <v>2</v>
      </c>
      <c r="N11" s="39">
        <f aca="true" t="shared" si="6" ref="N11:N37">+L11/G11</f>
        <v>1.0256410256410255</v>
      </c>
    </row>
    <row r="12" spans="1:14" ht="13.5" customHeight="1">
      <c r="A12" s="510" t="s">
        <v>15</v>
      </c>
      <c r="B12" s="37"/>
      <c r="C12" s="33"/>
      <c r="D12" s="434">
        <f t="shared" si="0"/>
        <v>0</v>
      </c>
      <c r="E12" s="37"/>
      <c r="F12" s="33"/>
      <c r="G12" s="434">
        <f t="shared" si="1"/>
        <v>0</v>
      </c>
      <c r="H12" s="465">
        <f t="shared" si="2"/>
        <v>0</v>
      </c>
      <c r="I12" s="36"/>
      <c r="J12" s="37"/>
      <c r="K12" s="33"/>
      <c r="L12" s="434">
        <f t="shared" si="3"/>
        <v>0</v>
      </c>
      <c r="M12" s="465">
        <f t="shared" si="4"/>
        <v>0</v>
      </c>
      <c r="N12" s="39"/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11099</v>
      </c>
      <c r="C15" s="33"/>
      <c r="D15" s="434">
        <f t="shared" si="0"/>
        <v>11099</v>
      </c>
      <c r="E15" s="37">
        <v>11566</v>
      </c>
      <c r="F15" s="33"/>
      <c r="G15" s="434">
        <f t="shared" si="1"/>
        <v>11566</v>
      </c>
      <c r="H15" s="465">
        <f t="shared" si="2"/>
        <v>467</v>
      </c>
      <c r="I15" s="36">
        <f t="shared" si="5"/>
        <v>1.0420758626903324</v>
      </c>
      <c r="J15" s="57">
        <f>SUM(J16:J17)</f>
        <v>12263</v>
      </c>
      <c r="K15" s="33"/>
      <c r="L15" s="434">
        <f t="shared" si="3"/>
        <v>12263</v>
      </c>
      <c r="M15" s="465">
        <f t="shared" si="4"/>
        <v>697</v>
      </c>
      <c r="N15" s="39">
        <f t="shared" si="6"/>
        <v>1.0602628393567353</v>
      </c>
    </row>
    <row r="16" spans="1:14" ht="13.5" customHeight="1">
      <c r="A16" s="511" t="s">
        <v>476</v>
      </c>
      <c r="B16" s="37"/>
      <c r="C16" s="33"/>
      <c r="D16" s="434"/>
      <c r="E16" s="37">
        <v>11189</v>
      </c>
      <c r="F16" s="33"/>
      <c r="G16" s="434">
        <f t="shared" si="1"/>
        <v>11189</v>
      </c>
      <c r="H16" s="465"/>
      <c r="I16" s="36"/>
      <c r="J16" s="57">
        <f>11903</f>
        <v>11903</v>
      </c>
      <c r="K16" s="33"/>
      <c r="L16" s="434">
        <f t="shared" si="3"/>
        <v>11903</v>
      </c>
      <c r="M16" s="465">
        <f t="shared" si="4"/>
        <v>714</v>
      </c>
      <c r="N16" s="39">
        <f t="shared" si="6"/>
        <v>1.0638126731611404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377</v>
      </c>
      <c r="F17" s="431"/>
      <c r="G17" s="434">
        <f t="shared" si="1"/>
        <v>377</v>
      </c>
      <c r="H17" s="466"/>
      <c r="I17" s="472"/>
      <c r="J17" s="438">
        <v>360</v>
      </c>
      <c r="K17" s="431"/>
      <c r="L17" s="434">
        <f t="shared" si="3"/>
        <v>360</v>
      </c>
      <c r="M17" s="465">
        <f t="shared" si="4"/>
        <v>-17</v>
      </c>
      <c r="N17" s="39">
        <f t="shared" si="6"/>
        <v>0.9549071618037135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18390</v>
      </c>
      <c r="C18" s="425">
        <f t="shared" si="7"/>
        <v>0</v>
      </c>
      <c r="D18" s="426">
        <f t="shared" si="7"/>
        <v>18390</v>
      </c>
      <c r="E18" s="424">
        <f t="shared" si="7"/>
        <v>19245</v>
      </c>
      <c r="F18" s="425">
        <f t="shared" si="7"/>
        <v>0</v>
      </c>
      <c r="G18" s="426">
        <f t="shared" si="7"/>
        <v>19245</v>
      </c>
      <c r="H18" s="369">
        <f t="shared" si="2"/>
        <v>855</v>
      </c>
      <c r="I18" s="63">
        <f t="shared" si="5"/>
        <v>1.0464926590538337</v>
      </c>
      <c r="J18" s="437">
        <f>SUM(J7+J8+J9+J10+J11+J13+J15)</f>
        <v>20183</v>
      </c>
      <c r="K18" s="425">
        <f>SUM(K7+K8+K9+K10+K11+K13+K15)</f>
        <v>0</v>
      </c>
      <c r="L18" s="426">
        <f>SUM(L7+L8+L9+L10+L11+L13+L15)</f>
        <v>20183</v>
      </c>
      <c r="M18" s="369">
        <f t="shared" si="4"/>
        <v>938</v>
      </c>
      <c r="N18" s="370">
        <f t="shared" si="6"/>
        <v>1.048739932449987</v>
      </c>
    </row>
    <row r="19" spans="1:14" ht="13.5" customHeight="1">
      <c r="A19" s="54" t="s">
        <v>20</v>
      </c>
      <c r="B19" s="25">
        <v>3236</v>
      </c>
      <c r="C19" s="26"/>
      <c r="D19" s="34">
        <f aca="true" t="shared" si="8" ref="D19:D36">SUM(B19:C19)</f>
        <v>3236</v>
      </c>
      <c r="E19" s="25">
        <v>3279</v>
      </c>
      <c r="F19" s="26"/>
      <c r="G19" s="27">
        <f>SUM(E19:F19)</f>
        <v>3279</v>
      </c>
      <c r="H19" s="28">
        <f t="shared" si="2"/>
        <v>43</v>
      </c>
      <c r="I19" s="55">
        <f t="shared" si="5"/>
        <v>1.0132880098887516</v>
      </c>
      <c r="J19" s="29">
        <v>3483</v>
      </c>
      <c r="K19" s="26"/>
      <c r="L19" s="30">
        <f>SUM(J19:K19)</f>
        <v>3483</v>
      </c>
      <c r="M19" s="28">
        <f t="shared" si="4"/>
        <v>204</v>
      </c>
      <c r="N19" s="56">
        <f t="shared" si="6"/>
        <v>1.0622140896614822</v>
      </c>
    </row>
    <row r="20" spans="1:14" ht="21" customHeight="1">
      <c r="A20" s="40" t="s">
        <v>21</v>
      </c>
      <c r="B20" s="25">
        <v>406</v>
      </c>
      <c r="C20" s="26"/>
      <c r="D20" s="34">
        <f t="shared" si="8"/>
        <v>406</v>
      </c>
      <c r="E20" s="25">
        <v>470</v>
      </c>
      <c r="F20" s="26"/>
      <c r="G20" s="27">
        <f aca="true" t="shared" si="9" ref="G20:G36">SUM(E20:F20)</f>
        <v>470</v>
      </c>
      <c r="H20" s="35">
        <f t="shared" si="2"/>
        <v>64</v>
      </c>
      <c r="I20" s="36">
        <f t="shared" si="5"/>
        <v>1.1576354679802956</v>
      </c>
      <c r="J20" s="29">
        <v>430</v>
      </c>
      <c r="K20" s="26"/>
      <c r="L20" s="30">
        <f aca="true" t="shared" si="10" ref="L20:L36">SUM(J20:K20)</f>
        <v>430</v>
      </c>
      <c r="M20" s="35">
        <f t="shared" si="4"/>
        <v>-40</v>
      </c>
      <c r="N20" s="39">
        <f t="shared" si="6"/>
        <v>0.9148936170212766</v>
      </c>
    </row>
    <row r="21" spans="1:14" ht="13.5" customHeight="1">
      <c r="A21" s="31" t="s">
        <v>22</v>
      </c>
      <c r="B21" s="32">
        <v>1819</v>
      </c>
      <c r="C21" s="33"/>
      <c r="D21" s="34">
        <f t="shared" si="8"/>
        <v>1819</v>
      </c>
      <c r="E21" s="32">
        <v>2009</v>
      </c>
      <c r="F21" s="33"/>
      <c r="G21" s="27">
        <f t="shared" si="9"/>
        <v>2009</v>
      </c>
      <c r="H21" s="35">
        <f t="shared" si="2"/>
        <v>190</v>
      </c>
      <c r="I21" s="36">
        <f t="shared" si="5"/>
        <v>1.1044529961517318</v>
      </c>
      <c r="J21" s="37">
        <v>2405</v>
      </c>
      <c r="K21" s="33"/>
      <c r="L21" s="30">
        <f t="shared" si="10"/>
        <v>2405</v>
      </c>
      <c r="M21" s="35">
        <f t="shared" si="4"/>
        <v>396</v>
      </c>
      <c r="N21" s="39">
        <f t="shared" si="6"/>
        <v>1.1971129915380787</v>
      </c>
    </row>
    <row r="22" spans="1:14" ht="13.5" customHeight="1">
      <c r="A22" s="40" t="s">
        <v>23</v>
      </c>
      <c r="B22" s="32">
        <v>0</v>
      </c>
      <c r="C22" s="33"/>
      <c r="D22" s="34">
        <f t="shared" si="8"/>
        <v>0</v>
      </c>
      <c r="E22" s="32">
        <v>0</v>
      </c>
      <c r="F22" s="33"/>
      <c r="G22" s="27">
        <f t="shared" si="9"/>
        <v>0</v>
      </c>
      <c r="H22" s="35">
        <f t="shared" si="2"/>
        <v>0</v>
      </c>
      <c r="I22" s="36"/>
      <c r="J22" s="37">
        <v>0</v>
      </c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>
        <v>0</v>
      </c>
      <c r="C23" s="33"/>
      <c r="D23" s="34">
        <f t="shared" si="8"/>
        <v>0</v>
      </c>
      <c r="E23" s="32">
        <v>0</v>
      </c>
      <c r="F23" s="33"/>
      <c r="G23" s="27">
        <f t="shared" si="9"/>
        <v>0</v>
      </c>
      <c r="H23" s="35">
        <f t="shared" si="2"/>
        <v>0</v>
      </c>
      <c r="I23" s="36"/>
      <c r="J23" s="37">
        <v>0</v>
      </c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952</v>
      </c>
      <c r="C24" s="33"/>
      <c r="D24" s="34">
        <f t="shared" si="8"/>
        <v>952</v>
      </c>
      <c r="E24" s="37">
        <v>799</v>
      </c>
      <c r="F24" s="33"/>
      <c r="G24" s="27">
        <f t="shared" si="9"/>
        <v>799</v>
      </c>
      <c r="H24" s="35">
        <f t="shared" si="2"/>
        <v>-153</v>
      </c>
      <c r="I24" s="36">
        <f t="shared" si="5"/>
        <v>0.8392857142857143</v>
      </c>
      <c r="J24" s="37">
        <v>830</v>
      </c>
      <c r="K24" s="33"/>
      <c r="L24" s="30">
        <f t="shared" si="10"/>
        <v>830</v>
      </c>
      <c r="M24" s="35">
        <f t="shared" si="4"/>
        <v>31</v>
      </c>
      <c r="N24" s="39">
        <f t="shared" si="6"/>
        <v>1.0387984981226532</v>
      </c>
    </row>
    <row r="25" spans="1:14" ht="13.5" customHeight="1">
      <c r="A25" s="40" t="s">
        <v>26</v>
      </c>
      <c r="B25" s="32">
        <v>314</v>
      </c>
      <c r="C25" s="33"/>
      <c r="D25" s="34">
        <f t="shared" si="8"/>
        <v>314</v>
      </c>
      <c r="E25" s="32">
        <v>290</v>
      </c>
      <c r="F25" s="33"/>
      <c r="G25" s="27">
        <f t="shared" si="9"/>
        <v>290</v>
      </c>
      <c r="H25" s="35">
        <f t="shared" si="2"/>
        <v>-24</v>
      </c>
      <c r="I25" s="36">
        <f t="shared" si="5"/>
        <v>0.9235668789808917</v>
      </c>
      <c r="J25" s="57">
        <v>300</v>
      </c>
      <c r="K25" s="33"/>
      <c r="L25" s="30">
        <f t="shared" si="10"/>
        <v>300</v>
      </c>
      <c r="M25" s="35">
        <f t="shared" si="4"/>
        <v>10</v>
      </c>
      <c r="N25" s="39">
        <f t="shared" si="6"/>
        <v>1.0344827586206897</v>
      </c>
    </row>
    <row r="26" spans="1:14" ht="13.5" customHeight="1">
      <c r="A26" s="31" t="s">
        <v>27</v>
      </c>
      <c r="B26" s="32">
        <v>638</v>
      </c>
      <c r="C26" s="33"/>
      <c r="D26" s="34">
        <f t="shared" si="8"/>
        <v>638</v>
      </c>
      <c r="E26" s="32">
        <v>509</v>
      </c>
      <c r="F26" s="33"/>
      <c r="G26" s="27">
        <f t="shared" si="9"/>
        <v>509</v>
      </c>
      <c r="H26" s="35">
        <f t="shared" si="2"/>
        <v>-129</v>
      </c>
      <c r="I26" s="36">
        <f t="shared" si="5"/>
        <v>0.7978056426332288</v>
      </c>
      <c r="J26" s="57">
        <v>530</v>
      </c>
      <c r="K26" s="33"/>
      <c r="L26" s="30">
        <f t="shared" si="10"/>
        <v>530</v>
      </c>
      <c r="M26" s="35">
        <f t="shared" si="4"/>
        <v>21</v>
      </c>
      <c r="N26" s="39">
        <f t="shared" si="6"/>
        <v>1.0412573673870333</v>
      </c>
    </row>
    <row r="27" spans="1:14" ht="13.5" customHeight="1">
      <c r="A27" s="58" t="s">
        <v>28</v>
      </c>
      <c r="B27" s="37">
        <v>10522</v>
      </c>
      <c r="C27" s="33"/>
      <c r="D27" s="34">
        <f t="shared" si="8"/>
        <v>10522</v>
      </c>
      <c r="E27" s="37">
        <v>10920</v>
      </c>
      <c r="F27" s="33"/>
      <c r="G27" s="27">
        <f t="shared" si="9"/>
        <v>10920</v>
      </c>
      <c r="H27" s="35">
        <f t="shared" si="2"/>
        <v>398</v>
      </c>
      <c r="I27" s="36">
        <f t="shared" si="5"/>
        <v>1.037825508458468</v>
      </c>
      <c r="J27" s="37">
        <f>J28+J31</f>
        <v>11380</v>
      </c>
      <c r="K27" s="33"/>
      <c r="L27" s="30">
        <f t="shared" si="10"/>
        <v>11380</v>
      </c>
      <c r="M27" s="35">
        <f t="shared" si="4"/>
        <v>460</v>
      </c>
      <c r="N27" s="39">
        <f t="shared" si="6"/>
        <v>1.0421245421245422</v>
      </c>
    </row>
    <row r="28" spans="1:14" ht="13.5" customHeight="1">
      <c r="A28" s="40" t="s">
        <v>29</v>
      </c>
      <c r="B28" s="32">
        <v>7677</v>
      </c>
      <c r="C28" s="33"/>
      <c r="D28" s="34">
        <f t="shared" si="8"/>
        <v>7677</v>
      </c>
      <c r="E28" s="32">
        <v>7971</v>
      </c>
      <c r="F28" s="33"/>
      <c r="G28" s="27">
        <f t="shared" si="9"/>
        <v>7971</v>
      </c>
      <c r="H28" s="35">
        <f t="shared" si="2"/>
        <v>294</v>
      </c>
      <c r="I28" s="36">
        <f t="shared" si="5"/>
        <v>1.038296209456819</v>
      </c>
      <c r="J28" s="57">
        <f>J29+J30</f>
        <v>8307</v>
      </c>
      <c r="K28" s="59"/>
      <c r="L28" s="30">
        <f t="shared" si="10"/>
        <v>8307</v>
      </c>
      <c r="M28" s="35">
        <f t="shared" si="4"/>
        <v>336</v>
      </c>
      <c r="N28" s="39">
        <f t="shared" si="6"/>
        <v>1.042152803914189</v>
      </c>
    </row>
    <row r="29" spans="1:14" ht="13.5" customHeight="1">
      <c r="A29" s="58" t="s">
        <v>30</v>
      </c>
      <c r="B29" s="32">
        <v>7670</v>
      </c>
      <c r="C29" s="33"/>
      <c r="D29" s="34">
        <f t="shared" si="8"/>
        <v>7670</v>
      </c>
      <c r="E29" s="32">
        <v>7874</v>
      </c>
      <c r="F29" s="33"/>
      <c r="G29" s="27">
        <f t="shared" si="9"/>
        <v>7874</v>
      </c>
      <c r="H29" s="35">
        <f t="shared" si="2"/>
        <v>204</v>
      </c>
      <c r="I29" s="36">
        <f t="shared" si="5"/>
        <v>1.0265971316818774</v>
      </c>
      <c r="J29" s="37">
        <f>8044+263</f>
        <v>8307</v>
      </c>
      <c r="K29" s="33"/>
      <c r="L29" s="30">
        <f t="shared" si="10"/>
        <v>8307</v>
      </c>
      <c r="M29" s="35">
        <f t="shared" si="4"/>
        <v>433</v>
      </c>
      <c r="N29" s="39">
        <f t="shared" si="6"/>
        <v>1.05499110998222</v>
      </c>
    </row>
    <row r="30" spans="1:14" ht="13.5" customHeight="1">
      <c r="A30" s="40" t="s">
        <v>31</v>
      </c>
      <c r="B30" s="32">
        <v>7</v>
      </c>
      <c r="C30" s="33"/>
      <c r="D30" s="34">
        <f t="shared" si="8"/>
        <v>7</v>
      </c>
      <c r="E30" s="32">
        <v>97</v>
      </c>
      <c r="F30" s="33"/>
      <c r="G30" s="27">
        <f t="shared" si="9"/>
        <v>97</v>
      </c>
      <c r="H30" s="35">
        <f t="shared" si="2"/>
        <v>90</v>
      </c>
      <c r="I30" s="36">
        <f t="shared" si="5"/>
        <v>13.857142857142858</v>
      </c>
      <c r="J30" s="37">
        <v>0</v>
      </c>
      <c r="K30" s="33"/>
      <c r="L30" s="30">
        <f t="shared" si="10"/>
        <v>0</v>
      </c>
      <c r="M30" s="35">
        <f t="shared" si="4"/>
        <v>-97</v>
      </c>
      <c r="N30" s="39">
        <f t="shared" si="6"/>
        <v>0</v>
      </c>
    </row>
    <row r="31" spans="1:14" ht="13.5" customHeight="1">
      <c r="A31" s="40" t="s">
        <v>32</v>
      </c>
      <c r="B31" s="32">
        <v>2845</v>
      </c>
      <c r="C31" s="33"/>
      <c r="D31" s="34">
        <f t="shared" si="8"/>
        <v>2845</v>
      </c>
      <c r="E31" s="32">
        <v>2949</v>
      </c>
      <c r="F31" s="33"/>
      <c r="G31" s="27">
        <f t="shared" si="9"/>
        <v>2949</v>
      </c>
      <c r="H31" s="35">
        <f t="shared" si="2"/>
        <v>104</v>
      </c>
      <c r="I31" s="36">
        <f t="shared" si="5"/>
        <v>1.036555360281195</v>
      </c>
      <c r="J31" s="37">
        <f>2976+97</f>
        <v>3073</v>
      </c>
      <c r="K31" s="33"/>
      <c r="L31" s="30">
        <f t="shared" si="10"/>
        <v>3073</v>
      </c>
      <c r="M31" s="35">
        <f t="shared" si="4"/>
        <v>124</v>
      </c>
      <c r="N31" s="39">
        <f t="shared" si="6"/>
        <v>1.0420481519159037</v>
      </c>
    </row>
    <row r="32" spans="1:14" ht="13.5" customHeight="1">
      <c r="A32" s="58" t="s">
        <v>33</v>
      </c>
      <c r="B32" s="32">
        <v>0</v>
      </c>
      <c r="C32" s="33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>
        <v>0</v>
      </c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92</v>
      </c>
      <c r="C33" s="33"/>
      <c r="D33" s="34">
        <f t="shared" si="8"/>
        <v>92</v>
      </c>
      <c r="E33" s="32">
        <v>141</v>
      </c>
      <c r="F33" s="33"/>
      <c r="G33" s="27">
        <f t="shared" si="9"/>
        <v>141</v>
      </c>
      <c r="H33" s="35">
        <f t="shared" si="2"/>
        <v>49</v>
      </c>
      <c r="I33" s="36">
        <f t="shared" si="5"/>
        <v>1.5326086956521738</v>
      </c>
      <c r="J33" s="37">
        <v>92</v>
      </c>
      <c r="K33" s="33"/>
      <c r="L33" s="30">
        <f t="shared" si="10"/>
        <v>92</v>
      </c>
      <c r="M33" s="35">
        <f t="shared" si="4"/>
        <v>-49</v>
      </c>
      <c r="N33" s="39">
        <f t="shared" si="6"/>
        <v>0.6524822695035462</v>
      </c>
    </row>
    <row r="34" spans="1:14" ht="13.5" customHeight="1">
      <c r="A34" s="40" t="s">
        <v>35</v>
      </c>
      <c r="B34" s="32">
        <v>1711</v>
      </c>
      <c r="C34" s="33"/>
      <c r="D34" s="34">
        <f t="shared" si="8"/>
        <v>1711</v>
      </c>
      <c r="E34" s="32">
        <v>1992</v>
      </c>
      <c r="F34" s="33"/>
      <c r="G34" s="27">
        <f t="shared" si="9"/>
        <v>1992</v>
      </c>
      <c r="H34" s="35">
        <f t="shared" si="2"/>
        <v>281</v>
      </c>
      <c r="I34" s="36">
        <f t="shared" si="5"/>
        <v>1.1642314436002337</v>
      </c>
      <c r="J34" s="57">
        <v>1993</v>
      </c>
      <c r="K34" s="33"/>
      <c r="L34" s="30">
        <f t="shared" si="10"/>
        <v>1993</v>
      </c>
      <c r="M34" s="35">
        <f t="shared" si="4"/>
        <v>1</v>
      </c>
      <c r="N34" s="39">
        <f t="shared" si="6"/>
        <v>1.0005020080321285</v>
      </c>
    </row>
    <row r="35" spans="1:14" ht="22.5" customHeight="1">
      <c r="A35" s="40" t="s">
        <v>36</v>
      </c>
      <c r="B35" s="32">
        <v>1711</v>
      </c>
      <c r="C35" s="33"/>
      <c r="D35" s="34">
        <f t="shared" si="8"/>
        <v>1711</v>
      </c>
      <c r="E35" s="32">
        <v>1992</v>
      </c>
      <c r="F35" s="33"/>
      <c r="G35" s="27">
        <f t="shared" si="9"/>
        <v>1992</v>
      </c>
      <c r="H35" s="35">
        <f t="shared" si="2"/>
        <v>281</v>
      </c>
      <c r="I35" s="36">
        <f t="shared" si="5"/>
        <v>1.1642314436002337</v>
      </c>
      <c r="J35" s="57">
        <v>1993</v>
      </c>
      <c r="K35" s="33"/>
      <c r="L35" s="30">
        <f t="shared" si="10"/>
        <v>1993</v>
      </c>
      <c r="M35" s="35">
        <f t="shared" si="4"/>
        <v>1</v>
      </c>
      <c r="N35" s="39">
        <f t="shared" si="6"/>
        <v>1.0005020080321285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18332</v>
      </c>
      <c r="C37" s="48">
        <f t="shared" si="11"/>
        <v>0</v>
      </c>
      <c r="D37" s="49">
        <f t="shared" si="11"/>
        <v>18332</v>
      </c>
      <c r="E37" s="47">
        <f t="shared" si="11"/>
        <v>19140</v>
      </c>
      <c r="F37" s="48">
        <f t="shared" si="11"/>
        <v>0</v>
      </c>
      <c r="G37" s="49">
        <f t="shared" si="11"/>
        <v>19140</v>
      </c>
      <c r="H37" s="50">
        <f t="shared" si="2"/>
        <v>808</v>
      </c>
      <c r="I37" s="51">
        <f t="shared" si="5"/>
        <v>1.0440759327951123</v>
      </c>
      <c r="J37" s="52">
        <f>SUM(J19+J21+J22+J23+J24+J27+J32+J33+J34+J36)</f>
        <v>20183</v>
      </c>
      <c r="K37" s="48">
        <f>SUM(K19+K21+K22+K23+K24+K27+K32+K33+K34+K36)</f>
        <v>0</v>
      </c>
      <c r="L37" s="49">
        <f>SUM(L19+L21+L22+L23+L24+L27+L32+L33+L34+L36)</f>
        <v>20183</v>
      </c>
      <c r="M37" s="50">
        <f t="shared" si="4"/>
        <v>1043</v>
      </c>
      <c r="N37" s="53">
        <f t="shared" si="6"/>
        <v>1.0544932079414837</v>
      </c>
    </row>
    <row r="38" spans="1:14" ht="13.5" customHeight="1" thickBot="1">
      <c r="A38" s="46" t="s">
        <v>39</v>
      </c>
      <c r="B38" s="680">
        <v>59</v>
      </c>
      <c r="C38" s="681"/>
      <c r="D38" s="682"/>
      <c r="E38" s="680">
        <f>+G18-G37</f>
        <v>105</v>
      </c>
      <c r="F38" s="681"/>
      <c r="G38" s="682">
        <v>-50784</v>
      </c>
      <c r="H38" s="62">
        <f>+E38-B38</f>
        <v>46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160</v>
      </c>
      <c r="B43" s="683"/>
      <c r="C43" s="66">
        <v>75</v>
      </c>
      <c r="D43" s="679" t="s">
        <v>370</v>
      </c>
      <c r="E43" s="657"/>
      <c r="F43" s="657"/>
      <c r="G43" s="67">
        <v>222</v>
      </c>
      <c r="H43" s="658" t="s">
        <v>371</v>
      </c>
      <c r="I43" s="659"/>
      <c r="J43" s="659"/>
      <c r="K43" s="659"/>
      <c r="L43" s="68">
        <v>80</v>
      </c>
      <c r="O43"/>
      <c r="P43"/>
    </row>
    <row r="44" spans="1:16" ht="12.75">
      <c r="A44" s="639" t="s">
        <v>161</v>
      </c>
      <c r="B44" s="646"/>
      <c r="C44" s="69">
        <v>154</v>
      </c>
      <c r="D44" s="679" t="s">
        <v>96</v>
      </c>
      <c r="E44" s="657"/>
      <c r="F44" s="657"/>
      <c r="G44" s="70">
        <v>1104</v>
      </c>
      <c r="H44" s="658" t="s">
        <v>372</v>
      </c>
      <c r="I44" s="659"/>
      <c r="J44" s="659"/>
      <c r="K44" s="659"/>
      <c r="L44" s="68">
        <v>250</v>
      </c>
      <c r="O44"/>
      <c r="P44"/>
    </row>
    <row r="45" spans="1:16" ht="12.75">
      <c r="A45" s="639"/>
      <c r="B45" s="646"/>
      <c r="C45" s="69"/>
      <c r="D45" s="679"/>
      <c r="E45" s="657"/>
      <c r="F45" s="657"/>
      <c r="G45" s="70"/>
      <c r="H45" s="658" t="s">
        <v>96</v>
      </c>
      <c r="I45" s="659"/>
      <c r="J45" s="659"/>
      <c r="K45" s="659"/>
      <c r="L45" s="68">
        <v>1108</v>
      </c>
      <c r="O45"/>
      <c r="P45"/>
    </row>
    <row r="46" spans="1:16" ht="12.75">
      <c r="A46" s="647"/>
      <c r="B46" s="674"/>
      <c r="C46" s="71"/>
      <c r="D46" s="647"/>
      <c r="E46" s="648"/>
      <c r="F46" s="674"/>
      <c r="G46" s="72"/>
      <c r="H46" s="643"/>
      <c r="I46" s="644"/>
      <c r="J46" s="644"/>
      <c r="K46" s="645"/>
      <c r="L46" s="68"/>
      <c r="O46"/>
      <c r="P46"/>
    </row>
    <row r="47" spans="1:16" ht="12.75">
      <c r="A47" s="647"/>
      <c r="B47" s="674"/>
      <c r="C47" s="71"/>
      <c r="D47" s="647"/>
      <c r="E47" s="648"/>
      <c r="F47" s="674"/>
      <c r="G47" s="72"/>
      <c r="H47" s="643"/>
      <c r="I47" s="644"/>
      <c r="J47" s="644"/>
      <c r="K47" s="645"/>
      <c r="L47" s="68"/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/>
      <c r="I48" s="644"/>
      <c r="J48" s="644"/>
      <c r="K48" s="645"/>
      <c r="L48" s="68"/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/>
      <c r="B50" s="635"/>
      <c r="C50" s="73">
        <f>SUM(C43:C49)</f>
        <v>229</v>
      </c>
      <c r="D50" s="660" t="s">
        <v>5</v>
      </c>
      <c r="E50" s="661"/>
      <c r="F50" s="661"/>
      <c r="G50" s="73">
        <f>SUM(G43:G44)</f>
        <v>1326</v>
      </c>
      <c r="H50" s="637" t="s">
        <v>5</v>
      </c>
      <c r="I50" s="638"/>
      <c r="J50" s="638"/>
      <c r="K50" s="638"/>
      <c r="L50" s="73">
        <f>SUM(L43:L45)</f>
        <v>1438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163</v>
      </c>
      <c r="B54" s="655"/>
      <c r="C54" s="66">
        <v>314</v>
      </c>
      <c r="D54" s="656" t="s">
        <v>162</v>
      </c>
      <c r="E54" s="657"/>
      <c r="F54" s="657"/>
      <c r="G54" s="76">
        <v>290</v>
      </c>
      <c r="H54" s="658" t="s">
        <v>162</v>
      </c>
      <c r="I54" s="659"/>
      <c r="J54" s="659"/>
      <c r="K54" s="659"/>
      <c r="L54" s="68">
        <v>300</v>
      </c>
      <c r="O54"/>
      <c r="P54"/>
    </row>
    <row r="55" spans="1:16" ht="13.5" customHeight="1">
      <c r="A55" s="639"/>
      <c r="B55" s="649"/>
      <c r="C55" s="69"/>
      <c r="D55" s="642"/>
      <c r="E55" s="646"/>
      <c r="F55" s="646"/>
      <c r="G55" s="77"/>
      <c r="H55" s="650"/>
      <c r="I55" s="651"/>
      <c r="J55" s="651"/>
      <c r="K55" s="651"/>
      <c r="L55" s="78"/>
      <c r="O55"/>
      <c r="P55"/>
    </row>
    <row r="56" spans="1:16" ht="13.5" customHeight="1">
      <c r="A56" s="639"/>
      <c r="B56" s="640"/>
      <c r="C56" s="69"/>
      <c r="D56" s="642"/>
      <c r="E56" s="646"/>
      <c r="F56" s="646"/>
      <c r="G56" s="77"/>
      <c r="H56" s="643"/>
      <c r="I56" s="644"/>
      <c r="J56" s="644"/>
      <c r="K56" s="645"/>
      <c r="L56" s="78"/>
      <c r="O56"/>
      <c r="P56"/>
    </row>
    <row r="57" spans="1:16" ht="13.5" customHeight="1">
      <c r="A57" s="639"/>
      <c r="B57" s="640"/>
      <c r="C57" s="69"/>
      <c r="D57" s="642"/>
      <c r="E57" s="646"/>
      <c r="F57" s="646"/>
      <c r="G57" s="77"/>
      <c r="H57" s="643"/>
      <c r="I57" s="644"/>
      <c r="J57" s="644"/>
      <c r="K57" s="645"/>
      <c r="L57" s="78"/>
      <c r="O57"/>
      <c r="P57"/>
    </row>
    <row r="58" spans="1:16" ht="13.5" customHeight="1">
      <c r="A58" s="647"/>
      <c r="B58" s="648"/>
      <c r="C58" s="71"/>
      <c r="D58" s="641"/>
      <c r="E58" s="641"/>
      <c r="F58" s="642"/>
      <c r="G58" s="178"/>
      <c r="H58" s="643"/>
      <c r="I58" s="644"/>
      <c r="J58" s="644"/>
      <c r="K58" s="645"/>
      <c r="L58" s="79"/>
      <c r="O58"/>
      <c r="P58"/>
    </row>
    <row r="59" spans="1:16" ht="13.5" customHeight="1">
      <c r="A59" s="639"/>
      <c r="B59" s="640"/>
      <c r="C59" s="71"/>
      <c r="D59" s="641"/>
      <c r="E59" s="641"/>
      <c r="F59" s="642"/>
      <c r="G59" s="178"/>
      <c r="H59" s="643"/>
      <c r="I59" s="644"/>
      <c r="J59" s="644"/>
      <c r="K59" s="645"/>
      <c r="L59" s="79"/>
      <c r="O59"/>
      <c r="P59"/>
    </row>
    <row r="60" spans="1:16" ht="13.5" customHeight="1">
      <c r="A60" s="639"/>
      <c r="B60" s="640"/>
      <c r="C60" s="69"/>
      <c r="D60" s="642"/>
      <c r="E60" s="646"/>
      <c r="F60" s="646"/>
      <c r="G60" s="77"/>
      <c r="H60" s="643"/>
      <c r="I60" s="644"/>
      <c r="J60" s="644"/>
      <c r="K60" s="645"/>
      <c r="L60" s="78"/>
      <c r="O60"/>
      <c r="P60"/>
    </row>
    <row r="61" spans="1:16" ht="13.5" thickBot="1">
      <c r="A61" s="627"/>
      <c r="B61" s="628"/>
      <c r="C61" s="80"/>
      <c r="D61" s="629"/>
      <c r="E61" s="630"/>
      <c r="F61" s="630"/>
      <c r="G61" s="81"/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73">
        <f>SUM(C54:C61)</f>
        <v>314</v>
      </c>
      <c r="D62" s="635" t="s">
        <v>5</v>
      </c>
      <c r="E62" s="636"/>
      <c r="F62" s="636"/>
      <c r="G62" s="83">
        <f>SUM(G54:G61)</f>
        <v>290</v>
      </c>
      <c r="H62" s="637" t="s">
        <v>5</v>
      </c>
      <c r="I62" s="638"/>
      <c r="J62" s="638"/>
      <c r="K62" s="638"/>
      <c r="L62" s="73">
        <f>SUM(L54:L61)</f>
        <v>300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0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47</v>
      </c>
      <c r="I67" s="580" t="s">
        <v>179</v>
      </c>
      <c r="J67" s="582"/>
      <c r="K67" s="582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47</v>
      </c>
      <c r="C68" s="583" t="s">
        <v>175</v>
      </c>
      <c r="D68" s="583"/>
      <c r="E68" s="159">
        <v>0</v>
      </c>
      <c r="F68" s="584" t="s">
        <v>177</v>
      </c>
      <c r="G68" s="585"/>
      <c r="H68" s="151">
        <v>84</v>
      </c>
      <c r="I68" s="583"/>
      <c r="J68" s="585"/>
      <c r="K68" s="585"/>
      <c r="L68" s="159"/>
      <c r="M68" s="84"/>
      <c r="N68" s="84"/>
    </row>
    <row r="69" spans="1:14" s="1" customFormat="1" ht="12.75">
      <c r="A69" s="158" t="s">
        <v>175</v>
      </c>
      <c r="B69" s="151"/>
      <c r="C69" s="583"/>
      <c r="D69" s="583"/>
      <c r="E69" s="159"/>
      <c r="F69" s="583" t="s">
        <v>175</v>
      </c>
      <c r="G69" s="583"/>
      <c r="H69" s="151"/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47</v>
      </c>
      <c r="C71" s="589" t="s">
        <v>5</v>
      </c>
      <c r="D71" s="589"/>
      <c r="E71" s="165">
        <f>SUM(E67:E70)</f>
        <v>0</v>
      </c>
      <c r="F71" s="590" t="s">
        <v>5</v>
      </c>
      <c r="G71" s="591"/>
      <c r="H71" s="161">
        <f>SUM(H67:H70)</f>
        <v>131</v>
      </c>
      <c r="I71" s="589" t="s">
        <v>5</v>
      </c>
      <c r="J71" s="591"/>
      <c r="K71" s="591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47</v>
      </c>
      <c r="C72" s="84"/>
      <c r="D72" s="84"/>
      <c r="E72" s="84"/>
      <c r="F72" s="592" t="s">
        <v>534</v>
      </c>
      <c r="G72" s="593"/>
      <c r="H72" s="183">
        <f>H71-L71</f>
        <v>131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601" t="s">
        <v>73</v>
      </c>
      <c r="B76" s="604" t="s">
        <v>495</v>
      </c>
      <c r="C76" s="607" t="s">
        <v>477</v>
      </c>
      <c r="D76" s="608"/>
      <c r="E76" s="608"/>
      <c r="F76" s="608"/>
      <c r="G76" s="608"/>
      <c r="H76" s="608"/>
      <c r="I76" s="609"/>
      <c r="J76" s="610" t="s">
        <v>496</v>
      </c>
      <c r="K76" s="7"/>
      <c r="L76" s="594" t="s">
        <v>48</v>
      </c>
      <c r="M76" s="595"/>
      <c r="N76" s="193">
        <v>2004</v>
      </c>
      <c r="O76" s="194">
        <v>2005</v>
      </c>
    </row>
    <row r="77" spans="1:15" s="1" customFormat="1" ht="12.75">
      <c r="A77" s="602"/>
      <c r="B77" s="605"/>
      <c r="C77" s="596" t="s">
        <v>76</v>
      </c>
      <c r="D77" s="598" t="s">
        <v>77</v>
      </c>
      <c r="E77" s="599"/>
      <c r="F77" s="599"/>
      <c r="G77" s="599"/>
      <c r="H77" s="599"/>
      <c r="I77" s="600"/>
      <c r="J77" s="611"/>
      <c r="K77" s="7"/>
      <c r="L77" s="197" t="s">
        <v>178</v>
      </c>
      <c r="M77" s="197"/>
      <c r="N77" s="192"/>
      <c r="O77" s="195"/>
    </row>
    <row r="78" spans="1:15" s="1" customFormat="1" ht="13.5" thickBot="1">
      <c r="A78" s="603"/>
      <c r="B78" s="606"/>
      <c r="C78" s="597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612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121311</v>
      </c>
      <c r="B79" s="117">
        <v>11386</v>
      </c>
      <c r="C79" s="170">
        <v>1993</v>
      </c>
      <c r="D79" s="171">
        <v>71</v>
      </c>
      <c r="E79" s="171">
        <v>816</v>
      </c>
      <c r="F79" s="171">
        <v>0</v>
      </c>
      <c r="G79" s="171">
        <v>0</v>
      </c>
      <c r="H79" s="170">
        <v>1106</v>
      </c>
      <c r="I79" s="184">
        <v>0</v>
      </c>
      <c r="J79" s="118">
        <f>SUM(A79-B79-C79)</f>
        <v>107932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618" t="s">
        <v>112</v>
      </c>
      <c r="B83" s="620" t="s">
        <v>482</v>
      </c>
      <c r="C83" s="622" t="s">
        <v>480</v>
      </c>
      <c r="D83" s="623"/>
      <c r="E83" s="623"/>
      <c r="F83" s="624"/>
      <c r="G83" s="625" t="s">
        <v>483</v>
      </c>
      <c r="H83" s="613" t="s">
        <v>78</v>
      </c>
      <c r="I83" s="615" t="s">
        <v>481</v>
      </c>
      <c r="J83" s="616"/>
      <c r="K83" s="616"/>
      <c r="L83" s="617"/>
    </row>
    <row r="84" spans="1:12" s="1" customFormat="1" ht="18.75" thickBot="1">
      <c r="A84" s="619"/>
      <c r="B84" s="621"/>
      <c r="C84" s="119" t="s">
        <v>81</v>
      </c>
      <c r="D84" s="120" t="s">
        <v>79</v>
      </c>
      <c r="E84" s="120" t="s">
        <v>80</v>
      </c>
      <c r="F84" s="121" t="s">
        <v>114</v>
      </c>
      <c r="G84" s="626"/>
      <c r="H84" s="614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1115.81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1234.74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0</v>
      </c>
      <c r="D86" s="131">
        <v>12</v>
      </c>
      <c r="E86" s="131">
        <v>0</v>
      </c>
      <c r="F86" s="132">
        <v>12</v>
      </c>
      <c r="G86" s="133">
        <v>0</v>
      </c>
      <c r="H86" s="453">
        <f>+G86-F86</f>
        <v>-12</v>
      </c>
      <c r="I86" s="130">
        <v>12</v>
      </c>
      <c r="J86" s="131">
        <v>21</v>
      </c>
      <c r="K86" s="131">
        <v>0</v>
      </c>
      <c r="L86" s="132">
        <f>I86+J86-K86</f>
        <v>33</v>
      </c>
    </row>
    <row r="87" spans="1:12" s="1" customFormat="1" ht="12.75">
      <c r="A87" s="128" t="s">
        <v>85</v>
      </c>
      <c r="B87" s="129">
        <v>0</v>
      </c>
      <c r="C87" s="130">
        <v>0</v>
      </c>
      <c r="D87" s="131">
        <v>47</v>
      </c>
      <c r="E87" s="131">
        <v>0</v>
      </c>
      <c r="F87" s="132">
        <v>47</v>
      </c>
      <c r="G87" s="133">
        <v>0</v>
      </c>
      <c r="H87" s="453">
        <f>+G87-F87</f>
        <v>-47</v>
      </c>
      <c r="I87" s="130">
        <v>47</v>
      </c>
      <c r="J87" s="131">
        <v>84</v>
      </c>
      <c r="K87" s="131">
        <v>0</v>
      </c>
      <c r="L87" s="132">
        <f>I87+J87-K87</f>
        <v>131</v>
      </c>
    </row>
    <row r="88" spans="1:12" s="1" customFormat="1" ht="12.75">
      <c r="A88" s="128" t="s">
        <v>113</v>
      </c>
      <c r="B88" s="129">
        <v>0</v>
      </c>
      <c r="C88" s="130">
        <v>412</v>
      </c>
      <c r="D88" s="131">
        <v>1992</v>
      </c>
      <c r="E88" s="131">
        <v>1326</v>
      </c>
      <c r="F88" s="132">
        <v>1077</v>
      </c>
      <c r="G88" s="133">
        <v>0</v>
      </c>
      <c r="H88" s="453">
        <f>+G88-F88</f>
        <v>-1077</v>
      </c>
      <c r="I88" s="461">
        <v>1077</v>
      </c>
      <c r="J88" s="447">
        <v>1993</v>
      </c>
      <c r="K88" s="447">
        <v>1438</v>
      </c>
      <c r="L88" s="132">
        <f>I88+J88-K88</f>
        <v>1632</v>
      </c>
    </row>
    <row r="89" spans="1:12" s="1" customFormat="1" ht="12.75">
      <c r="A89" s="128" t="s">
        <v>86</v>
      </c>
      <c r="B89" s="129">
        <v>1116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1235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148" t="s">
        <v>83</v>
      </c>
    </row>
    <row r="90" spans="1:12" s="1" customFormat="1" ht="13.5" thickBot="1">
      <c r="A90" s="134" t="s">
        <v>87</v>
      </c>
      <c r="B90" s="135">
        <v>165.56</v>
      </c>
      <c r="C90" s="136">
        <v>177</v>
      </c>
      <c r="D90" s="137">
        <v>159</v>
      </c>
      <c r="E90" s="137">
        <v>124</v>
      </c>
      <c r="F90" s="138">
        <v>213</v>
      </c>
      <c r="G90" s="139">
        <v>212.55</v>
      </c>
      <c r="H90" s="454">
        <f>+G90-F90</f>
        <v>-0.44999999999998863</v>
      </c>
      <c r="I90" s="136">
        <v>213</v>
      </c>
      <c r="J90" s="137">
        <v>161</v>
      </c>
      <c r="K90" s="137">
        <v>217</v>
      </c>
      <c r="L90" s="138">
        <f>I90+J90-K90</f>
        <v>157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/>
      <c r="E95" s="131"/>
      <c r="F95" s="131">
        <v>0</v>
      </c>
      <c r="G95" s="129"/>
      <c r="H95" s="132">
        <f>SUM(C95:G95)</f>
        <v>0</v>
      </c>
      <c r="I95" s="89"/>
      <c r="J95" s="93">
        <v>2005</v>
      </c>
      <c r="K95" s="94">
        <v>7874</v>
      </c>
      <c r="L95" s="95">
        <f>+G29</f>
        <v>7874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8307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</v>
      </c>
      <c r="C101" s="103">
        <v>4</v>
      </c>
      <c r="D101" s="103">
        <f>+C101-B101</f>
        <v>0</v>
      </c>
      <c r="E101" s="103">
        <v>4</v>
      </c>
      <c r="F101" s="103">
        <v>4</v>
      </c>
      <c r="G101" s="104">
        <f>+F101-E101</f>
        <v>0</v>
      </c>
      <c r="H101" s="105">
        <v>16265</v>
      </c>
      <c r="I101" s="106">
        <v>18516</v>
      </c>
      <c r="J101" s="107">
        <f>+I101-H101</f>
        <v>2251</v>
      </c>
    </row>
    <row r="102" spans="1:10" ht="12.75">
      <c r="A102" s="102" t="s">
        <v>98</v>
      </c>
      <c r="B102" s="103">
        <v>7</v>
      </c>
      <c r="C102" s="103">
        <v>7</v>
      </c>
      <c r="D102" s="103">
        <f aca="true" t="shared" si="12" ref="D102:D111">+C102-B102</f>
        <v>0</v>
      </c>
      <c r="E102" s="103">
        <v>7</v>
      </c>
      <c r="F102" s="103">
        <v>7</v>
      </c>
      <c r="G102" s="104">
        <f aca="true" t="shared" si="13" ref="G102:G111">+F102-E102</f>
        <v>0</v>
      </c>
      <c r="H102" s="105">
        <v>16354</v>
      </c>
      <c r="I102" s="108">
        <v>17529</v>
      </c>
      <c r="J102" s="107">
        <f aca="true" t="shared" si="14" ref="J102:J111">+I102-H102</f>
        <v>1175</v>
      </c>
    </row>
    <row r="103" spans="1:10" ht="12.75">
      <c r="A103" s="102" t="s">
        <v>60</v>
      </c>
      <c r="B103" s="103"/>
      <c r="C103" s="103"/>
      <c r="D103" s="103">
        <f t="shared" si="12"/>
        <v>0</v>
      </c>
      <c r="E103" s="103"/>
      <c r="F103" s="103"/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61</v>
      </c>
      <c r="B104" s="103">
        <v>16</v>
      </c>
      <c r="C104" s="103">
        <v>4</v>
      </c>
      <c r="D104" s="103">
        <f t="shared" si="12"/>
        <v>-12</v>
      </c>
      <c r="E104" s="103">
        <v>16</v>
      </c>
      <c r="F104" s="103">
        <v>4</v>
      </c>
      <c r="G104" s="104">
        <f t="shared" si="13"/>
        <v>-12</v>
      </c>
      <c r="H104" s="105">
        <v>11999</v>
      </c>
      <c r="I104" s="108">
        <v>11680</v>
      </c>
      <c r="J104" s="107">
        <f t="shared" si="14"/>
        <v>-319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64</v>
      </c>
      <c r="B107" s="103">
        <v>2</v>
      </c>
      <c r="C107" s="103"/>
      <c r="D107" s="103">
        <f t="shared" si="12"/>
        <v>-2</v>
      </c>
      <c r="E107" s="103">
        <v>2</v>
      </c>
      <c r="F107" s="103"/>
      <c r="G107" s="104">
        <f t="shared" si="13"/>
        <v>-2</v>
      </c>
      <c r="H107" s="105">
        <v>15576</v>
      </c>
      <c r="I107" s="108"/>
      <c r="J107" s="107">
        <f t="shared" si="14"/>
        <v>-15576</v>
      </c>
    </row>
    <row r="108" spans="1:10" ht="12.75">
      <c r="A108" s="102" t="s">
        <v>65</v>
      </c>
      <c r="B108" s="103"/>
      <c r="C108" s="103">
        <v>15</v>
      </c>
      <c r="D108" s="103">
        <f t="shared" si="12"/>
        <v>15</v>
      </c>
      <c r="E108" s="103"/>
      <c r="F108" s="103">
        <v>15</v>
      </c>
      <c r="G108" s="104">
        <f t="shared" si="13"/>
        <v>15</v>
      </c>
      <c r="H108" s="105"/>
      <c r="I108" s="108">
        <v>14370</v>
      </c>
      <c r="J108" s="107">
        <f t="shared" si="14"/>
        <v>14370</v>
      </c>
    </row>
    <row r="109" spans="1:10" ht="12.75">
      <c r="A109" s="102" t="s">
        <v>66</v>
      </c>
      <c r="B109" s="103">
        <v>1</v>
      </c>
      <c r="C109" s="103">
        <v>1</v>
      </c>
      <c r="D109" s="103">
        <f t="shared" si="12"/>
        <v>0</v>
      </c>
      <c r="E109" s="103">
        <v>1</v>
      </c>
      <c r="F109" s="103">
        <v>1</v>
      </c>
      <c r="G109" s="104">
        <f t="shared" si="13"/>
        <v>0</v>
      </c>
      <c r="H109" s="105">
        <v>13114</v>
      </c>
      <c r="I109" s="108">
        <v>15047</v>
      </c>
      <c r="J109" s="107">
        <f t="shared" si="14"/>
        <v>1933</v>
      </c>
    </row>
    <row r="110" spans="1:10" ht="12.75">
      <c r="A110" s="102" t="s">
        <v>67</v>
      </c>
      <c r="B110" s="103">
        <v>21</v>
      </c>
      <c r="C110" s="103">
        <v>20</v>
      </c>
      <c r="D110" s="103">
        <f t="shared" si="12"/>
        <v>-1</v>
      </c>
      <c r="E110" s="103">
        <v>21</v>
      </c>
      <c r="F110" s="103">
        <v>20</v>
      </c>
      <c r="G110" s="104">
        <f t="shared" si="13"/>
        <v>-1</v>
      </c>
      <c r="H110" s="105">
        <v>10699</v>
      </c>
      <c r="I110" s="108">
        <v>10194</v>
      </c>
      <c r="J110" s="107">
        <f t="shared" si="14"/>
        <v>-505</v>
      </c>
    </row>
    <row r="111" spans="1:10" ht="13.5" thickBot="1">
      <c r="A111" s="109" t="s">
        <v>5</v>
      </c>
      <c r="B111" s="110">
        <f>SUM(B101:B110)</f>
        <v>51</v>
      </c>
      <c r="C111" s="110">
        <f>SUM(C101:C110)</f>
        <v>51</v>
      </c>
      <c r="D111" s="110">
        <f t="shared" si="12"/>
        <v>0</v>
      </c>
      <c r="E111" s="110">
        <f>SUM(E101:E110)</f>
        <v>51</v>
      </c>
      <c r="F111" s="110">
        <f>SUM(F101:F110)</f>
        <v>51</v>
      </c>
      <c r="G111" s="111">
        <f t="shared" si="13"/>
        <v>0</v>
      </c>
      <c r="H111" s="112">
        <v>12533</v>
      </c>
      <c r="I111" s="113">
        <v>12866</v>
      </c>
      <c r="J111" s="114">
        <f t="shared" si="14"/>
        <v>333</v>
      </c>
    </row>
    <row r="112" ht="13.5" thickBot="1"/>
    <row r="113" spans="1:16" ht="12.75">
      <c r="A113" s="706" t="s">
        <v>68</v>
      </c>
      <c r="B113" s="707"/>
      <c r="C113" s="708"/>
      <c r="D113" s="89"/>
      <c r="E113" s="706" t="s">
        <v>69</v>
      </c>
      <c r="F113" s="707"/>
      <c r="G113" s="708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709" t="s">
        <v>72</v>
      </c>
      <c r="G114" s="71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51</v>
      </c>
      <c r="C115" s="95">
        <v>51</v>
      </c>
      <c r="D115" s="89"/>
      <c r="E115" s="93">
        <v>2005</v>
      </c>
      <c r="F115" s="711">
        <v>92</v>
      </c>
      <c r="G115" s="624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51</v>
      </c>
      <c r="C116" s="98"/>
      <c r="D116" s="89"/>
      <c r="E116" s="96">
        <v>2006</v>
      </c>
      <c r="F116" s="704">
        <v>92</v>
      </c>
      <c r="G116" s="705"/>
      <c r="H116"/>
      <c r="I116"/>
      <c r="J116"/>
      <c r="K116"/>
      <c r="L116"/>
      <c r="M116"/>
      <c r="N116"/>
      <c r="O116"/>
      <c r="P116"/>
    </row>
  </sheetData>
  <mergeCells count="119">
    <mergeCell ref="J76:J78"/>
    <mergeCell ref="L76:M76"/>
    <mergeCell ref="C77:C78"/>
    <mergeCell ref="D77:I77"/>
    <mergeCell ref="F72:G72"/>
    <mergeCell ref="A76:A78"/>
    <mergeCell ref="B76:B78"/>
    <mergeCell ref="C76:I76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C66:D66"/>
    <mergeCell ref="F66:G66"/>
    <mergeCell ref="I66:K66"/>
    <mergeCell ref="C67:D67"/>
    <mergeCell ref="F67:G67"/>
    <mergeCell ref="I67:K67"/>
    <mergeCell ref="A61:B61"/>
    <mergeCell ref="D61:F61"/>
    <mergeCell ref="H61:K61"/>
    <mergeCell ref="A62:B62"/>
    <mergeCell ref="D62:F62"/>
    <mergeCell ref="H62:K62"/>
    <mergeCell ref="A59:B59"/>
    <mergeCell ref="D59:F59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H52:K53"/>
    <mergeCell ref="L52:L53"/>
    <mergeCell ref="A54:B54"/>
    <mergeCell ref="D54:F54"/>
    <mergeCell ref="H54:K54"/>
    <mergeCell ref="A52:B53"/>
    <mergeCell ref="C52:C53"/>
    <mergeCell ref="D52:F53"/>
    <mergeCell ref="G52:G53"/>
    <mergeCell ref="A49:B49"/>
    <mergeCell ref="D49:F49"/>
    <mergeCell ref="H49:K49"/>
    <mergeCell ref="A50:B50"/>
    <mergeCell ref="D50:F50"/>
    <mergeCell ref="H50:K50"/>
    <mergeCell ref="A47:B47"/>
    <mergeCell ref="D47:F47"/>
    <mergeCell ref="H47:K47"/>
    <mergeCell ref="A48:B48"/>
    <mergeCell ref="D48:F48"/>
    <mergeCell ref="H48:K48"/>
    <mergeCell ref="A45:B45"/>
    <mergeCell ref="D45:F45"/>
    <mergeCell ref="H45:K45"/>
    <mergeCell ref="A46:B46"/>
    <mergeCell ref="D46:F46"/>
    <mergeCell ref="H46:K46"/>
    <mergeCell ref="H41:K42"/>
    <mergeCell ref="A44:B44"/>
    <mergeCell ref="D44:F44"/>
    <mergeCell ref="H44:K44"/>
    <mergeCell ref="A3:A6"/>
    <mergeCell ref="B3:N3"/>
    <mergeCell ref="H4:I4"/>
    <mergeCell ref="M4:N4"/>
    <mergeCell ref="B38:D38"/>
    <mergeCell ref="E38:G38"/>
    <mergeCell ref="J38:L38"/>
    <mergeCell ref="B39:D39"/>
    <mergeCell ref="E39:G39"/>
    <mergeCell ref="L41:L42"/>
    <mergeCell ref="A43:B43"/>
    <mergeCell ref="D43:F43"/>
    <mergeCell ref="A65:E65"/>
    <mergeCell ref="F65:L65"/>
    <mergeCell ref="H43:K43"/>
    <mergeCell ref="A41:B42"/>
    <mergeCell ref="C41:C42"/>
    <mergeCell ref="D41:F42"/>
    <mergeCell ref="G41:G42"/>
    <mergeCell ref="J93:L93"/>
    <mergeCell ref="A99:A100"/>
    <mergeCell ref="B99:D99"/>
    <mergeCell ref="E99:G99"/>
    <mergeCell ref="H99:J99"/>
    <mergeCell ref="A93:A94"/>
    <mergeCell ref="B93:B94"/>
    <mergeCell ref="C93:H93"/>
    <mergeCell ref="F116:G116"/>
    <mergeCell ref="A113:C113"/>
    <mergeCell ref="E113:G113"/>
    <mergeCell ref="F114:G114"/>
    <mergeCell ref="F115:G115"/>
    <mergeCell ref="H83:H84"/>
    <mergeCell ref="I83:L83"/>
    <mergeCell ref="A83:A84"/>
    <mergeCell ref="B83:B84"/>
    <mergeCell ref="C83:F83"/>
    <mergeCell ref="G83:G84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5"/>
  <sheetViews>
    <sheetView view="pageBreakPreview" zoomScaleSheetLayoutView="100" workbookViewId="0" topLeftCell="A1">
      <selection activeCell="K91" sqref="K91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33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16"/>
      <c r="N2" s="717"/>
    </row>
    <row r="3" spans="1:14" ht="24" customHeight="1" thickBot="1">
      <c r="A3" s="684" t="s">
        <v>0</v>
      </c>
      <c r="B3" s="686" t="s">
        <v>507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712"/>
      <c r="N3" s="71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4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31" t="s">
        <v>11</v>
      </c>
      <c r="B8" s="37">
        <v>9202</v>
      </c>
      <c r="C8" s="33"/>
      <c r="D8" s="434">
        <v>9202</v>
      </c>
      <c r="E8" s="37">
        <v>9698</v>
      </c>
      <c r="F8" s="33"/>
      <c r="G8" s="434">
        <f>SUM(E8:F8)</f>
        <v>9698</v>
      </c>
      <c r="H8" s="465">
        <f>+G8-D8</f>
        <v>496</v>
      </c>
      <c r="I8" s="36">
        <f>+G8/D8</f>
        <v>1.0539013257987393</v>
      </c>
      <c r="J8" s="37">
        <v>10100</v>
      </c>
      <c r="K8" s="33"/>
      <c r="L8" s="434">
        <f>SUM(J8:K8)</f>
        <v>10100</v>
      </c>
      <c r="M8" s="465">
        <f>+L8-G8</f>
        <v>402</v>
      </c>
      <c r="N8" s="39">
        <f>+L8/G8</f>
        <v>1.04145184574139</v>
      </c>
    </row>
    <row r="9" spans="1:14" ht="13.5" customHeight="1">
      <c r="A9" s="31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31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31" t="s">
        <v>14</v>
      </c>
      <c r="B11" s="37">
        <v>151</v>
      </c>
      <c r="C11" s="33"/>
      <c r="D11" s="434">
        <f t="shared" si="0"/>
        <v>151</v>
      </c>
      <c r="E11" s="37">
        <v>152</v>
      </c>
      <c r="F11" s="33"/>
      <c r="G11" s="434">
        <v>152</v>
      </c>
      <c r="H11" s="465">
        <f t="shared" si="2"/>
        <v>1</v>
      </c>
      <c r="I11" s="36">
        <f aca="true" t="shared" si="5" ref="I11:I37">+G11/D11</f>
        <v>1.0066225165562914</v>
      </c>
      <c r="J11" s="37">
        <v>150</v>
      </c>
      <c r="K11" s="33"/>
      <c r="L11" s="434">
        <f t="shared" si="3"/>
        <v>150</v>
      </c>
      <c r="M11" s="465">
        <f t="shared" si="4"/>
        <v>-2</v>
      </c>
      <c r="N11" s="39">
        <f aca="true" t="shared" si="6" ref="N11:N37">+L11/G11</f>
        <v>0.9868421052631579</v>
      </c>
    </row>
    <row r="12" spans="1:14" ht="13.5" customHeight="1">
      <c r="A12" s="40" t="s">
        <v>15</v>
      </c>
      <c r="B12" s="37">
        <v>24</v>
      </c>
      <c r="C12" s="33"/>
      <c r="D12" s="434">
        <f t="shared" si="0"/>
        <v>24</v>
      </c>
      <c r="E12" s="37">
        <v>30</v>
      </c>
      <c r="F12" s="33"/>
      <c r="G12" s="434">
        <f t="shared" si="1"/>
        <v>30</v>
      </c>
      <c r="H12" s="465">
        <f t="shared" si="2"/>
        <v>6</v>
      </c>
      <c r="I12" s="36">
        <f t="shared" si="5"/>
        <v>1.25</v>
      </c>
      <c r="J12" s="37"/>
      <c r="K12" s="33"/>
      <c r="L12" s="434">
        <f t="shared" si="3"/>
        <v>0</v>
      </c>
      <c r="M12" s="465">
        <f t="shared" si="4"/>
        <v>-30</v>
      </c>
      <c r="N12" s="39">
        <f t="shared" si="6"/>
        <v>0</v>
      </c>
    </row>
    <row r="13" spans="1:14" ht="13.5" customHeight="1">
      <c r="A13" s="4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4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31" t="s">
        <v>18</v>
      </c>
      <c r="B15" s="37">
        <v>10300</v>
      </c>
      <c r="C15" s="33"/>
      <c r="D15" s="434">
        <f t="shared" si="0"/>
        <v>10300</v>
      </c>
      <c r="E15" s="37">
        <v>11293</v>
      </c>
      <c r="F15" s="33"/>
      <c r="G15" s="434">
        <f t="shared" si="1"/>
        <v>11293</v>
      </c>
      <c r="H15" s="465">
        <f t="shared" si="2"/>
        <v>993</v>
      </c>
      <c r="I15" s="36">
        <f t="shared" si="5"/>
        <v>1.0964077669902912</v>
      </c>
      <c r="J15" s="57">
        <f>SUM(J16:J17)</f>
        <v>11940</v>
      </c>
      <c r="K15" s="33"/>
      <c r="L15" s="434">
        <f t="shared" si="3"/>
        <v>11940</v>
      </c>
      <c r="M15" s="465">
        <f t="shared" si="4"/>
        <v>647</v>
      </c>
      <c r="N15" s="39">
        <f t="shared" si="6"/>
        <v>1.0572921278668201</v>
      </c>
    </row>
    <row r="16" spans="1:14" ht="13.5" customHeight="1">
      <c r="A16" s="444" t="s">
        <v>476</v>
      </c>
      <c r="B16" s="37"/>
      <c r="C16" s="33"/>
      <c r="D16" s="434"/>
      <c r="E16" s="37">
        <v>10600</v>
      </c>
      <c r="F16" s="33"/>
      <c r="G16" s="434">
        <f t="shared" si="1"/>
        <v>10600</v>
      </c>
      <c r="H16" s="465"/>
      <c r="I16" s="36"/>
      <c r="J16" s="57">
        <f>11693</f>
        <v>11693</v>
      </c>
      <c r="K16" s="33"/>
      <c r="L16" s="434">
        <f t="shared" si="3"/>
        <v>11693</v>
      </c>
      <c r="M16" s="465">
        <f t="shared" si="4"/>
        <v>1093</v>
      </c>
      <c r="N16" s="39">
        <f t="shared" si="6"/>
        <v>1.10311320754717</v>
      </c>
    </row>
    <row r="17" spans="1:14" ht="13.5" customHeight="1" thickBot="1">
      <c r="A17" s="439" t="s">
        <v>475</v>
      </c>
      <c r="B17" s="430"/>
      <c r="C17" s="431"/>
      <c r="D17" s="435"/>
      <c r="E17" s="430">
        <f>E15-E16</f>
        <v>693</v>
      </c>
      <c r="F17" s="431"/>
      <c r="G17" s="434">
        <f t="shared" si="1"/>
        <v>693</v>
      </c>
      <c r="H17" s="465"/>
      <c r="I17" s="472"/>
      <c r="J17" s="438">
        <v>247</v>
      </c>
      <c r="K17" s="431"/>
      <c r="L17" s="434">
        <f t="shared" si="3"/>
        <v>247</v>
      </c>
      <c r="M17" s="465">
        <f t="shared" si="4"/>
        <v>-446</v>
      </c>
      <c r="N17" s="39">
        <f t="shared" si="6"/>
        <v>0.3564213564213564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19653</v>
      </c>
      <c r="C18" s="425">
        <f t="shared" si="7"/>
        <v>0</v>
      </c>
      <c r="D18" s="426">
        <f t="shared" si="7"/>
        <v>19653</v>
      </c>
      <c r="E18" s="424">
        <f t="shared" si="7"/>
        <v>21143</v>
      </c>
      <c r="F18" s="425">
        <f t="shared" si="7"/>
        <v>0</v>
      </c>
      <c r="G18" s="426">
        <f t="shared" si="7"/>
        <v>21143</v>
      </c>
      <c r="H18" s="369">
        <f t="shared" si="2"/>
        <v>1490</v>
      </c>
      <c r="I18" s="63">
        <f t="shared" si="5"/>
        <v>1.0758153971403857</v>
      </c>
      <c r="J18" s="437">
        <f>SUM(J7+J8+J9+J10+J11+J13+J15)</f>
        <v>22190</v>
      </c>
      <c r="K18" s="425">
        <f>SUM(K7+K8+K9+K10+K11+K13+K15)</f>
        <v>0</v>
      </c>
      <c r="L18" s="426">
        <f>SUM(L7+L8+L9+L10+L11+L13+L15)</f>
        <v>22190</v>
      </c>
      <c r="M18" s="369">
        <f t="shared" si="4"/>
        <v>1047</v>
      </c>
      <c r="N18" s="370">
        <f t="shared" si="6"/>
        <v>1.0495199356761102</v>
      </c>
    </row>
    <row r="19" spans="1:14" ht="13.5" customHeight="1">
      <c r="A19" s="54" t="s">
        <v>20</v>
      </c>
      <c r="B19" s="25">
        <v>4304</v>
      </c>
      <c r="C19" s="26"/>
      <c r="D19" s="34">
        <f aca="true" t="shared" si="8" ref="D19:D36">SUM(B19:C19)</f>
        <v>4304</v>
      </c>
      <c r="E19" s="25">
        <v>4780</v>
      </c>
      <c r="F19" s="26"/>
      <c r="G19" s="27">
        <f>SUM(E19:F19)</f>
        <v>4780</v>
      </c>
      <c r="H19" s="28">
        <f t="shared" si="2"/>
        <v>476</v>
      </c>
      <c r="I19" s="55">
        <f t="shared" si="5"/>
        <v>1.1105947955390334</v>
      </c>
      <c r="J19" s="29">
        <v>4850</v>
      </c>
      <c r="K19" s="26"/>
      <c r="L19" s="30">
        <f>SUM(J19:K19)</f>
        <v>4850</v>
      </c>
      <c r="M19" s="28">
        <f t="shared" si="4"/>
        <v>70</v>
      </c>
      <c r="N19" s="56">
        <f t="shared" si="6"/>
        <v>1.0146443514644352</v>
      </c>
    </row>
    <row r="20" spans="1:14" ht="21" customHeight="1">
      <c r="A20" s="40" t="s">
        <v>21</v>
      </c>
      <c r="B20" s="25">
        <v>347</v>
      </c>
      <c r="C20" s="26"/>
      <c r="D20" s="34">
        <f t="shared" si="8"/>
        <v>347</v>
      </c>
      <c r="E20" s="25">
        <v>799</v>
      </c>
      <c r="F20" s="26"/>
      <c r="G20" s="27">
        <f aca="true" t="shared" si="9" ref="G20:G36">SUM(E20:F20)</f>
        <v>799</v>
      </c>
      <c r="H20" s="35">
        <f t="shared" si="2"/>
        <v>452</v>
      </c>
      <c r="I20" s="36">
        <f t="shared" si="5"/>
        <v>2.3025936599423633</v>
      </c>
      <c r="J20" s="29">
        <v>350</v>
      </c>
      <c r="K20" s="26"/>
      <c r="L20" s="30">
        <f aca="true" t="shared" si="10" ref="L20:L36">SUM(J20:K20)</f>
        <v>350</v>
      </c>
      <c r="M20" s="35">
        <f t="shared" si="4"/>
        <v>-449</v>
      </c>
      <c r="N20" s="39">
        <f t="shared" si="6"/>
        <v>0.4380475594493116</v>
      </c>
    </row>
    <row r="21" spans="1:14" ht="13.5" customHeight="1">
      <c r="A21" s="31" t="s">
        <v>22</v>
      </c>
      <c r="B21" s="32">
        <v>1047</v>
      </c>
      <c r="C21" s="33"/>
      <c r="D21" s="34">
        <f t="shared" si="8"/>
        <v>1047</v>
      </c>
      <c r="E21" s="32">
        <v>1205</v>
      </c>
      <c r="F21" s="33"/>
      <c r="G21" s="27">
        <v>1205</v>
      </c>
      <c r="H21" s="35">
        <f t="shared" si="2"/>
        <v>158</v>
      </c>
      <c r="I21" s="36">
        <f t="shared" si="5"/>
        <v>1.1509073543457498</v>
      </c>
      <c r="J21" s="37">
        <v>1426</v>
      </c>
      <c r="K21" s="33"/>
      <c r="L21" s="30">
        <f t="shared" si="10"/>
        <v>1426</v>
      </c>
      <c r="M21" s="35">
        <f t="shared" si="4"/>
        <v>221</v>
      </c>
      <c r="N21" s="39">
        <f t="shared" si="6"/>
        <v>1.183402489626556</v>
      </c>
    </row>
    <row r="22" spans="1:14" ht="13.5" customHeight="1">
      <c r="A22" s="40" t="s">
        <v>399</v>
      </c>
      <c r="B22" s="32"/>
      <c r="C22" s="33"/>
      <c r="D22" s="34">
        <f t="shared" si="8"/>
        <v>0</v>
      </c>
      <c r="E22" s="32">
        <v>41</v>
      </c>
      <c r="F22" s="33"/>
      <c r="G22" s="27">
        <f t="shared" si="9"/>
        <v>41</v>
      </c>
      <c r="H22" s="35">
        <f t="shared" si="2"/>
        <v>41</v>
      </c>
      <c r="I22" s="36"/>
      <c r="J22" s="37">
        <v>30</v>
      </c>
      <c r="K22" s="33"/>
      <c r="L22" s="30">
        <f t="shared" si="10"/>
        <v>30</v>
      </c>
      <c r="M22" s="35">
        <f t="shared" si="4"/>
        <v>-11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1782</v>
      </c>
      <c r="C24" s="33"/>
      <c r="D24" s="34">
        <f t="shared" si="8"/>
        <v>1782</v>
      </c>
      <c r="E24" s="37">
        <v>1798</v>
      </c>
      <c r="F24" s="33"/>
      <c r="G24" s="27">
        <f t="shared" si="9"/>
        <v>1798</v>
      </c>
      <c r="H24" s="35">
        <f t="shared" si="2"/>
        <v>16</v>
      </c>
      <c r="I24" s="36">
        <f t="shared" si="5"/>
        <v>1.0089786756453423</v>
      </c>
      <c r="J24" s="37">
        <f>SUM(J25:J26)</f>
        <v>1882</v>
      </c>
      <c r="K24" s="33"/>
      <c r="L24" s="30">
        <f t="shared" si="10"/>
        <v>1882</v>
      </c>
      <c r="M24" s="35">
        <f t="shared" si="4"/>
        <v>84</v>
      </c>
      <c r="N24" s="39">
        <f t="shared" si="6"/>
        <v>1.0467185761957731</v>
      </c>
    </row>
    <row r="25" spans="1:14" ht="13.5" customHeight="1">
      <c r="A25" s="40" t="s">
        <v>26</v>
      </c>
      <c r="B25" s="32">
        <v>533</v>
      </c>
      <c r="C25" s="33"/>
      <c r="D25" s="34">
        <f t="shared" si="8"/>
        <v>533</v>
      </c>
      <c r="E25" s="32">
        <v>239</v>
      </c>
      <c r="F25" s="33"/>
      <c r="G25" s="27">
        <f t="shared" si="9"/>
        <v>239</v>
      </c>
      <c r="H25" s="35">
        <f t="shared" si="2"/>
        <v>-294</v>
      </c>
      <c r="I25" s="36">
        <f t="shared" si="5"/>
        <v>0.44840525328330205</v>
      </c>
      <c r="J25" s="57">
        <v>278</v>
      </c>
      <c r="K25" s="33"/>
      <c r="L25" s="30">
        <f t="shared" si="10"/>
        <v>278</v>
      </c>
      <c r="M25" s="35">
        <f t="shared" si="4"/>
        <v>39</v>
      </c>
      <c r="N25" s="39">
        <f t="shared" si="6"/>
        <v>1.1631799163179917</v>
      </c>
    </row>
    <row r="26" spans="1:14" ht="13.5" customHeight="1">
      <c r="A26" s="31" t="s">
        <v>27</v>
      </c>
      <c r="B26" s="32">
        <v>1215</v>
      </c>
      <c r="C26" s="33"/>
      <c r="D26" s="34">
        <f t="shared" si="8"/>
        <v>1215</v>
      </c>
      <c r="E26" s="32">
        <v>1559</v>
      </c>
      <c r="F26" s="33"/>
      <c r="G26" s="27">
        <f t="shared" si="9"/>
        <v>1559</v>
      </c>
      <c r="H26" s="35">
        <f t="shared" si="2"/>
        <v>344</v>
      </c>
      <c r="I26" s="36">
        <f t="shared" si="5"/>
        <v>1.283127572016461</v>
      </c>
      <c r="J26" s="57">
        <v>1604</v>
      </c>
      <c r="K26" s="33"/>
      <c r="L26" s="30">
        <f t="shared" si="10"/>
        <v>1604</v>
      </c>
      <c r="M26" s="35">
        <f t="shared" si="4"/>
        <v>45</v>
      </c>
      <c r="N26" s="39">
        <f t="shared" si="6"/>
        <v>1.028864656831302</v>
      </c>
    </row>
    <row r="27" spans="1:14" ht="13.5" customHeight="1">
      <c r="A27" s="58" t="s">
        <v>28</v>
      </c>
      <c r="B27" s="37">
        <v>12217</v>
      </c>
      <c r="C27" s="33"/>
      <c r="D27" s="34">
        <f t="shared" si="8"/>
        <v>12217</v>
      </c>
      <c r="E27" s="37">
        <v>12920</v>
      </c>
      <c r="F27" s="33"/>
      <c r="G27" s="27">
        <f t="shared" si="9"/>
        <v>12920</v>
      </c>
      <c r="H27" s="35">
        <f t="shared" si="2"/>
        <v>703</v>
      </c>
      <c r="I27" s="36">
        <f t="shared" si="5"/>
        <v>1.0575427682737168</v>
      </c>
      <c r="J27" s="37">
        <f>J28+J31</f>
        <v>13705</v>
      </c>
      <c r="K27" s="33"/>
      <c r="L27" s="30">
        <f t="shared" si="10"/>
        <v>13705</v>
      </c>
      <c r="M27" s="35">
        <f t="shared" si="4"/>
        <v>785</v>
      </c>
      <c r="N27" s="39">
        <f t="shared" si="6"/>
        <v>1.0607585139318885</v>
      </c>
    </row>
    <row r="28" spans="1:14" ht="13.5" customHeight="1">
      <c r="A28" s="40" t="s">
        <v>29</v>
      </c>
      <c r="B28" s="32">
        <v>8924</v>
      </c>
      <c r="C28" s="33"/>
      <c r="D28" s="34">
        <f t="shared" si="8"/>
        <v>8924</v>
      </c>
      <c r="E28" s="32">
        <v>9430</v>
      </c>
      <c r="F28" s="33"/>
      <c r="G28" s="27">
        <f t="shared" si="9"/>
        <v>9430</v>
      </c>
      <c r="H28" s="35">
        <f t="shared" si="2"/>
        <v>506</v>
      </c>
      <c r="I28" s="36">
        <f t="shared" si="5"/>
        <v>1.056701030927835</v>
      </c>
      <c r="J28" s="57">
        <f>J29+J30</f>
        <v>10003</v>
      </c>
      <c r="K28" s="59"/>
      <c r="L28" s="30">
        <f t="shared" si="10"/>
        <v>10003</v>
      </c>
      <c r="M28" s="35">
        <f t="shared" si="4"/>
        <v>573</v>
      </c>
      <c r="N28" s="39">
        <f t="shared" si="6"/>
        <v>1.060763520678685</v>
      </c>
    </row>
    <row r="29" spans="1:14" ht="13.5" customHeight="1">
      <c r="A29" s="58" t="s">
        <v>30</v>
      </c>
      <c r="B29" s="32">
        <v>8908</v>
      </c>
      <c r="C29" s="33"/>
      <c r="D29" s="34">
        <f t="shared" si="8"/>
        <v>8908</v>
      </c>
      <c r="E29" s="32">
        <v>9417</v>
      </c>
      <c r="F29" s="33"/>
      <c r="G29" s="27">
        <f t="shared" si="9"/>
        <v>9417</v>
      </c>
      <c r="H29" s="35">
        <f t="shared" si="2"/>
        <v>509</v>
      </c>
      <c r="I29" s="36">
        <f t="shared" si="5"/>
        <v>1.057139649753031</v>
      </c>
      <c r="J29" s="37">
        <f>9813+180</f>
        <v>9993</v>
      </c>
      <c r="K29" s="33"/>
      <c r="L29" s="30">
        <f t="shared" si="10"/>
        <v>9993</v>
      </c>
      <c r="M29" s="35">
        <f t="shared" si="4"/>
        <v>576</v>
      </c>
      <c r="N29" s="39">
        <f t="shared" si="6"/>
        <v>1.0611659764256132</v>
      </c>
    </row>
    <row r="30" spans="1:14" ht="13.5" customHeight="1">
      <c r="A30" s="40" t="s">
        <v>31</v>
      </c>
      <c r="B30" s="32">
        <v>16</v>
      </c>
      <c r="C30" s="33"/>
      <c r="D30" s="34">
        <f t="shared" si="8"/>
        <v>16</v>
      </c>
      <c r="E30" s="32">
        <v>13</v>
      </c>
      <c r="F30" s="33"/>
      <c r="G30" s="27">
        <f t="shared" si="9"/>
        <v>13</v>
      </c>
      <c r="H30" s="35">
        <f t="shared" si="2"/>
        <v>-3</v>
      </c>
      <c r="I30" s="36">
        <f t="shared" si="5"/>
        <v>0.8125</v>
      </c>
      <c r="J30" s="37">
        <v>10</v>
      </c>
      <c r="K30" s="33"/>
      <c r="L30" s="30">
        <f t="shared" si="10"/>
        <v>10</v>
      </c>
      <c r="M30" s="35">
        <f t="shared" si="4"/>
        <v>-3</v>
      </c>
      <c r="N30" s="39">
        <f t="shared" si="6"/>
        <v>0.7692307692307693</v>
      </c>
    </row>
    <row r="31" spans="1:14" ht="13.5" customHeight="1">
      <c r="A31" s="40" t="s">
        <v>32</v>
      </c>
      <c r="B31" s="32">
        <v>3293</v>
      </c>
      <c r="C31" s="33"/>
      <c r="D31" s="34">
        <f t="shared" si="8"/>
        <v>3293</v>
      </c>
      <c r="E31" s="32">
        <v>3491</v>
      </c>
      <c r="F31" s="33"/>
      <c r="G31" s="27">
        <f t="shared" si="9"/>
        <v>3491</v>
      </c>
      <c r="H31" s="35">
        <f t="shared" si="2"/>
        <v>198</v>
      </c>
      <c r="I31" s="36">
        <f t="shared" si="5"/>
        <v>1.0601275432736106</v>
      </c>
      <c r="J31" s="37">
        <f>3635+67</f>
        <v>3702</v>
      </c>
      <c r="K31" s="33"/>
      <c r="L31" s="30">
        <f t="shared" si="10"/>
        <v>3702</v>
      </c>
      <c r="M31" s="35">
        <f t="shared" si="4"/>
        <v>211</v>
      </c>
      <c r="N31" s="39">
        <f t="shared" si="6"/>
        <v>1.0604411343454598</v>
      </c>
    </row>
    <row r="32" spans="1:14" ht="13.5" customHeight="1">
      <c r="A32" s="58" t="s">
        <v>33</v>
      </c>
      <c r="B32" s="32">
        <v>1</v>
      </c>
      <c r="C32" s="33"/>
      <c r="D32" s="34">
        <f t="shared" si="8"/>
        <v>1</v>
      </c>
      <c r="E32" s="32"/>
      <c r="F32" s="33"/>
      <c r="G32" s="27">
        <f t="shared" si="9"/>
        <v>0</v>
      </c>
      <c r="H32" s="35">
        <f t="shared" si="2"/>
        <v>-1</v>
      </c>
      <c r="I32" s="36">
        <f t="shared" si="5"/>
        <v>0</v>
      </c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88</v>
      </c>
      <c r="C33" s="33"/>
      <c r="D33" s="34">
        <f t="shared" si="8"/>
        <v>88</v>
      </c>
      <c r="E33" s="32">
        <v>106</v>
      </c>
      <c r="F33" s="33"/>
      <c r="G33" s="27">
        <f t="shared" si="9"/>
        <v>106</v>
      </c>
      <c r="H33" s="35">
        <f t="shared" si="2"/>
        <v>18</v>
      </c>
      <c r="I33" s="36">
        <f t="shared" si="5"/>
        <v>1.2045454545454546</v>
      </c>
      <c r="J33" s="37">
        <v>100</v>
      </c>
      <c r="K33" s="33"/>
      <c r="L33" s="30">
        <f t="shared" si="10"/>
        <v>100</v>
      </c>
      <c r="M33" s="35">
        <f t="shared" si="4"/>
        <v>-6</v>
      </c>
      <c r="N33" s="39">
        <f t="shared" si="6"/>
        <v>0.9433962264150944</v>
      </c>
    </row>
    <row r="34" spans="1:14" ht="13.5" customHeight="1">
      <c r="A34" s="40" t="s">
        <v>35</v>
      </c>
      <c r="B34" s="32">
        <v>107</v>
      </c>
      <c r="C34" s="33"/>
      <c r="D34" s="34">
        <f t="shared" si="8"/>
        <v>107</v>
      </c>
      <c r="E34" s="32">
        <v>192</v>
      </c>
      <c r="F34" s="33"/>
      <c r="G34" s="27">
        <v>192</v>
      </c>
      <c r="H34" s="35">
        <f t="shared" si="2"/>
        <v>85</v>
      </c>
      <c r="I34" s="36">
        <f t="shared" si="5"/>
        <v>1.794392523364486</v>
      </c>
      <c r="J34" s="57">
        <v>197</v>
      </c>
      <c r="K34" s="33"/>
      <c r="L34" s="30">
        <f t="shared" si="10"/>
        <v>197</v>
      </c>
      <c r="M34" s="35">
        <f t="shared" si="4"/>
        <v>5</v>
      </c>
      <c r="N34" s="39">
        <f t="shared" si="6"/>
        <v>1.0260416666666667</v>
      </c>
    </row>
    <row r="35" spans="1:14" ht="22.5" customHeight="1">
      <c r="A35" s="40" t="s">
        <v>36</v>
      </c>
      <c r="B35" s="32">
        <v>107</v>
      </c>
      <c r="C35" s="33"/>
      <c r="D35" s="34">
        <f t="shared" si="8"/>
        <v>107</v>
      </c>
      <c r="E35" s="32">
        <v>177</v>
      </c>
      <c r="F35" s="33"/>
      <c r="G35" s="27">
        <f t="shared" si="9"/>
        <v>177</v>
      </c>
      <c r="H35" s="35">
        <f t="shared" si="2"/>
        <v>70</v>
      </c>
      <c r="I35" s="36">
        <f t="shared" si="5"/>
        <v>1.6542056074766356</v>
      </c>
      <c r="J35" s="57">
        <v>182</v>
      </c>
      <c r="K35" s="33"/>
      <c r="L35" s="30">
        <f t="shared" si="10"/>
        <v>182</v>
      </c>
      <c r="M35" s="35">
        <f t="shared" si="4"/>
        <v>5</v>
      </c>
      <c r="N35" s="39">
        <f t="shared" si="6"/>
        <v>1.0282485875706215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19546</v>
      </c>
      <c r="C37" s="48">
        <f t="shared" si="11"/>
        <v>0</v>
      </c>
      <c r="D37" s="49">
        <f t="shared" si="11"/>
        <v>19546</v>
      </c>
      <c r="E37" s="47">
        <f t="shared" si="11"/>
        <v>21042</v>
      </c>
      <c r="F37" s="48">
        <f t="shared" si="11"/>
        <v>0</v>
      </c>
      <c r="G37" s="49">
        <f t="shared" si="11"/>
        <v>21042</v>
      </c>
      <c r="H37" s="50">
        <f t="shared" si="2"/>
        <v>1496</v>
      </c>
      <c r="I37" s="51">
        <f t="shared" si="5"/>
        <v>1.0765373989563083</v>
      </c>
      <c r="J37" s="52">
        <f>SUM(J19+J21+J22+J23+J24+J27+J32+J33+J34+J36)</f>
        <v>22190</v>
      </c>
      <c r="K37" s="48">
        <f>SUM(K19+K21+K22+K23+K24+K27+K32+K33+K34+K36)</f>
        <v>0</v>
      </c>
      <c r="L37" s="49">
        <f>SUM(L19+L21+L22+L23+L24+L27+L32+L33+L34+L36)</f>
        <v>22190</v>
      </c>
      <c r="M37" s="50">
        <f t="shared" si="4"/>
        <v>1148</v>
      </c>
      <c r="N37" s="53">
        <f t="shared" si="6"/>
        <v>1.0545575515635397</v>
      </c>
    </row>
    <row r="38" spans="1:14" ht="13.5" customHeight="1" thickBot="1">
      <c r="A38" s="46" t="s">
        <v>39</v>
      </c>
      <c r="B38" s="680">
        <v>106</v>
      </c>
      <c r="C38" s="681"/>
      <c r="D38" s="682"/>
      <c r="E38" s="680">
        <f>+G18-G37</f>
        <v>101</v>
      </c>
      <c r="F38" s="681"/>
      <c r="G38" s="682">
        <v>-50784</v>
      </c>
      <c r="H38" s="62">
        <f>+E38-B38</f>
        <v>-5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400</v>
      </c>
      <c r="B43" s="683"/>
      <c r="C43" s="66">
        <v>554</v>
      </c>
      <c r="D43" s="679" t="s">
        <v>401</v>
      </c>
      <c r="E43" s="657"/>
      <c r="F43" s="657"/>
      <c r="G43" s="67">
        <v>129</v>
      </c>
      <c r="H43" s="658" t="s">
        <v>402</v>
      </c>
      <c r="I43" s="659"/>
      <c r="J43" s="659"/>
      <c r="K43" s="659"/>
      <c r="L43" s="68">
        <v>15</v>
      </c>
      <c r="O43"/>
      <c r="P43"/>
    </row>
    <row r="44" spans="1:16" ht="12.75">
      <c r="A44" s="639"/>
      <c r="B44" s="646"/>
      <c r="C44" s="69"/>
      <c r="D44" s="679"/>
      <c r="E44" s="657"/>
      <c r="F44" s="657"/>
      <c r="G44" s="70"/>
      <c r="H44" s="658" t="s">
        <v>401</v>
      </c>
      <c r="I44" s="659"/>
      <c r="J44" s="659"/>
      <c r="K44" s="659"/>
      <c r="L44" s="68">
        <v>129</v>
      </c>
      <c r="O44"/>
      <c r="P44"/>
    </row>
    <row r="45" spans="1:16" ht="12.75">
      <c r="A45" s="639"/>
      <c r="B45" s="646"/>
      <c r="C45" s="69"/>
      <c r="D45" s="679"/>
      <c r="E45" s="657"/>
      <c r="F45" s="657"/>
      <c r="G45" s="70"/>
      <c r="H45" s="658" t="s">
        <v>403</v>
      </c>
      <c r="I45" s="659"/>
      <c r="J45" s="659"/>
      <c r="K45" s="659"/>
      <c r="L45" s="68">
        <v>180</v>
      </c>
      <c r="O45"/>
      <c r="P45"/>
    </row>
    <row r="46" spans="1:16" ht="12.75">
      <c r="A46" s="647"/>
      <c r="B46" s="674"/>
      <c r="C46" s="71"/>
      <c r="D46" s="647"/>
      <c r="E46" s="648"/>
      <c r="F46" s="674"/>
      <c r="G46" s="72"/>
      <c r="H46" s="643"/>
      <c r="I46" s="644"/>
      <c r="J46" s="644"/>
      <c r="K46" s="645"/>
      <c r="L46" s="68"/>
      <c r="O46"/>
      <c r="P46"/>
    </row>
    <row r="47" spans="1:16" ht="12.75">
      <c r="A47" s="647"/>
      <c r="B47" s="674"/>
      <c r="C47" s="71"/>
      <c r="D47" s="647"/>
      <c r="E47" s="648"/>
      <c r="F47" s="674"/>
      <c r="G47" s="72"/>
      <c r="H47" s="643"/>
      <c r="I47" s="644"/>
      <c r="J47" s="644"/>
      <c r="K47" s="645"/>
      <c r="L47" s="68"/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/>
      <c r="I48" s="644"/>
      <c r="J48" s="644"/>
      <c r="K48" s="645"/>
      <c r="L48" s="68"/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/>
      <c r="B50" s="635"/>
      <c r="C50" s="73">
        <f>SUM(C43:C49)</f>
        <v>554</v>
      </c>
      <c r="D50" s="660" t="s">
        <v>5</v>
      </c>
      <c r="E50" s="661"/>
      <c r="F50" s="661"/>
      <c r="G50" s="73">
        <f>SUM(G43:G44)</f>
        <v>129</v>
      </c>
      <c r="H50" s="637" t="s">
        <v>5</v>
      </c>
      <c r="I50" s="638"/>
      <c r="J50" s="638"/>
      <c r="K50" s="638"/>
      <c r="L50" s="73">
        <f>SUM(L43:L49)</f>
        <v>324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404</v>
      </c>
      <c r="B54" s="655"/>
      <c r="C54" s="66">
        <v>233</v>
      </c>
      <c r="D54" s="656" t="s">
        <v>405</v>
      </c>
      <c r="E54" s="657"/>
      <c r="F54" s="657"/>
      <c r="G54" s="76">
        <v>239</v>
      </c>
      <c r="H54" s="658" t="s">
        <v>406</v>
      </c>
      <c r="I54" s="659"/>
      <c r="J54" s="659"/>
      <c r="K54" s="659"/>
      <c r="L54" s="68">
        <v>278</v>
      </c>
      <c r="O54"/>
      <c r="P54"/>
    </row>
    <row r="55" spans="1:16" ht="13.5" customHeight="1">
      <c r="A55" s="639" t="s">
        <v>407</v>
      </c>
      <c r="B55" s="649"/>
      <c r="C55" s="69">
        <v>300</v>
      </c>
      <c r="D55" s="642"/>
      <c r="E55" s="646"/>
      <c r="F55" s="646"/>
      <c r="G55" s="77"/>
      <c r="H55" s="650"/>
      <c r="I55" s="651"/>
      <c r="J55" s="651"/>
      <c r="K55" s="651"/>
      <c r="L55" s="78"/>
      <c r="O55"/>
      <c r="P55"/>
    </row>
    <row r="56" spans="1:16" ht="13.5" customHeight="1">
      <c r="A56" s="639"/>
      <c r="B56" s="640"/>
      <c r="C56" s="69"/>
      <c r="D56" s="642"/>
      <c r="E56" s="646"/>
      <c r="F56" s="646"/>
      <c r="G56" s="77"/>
      <c r="H56" s="643"/>
      <c r="I56" s="644"/>
      <c r="J56" s="644"/>
      <c r="K56" s="645"/>
      <c r="L56" s="78"/>
      <c r="O56"/>
      <c r="P56"/>
    </row>
    <row r="57" spans="1:16" ht="13.5" customHeight="1">
      <c r="A57" s="639"/>
      <c r="B57" s="640"/>
      <c r="C57" s="69"/>
      <c r="D57" s="642"/>
      <c r="E57" s="646"/>
      <c r="F57" s="646"/>
      <c r="G57" s="77"/>
      <c r="H57" s="643"/>
      <c r="I57" s="644"/>
      <c r="J57" s="644"/>
      <c r="K57" s="645"/>
      <c r="L57" s="78"/>
      <c r="O57"/>
      <c r="P57"/>
    </row>
    <row r="58" spans="1:16" ht="13.5" customHeight="1">
      <c r="A58" s="647"/>
      <c r="B58" s="648"/>
      <c r="C58" s="71"/>
      <c r="D58" s="641"/>
      <c r="E58" s="641"/>
      <c r="F58" s="642"/>
      <c r="G58" s="178"/>
      <c r="H58" s="643"/>
      <c r="I58" s="644"/>
      <c r="J58" s="644"/>
      <c r="K58" s="645"/>
      <c r="L58" s="79"/>
      <c r="O58"/>
      <c r="P58"/>
    </row>
    <row r="59" spans="1:16" ht="13.5" customHeight="1">
      <c r="A59" s="639"/>
      <c r="B59" s="640"/>
      <c r="C59" s="71"/>
      <c r="D59" s="641"/>
      <c r="E59" s="641"/>
      <c r="F59" s="642"/>
      <c r="G59" s="178"/>
      <c r="H59" s="643"/>
      <c r="I59" s="644"/>
      <c r="J59" s="644"/>
      <c r="K59" s="645"/>
      <c r="L59" s="79"/>
      <c r="O59"/>
      <c r="P59"/>
    </row>
    <row r="60" spans="1:16" ht="13.5" customHeight="1">
      <c r="A60" s="639"/>
      <c r="B60" s="640"/>
      <c r="C60" s="69"/>
      <c r="D60" s="642"/>
      <c r="E60" s="646"/>
      <c r="F60" s="646"/>
      <c r="G60" s="77"/>
      <c r="H60" s="643"/>
      <c r="I60" s="644"/>
      <c r="J60" s="644"/>
      <c r="K60" s="645"/>
      <c r="L60" s="78"/>
      <c r="O60"/>
      <c r="P60"/>
    </row>
    <row r="61" spans="1:16" ht="13.5" thickBot="1">
      <c r="A61" s="627"/>
      <c r="B61" s="628"/>
      <c r="C61" s="80"/>
      <c r="D61" s="629"/>
      <c r="E61" s="630"/>
      <c r="F61" s="630"/>
      <c r="G61" s="81"/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73">
        <f>SUM(C54:C61)</f>
        <v>533</v>
      </c>
      <c r="D62" s="635" t="s">
        <v>5</v>
      </c>
      <c r="E62" s="636"/>
      <c r="F62" s="636"/>
      <c r="G62" s="83">
        <f>SUM(G54:G61)</f>
        <v>239</v>
      </c>
      <c r="H62" s="637" t="s">
        <v>5</v>
      </c>
      <c r="I62" s="638"/>
      <c r="J62" s="638"/>
      <c r="K62" s="638"/>
      <c r="L62" s="73">
        <f>SUM(L54:L61)</f>
        <v>278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0</v>
      </c>
      <c r="C67" s="580" t="s">
        <v>179</v>
      </c>
      <c r="D67" s="580"/>
      <c r="E67" s="157">
        <v>85</v>
      </c>
      <c r="F67" s="581" t="s">
        <v>176</v>
      </c>
      <c r="G67" s="582"/>
      <c r="H67" s="150">
        <v>0</v>
      </c>
      <c r="I67" s="580" t="s">
        <v>179</v>
      </c>
      <c r="J67" s="582"/>
      <c r="K67" s="582"/>
      <c r="L67" s="157">
        <v>80</v>
      </c>
      <c r="M67" s="84"/>
      <c r="N67" s="84"/>
    </row>
    <row r="68" spans="1:14" s="1" customFormat="1" ht="12.75">
      <c r="A68" s="158" t="s">
        <v>174</v>
      </c>
      <c r="B68" s="151">
        <v>85</v>
      </c>
      <c r="C68" s="583" t="s">
        <v>175</v>
      </c>
      <c r="D68" s="583"/>
      <c r="E68" s="159">
        <v>0</v>
      </c>
      <c r="F68" s="584" t="s">
        <v>177</v>
      </c>
      <c r="G68" s="585"/>
      <c r="H68" s="151">
        <v>81</v>
      </c>
      <c r="I68" s="583"/>
      <c r="J68" s="585"/>
      <c r="K68" s="585"/>
      <c r="L68" s="159"/>
      <c r="M68" s="84"/>
      <c r="N68" s="84"/>
    </row>
    <row r="69" spans="1:14" s="1" customFormat="1" ht="12.75">
      <c r="A69" s="158" t="s">
        <v>175</v>
      </c>
      <c r="B69" s="151"/>
      <c r="C69" s="583"/>
      <c r="D69" s="583"/>
      <c r="E69" s="159"/>
      <c r="F69" s="583" t="s">
        <v>175</v>
      </c>
      <c r="G69" s="583"/>
      <c r="H69" s="151"/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85</v>
      </c>
      <c r="C71" s="589" t="s">
        <v>5</v>
      </c>
      <c r="D71" s="589"/>
      <c r="E71" s="165">
        <f>SUM(E67:E70)</f>
        <v>85</v>
      </c>
      <c r="F71" s="590" t="s">
        <v>5</v>
      </c>
      <c r="G71" s="591"/>
      <c r="H71" s="161">
        <f>SUM(H67:H70)</f>
        <v>81</v>
      </c>
      <c r="I71" s="589" t="s">
        <v>5</v>
      </c>
      <c r="J71" s="591"/>
      <c r="K71" s="591"/>
      <c r="L71" s="165">
        <f>SUM(L67:L70)</f>
        <v>80</v>
      </c>
      <c r="M71" s="84"/>
      <c r="N71" s="84"/>
    </row>
    <row r="72" spans="1:14" s="1" customFormat="1" ht="13.5" thickBot="1">
      <c r="A72" s="181" t="s">
        <v>534</v>
      </c>
      <c r="B72" s="182">
        <f>B71-E71</f>
        <v>0</v>
      </c>
      <c r="C72" s="84"/>
      <c r="D72" s="84"/>
      <c r="E72" s="84"/>
      <c r="F72" s="592" t="s">
        <v>534</v>
      </c>
      <c r="G72" s="593"/>
      <c r="H72" s="183">
        <f>H71-L71</f>
        <v>1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601" t="s">
        <v>73</v>
      </c>
      <c r="B76" s="604" t="s">
        <v>495</v>
      </c>
      <c r="C76" s="607" t="s">
        <v>477</v>
      </c>
      <c r="D76" s="608"/>
      <c r="E76" s="608"/>
      <c r="F76" s="608"/>
      <c r="G76" s="608"/>
      <c r="H76" s="608"/>
      <c r="I76" s="609"/>
      <c r="J76" s="610" t="s">
        <v>496</v>
      </c>
      <c r="K76" s="7"/>
      <c r="L76" s="594" t="s">
        <v>48</v>
      </c>
      <c r="M76" s="595"/>
      <c r="N76" s="193">
        <v>2004</v>
      </c>
      <c r="O76" s="194">
        <v>2005</v>
      </c>
    </row>
    <row r="77" spans="1:15" s="1" customFormat="1" ht="12.75">
      <c r="A77" s="602"/>
      <c r="B77" s="605"/>
      <c r="C77" s="596" t="s">
        <v>76</v>
      </c>
      <c r="D77" s="598" t="s">
        <v>77</v>
      </c>
      <c r="E77" s="599"/>
      <c r="F77" s="599"/>
      <c r="G77" s="599"/>
      <c r="H77" s="599"/>
      <c r="I77" s="600"/>
      <c r="J77" s="611"/>
      <c r="K77" s="7"/>
      <c r="L77" s="197" t="s">
        <v>178</v>
      </c>
      <c r="M77" s="197"/>
      <c r="N77" s="192"/>
      <c r="O77" s="195"/>
    </row>
    <row r="78" spans="1:15" s="1" customFormat="1" ht="13.5" thickBot="1">
      <c r="A78" s="603"/>
      <c r="B78" s="606"/>
      <c r="C78" s="597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612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3125</v>
      </c>
      <c r="B79" s="117">
        <v>490</v>
      </c>
      <c r="C79" s="170">
        <v>197</v>
      </c>
      <c r="D79" s="171">
        <v>84</v>
      </c>
      <c r="E79" s="171">
        <v>98</v>
      </c>
      <c r="F79" s="171">
        <v>0</v>
      </c>
      <c r="G79" s="171">
        <v>0</v>
      </c>
      <c r="H79" s="170">
        <v>15</v>
      </c>
      <c r="I79" s="185">
        <v>0</v>
      </c>
      <c r="J79" s="118">
        <f>SUM(A79-B79-C79)</f>
        <v>2438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618" t="s">
        <v>112</v>
      </c>
      <c r="B83" s="620" t="s">
        <v>482</v>
      </c>
      <c r="C83" s="622" t="s">
        <v>480</v>
      </c>
      <c r="D83" s="623"/>
      <c r="E83" s="623"/>
      <c r="F83" s="624"/>
      <c r="G83" s="625" t="s">
        <v>483</v>
      </c>
      <c r="H83" s="613" t="s">
        <v>78</v>
      </c>
      <c r="I83" s="615" t="s">
        <v>481</v>
      </c>
      <c r="J83" s="616"/>
      <c r="K83" s="616"/>
      <c r="L83" s="617"/>
    </row>
    <row r="84" spans="1:12" s="1" customFormat="1" ht="18.75" thickBot="1">
      <c r="A84" s="619"/>
      <c r="B84" s="621"/>
      <c r="C84" s="119" t="s">
        <v>81</v>
      </c>
      <c r="D84" s="120" t="s">
        <v>79</v>
      </c>
      <c r="E84" s="120" t="s">
        <v>80</v>
      </c>
      <c r="F84" s="121" t="s">
        <v>114</v>
      </c>
      <c r="G84" s="626"/>
      <c r="H84" s="614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1420.35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1482.03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0</v>
      </c>
      <c r="D86" s="131">
        <v>21</v>
      </c>
      <c r="E86" s="131">
        <v>0</v>
      </c>
      <c r="F86" s="132">
        <v>21</v>
      </c>
      <c r="G86" s="133">
        <v>21.3</v>
      </c>
      <c r="H86" s="453">
        <f>+G86-F86</f>
        <v>0.3000000000000007</v>
      </c>
      <c r="I86" s="130">
        <v>21</v>
      </c>
      <c r="J86" s="131">
        <v>20</v>
      </c>
      <c r="K86" s="131">
        <v>0</v>
      </c>
      <c r="L86" s="132">
        <f>I86+J86-K86</f>
        <v>41</v>
      </c>
    </row>
    <row r="87" spans="1:12" s="1" customFormat="1" ht="12.75">
      <c r="A87" s="128" t="s">
        <v>85</v>
      </c>
      <c r="B87" s="129">
        <v>0</v>
      </c>
      <c r="C87" s="130">
        <v>0</v>
      </c>
      <c r="D87" s="131">
        <v>85</v>
      </c>
      <c r="E87" s="131">
        <v>85</v>
      </c>
      <c r="F87" s="132">
        <f>C87+D87-E87</f>
        <v>0</v>
      </c>
      <c r="G87" s="133">
        <v>0.24</v>
      </c>
      <c r="H87" s="453">
        <f>+G87-F87</f>
        <v>0.24</v>
      </c>
      <c r="I87" s="130">
        <v>0</v>
      </c>
      <c r="J87" s="131">
        <v>81</v>
      </c>
      <c r="K87" s="131">
        <v>80</v>
      </c>
      <c r="L87" s="132">
        <f>I87+J87-K87</f>
        <v>1</v>
      </c>
    </row>
    <row r="88" spans="1:12" s="1" customFormat="1" ht="12.75">
      <c r="A88" s="128" t="s">
        <v>113</v>
      </c>
      <c r="B88" s="129">
        <v>21.9</v>
      </c>
      <c r="C88" s="130">
        <v>22</v>
      </c>
      <c r="D88" s="131">
        <v>277</v>
      </c>
      <c r="E88" s="131">
        <v>144</v>
      </c>
      <c r="F88" s="132">
        <f>C88+D88-E88</f>
        <v>155</v>
      </c>
      <c r="G88" s="133">
        <v>154.84</v>
      </c>
      <c r="H88" s="453">
        <f>+G88-F88</f>
        <v>-0.1599999999999966</v>
      </c>
      <c r="I88" s="461">
        <v>155</v>
      </c>
      <c r="J88" s="447">
        <v>277</v>
      </c>
      <c r="K88" s="447">
        <v>324</v>
      </c>
      <c r="L88" s="132">
        <f>I88+J88-K88</f>
        <v>108</v>
      </c>
    </row>
    <row r="89" spans="1:12" s="1" customFormat="1" ht="12.75">
      <c r="A89" s="128" t="s">
        <v>86</v>
      </c>
      <c r="B89" s="129">
        <v>1398.45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1305.65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125" t="s">
        <v>83</v>
      </c>
    </row>
    <row r="90" spans="1:12" s="1" customFormat="1" ht="13.5" thickBot="1">
      <c r="A90" s="134" t="s">
        <v>87</v>
      </c>
      <c r="B90" s="135">
        <v>164.68</v>
      </c>
      <c r="C90" s="136">
        <v>162</v>
      </c>
      <c r="D90" s="137">
        <v>188</v>
      </c>
      <c r="E90" s="137">
        <v>160</v>
      </c>
      <c r="F90" s="138">
        <v>190</v>
      </c>
      <c r="G90" s="139">
        <v>183.56</v>
      </c>
      <c r="H90" s="454">
        <f>+G90-F90</f>
        <v>-6.439999999999998</v>
      </c>
      <c r="I90" s="136">
        <v>190</v>
      </c>
      <c r="J90" s="137">
        <v>199</v>
      </c>
      <c r="K90" s="137">
        <v>160</v>
      </c>
      <c r="L90" s="132">
        <f>I90+J90-K90</f>
        <v>229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>
      <c r="G92" s="8" t="s">
        <v>120</v>
      </c>
    </row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179.78</v>
      </c>
      <c r="C95" s="131">
        <v>179.78</v>
      </c>
      <c r="D95" s="131"/>
      <c r="E95" s="131"/>
      <c r="F95" s="131"/>
      <c r="G95" s="129"/>
      <c r="H95" s="132">
        <f>SUM(C95:G95)</f>
        <v>179.78</v>
      </c>
      <c r="I95" s="89"/>
      <c r="J95" s="93">
        <v>2005</v>
      </c>
      <c r="K95" s="94">
        <v>9530</v>
      </c>
      <c r="L95" s="95">
        <f>+G29</f>
        <v>9417</v>
      </c>
    </row>
    <row r="96" spans="1:12" ht="13.5" thickBot="1">
      <c r="A96" s="145" t="s">
        <v>95</v>
      </c>
      <c r="B96" s="135">
        <v>57.89</v>
      </c>
      <c r="C96" s="137">
        <v>57.89</v>
      </c>
      <c r="D96" s="137"/>
      <c r="E96" s="137"/>
      <c r="F96" s="137"/>
      <c r="G96" s="135"/>
      <c r="H96" s="138">
        <f>SUM(C96:G96)</f>
        <v>57.89</v>
      </c>
      <c r="I96" s="89"/>
      <c r="J96" s="96">
        <v>2006</v>
      </c>
      <c r="K96" s="97">
        <f>+L29</f>
        <v>9993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4.8</v>
      </c>
      <c r="C101" s="103">
        <v>4</v>
      </c>
      <c r="D101" s="103">
        <f>+C101-B101</f>
        <v>-0.7999999999999998</v>
      </c>
      <c r="E101" s="103">
        <v>5</v>
      </c>
      <c r="F101" s="103">
        <v>4</v>
      </c>
      <c r="G101" s="104">
        <f>+F101-E101</f>
        <v>-1</v>
      </c>
      <c r="H101" s="105">
        <v>14748</v>
      </c>
      <c r="I101" s="106">
        <v>17510</v>
      </c>
      <c r="J101" s="107">
        <f>+I101-H101</f>
        <v>2762</v>
      </c>
    </row>
    <row r="102" spans="1:10" ht="12.75">
      <c r="A102" s="102" t="s">
        <v>98</v>
      </c>
      <c r="B102" s="103">
        <v>12.8</v>
      </c>
      <c r="C102" s="103">
        <v>12.5</v>
      </c>
      <c r="D102" s="103">
        <f aca="true" t="shared" si="12" ref="D102:D110">+C102-B102</f>
        <v>-0.3000000000000007</v>
      </c>
      <c r="E102" s="103">
        <v>12.8</v>
      </c>
      <c r="F102" s="103">
        <v>13</v>
      </c>
      <c r="G102" s="104">
        <f aca="true" t="shared" si="13" ref="G102:G110">+F102-E102</f>
        <v>0.1999999999999993</v>
      </c>
      <c r="H102" s="105">
        <v>16283</v>
      </c>
      <c r="I102" s="108">
        <v>17349</v>
      </c>
      <c r="J102" s="107">
        <f aca="true" t="shared" si="14" ref="J102:J110">+I102-H102</f>
        <v>1066</v>
      </c>
    </row>
    <row r="103" spans="1:10" ht="12.75">
      <c r="A103" s="102" t="s">
        <v>60</v>
      </c>
      <c r="B103" s="103">
        <v>0</v>
      </c>
      <c r="C103" s="103">
        <v>0</v>
      </c>
      <c r="D103" s="103">
        <f t="shared" si="12"/>
        <v>0</v>
      </c>
      <c r="E103" s="103">
        <v>0</v>
      </c>
      <c r="F103" s="103">
        <v>0</v>
      </c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61</v>
      </c>
      <c r="B104" s="103">
        <v>17</v>
      </c>
      <c r="C104" s="103">
        <v>16.5</v>
      </c>
      <c r="D104" s="103">
        <f t="shared" si="12"/>
        <v>-0.5</v>
      </c>
      <c r="E104" s="103">
        <v>17</v>
      </c>
      <c r="F104" s="103">
        <v>16</v>
      </c>
      <c r="G104" s="104">
        <f t="shared" si="13"/>
        <v>-1</v>
      </c>
      <c r="H104" s="105">
        <v>10898</v>
      </c>
      <c r="I104" s="108">
        <v>11414</v>
      </c>
      <c r="J104" s="107">
        <f t="shared" si="14"/>
        <v>516</v>
      </c>
    </row>
    <row r="105" spans="1:10" ht="12.75">
      <c r="A105" s="102" t="s">
        <v>408</v>
      </c>
      <c r="B105" s="103">
        <v>1</v>
      </c>
      <c r="C105" s="103">
        <v>1</v>
      </c>
      <c r="D105" s="103">
        <f t="shared" si="12"/>
        <v>0</v>
      </c>
      <c r="E105" s="103">
        <v>0</v>
      </c>
      <c r="F105" s="103">
        <v>1</v>
      </c>
      <c r="G105" s="104">
        <f t="shared" si="13"/>
        <v>1</v>
      </c>
      <c r="H105" s="105"/>
      <c r="I105" s="108">
        <v>14392</v>
      </c>
      <c r="J105" s="107">
        <f t="shared" si="14"/>
        <v>14392</v>
      </c>
    </row>
    <row r="106" spans="1:10" ht="12.75">
      <c r="A106" s="102" t="s">
        <v>409</v>
      </c>
      <c r="B106" s="103">
        <v>0</v>
      </c>
      <c r="C106" s="103">
        <v>1</v>
      </c>
      <c r="D106" s="103">
        <f t="shared" si="12"/>
        <v>1</v>
      </c>
      <c r="E106" s="103">
        <v>0</v>
      </c>
      <c r="F106" s="103">
        <v>0</v>
      </c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65</v>
      </c>
      <c r="B107" s="103">
        <v>0</v>
      </c>
      <c r="C107" s="103">
        <v>0</v>
      </c>
      <c r="D107" s="103">
        <f t="shared" si="12"/>
        <v>0</v>
      </c>
      <c r="E107" s="103">
        <v>0</v>
      </c>
      <c r="F107" s="103">
        <v>0</v>
      </c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66</v>
      </c>
      <c r="B108" s="103">
        <v>1.5</v>
      </c>
      <c r="C108" s="103">
        <v>2</v>
      </c>
      <c r="D108" s="103">
        <f t="shared" si="12"/>
        <v>0.5</v>
      </c>
      <c r="E108" s="103">
        <v>1.5</v>
      </c>
      <c r="F108" s="103">
        <v>2</v>
      </c>
      <c r="G108" s="104">
        <f t="shared" si="13"/>
        <v>0.5</v>
      </c>
      <c r="H108" s="105">
        <v>14078</v>
      </c>
      <c r="I108" s="108">
        <v>13984</v>
      </c>
      <c r="J108" s="107">
        <f t="shared" si="14"/>
        <v>-94</v>
      </c>
    </row>
    <row r="109" spans="1:10" ht="12.75">
      <c r="A109" s="102" t="s">
        <v>67</v>
      </c>
      <c r="B109" s="103">
        <v>24</v>
      </c>
      <c r="C109" s="103">
        <v>21.14</v>
      </c>
      <c r="D109" s="103">
        <f t="shared" si="12"/>
        <v>-2.8599999999999994</v>
      </c>
      <c r="E109" s="103">
        <v>23.13</v>
      </c>
      <c r="F109" s="103">
        <v>21.14</v>
      </c>
      <c r="G109" s="104">
        <f t="shared" si="13"/>
        <v>-1.9899999999999984</v>
      </c>
      <c r="H109" s="105">
        <v>10547</v>
      </c>
      <c r="I109" s="108">
        <v>10350</v>
      </c>
      <c r="J109" s="107">
        <f t="shared" si="14"/>
        <v>-197</v>
      </c>
    </row>
    <row r="110" spans="1:10" ht="13.5" thickBot="1">
      <c r="A110" s="109" t="s">
        <v>5</v>
      </c>
      <c r="B110" s="110">
        <f>SUM(B101:B109)</f>
        <v>61.1</v>
      </c>
      <c r="C110" s="110">
        <f>SUM(C101:C109)</f>
        <v>58.14</v>
      </c>
      <c r="D110" s="110">
        <f t="shared" si="12"/>
        <v>-2.960000000000001</v>
      </c>
      <c r="E110" s="110">
        <f>SUM(E101:E109)</f>
        <v>59.42999999999999</v>
      </c>
      <c r="F110" s="110">
        <f>SUM(F101:F109)</f>
        <v>57.14</v>
      </c>
      <c r="G110" s="111">
        <f t="shared" si="13"/>
        <v>-2.289999999999992</v>
      </c>
      <c r="H110" s="112">
        <v>12231</v>
      </c>
      <c r="I110" s="113">
        <v>12902</v>
      </c>
      <c r="J110" s="114">
        <f t="shared" si="14"/>
        <v>671</v>
      </c>
    </row>
    <row r="111" ht="13.5" thickBot="1"/>
    <row r="112" spans="1:16" ht="12.75">
      <c r="A112" s="706" t="s">
        <v>68</v>
      </c>
      <c r="B112" s="707"/>
      <c r="C112" s="708"/>
      <c r="D112" s="89"/>
      <c r="E112" s="706" t="s">
        <v>69</v>
      </c>
      <c r="F112" s="707"/>
      <c r="G112" s="708"/>
      <c r="H112"/>
      <c r="I112"/>
      <c r="J112"/>
      <c r="K112"/>
      <c r="L112"/>
      <c r="M112"/>
      <c r="N112"/>
      <c r="O112"/>
      <c r="P112"/>
    </row>
    <row r="113" spans="1:16" ht="13.5" thickBot="1">
      <c r="A113" s="90" t="s">
        <v>70</v>
      </c>
      <c r="B113" s="91" t="s">
        <v>71</v>
      </c>
      <c r="C113" s="92" t="s">
        <v>53</v>
      </c>
      <c r="D113" s="89"/>
      <c r="E113" s="90"/>
      <c r="F113" s="709" t="s">
        <v>72</v>
      </c>
      <c r="G113" s="710"/>
      <c r="H113"/>
      <c r="I113"/>
      <c r="J113"/>
      <c r="K113"/>
      <c r="L113"/>
      <c r="M113"/>
      <c r="N113"/>
      <c r="O113"/>
      <c r="P113"/>
    </row>
    <row r="114" spans="1:16" ht="12.75">
      <c r="A114" s="93">
        <v>2005</v>
      </c>
      <c r="B114" s="94">
        <v>59</v>
      </c>
      <c r="C114" s="95">
        <v>58</v>
      </c>
      <c r="D114" s="89"/>
      <c r="E114" s="93">
        <v>2005</v>
      </c>
      <c r="F114" s="711">
        <v>135</v>
      </c>
      <c r="G114" s="624"/>
      <c r="H114"/>
      <c r="I114"/>
      <c r="J114"/>
      <c r="K114"/>
      <c r="L114"/>
      <c r="M114"/>
      <c r="N114"/>
      <c r="O114"/>
      <c r="P114"/>
    </row>
    <row r="115" spans="1:16" ht="13.5" thickBot="1">
      <c r="A115" s="96">
        <v>2006</v>
      </c>
      <c r="B115" s="97">
        <v>59</v>
      </c>
      <c r="C115" s="98"/>
      <c r="D115" s="89"/>
      <c r="E115" s="96">
        <v>2006</v>
      </c>
      <c r="F115" s="704">
        <v>135</v>
      </c>
      <c r="G115" s="705"/>
      <c r="H115"/>
      <c r="I115"/>
      <c r="J115"/>
      <c r="K115"/>
      <c r="L115"/>
      <c r="M115"/>
      <c r="N115"/>
      <c r="O115"/>
      <c r="P115"/>
    </row>
  </sheetData>
  <mergeCells count="120">
    <mergeCell ref="F70:G70"/>
    <mergeCell ref="C68:D68"/>
    <mergeCell ref="F68:G68"/>
    <mergeCell ref="I68:K68"/>
    <mergeCell ref="C69:D69"/>
    <mergeCell ref="F69:G69"/>
    <mergeCell ref="I69:K69"/>
    <mergeCell ref="C66:D66"/>
    <mergeCell ref="F66:G66"/>
    <mergeCell ref="I66:K66"/>
    <mergeCell ref="C67:D67"/>
    <mergeCell ref="F67:G67"/>
    <mergeCell ref="I67:K67"/>
    <mergeCell ref="A3:A6"/>
    <mergeCell ref="B3:N3"/>
    <mergeCell ref="H4:I4"/>
    <mergeCell ref="M4:N4"/>
    <mergeCell ref="B38:D38"/>
    <mergeCell ref="E38:G38"/>
    <mergeCell ref="J38:L38"/>
    <mergeCell ref="B39:D39"/>
    <mergeCell ref="E39:G39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L52:L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D59:F59"/>
    <mergeCell ref="H59:K59"/>
    <mergeCell ref="A60:B60"/>
    <mergeCell ref="D60:F60"/>
    <mergeCell ref="H60:K60"/>
    <mergeCell ref="J76:J78"/>
    <mergeCell ref="L76:M76"/>
    <mergeCell ref="M2:N2"/>
    <mergeCell ref="A61:B61"/>
    <mergeCell ref="D61:F61"/>
    <mergeCell ref="H61:K61"/>
    <mergeCell ref="A62:B62"/>
    <mergeCell ref="D62:F62"/>
    <mergeCell ref="H62:K62"/>
    <mergeCell ref="A59:B59"/>
    <mergeCell ref="A93:A94"/>
    <mergeCell ref="B93:B94"/>
    <mergeCell ref="C93:H93"/>
    <mergeCell ref="J93:L93"/>
    <mergeCell ref="A99:A100"/>
    <mergeCell ref="B99:D99"/>
    <mergeCell ref="E99:G99"/>
    <mergeCell ref="H99:J99"/>
    <mergeCell ref="A112:C112"/>
    <mergeCell ref="E112:G112"/>
    <mergeCell ref="F113:G113"/>
    <mergeCell ref="F114:G114"/>
    <mergeCell ref="F115:G115"/>
    <mergeCell ref="A65:E65"/>
    <mergeCell ref="F65:L65"/>
    <mergeCell ref="C70:D70"/>
    <mergeCell ref="I70:K70"/>
    <mergeCell ref="C71:D71"/>
    <mergeCell ref="F71:G71"/>
    <mergeCell ref="I71:K71"/>
    <mergeCell ref="F72:G72"/>
    <mergeCell ref="A76:A78"/>
    <mergeCell ref="C77:C78"/>
    <mergeCell ref="D77:I77"/>
    <mergeCell ref="A83:A84"/>
    <mergeCell ref="B83:B84"/>
    <mergeCell ref="C83:F83"/>
    <mergeCell ref="G83:G84"/>
    <mergeCell ref="H83:H84"/>
    <mergeCell ref="I83:L83"/>
    <mergeCell ref="B76:B78"/>
    <mergeCell ref="C76:I76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zoomScaleNormal="90" zoomScaleSheetLayoutView="100" workbookViewId="0" topLeftCell="A1">
      <selection activeCell="J29" sqref="J29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46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16"/>
      <c r="N2" s="717"/>
    </row>
    <row r="3" spans="1:14" ht="24" customHeight="1" thickBot="1">
      <c r="A3" s="684" t="s">
        <v>0</v>
      </c>
      <c r="B3" s="686" t="s">
        <v>474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712"/>
      <c r="N3" s="71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/>
      <c r="C8" s="33"/>
      <c r="D8" s="434">
        <f>SUM(B8:C8)</f>
        <v>0</v>
      </c>
      <c r="E8" s="37"/>
      <c r="F8" s="33"/>
      <c r="G8" s="434">
        <f>SUM(E8:F8)</f>
        <v>0</v>
      </c>
      <c r="H8" s="465">
        <f>+G8-D8</f>
        <v>0</v>
      </c>
      <c r="I8" s="36"/>
      <c r="J8" s="37"/>
      <c r="K8" s="33"/>
      <c r="L8" s="434">
        <f>SUM(J8:K8)</f>
        <v>0</v>
      </c>
      <c r="M8" s="465">
        <f>+L8-G8</f>
        <v>0</v>
      </c>
      <c r="N8" s="39"/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6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26</v>
      </c>
      <c r="C11" s="33"/>
      <c r="D11" s="434">
        <f t="shared" si="0"/>
        <v>26</v>
      </c>
      <c r="E11" s="37">
        <v>16</v>
      </c>
      <c r="F11" s="33"/>
      <c r="G11" s="434">
        <f t="shared" si="1"/>
        <v>16</v>
      </c>
      <c r="H11" s="465">
        <f t="shared" si="2"/>
        <v>-10</v>
      </c>
      <c r="I11" s="36">
        <f aca="true" t="shared" si="5" ref="I11:I37">+G11/D11</f>
        <v>0.6153846153846154</v>
      </c>
      <c r="J11" s="37"/>
      <c r="K11" s="33"/>
      <c r="L11" s="434">
        <f t="shared" si="3"/>
        <v>0</v>
      </c>
      <c r="M11" s="465">
        <f t="shared" si="4"/>
        <v>-16</v>
      </c>
      <c r="N11" s="39">
        <f aca="true" t="shared" si="6" ref="N11:N37">+L11/G11</f>
        <v>0</v>
      </c>
    </row>
    <row r="12" spans="1:14" ht="13.5" customHeight="1">
      <c r="A12" s="510" t="s">
        <v>15</v>
      </c>
      <c r="B12" s="37">
        <v>14</v>
      </c>
      <c r="C12" s="33"/>
      <c r="D12" s="434">
        <f t="shared" si="0"/>
        <v>14</v>
      </c>
      <c r="E12" s="37">
        <v>10</v>
      </c>
      <c r="F12" s="33"/>
      <c r="G12" s="434">
        <f t="shared" si="1"/>
        <v>10</v>
      </c>
      <c r="H12" s="465">
        <f t="shared" si="2"/>
        <v>-4</v>
      </c>
      <c r="I12" s="36">
        <f t="shared" si="5"/>
        <v>0.7142857142857143</v>
      </c>
      <c r="J12" s="37"/>
      <c r="K12" s="33"/>
      <c r="L12" s="434">
        <f t="shared" si="3"/>
        <v>0</v>
      </c>
      <c r="M12" s="465">
        <f t="shared" si="4"/>
        <v>-10</v>
      </c>
      <c r="N12" s="39">
        <f t="shared" si="6"/>
        <v>0</v>
      </c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4649</v>
      </c>
      <c r="C15" s="33"/>
      <c r="D15" s="434">
        <f t="shared" si="0"/>
        <v>4649</v>
      </c>
      <c r="E15" s="37">
        <v>5076</v>
      </c>
      <c r="F15" s="33"/>
      <c r="G15" s="434">
        <f t="shared" si="1"/>
        <v>5076</v>
      </c>
      <c r="H15" s="465">
        <f t="shared" si="2"/>
        <v>427</v>
      </c>
      <c r="I15" s="36">
        <f t="shared" si="5"/>
        <v>1.091847709184771</v>
      </c>
      <c r="J15" s="57">
        <f>SUM(J16:J17)</f>
        <v>5266</v>
      </c>
      <c r="K15" s="33"/>
      <c r="L15" s="434">
        <f t="shared" si="3"/>
        <v>5266</v>
      </c>
      <c r="M15" s="465">
        <f t="shared" si="4"/>
        <v>190</v>
      </c>
      <c r="N15" s="39">
        <f t="shared" si="6"/>
        <v>1.037431048069346</v>
      </c>
    </row>
    <row r="16" spans="1:14" ht="13.5" customHeight="1">
      <c r="A16" s="511" t="s">
        <v>476</v>
      </c>
      <c r="B16" s="37"/>
      <c r="C16" s="33"/>
      <c r="D16" s="434"/>
      <c r="E16" s="37">
        <v>4614</v>
      </c>
      <c r="F16" s="33"/>
      <c r="G16" s="434">
        <f t="shared" si="1"/>
        <v>4614</v>
      </c>
      <c r="H16" s="465">
        <f t="shared" si="2"/>
        <v>4614</v>
      </c>
      <c r="I16" s="36"/>
      <c r="J16" s="57">
        <f>5080</f>
        <v>5080</v>
      </c>
      <c r="K16" s="33"/>
      <c r="L16" s="434">
        <f t="shared" si="3"/>
        <v>5080</v>
      </c>
      <c r="M16" s="465">
        <f t="shared" si="4"/>
        <v>466</v>
      </c>
      <c r="N16" s="39">
        <f t="shared" si="6"/>
        <v>1.1009969657563936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462</v>
      </c>
      <c r="F17" s="431"/>
      <c r="G17" s="435">
        <f>G15-G16</f>
        <v>462</v>
      </c>
      <c r="H17" s="465">
        <f t="shared" si="2"/>
        <v>462</v>
      </c>
      <c r="I17" s="36"/>
      <c r="J17" s="438">
        <v>186</v>
      </c>
      <c r="K17" s="431"/>
      <c r="L17" s="434">
        <f t="shared" si="3"/>
        <v>186</v>
      </c>
      <c r="M17" s="465">
        <f t="shared" si="4"/>
        <v>-276</v>
      </c>
      <c r="N17" s="39">
        <f t="shared" si="6"/>
        <v>0.4025974025974026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4675</v>
      </c>
      <c r="C18" s="425">
        <f t="shared" si="7"/>
        <v>0</v>
      </c>
      <c r="D18" s="426">
        <f t="shared" si="7"/>
        <v>4675</v>
      </c>
      <c r="E18" s="424">
        <f t="shared" si="7"/>
        <v>5092</v>
      </c>
      <c r="F18" s="425">
        <f t="shared" si="7"/>
        <v>0</v>
      </c>
      <c r="G18" s="426">
        <f t="shared" si="7"/>
        <v>5092</v>
      </c>
      <c r="H18" s="369">
        <f t="shared" si="2"/>
        <v>417</v>
      </c>
      <c r="I18" s="63">
        <f t="shared" si="5"/>
        <v>1.0891978609625668</v>
      </c>
      <c r="J18" s="437">
        <f>SUM(J7+J8+J9+J10+J11+J13+J15)</f>
        <v>5266</v>
      </c>
      <c r="K18" s="425">
        <f>SUM(K7+K8+K9+K10+K11+K13+K15)</f>
        <v>0</v>
      </c>
      <c r="L18" s="426">
        <f>SUM(L7+L8+L9+L10+L11+L13+L15)</f>
        <v>5266</v>
      </c>
      <c r="M18" s="369">
        <f t="shared" si="4"/>
        <v>174</v>
      </c>
      <c r="N18" s="370">
        <f t="shared" si="6"/>
        <v>1.0341712490180675</v>
      </c>
    </row>
    <row r="19" spans="1:14" ht="13.5" customHeight="1">
      <c r="A19" s="54" t="s">
        <v>20</v>
      </c>
      <c r="B19" s="25">
        <v>240</v>
      </c>
      <c r="C19" s="26"/>
      <c r="D19" s="34">
        <f aca="true" t="shared" si="8" ref="D19:D36">SUM(B19:C19)</f>
        <v>240</v>
      </c>
      <c r="E19" s="25">
        <v>247</v>
      </c>
      <c r="F19" s="26"/>
      <c r="G19" s="27">
        <f>SUM(E19:F19)</f>
        <v>247</v>
      </c>
      <c r="H19" s="28">
        <f t="shared" si="2"/>
        <v>7</v>
      </c>
      <c r="I19" s="55">
        <f t="shared" si="5"/>
        <v>1.0291666666666666</v>
      </c>
      <c r="J19" s="29">
        <v>235</v>
      </c>
      <c r="K19" s="26"/>
      <c r="L19" s="30">
        <f>SUM(J19:K19)</f>
        <v>235</v>
      </c>
      <c r="M19" s="28">
        <f t="shared" si="4"/>
        <v>-12</v>
      </c>
      <c r="N19" s="56">
        <f t="shared" si="6"/>
        <v>0.951417004048583</v>
      </c>
    </row>
    <row r="20" spans="1:14" ht="21" customHeight="1">
      <c r="A20" s="40" t="s">
        <v>21</v>
      </c>
      <c r="B20" s="25">
        <v>158</v>
      </c>
      <c r="C20" s="26"/>
      <c r="D20" s="34">
        <f t="shared" si="8"/>
        <v>158</v>
      </c>
      <c r="E20" s="25">
        <v>134</v>
      </c>
      <c r="F20" s="26"/>
      <c r="G20" s="27">
        <f aca="true" t="shared" si="9" ref="G20:G36">SUM(E20:F20)</f>
        <v>134</v>
      </c>
      <c r="H20" s="35">
        <f t="shared" si="2"/>
        <v>-24</v>
      </c>
      <c r="I20" s="36">
        <f t="shared" si="5"/>
        <v>0.8481012658227848</v>
      </c>
      <c r="J20" s="29">
        <v>50</v>
      </c>
      <c r="K20" s="26"/>
      <c r="L20" s="30">
        <f aca="true" t="shared" si="10" ref="L20:L36">SUM(J20:K20)</f>
        <v>50</v>
      </c>
      <c r="M20" s="35">
        <f t="shared" si="4"/>
        <v>-84</v>
      </c>
      <c r="N20" s="39">
        <f t="shared" si="6"/>
        <v>0.373134328358209</v>
      </c>
    </row>
    <row r="21" spans="1:14" ht="13.5" customHeight="1">
      <c r="A21" s="31" t="s">
        <v>22</v>
      </c>
      <c r="B21" s="32">
        <v>116</v>
      </c>
      <c r="C21" s="33"/>
      <c r="D21" s="34">
        <f t="shared" si="8"/>
        <v>116</v>
      </c>
      <c r="E21" s="32">
        <v>162</v>
      </c>
      <c r="F21" s="33"/>
      <c r="G21" s="27">
        <f t="shared" si="9"/>
        <v>162</v>
      </c>
      <c r="H21" s="35">
        <f t="shared" si="2"/>
        <v>46</v>
      </c>
      <c r="I21" s="36">
        <f t="shared" si="5"/>
        <v>1.396551724137931</v>
      </c>
      <c r="J21" s="37">
        <v>178</v>
      </c>
      <c r="K21" s="33"/>
      <c r="L21" s="30">
        <f t="shared" si="10"/>
        <v>178</v>
      </c>
      <c r="M21" s="35">
        <f t="shared" si="4"/>
        <v>16</v>
      </c>
      <c r="N21" s="39">
        <f t="shared" si="6"/>
        <v>1.0987654320987654</v>
      </c>
    </row>
    <row r="22" spans="1:14" ht="13.5" customHeight="1">
      <c r="A22" s="40" t="s">
        <v>23</v>
      </c>
      <c r="B22" s="32">
        <v>0</v>
      </c>
      <c r="C22" s="33"/>
      <c r="D22" s="34">
        <f t="shared" si="8"/>
        <v>0</v>
      </c>
      <c r="E22" s="32">
        <v>0</v>
      </c>
      <c r="F22" s="33"/>
      <c r="G22" s="27">
        <f t="shared" si="9"/>
        <v>0</v>
      </c>
      <c r="H22" s="35">
        <f t="shared" si="2"/>
        <v>0</v>
      </c>
      <c r="I22" s="36"/>
      <c r="J22" s="37">
        <v>0</v>
      </c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>
        <v>0</v>
      </c>
      <c r="C23" s="33"/>
      <c r="D23" s="34">
        <f t="shared" si="8"/>
        <v>0</v>
      </c>
      <c r="E23" s="32">
        <v>0</v>
      </c>
      <c r="F23" s="33"/>
      <c r="G23" s="27">
        <f t="shared" si="9"/>
        <v>0</v>
      </c>
      <c r="H23" s="35">
        <f t="shared" si="2"/>
        <v>0</v>
      </c>
      <c r="I23" s="36"/>
      <c r="J23" s="37">
        <v>0</v>
      </c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897</v>
      </c>
      <c r="C24" s="33"/>
      <c r="D24" s="34">
        <f t="shared" si="8"/>
        <v>897</v>
      </c>
      <c r="E24" s="37">
        <v>828</v>
      </c>
      <c r="F24" s="33"/>
      <c r="G24" s="27">
        <f t="shared" si="9"/>
        <v>828</v>
      </c>
      <c r="H24" s="35">
        <f t="shared" si="2"/>
        <v>-69</v>
      </c>
      <c r="I24" s="36">
        <f t="shared" si="5"/>
        <v>0.9230769230769231</v>
      </c>
      <c r="J24" s="37">
        <v>687</v>
      </c>
      <c r="K24" s="33"/>
      <c r="L24" s="30">
        <f t="shared" si="10"/>
        <v>687</v>
      </c>
      <c r="M24" s="35">
        <f t="shared" si="4"/>
        <v>-141</v>
      </c>
      <c r="N24" s="39">
        <f t="shared" si="6"/>
        <v>0.8297101449275363</v>
      </c>
    </row>
    <row r="25" spans="1:14" ht="13.5" customHeight="1">
      <c r="A25" s="40" t="s">
        <v>26</v>
      </c>
      <c r="B25" s="32">
        <v>37</v>
      </c>
      <c r="C25" s="33"/>
      <c r="D25" s="34">
        <f t="shared" si="8"/>
        <v>37</v>
      </c>
      <c r="E25" s="32">
        <v>62</v>
      </c>
      <c r="F25" s="33"/>
      <c r="G25" s="27">
        <f t="shared" si="9"/>
        <v>62</v>
      </c>
      <c r="H25" s="35">
        <f t="shared" si="2"/>
        <v>25</v>
      </c>
      <c r="I25" s="36">
        <f t="shared" si="5"/>
        <v>1.6756756756756757</v>
      </c>
      <c r="J25" s="57">
        <v>50</v>
      </c>
      <c r="K25" s="33"/>
      <c r="L25" s="30">
        <f t="shared" si="10"/>
        <v>50</v>
      </c>
      <c r="M25" s="35">
        <f t="shared" si="4"/>
        <v>-12</v>
      </c>
      <c r="N25" s="39">
        <f t="shared" si="6"/>
        <v>0.8064516129032258</v>
      </c>
    </row>
    <row r="26" spans="1:14" ht="13.5" customHeight="1">
      <c r="A26" s="31" t="s">
        <v>27</v>
      </c>
      <c r="B26" s="32">
        <v>616</v>
      </c>
      <c r="C26" s="33"/>
      <c r="D26" s="34">
        <f t="shared" si="8"/>
        <v>616</v>
      </c>
      <c r="E26" s="32">
        <v>766</v>
      </c>
      <c r="F26" s="33"/>
      <c r="G26" s="27">
        <f t="shared" si="9"/>
        <v>766</v>
      </c>
      <c r="H26" s="35">
        <f t="shared" si="2"/>
        <v>150</v>
      </c>
      <c r="I26" s="36">
        <f t="shared" si="5"/>
        <v>1.2435064935064934</v>
      </c>
      <c r="J26" s="57">
        <v>637</v>
      </c>
      <c r="K26" s="33"/>
      <c r="L26" s="30">
        <f t="shared" si="10"/>
        <v>637</v>
      </c>
      <c r="M26" s="35">
        <f t="shared" si="4"/>
        <v>-129</v>
      </c>
      <c r="N26" s="39">
        <f t="shared" si="6"/>
        <v>0.8315926892950392</v>
      </c>
    </row>
    <row r="27" spans="1:14" ht="13.5" customHeight="1">
      <c r="A27" s="58" t="s">
        <v>28</v>
      </c>
      <c r="B27" s="37">
        <v>3364</v>
      </c>
      <c r="C27" s="33"/>
      <c r="D27" s="34">
        <f t="shared" si="8"/>
        <v>3364</v>
      </c>
      <c r="E27" s="37">
        <v>3752</v>
      </c>
      <c r="F27" s="33"/>
      <c r="G27" s="27">
        <f t="shared" si="9"/>
        <v>3752</v>
      </c>
      <c r="H27" s="35">
        <f t="shared" si="2"/>
        <v>388</v>
      </c>
      <c r="I27" s="36">
        <f t="shared" si="5"/>
        <v>1.1153388822829964</v>
      </c>
      <c r="J27" s="37">
        <f>J28+J31</f>
        <v>4067</v>
      </c>
      <c r="K27" s="33"/>
      <c r="L27" s="30">
        <f t="shared" si="10"/>
        <v>4067</v>
      </c>
      <c r="M27" s="35">
        <f t="shared" si="4"/>
        <v>315</v>
      </c>
      <c r="N27" s="39">
        <f t="shared" si="6"/>
        <v>1.083955223880597</v>
      </c>
    </row>
    <row r="28" spans="1:14" ht="13.5" customHeight="1">
      <c r="A28" s="40" t="s">
        <v>29</v>
      </c>
      <c r="B28" s="32">
        <v>2467</v>
      </c>
      <c r="C28" s="33"/>
      <c r="D28" s="34">
        <f t="shared" si="8"/>
        <v>2467</v>
      </c>
      <c r="E28" s="32">
        <v>2741</v>
      </c>
      <c r="F28" s="33"/>
      <c r="G28" s="27">
        <f t="shared" si="9"/>
        <v>2741</v>
      </c>
      <c r="H28" s="35">
        <f t="shared" si="2"/>
        <v>274</v>
      </c>
      <c r="I28" s="36">
        <f t="shared" si="5"/>
        <v>1.111066072152412</v>
      </c>
      <c r="J28" s="57">
        <f>J29+J30</f>
        <v>2969</v>
      </c>
      <c r="K28" s="59"/>
      <c r="L28" s="30">
        <f t="shared" si="10"/>
        <v>2969</v>
      </c>
      <c r="M28" s="35">
        <f t="shared" si="4"/>
        <v>228</v>
      </c>
      <c r="N28" s="39">
        <f t="shared" si="6"/>
        <v>1.0831813206858811</v>
      </c>
    </row>
    <row r="29" spans="1:14" ht="13.5" customHeight="1">
      <c r="A29" s="58" t="s">
        <v>30</v>
      </c>
      <c r="B29" s="32">
        <v>2409</v>
      </c>
      <c r="C29" s="33"/>
      <c r="D29" s="34">
        <f t="shared" si="8"/>
        <v>2409</v>
      </c>
      <c r="E29" s="32">
        <v>2702</v>
      </c>
      <c r="F29" s="33"/>
      <c r="G29" s="27">
        <f t="shared" si="9"/>
        <v>2702</v>
      </c>
      <c r="H29" s="35">
        <f t="shared" si="2"/>
        <v>293</v>
      </c>
      <c r="I29" s="36">
        <f t="shared" si="5"/>
        <v>1.1216272312162723</v>
      </c>
      <c r="J29" s="37">
        <f>2783+136</f>
        <v>2919</v>
      </c>
      <c r="K29" s="33"/>
      <c r="L29" s="30">
        <f t="shared" si="10"/>
        <v>2919</v>
      </c>
      <c r="M29" s="35">
        <f t="shared" si="4"/>
        <v>217</v>
      </c>
      <c r="N29" s="39">
        <f t="shared" si="6"/>
        <v>1.0803108808290156</v>
      </c>
    </row>
    <row r="30" spans="1:14" ht="13.5" customHeight="1">
      <c r="A30" s="40" t="s">
        <v>31</v>
      </c>
      <c r="B30" s="32">
        <v>58</v>
      </c>
      <c r="C30" s="33"/>
      <c r="D30" s="34">
        <f t="shared" si="8"/>
        <v>58</v>
      </c>
      <c r="E30" s="32">
        <v>39</v>
      </c>
      <c r="F30" s="33"/>
      <c r="G30" s="27">
        <f t="shared" si="9"/>
        <v>39</v>
      </c>
      <c r="H30" s="35">
        <f t="shared" si="2"/>
        <v>-19</v>
      </c>
      <c r="I30" s="36">
        <f t="shared" si="5"/>
        <v>0.6724137931034483</v>
      </c>
      <c r="J30" s="37">
        <v>50</v>
      </c>
      <c r="K30" s="33"/>
      <c r="L30" s="30">
        <f t="shared" si="10"/>
        <v>50</v>
      </c>
      <c r="M30" s="35">
        <f t="shared" si="4"/>
        <v>11</v>
      </c>
      <c r="N30" s="39">
        <f t="shared" si="6"/>
        <v>1.2820512820512822</v>
      </c>
    </row>
    <row r="31" spans="1:14" ht="13.5" customHeight="1">
      <c r="A31" s="40" t="s">
        <v>32</v>
      </c>
      <c r="B31" s="32">
        <v>897</v>
      </c>
      <c r="C31" s="33"/>
      <c r="D31" s="34">
        <f t="shared" si="8"/>
        <v>897</v>
      </c>
      <c r="E31" s="32">
        <v>1011</v>
      </c>
      <c r="F31" s="33"/>
      <c r="G31" s="27">
        <f t="shared" si="9"/>
        <v>1011</v>
      </c>
      <c r="H31" s="35">
        <f t="shared" si="2"/>
        <v>114</v>
      </c>
      <c r="I31" s="36">
        <f t="shared" si="5"/>
        <v>1.1270903010033444</v>
      </c>
      <c r="J31" s="37">
        <f>1048+50</f>
        <v>1098</v>
      </c>
      <c r="K31" s="33"/>
      <c r="L31" s="30">
        <f t="shared" si="10"/>
        <v>1098</v>
      </c>
      <c r="M31" s="35">
        <f t="shared" si="4"/>
        <v>87</v>
      </c>
      <c r="N31" s="39">
        <f t="shared" si="6"/>
        <v>1.086053412462908</v>
      </c>
    </row>
    <row r="32" spans="1:14" ht="13.5" customHeight="1">
      <c r="A32" s="58" t="s">
        <v>33</v>
      </c>
      <c r="B32" s="32">
        <v>0</v>
      </c>
      <c r="C32" s="33"/>
      <c r="D32" s="34">
        <f t="shared" si="8"/>
        <v>0</v>
      </c>
      <c r="E32" s="32">
        <v>0</v>
      </c>
      <c r="F32" s="33"/>
      <c r="G32" s="27">
        <f t="shared" si="9"/>
        <v>0</v>
      </c>
      <c r="H32" s="35">
        <f t="shared" si="2"/>
        <v>0</v>
      </c>
      <c r="I32" s="36"/>
      <c r="J32" s="37">
        <v>0</v>
      </c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10</v>
      </c>
      <c r="C33" s="33"/>
      <c r="D33" s="34">
        <f t="shared" si="8"/>
        <v>10</v>
      </c>
      <c r="E33" s="32">
        <v>17</v>
      </c>
      <c r="F33" s="33"/>
      <c r="G33" s="27">
        <f t="shared" si="9"/>
        <v>17</v>
      </c>
      <c r="H33" s="35">
        <f t="shared" si="2"/>
        <v>7</v>
      </c>
      <c r="I33" s="36">
        <f t="shared" si="5"/>
        <v>1.7</v>
      </c>
      <c r="J33" s="37">
        <v>20</v>
      </c>
      <c r="K33" s="33"/>
      <c r="L33" s="30">
        <f t="shared" si="10"/>
        <v>20</v>
      </c>
      <c r="M33" s="35">
        <f t="shared" si="4"/>
        <v>3</v>
      </c>
      <c r="N33" s="39">
        <f t="shared" si="6"/>
        <v>1.1764705882352942</v>
      </c>
    </row>
    <row r="34" spans="1:14" ht="13.5" customHeight="1">
      <c r="A34" s="40" t="s">
        <v>35</v>
      </c>
      <c r="B34" s="32">
        <v>30</v>
      </c>
      <c r="C34" s="33"/>
      <c r="D34" s="34">
        <f t="shared" si="8"/>
        <v>30</v>
      </c>
      <c r="E34" s="32">
        <v>63</v>
      </c>
      <c r="F34" s="33"/>
      <c r="G34" s="27">
        <f t="shared" si="9"/>
        <v>63</v>
      </c>
      <c r="H34" s="35">
        <f t="shared" si="2"/>
        <v>33</v>
      </c>
      <c r="I34" s="36">
        <f t="shared" si="5"/>
        <v>2.1</v>
      </c>
      <c r="J34" s="57">
        <v>79</v>
      </c>
      <c r="K34" s="33"/>
      <c r="L34" s="30">
        <f t="shared" si="10"/>
        <v>79</v>
      </c>
      <c r="M34" s="35">
        <f t="shared" si="4"/>
        <v>16</v>
      </c>
      <c r="N34" s="39">
        <f t="shared" si="6"/>
        <v>1.253968253968254</v>
      </c>
    </row>
    <row r="35" spans="1:14" ht="22.5" customHeight="1">
      <c r="A35" s="40" t="s">
        <v>36</v>
      </c>
      <c r="B35" s="32">
        <v>30</v>
      </c>
      <c r="C35" s="33"/>
      <c r="D35" s="34">
        <f t="shared" si="8"/>
        <v>30</v>
      </c>
      <c r="E35" s="32">
        <v>63</v>
      </c>
      <c r="F35" s="33"/>
      <c r="G35" s="27">
        <f t="shared" si="9"/>
        <v>63</v>
      </c>
      <c r="H35" s="35">
        <f t="shared" si="2"/>
        <v>33</v>
      </c>
      <c r="I35" s="36">
        <f t="shared" si="5"/>
        <v>2.1</v>
      </c>
      <c r="J35" s="57">
        <v>79</v>
      </c>
      <c r="K35" s="33"/>
      <c r="L35" s="30">
        <f t="shared" si="10"/>
        <v>79</v>
      </c>
      <c r="M35" s="35">
        <f t="shared" si="4"/>
        <v>16</v>
      </c>
      <c r="N35" s="39">
        <f t="shared" si="6"/>
        <v>1.253968253968254</v>
      </c>
    </row>
    <row r="36" spans="1:14" ht="13.5" customHeight="1" thickBot="1">
      <c r="A36" s="60" t="s">
        <v>37</v>
      </c>
      <c r="B36" s="41">
        <v>0</v>
      </c>
      <c r="C36" s="42"/>
      <c r="D36" s="34">
        <f t="shared" si="8"/>
        <v>0</v>
      </c>
      <c r="E36" s="41">
        <v>0</v>
      </c>
      <c r="F36" s="42"/>
      <c r="G36" s="27">
        <f t="shared" si="9"/>
        <v>0</v>
      </c>
      <c r="H36" s="43">
        <f t="shared" si="2"/>
        <v>0</v>
      </c>
      <c r="I36" s="44"/>
      <c r="J36" s="61">
        <v>0</v>
      </c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4657</v>
      </c>
      <c r="C37" s="48">
        <f t="shared" si="11"/>
        <v>0</v>
      </c>
      <c r="D37" s="49">
        <f t="shared" si="11"/>
        <v>4657</v>
      </c>
      <c r="E37" s="47">
        <f t="shared" si="11"/>
        <v>5069</v>
      </c>
      <c r="F37" s="48">
        <f t="shared" si="11"/>
        <v>0</v>
      </c>
      <c r="G37" s="49">
        <f t="shared" si="11"/>
        <v>5069</v>
      </c>
      <c r="H37" s="50">
        <f t="shared" si="2"/>
        <v>412</v>
      </c>
      <c r="I37" s="51">
        <f t="shared" si="5"/>
        <v>1.0884689714408418</v>
      </c>
      <c r="J37" s="52">
        <f>SUM(J19+J21+J22+J23+J24+J27+J32+J33+J34+J36)</f>
        <v>5266</v>
      </c>
      <c r="K37" s="48">
        <f>SUM(K19+K21+K22+K23+K24+K27+K32+K33+K34+K36)</f>
        <v>0</v>
      </c>
      <c r="L37" s="49">
        <f>SUM(L19+L21+L22+L23+L24+L27+L32+L33+L34+L36)</f>
        <v>5266</v>
      </c>
      <c r="M37" s="50">
        <f t="shared" si="4"/>
        <v>197</v>
      </c>
      <c r="N37" s="53">
        <f t="shared" si="6"/>
        <v>1.0388636811994476</v>
      </c>
    </row>
    <row r="38" spans="1:14" ht="13.5" customHeight="1" thickBot="1">
      <c r="A38" s="46" t="s">
        <v>39</v>
      </c>
      <c r="B38" s="680">
        <f>+D18-D37</f>
        <v>18</v>
      </c>
      <c r="C38" s="681"/>
      <c r="D38" s="682"/>
      <c r="E38" s="680">
        <f>+G18-G37</f>
        <v>23</v>
      </c>
      <c r="F38" s="681"/>
      <c r="G38" s="682">
        <v>-50784</v>
      </c>
      <c r="H38" s="62">
        <f>+E38-B38</f>
        <v>5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410</v>
      </c>
      <c r="B43" s="683"/>
      <c r="C43" s="66">
        <v>145</v>
      </c>
      <c r="D43" s="679" t="s">
        <v>411</v>
      </c>
      <c r="E43" s="657"/>
      <c r="F43" s="657"/>
      <c r="G43" s="67">
        <v>250</v>
      </c>
      <c r="H43" s="658" t="s">
        <v>43</v>
      </c>
      <c r="I43" s="659"/>
      <c r="J43" s="659"/>
      <c r="K43" s="659"/>
      <c r="L43" s="68">
        <v>9</v>
      </c>
      <c r="O43"/>
      <c r="P43"/>
    </row>
    <row r="44" spans="1:16" ht="12.75">
      <c r="A44" s="639"/>
      <c r="B44" s="646"/>
      <c r="C44" s="69"/>
      <c r="D44" s="679"/>
      <c r="E44" s="657"/>
      <c r="F44" s="657"/>
      <c r="G44" s="70"/>
      <c r="H44" s="658"/>
      <c r="I44" s="659"/>
      <c r="J44" s="659"/>
      <c r="K44" s="659"/>
      <c r="L44" s="68"/>
      <c r="O44"/>
      <c r="P44"/>
    </row>
    <row r="45" spans="1:16" ht="12.75">
      <c r="A45" s="639"/>
      <c r="B45" s="646"/>
      <c r="C45" s="69"/>
      <c r="D45" s="679"/>
      <c r="E45" s="657"/>
      <c r="F45" s="657"/>
      <c r="G45" s="70"/>
      <c r="H45" s="658"/>
      <c r="I45" s="659"/>
      <c r="J45" s="659"/>
      <c r="K45" s="659"/>
      <c r="L45" s="68"/>
      <c r="O45"/>
      <c r="P45"/>
    </row>
    <row r="46" spans="1:16" ht="12.75">
      <c r="A46" s="647"/>
      <c r="B46" s="674"/>
      <c r="C46" s="71"/>
      <c r="D46" s="647"/>
      <c r="E46" s="648"/>
      <c r="F46" s="674"/>
      <c r="G46" s="72"/>
      <c r="H46" s="643"/>
      <c r="I46" s="644"/>
      <c r="J46" s="644"/>
      <c r="K46" s="645"/>
      <c r="L46" s="68"/>
      <c r="O46"/>
      <c r="P46"/>
    </row>
    <row r="47" spans="1:16" ht="12.75">
      <c r="A47" s="647"/>
      <c r="B47" s="674"/>
      <c r="C47" s="71"/>
      <c r="D47" s="647"/>
      <c r="E47" s="648"/>
      <c r="F47" s="674"/>
      <c r="G47" s="72"/>
      <c r="H47" s="643"/>
      <c r="I47" s="644"/>
      <c r="J47" s="644"/>
      <c r="K47" s="645"/>
      <c r="L47" s="68"/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/>
      <c r="I48" s="644"/>
      <c r="J48" s="644"/>
      <c r="K48" s="645"/>
      <c r="L48" s="68"/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/>
      <c r="B50" s="635"/>
      <c r="C50" s="73">
        <f>SUM(C43:C49)</f>
        <v>145</v>
      </c>
      <c r="D50" s="660" t="s">
        <v>5</v>
      </c>
      <c r="E50" s="661"/>
      <c r="F50" s="661"/>
      <c r="G50" s="73">
        <f>SUM(G43:G44)</f>
        <v>250</v>
      </c>
      <c r="H50" s="637" t="s">
        <v>5</v>
      </c>
      <c r="I50" s="638"/>
      <c r="J50" s="638"/>
      <c r="K50" s="638"/>
      <c r="L50" s="73">
        <f>SUM(L43:L44)</f>
        <v>9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412</v>
      </c>
      <c r="B54" s="655"/>
      <c r="C54" s="66">
        <v>13</v>
      </c>
      <c r="D54" s="656" t="s">
        <v>413</v>
      </c>
      <c r="E54" s="657"/>
      <c r="F54" s="657"/>
      <c r="G54" s="76">
        <v>35</v>
      </c>
      <c r="H54" s="658" t="s">
        <v>535</v>
      </c>
      <c r="I54" s="659"/>
      <c r="J54" s="659"/>
      <c r="K54" s="659"/>
      <c r="L54" s="68">
        <v>30</v>
      </c>
      <c r="O54"/>
      <c r="P54"/>
    </row>
    <row r="55" spans="1:16" ht="13.5" customHeight="1">
      <c r="A55" s="639" t="s">
        <v>44</v>
      </c>
      <c r="B55" s="649"/>
      <c r="C55" s="69">
        <v>11</v>
      </c>
      <c r="D55" s="642" t="s">
        <v>414</v>
      </c>
      <c r="E55" s="646"/>
      <c r="F55" s="646"/>
      <c r="G55" s="77">
        <v>1</v>
      </c>
      <c r="H55" s="650" t="s">
        <v>415</v>
      </c>
      <c r="I55" s="651"/>
      <c r="J55" s="651"/>
      <c r="K55" s="651"/>
      <c r="L55" s="78">
        <v>20</v>
      </c>
      <c r="O55"/>
      <c r="P55"/>
    </row>
    <row r="56" spans="1:16" ht="13.5" customHeight="1">
      <c r="A56" s="639" t="s">
        <v>45</v>
      </c>
      <c r="B56" s="640"/>
      <c r="C56" s="69">
        <v>3</v>
      </c>
      <c r="D56" s="642" t="s">
        <v>416</v>
      </c>
      <c r="E56" s="646"/>
      <c r="F56" s="646"/>
      <c r="G56" s="77">
        <v>1</v>
      </c>
      <c r="H56" s="643"/>
      <c r="I56" s="644"/>
      <c r="J56" s="644"/>
      <c r="K56" s="645"/>
      <c r="L56" s="78"/>
      <c r="O56"/>
      <c r="P56"/>
    </row>
    <row r="57" spans="1:16" ht="13.5" customHeight="1">
      <c r="A57" s="639" t="s">
        <v>46</v>
      </c>
      <c r="B57" s="640"/>
      <c r="C57" s="69">
        <v>8</v>
      </c>
      <c r="D57" s="642" t="s">
        <v>417</v>
      </c>
      <c r="E57" s="646"/>
      <c r="F57" s="646"/>
      <c r="G57" s="77">
        <v>10</v>
      </c>
      <c r="H57" s="643"/>
      <c r="I57" s="644"/>
      <c r="J57" s="644"/>
      <c r="K57" s="645"/>
      <c r="L57" s="78"/>
      <c r="O57"/>
      <c r="P57"/>
    </row>
    <row r="58" spans="1:16" ht="13.5" customHeight="1">
      <c r="A58" s="647" t="s">
        <v>47</v>
      </c>
      <c r="B58" s="648"/>
      <c r="C58" s="71">
        <v>2</v>
      </c>
      <c r="D58" s="641" t="s">
        <v>418</v>
      </c>
      <c r="E58" s="641"/>
      <c r="F58" s="642"/>
      <c r="G58" s="178">
        <v>7</v>
      </c>
      <c r="H58" s="643"/>
      <c r="I58" s="644"/>
      <c r="J58" s="644"/>
      <c r="K58" s="645"/>
      <c r="L58" s="79"/>
      <c r="O58"/>
      <c r="P58"/>
    </row>
    <row r="59" spans="1:16" ht="13.5" customHeight="1">
      <c r="A59" s="639"/>
      <c r="B59" s="640"/>
      <c r="C59" s="71"/>
      <c r="D59" s="641" t="s">
        <v>419</v>
      </c>
      <c r="E59" s="641"/>
      <c r="F59" s="642"/>
      <c r="G59" s="178">
        <v>6</v>
      </c>
      <c r="H59" s="643"/>
      <c r="I59" s="644"/>
      <c r="J59" s="644"/>
      <c r="K59" s="645"/>
      <c r="L59" s="79"/>
      <c r="O59"/>
      <c r="P59"/>
    </row>
    <row r="60" spans="1:16" ht="13.5" customHeight="1">
      <c r="A60" s="639"/>
      <c r="B60" s="640"/>
      <c r="C60" s="69"/>
      <c r="D60" s="642" t="s">
        <v>420</v>
      </c>
      <c r="E60" s="646"/>
      <c r="F60" s="646"/>
      <c r="G60" s="77">
        <v>2</v>
      </c>
      <c r="H60" s="643"/>
      <c r="I60" s="644"/>
      <c r="J60" s="644"/>
      <c r="K60" s="645"/>
      <c r="L60" s="78"/>
      <c r="O60"/>
      <c r="P60"/>
    </row>
    <row r="61" spans="1:16" ht="13.5" thickBot="1">
      <c r="A61" s="627"/>
      <c r="B61" s="628"/>
      <c r="C61" s="80"/>
      <c r="D61" s="629"/>
      <c r="E61" s="630"/>
      <c r="F61" s="630"/>
      <c r="G61" s="81"/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73">
        <f>SUM(C54:C61)</f>
        <v>37</v>
      </c>
      <c r="D62" s="635" t="s">
        <v>5</v>
      </c>
      <c r="E62" s="636"/>
      <c r="F62" s="636"/>
      <c r="G62" s="83">
        <f>SUM(G54:G61)</f>
        <v>62</v>
      </c>
      <c r="H62" s="637" t="s">
        <v>5</v>
      </c>
      <c r="I62" s="638"/>
      <c r="J62" s="638"/>
      <c r="K62" s="638"/>
      <c r="L62" s="73">
        <f>SUM(L54:L61)</f>
        <v>50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0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14</v>
      </c>
      <c r="I67" s="580" t="s">
        <v>179</v>
      </c>
      <c r="J67" s="582"/>
      <c r="K67" s="582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14</v>
      </c>
      <c r="C68" s="583" t="s">
        <v>491</v>
      </c>
      <c r="D68" s="583"/>
      <c r="E68" s="159">
        <v>10</v>
      </c>
      <c r="F68" s="584" t="s">
        <v>177</v>
      </c>
      <c r="G68" s="585"/>
      <c r="H68" s="151">
        <v>19</v>
      </c>
      <c r="I68" s="583"/>
      <c r="J68" s="585"/>
      <c r="K68" s="585"/>
      <c r="L68" s="159"/>
      <c r="M68" s="84"/>
      <c r="N68" s="84"/>
    </row>
    <row r="69" spans="1:14" s="1" customFormat="1" ht="12.75">
      <c r="A69" s="158" t="s">
        <v>175</v>
      </c>
      <c r="B69" s="151">
        <v>10</v>
      </c>
      <c r="C69" s="583"/>
      <c r="D69" s="583"/>
      <c r="E69" s="159"/>
      <c r="F69" s="583" t="s">
        <v>175</v>
      </c>
      <c r="G69" s="583"/>
      <c r="H69" s="151">
        <v>0</v>
      </c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24</v>
      </c>
      <c r="C71" s="589" t="s">
        <v>5</v>
      </c>
      <c r="D71" s="589"/>
      <c r="E71" s="165">
        <f>SUM(E67:E70)</f>
        <v>10</v>
      </c>
      <c r="F71" s="590" t="s">
        <v>5</v>
      </c>
      <c r="G71" s="591"/>
      <c r="H71" s="161">
        <f>SUM(H67:H70)</f>
        <v>33</v>
      </c>
      <c r="I71" s="589" t="s">
        <v>5</v>
      </c>
      <c r="J71" s="591"/>
      <c r="K71" s="591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14</v>
      </c>
      <c r="C72" s="84"/>
      <c r="D72" s="84"/>
      <c r="E72" s="84"/>
      <c r="F72" s="592" t="s">
        <v>534</v>
      </c>
      <c r="G72" s="593"/>
      <c r="H72" s="183">
        <f>H71-L71</f>
        <v>33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3.5" thickBot="1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6" ht="12.75">
      <c r="A75" s="601" t="s">
        <v>73</v>
      </c>
      <c r="B75" s="604" t="s">
        <v>74</v>
      </c>
      <c r="C75" s="607" t="s">
        <v>477</v>
      </c>
      <c r="D75" s="608"/>
      <c r="E75" s="608"/>
      <c r="F75" s="608"/>
      <c r="G75" s="608"/>
      <c r="H75" s="608"/>
      <c r="I75" s="609"/>
      <c r="J75" s="610" t="s">
        <v>75</v>
      </c>
      <c r="K75" s="175"/>
      <c r="L75" s="718" t="s">
        <v>48</v>
      </c>
      <c r="M75" s="719"/>
      <c r="N75" s="722">
        <v>2004</v>
      </c>
      <c r="O75" s="724">
        <v>2005</v>
      </c>
      <c r="P75"/>
    </row>
    <row r="76" spans="1:16" ht="13.5" thickBot="1">
      <c r="A76" s="602"/>
      <c r="B76" s="605"/>
      <c r="C76" s="596" t="s">
        <v>76</v>
      </c>
      <c r="D76" s="598" t="s">
        <v>77</v>
      </c>
      <c r="E76" s="599"/>
      <c r="F76" s="599"/>
      <c r="G76" s="599"/>
      <c r="H76" s="599"/>
      <c r="I76" s="600"/>
      <c r="J76" s="611"/>
      <c r="K76" s="176"/>
      <c r="L76" s="720"/>
      <c r="M76" s="721"/>
      <c r="N76" s="723"/>
      <c r="O76" s="725"/>
      <c r="P76"/>
    </row>
    <row r="77" spans="1:16" ht="13.5" thickBot="1">
      <c r="A77" s="603"/>
      <c r="B77" s="606"/>
      <c r="C77" s="597"/>
      <c r="D77" s="115">
        <v>1</v>
      </c>
      <c r="E77" s="115">
        <v>2</v>
      </c>
      <c r="F77" s="115">
        <v>3</v>
      </c>
      <c r="G77" s="115">
        <v>4</v>
      </c>
      <c r="H77" s="115">
        <v>5</v>
      </c>
      <c r="I77" s="172">
        <v>6</v>
      </c>
      <c r="J77" s="612"/>
      <c r="K77" s="177"/>
      <c r="L77" s="173" t="s">
        <v>49</v>
      </c>
      <c r="M77" s="174"/>
      <c r="N77" s="166">
        <v>0</v>
      </c>
      <c r="O77" s="167">
        <v>0</v>
      </c>
      <c r="P77"/>
    </row>
    <row r="78" spans="1:16" ht="13.5" thickBot="1">
      <c r="A78" s="116">
        <v>1410</v>
      </c>
      <c r="B78" s="117">
        <v>419</v>
      </c>
      <c r="C78" s="170">
        <f>SUM(D78:I78)</f>
        <v>79</v>
      </c>
      <c r="D78" s="171">
        <v>70</v>
      </c>
      <c r="E78" s="171">
        <v>0</v>
      </c>
      <c r="F78" s="171">
        <v>0</v>
      </c>
      <c r="G78" s="171">
        <v>0</v>
      </c>
      <c r="H78" s="170">
        <v>9</v>
      </c>
      <c r="I78" s="185">
        <v>0</v>
      </c>
      <c r="J78" s="118">
        <f>SUM(A78-B78-C78)</f>
        <v>912</v>
      </c>
      <c r="K78" s="177"/>
      <c r="L78" s="726" t="s">
        <v>50</v>
      </c>
      <c r="M78" s="727"/>
      <c r="N78" s="87">
        <v>0</v>
      </c>
      <c r="O78" s="88">
        <v>0</v>
      </c>
      <c r="P78"/>
    </row>
    <row r="79" spans="1:15" s="1" customFormat="1" ht="13.5" thickBot="1">
      <c r="A79" s="85"/>
      <c r="B79" s="86"/>
      <c r="C79" s="86"/>
      <c r="D79" s="86"/>
      <c r="E79" s="2"/>
      <c r="F79" s="4"/>
      <c r="G79" s="4"/>
      <c r="H79" s="85"/>
      <c r="I79" s="86"/>
      <c r="J79" s="86"/>
      <c r="K79" s="86"/>
      <c r="L79" s="728" t="s">
        <v>178</v>
      </c>
      <c r="M79" s="729"/>
      <c r="N79" s="168">
        <v>0</v>
      </c>
      <c r="O79" s="169">
        <v>0</v>
      </c>
    </row>
    <row r="80" spans="1:12" s="1" customFormat="1" ht="13.5" thickBot="1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618" t="s">
        <v>112</v>
      </c>
      <c r="B81" s="620" t="s">
        <v>482</v>
      </c>
      <c r="C81" s="622" t="s">
        <v>480</v>
      </c>
      <c r="D81" s="623"/>
      <c r="E81" s="623"/>
      <c r="F81" s="624"/>
      <c r="G81" s="625" t="s">
        <v>483</v>
      </c>
      <c r="H81" s="613" t="s">
        <v>78</v>
      </c>
      <c r="I81" s="615" t="s">
        <v>481</v>
      </c>
      <c r="J81" s="616"/>
      <c r="K81" s="616"/>
      <c r="L81" s="617"/>
    </row>
    <row r="82" spans="1:12" s="1" customFormat="1" ht="18.75" thickBot="1">
      <c r="A82" s="619"/>
      <c r="B82" s="621"/>
      <c r="C82" s="119" t="s">
        <v>81</v>
      </c>
      <c r="D82" s="120" t="s">
        <v>79</v>
      </c>
      <c r="E82" s="120" t="s">
        <v>80</v>
      </c>
      <c r="F82" s="121" t="s">
        <v>114</v>
      </c>
      <c r="G82" s="626"/>
      <c r="H82" s="614"/>
      <c r="I82" s="455" t="s">
        <v>484</v>
      </c>
      <c r="J82" s="456" t="s">
        <v>79</v>
      </c>
      <c r="K82" s="456" t="s">
        <v>80</v>
      </c>
      <c r="L82" s="457" t="s">
        <v>485</v>
      </c>
    </row>
    <row r="83" spans="1:12" s="1" customFormat="1" ht="12.75">
      <c r="A83" s="122" t="s">
        <v>82</v>
      </c>
      <c r="B83" s="123">
        <v>456.16</v>
      </c>
      <c r="C83" s="124" t="s">
        <v>83</v>
      </c>
      <c r="D83" s="125" t="s">
        <v>83</v>
      </c>
      <c r="E83" s="125" t="s">
        <v>83</v>
      </c>
      <c r="F83" s="126" t="s">
        <v>83</v>
      </c>
      <c r="G83" s="127">
        <v>638.2</v>
      </c>
      <c r="H83" s="452" t="s">
        <v>83</v>
      </c>
      <c r="I83" s="458" t="s">
        <v>83</v>
      </c>
      <c r="J83" s="459" t="s">
        <v>83</v>
      </c>
      <c r="K83" s="459" t="s">
        <v>83</v>
      </c>
      <c r="L83" s="460" t="s">
        <v>83</v>
      </c>
    </row>
    <row r="84" spans="1:12" s="1" customFormat="1" ht="12.75">
      <c r="A84" s="128" t="s">
        <v>84</v>
      </c>
      <c r="B84" s="129">
        <v>0</v>
      </c>
      <c r="C84" s="130">
        <v>0</v>
      </c>
      <c r="D84" s="131">
        <v>4</v>
      </c>
      <c r="E84" s="131">
        <v>0</v>
      </c>
      <c r="F84" s="132">
        <v>3.5</v>
      </c>
      <c r="G84" s="133">
        <v>3.5</v>
      </c>
      <c r="H84" s="453">
        <f>+G84-F84</f>
        <v>0</v>
      </c>
      <c r="I84" s="130">
        <v>4</v>
      </c>
      <c r="J84" s="131">
        <v>4</v>
      </c>
      <c r="K84" s="131">
        <v>0</v>
      </c>
      <c r="L84" s="132">
        <f>I84+J84-K84</f>
        <v>8</v>
      </c>
    </row>
    <row r="85" spans="1:12" s="1" customFormat="1" ht="12.75">
      <c r="A85" s="128" t="s">
        <v>85</v>
      </c>
      <c r="B85" s="129">
        <v>0</v>
      </c>
      <c r="C85" s="130">
        <v>0</v>
      </c>
      <c r="D85" s="131">
        <v>24</v>
      </c>
      <c r="E85" s="131">
        <v>10</v>
      </c>
      <c r="F85" s="132">
        <v>14.36</v>
      </c>
      <c r="G85" s="133">
        <v>14.36</v>
      </c>
      <c r="H85" s="453">
        <f>+G85-F85</f>
        <v>0</v>
      </c>
      <c r="I85" s="130">
        <v>14</v>
      </c>
      <c r="J85" s="131">
        <v>19</v>
      </c>
      <c r="K85" s="131">
        <v>0</v>
      </c>
      <c r="L85" s="132">
        <f>I85+J85-K85</f>
        <v>33</v>
      </c>
    </row>
    <row r="86" spans="1:12" s="1" customFormat="1" ht="12.75">
      <c r="A86" s="128" t="s">
        <v>113</v>
      </c>
      <c r="B86" s="129">
        <v>0</v>
      </c>
      <c r="C86" s="130">
        <v>30</v>
      </c>
      <c r="D86" s="131">
        <v>313</v>
      </c>
      <c r="E86" s="131">
        <v>253</v>
      </c>
      <c r="F86" s="132">
        <v>90</v>
      </c>
      <c r="G86" s="133">
        <v>89.36</v>
      </c>
      <c r="H86" s="453">
        <f>+G86-F86</f>
        <v>-0.6400000000000006</v>
      </c>
      <c r="I86" s="461">
        <v>90</v>
      </c>
      <c r="J86" s="447">
        <v>79</v>
      </c>
      <c r="K86" s="447">
        <v>9</v>
      </c>
      <c r="L86" s="132">
        <f>I86+J86-K86</f>
        <v>160</v>
      </c>
    </row>
    <row r="87" spans="1:12" s="1" customFormat="1" ht="12.75">
      <c r="A87" s="128" t="s">
        <v>86</v>
      </c>
      <c r="B87" s="129">
        <v>456.16</v>
      </c>
      <c r="C87" s="146" t="s">
        <v>83</v>
      </c>
      <c r="D87" s="125" t="s">
        <v>83</v>
      </c>
      <c r="E87" s="147" t="s">
        <v>83</v>
      </c>
      <c r="F87" s="148" t="s">
        <v>83</v>
      </c>
      <c r="G87" s="133">
        <v>530.98</v>
      </c>
      <c r="H87" s="146" t="s">
        <v>83</v>
      </c>
      <c r="I87" s="124" t="s">
        <v>83</v>
      </c>
      <c r="J87" s="125" t="s">
        <v>83</v>
      </c>
      <c r="K87" s="125" t="s">
        <v>83</v>
      </c>
      <c r="L87" s="148" t="s">
        <v>83</v>
      </c>
    </row>
    <row r="88" spans="1:12" s="1" customFormat="1" ht="13.5" thickBot="1">
      <c r="A88" s="134" t="s">
        <v>87</v>
      </c>
      <c r="B88" s="135">
        <v>11.74</v>
      </c>
      <c r="C88" s="136">
        <v>11.95</v>
      </c>
      <c r="D88" s="137">
        <v>54</v>
      </c>
      <c r="E88" s="137">
        <v>36</v>
      </c>
      <c r="F88" s="138">
        <v>30.37</v>
      </c>
      <c r="G88" s="139">
        <v>30.58</v>
      </c>
      <c r="H88" s="454">
        <f>+G88-F88</f>
        <v>0.2099999999999973</v>
      </c>
      <c r="I88" s="136">
        <v>30</v>
      </c>
      <c r="J88" s="137">
        <v>58</v>
      </c>
      <c r="K88" s="137">
        <v>76</v>
      </c>
      <c r="L88" s="138">
        <f>I88+J88-K88</f>
        <v>12</v>
      </c>
    </row>
    <row r="89" spans="1:12" s="1" customFormat="1" ht="12.75">
      <c r="A89" s="85"/>
      <c r="B89" s="86"/>
      <c r="C89" s="86"/>
      <c r="D89" s="86"/>
      <c r="E89" s="2"/>
      <c r="F89" s="4"/>
      <c r="G89" s="4"/>
      <c r="H89" s="85"/>
      <c r="I89" s="86"/>
      <c r="J89" s="86"/>
      <c r="K89" s="86"/>
      <c r="L89" s="2"/>
    </row>
    <row r="90" ht="13.5" thickBot="1"/>
    <row r="91" spans="1:12" ht="12.75">
      <c r="A91" s="690" t="s">
        <v>205</v>
      </c>
      <c r="B91" s="666" t="s">
        <v>5</v>
      </c>
      <c r="C91" s="666" t="s">
        <v>88</v>
      </c>
      <c r="D91" s="693"/>
      <c r="E91" s="693"/>
      <c r="F91" s="693"/>
      <c r="G91" s="693"/>
      <c r="H91" s="694"/>
      <c r="I91" s="89"/>
      <c r="J91" s="695" t="s">
        <v>51</v>
      </c>
      <c r="K91" s="663"/>
      <c r="L91" s="696"/>
    </row>
    <row r="92" spans="1:12" ht="13.5" thickBot="1">
      <c r="A92" s="691"/>
      <c r="B92" s="692"/>
      <c r="C92" s="140" t="s">
        <v>89</v>
      </c>
      <c r="D92" s="141" t="s">
        <v>90</v>
      </c>
      <c r="E92" s="141" t="s">
        <v>91</v>
      </c>
      <c r="F92" s="141" t="s">
        <v>92</v>
      </c>
      <c r="G92" s="142" t="s">
        <v>93</v>
      </c>
      <c r="H92" s="143" t="s">
        <v>76</v>
      </c>
      <c r="I92" s="89"/>
      <c r="J92" s="90"/>
      <c r="K92" s="91" t="s">
        <v>52</v>
      </c>
      <c r="L92" s="92" t="s">
        <v>53</v>
      </c>
    </row>
    <row r="93" spans="1:12" ht="12.75">
      <c r="A93" s="144" t="s">
        <v>94</v>
      </c>
      <c r="B93" s="129">
        <v>0</v>
      </c>
      <c r="C93" s="131">
        <v>0</v>
      </c>
      <c r="D93" s="131">
        <v>0</v>
      </c>
      <c r="E93" s="131">
        <v>0</v>
      </c>
      <c r="F93" s="131">
        <v>0</v>
      </c>
      <c r="G93" s="129">
        <v>0</v>
      </c>
      <c r="H93" s="132">
        <f>SUM(C93:G93)</f>
        <v>0</v>
      </c>
      <c r="I93" s="89"/>
      <c r="J93" s="93">
        <v>2005</v>
      </c>
      <c r="K93" s="94">
        <v>2702</v>
      </c>
      <c r="L93" s="95">
        <f>G29</f>
        <v>2702</v>
      </c>
    </row>
    <row r="94" spans="1:12" ht="13.5" thickBot="1">
      <c r="A94" s="145" t="s">
        <v>95</v>
      </c>
      <c r="B94" s="135">
        <v>0</v>
      </c>
      <c r="C94" s="137">
        <v>0</v>
      </c>
      <c r="D94" s="137">
        <v>0</v>
      </c>
      <c r="E94" s="137">
        <v>0</v>
      </c>
      <c r="F94" s="137">
        <v>0</v>
      </c>
      <c r="G94" s="135">
        <v>0</v>
      </c>
      <c r="H94" s="138">
        <f>SUM(C94:G94)</f>
        <v>0</v>
      </c>
      <c r="I94" s="89"/>
      <c r="J94" s="96">
        <v>2006</v>
      </c>
      <c r="K94" s="97">
        <f>L29</f>
        <v>2919</v>
      </c>
      <c r="L94" s="98"/>
    </row>
    <row r="95" ht="12.75" customHeight="1"/>
    <row r="96" ht="13.5" thickBot="1"/>
    <row r="97" spans="1:10" ht="21" customHeight="1">
      <c r="A97" s="697" t="s">
        <v>54</v>
      </c>
      <c r="B97" s="699" t="s">
        <v>55</v>
      </c>
      <c r="C97" s="700"/>
      <c r="D97" s="701"/>
      <c r="E97" s="699" t="s">
        <v>206</v>
      </c>
      <c r="F97" s="700"/>
      <c r="G97" s="702"/>
      <c r="H97" s="703" t="s">
        <v>56</v>
      </c>
      <c r="I97" s="700"/>
      <c r="J97" s="702"/>
    </row>
    <row r="98" spans="1:10" ht="12.75">
      <c r="A98" s="698"/>
      <c r="B98" s="99">
        <v>2004</v>
      </c>
      <c r="C98" s="99">
        <v>2005</v>
      </c>
      <c r="D98" s="99" t="s">
        <v>57</v>
      </c>
      <c r="E98" s="99">
        <v>2004</v>
      </c>
      <c r="F98" s="99">
        <v>2005</v>
      </c>
      <c r="G98" s="100" t="s">
        <v>57</v>
      </c>
      <c r="H98" s="101">
        <v>2004</v>
      </c>
      <c r="I98" s="99">
        <v>2005</v>
      </c>
      <c r="J98" s="100" t="s">
        <v>57</v>
      </c>
    </row>
    <row r="99" spans="1:10" ht="18.75">
      <c r="A99" s="102" t="s">
        <v>58</v>
      </c>
      <c r="B99" s="103">
        <v>0.8</v>
      </c>
      <c r="C99" s="103">
        <v>1</v>
      </c>
      <c r="D99" s="103">
        <f>+C99-B99</f>
        <v>0.19999999999999996</v>
      </c>
      <c r="E99" s="103">
        <v>0.8</v>
      </c>
      <c r="F99" s="103">
        <v>1</v>
      </c>
      <c r="G99" s="104">
        <f>+F99-E99</f>
        <v>0.19999999999999996</v>
      </c>
      <c r="H99" s="105">
        <v>14069</v>
      </c>
      <c r="I99" s="106">
        <v>18176</v>
      </c>
      <c r="J99" s="107">
        <f>+I99-H99</f>
        <v>4107</v>
      </c>
    </row>
    <row r="100" spans="1:10" ht="12.75">
      <c r="A100" s="102" t="s">
        <v>59</v>
      </c>
      <c r="B100" s="103">
        <v>1</v>
      </c>
      <c r="C100" s="103">
        <v>1</v>
      </c>
      <c r="D100" s="103">
        <f aca="true" t="shared" si="12" ref="D100:D109">+C100-B100</f>
        <v>0</v>
      </c>
      <c r="E100" s="103">
        <v>1</v>
      </c>
      <c r="F100" s="103">
        <v>1</v>
      </c>
      <c r="G100" s="104">
        <f aca="true" t="shared" si="13" ref="G100:G109">+F100-E100</f>
        <v>0</v>
      </c>
      <c r="H100" s="105">
        <v>26330</v>
      </c>
      <c r="I100" s="108">
        <v>25745</v>
      </c>
      <c r="J100" s="107">
        <f aca="true" t="shared" si="14" ref="J100:J109">+I100-H100</f>
        <v>-585</v>
      </c>
    </row>
    <row r="101" spans="1:10" ht="12.75">
      <c r="A101" s="102" t="s">
        <v>60</v>
      </c>
      <c r="B101" s="103"/>
      <c r="C101" s="103"/>
      <c r="D101" s="103">
        <f t="shared" si="12"/>
        <v>0</v>
      </c>
      <c r="E101" s="103"/>
      <c r="F101" s="103"/>
      <c r="G101" s="104">
        <f t="shared" si="13"/>
        <v>0</v>
      </c>
      <c r="H101" s="105"/>
      <c r="I101" s="108"/>
      <c r="J101" s="107">
        <f t="shared" si="14"/>
        <v>0</v>
      </c>
    </row>
    <row r="102" spans="1:10" ht="12.75">
      <c r="A102" s="102" t="s">
        <v>61</v>
      </c>
      <c r="B102" s="103"/>
      <c r="C102" s="103"/>
      <c r="D102" s="103">
        <f t="shared" si="12"/>
        <v>0</v>
      </c>
      <c r="E102" s="103"/>
      <c r="F102" s="103"/>
      <c r="G102" s="104">
        <f t="shared" si="13"/>
        <v>0</v>
      </c>
      <c r="H102" s="105"/>
      <c r="I102" s="108"/>
      <c r="J102" s="107">
        <f t="shared" si="14"/>
        <v>0</v>
      </c>
    </row>
    <row r="103" spans="1:10" ht="12.75">
      <c r="A103" s="102" t="s">
        <v>62</v>
      </c>
      <c r="B103" s="103">
        <v>6.2</v>
      </c>
      <c r="C103" s="103">
        <v>6.4</v>
      </c>
      <c r="D103" s="103">
        <v>0.2</v>
      </c>
      <c r="E103" s="103">
        <v>6.2</v>
      </c>
      <c r="F103" s="103">
        <v>6.6</v>
      </c>
      <c r="G103" s="104">
        <f t="shared" si="13"/>
        <v>0.39999999999999947</v>
      </c>
      <c r="H103" s="105">
        <v>20677</v>
      </c>
      <c r="I103" s="108">
        <v>22566</v>
      </c>
      <c r="J103" s="107">
        <f t="shared" si="14"/>
        <v>1889</v>
      </c>
    </row>
    <row r="104" spans="1:10" ht="12.75">
      <c r="A104" s="102" t="s">
        <v>63</v>
      </c>
      <c r="B104" s="103"/>
      <c r="C104" s="103"/>
      <c r="D104" s="103">
        <f t="shared" si="12"/>
        <v>0</v>
      </c>
      <c r="E104" s="103"/>
      <c r="F104" s="103"/>
      <c r="G104" s="104">
        <f t="shared" si="13"/>
        <v>0</v>
      </c>
      <c r="H104" s="105"/>
      <c r="I104" s="108"/>
      <c r="J104" s="107">
        <f t="shared" si="14"/>
        <v>0</v>
      </c>
    </row>
    <row r="105" spans="1:10" ht="12.75">
      <c r="A105" s="102" t="s">
        <v>64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65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66</v>
      </c>
      <c r="B107" s="103">
        <v>1.7</v>
      </c>
      <c r="C107" s="103">
        <v>1.7</v>
      </c>
      <c r="D107" s="103">
        <f t="shared" si="12"/>
        <v>0</v>
      </c>
      <c r="E107" s="103">
        <v>1.7</v>
      </c>
      <c r="F107" s="103">
        <v>1.7</v>
      </c>
      <c r="G107" s="104">
        <f t="shared" si="13"/>
        <v>0</v>
      </c>
      <c r="H107" s="105">
        <v>16692</v>
      </c>
      <c r="I107" s="108">
        <v>19819</v>
      </c>
      <c r="J107" s="107">
        <f t="shared" si="14"/>
        <v>3127</v>
      </c>
    </row>
    <row r="108" spans="1:10" ht="12.75">
      <c r="A108" s="102" t="s">
        <v>67</v>
      </c>
      <c r="B108" s="103">
        <v>0.3</v>
      </c>
      <c r="C108" s="103">
        <v>0.3</v>
      </c>
      <c r="D108" s="103">
        <f t="shared" si="12"/>
        <v>0</v>
      </c>
      <c r="E108" s="103">
        <v>0.3</v>
      </c>
      <c r="F108" s="103">
        <v>0.3</v>
      </c>
      <c r="G108" s="104">
        <f t="shared" si="13"/>
        <v>0</v>
      </c>
      <c r="H108" s="105">
        <v>8631</v>
      </c>
      <c r="I108" s="108">
        <v>10435</v>
      </c>
      <c r="J108" s="107">
        <f t="shared" si="14"/>
        <v>1804</v>
      </c>
    </row>
    <row r="109" spans="1:10" ht="13.5" thickBot="1">
      <c r="A109" s="109" t="s">
        <v>5</v>
      </c>
      <c r="B109" s="110">
        <v>10</v>
      </c>
      <c r="C109" s="110">
        <v>10.4</v>
      </c>
      <c r="D109" s="110">
        <f t="shared" si="12"/>
        <v>0.40000000000000036</v>
      </c>
      <c r="E109" s="110">
        <v>10</v>
      </c>
      <c r="F109" s="110">
        <v>10.6</v>
      </c>
      <c r="G109" s="111">
        <f t="shared" si="13"/>
        <v>0.5999999999999996</v>
      </c>
      <c r="H109" s="112">
        <v>20075</v>
      </c>
      <c r="I109" s="113">
        <v>21651</v>
      </c>
      <c r="J109" s="114">
        <f t="shared" si="14"/>
        <v>1576</v>
      </c>
    </row>
    <row r="110" ht="13.5" thickBot="1"/>
    <row r="111" spans="1:16" ht="12.75">
      <c r="A111" s="706" t="s">
        <v>68</v>
      </c>
      <c r="B111" s="707"/>
      <c r="C111" s="708"/>
      <c r="D111" s="89"/>
      <c r="E111" s="706" t="s">
        <v>69</v>
      </c>
      <c r="F111" s="707"/>
      <c r="G111" s="708"/>
      <c r="H111"/>
      <c r="I111"/>
      <c r="J111"/>
      <c r="K111"/>
      <c r="L111"/>
      <c r="M111"/>
      <c r="N111"/>
      <c r="O111"/>
      <c r="P111"/>
    </row>
    <row r="112" spans="1:16" ht="13.5" thickBot="1">
      <c r="A112" s="90" t="s">
        <v>70</v>
      </c>
      <c r="B112" s="91" t="s">
        <v>71</v>
      </c>
      <c r="C112" s="92" t="s">
        <v>53</v>
      </c>
      <c r="D112" s="89"/>
      <c r="E112" s="90"/>
      <c r="F112" s="709" t="s">
        <v>72</v>
      </c>
      <c r="G112" s="710"/>
      <c r="H112"/>
      <c r="I112"/>
      <c r="J112"/>
      <c r="K112"/>
      <c r="L112"/>
      <c r="M112"/>
      <c r="N112"/>
      <c r="O112"/>
      <c r="P112"/>
    </row>
    <row r="113" spans="1:16" ht="12.75">
      <c r="A113" s="93">
        <v>2005</v>
      </c>
      <c r="B113" s="94">
        <v>10</v>
      </c>
      <c r="C113" s="95">
        <v>10.4</v>
      </c>
      <c r="D113" s="89"/>
      <c r="E113" s="93">
        <v>2005</v>
      </c>
      <c r="F113" s="711">
        <v>0</v>
      </c>
      <c r="G113" s="624"/>
      <c r="H113"/>
      <c r="I113"/>
      <c r="J113"/>
      <c r="K113"/>
      <c r="L113"/>
      <c r="M113"/>
      <c r="N113"/>
      <c r="O113"/>
      <c r="P113"/>
    </row>
    <row r="114" spans="1:16" ht="13.5" thickBot="1">
      <c r="A114" s="96">
        <v>2006</v>
      </c>
      <c r="B114" s="97">
        <v>10</v>
      </c>
      <c r="C114" s="98"/>
      <c r="D114" s="89"/>
      <c r="E114" s="96">
        <v>2006</v>
      </c>
      <c r="F114" s="704">
        <v>0</v>
      </c>
      <c r="G114" s="705"/>
      <c r="H114"/>
      <c r="I114"/>
      <c r="J114"/>
      <c r="K114"/>
      <c r="L114"/>
      <c r="M114"/>
      <c r="N114"/>
      <c r="O114"/>
      <c r="P114"/>
    </row>
  </sheetData>
  <mergeCells count="124">
    <mergeCell ref="F114:G114"/>
    <mergeCell ref="A111:C111"/>
    <mergeCell ref="E111:G111"/>
    <mergeCell ref="F112:G112"/>
    <mergeCell ref="F113:G113"/>
    <mergeCell ref="A97:A98"/>
    <mergeCell ref="B97:D97"/>
    <mergeCell ref="E97:G97"/>
    <mergeCell ref="H97:J97"/>
    <mergeCell ref="A91:A92"/>
    <mergeCell ref="B91:B92"/>
    <mergeCell ref="C91:H91"/>
    <mergeCell ref="J91:L91"/>
    <mergeCell ref="A65:E65"/>
    <mergeCell ref="F65:L65"/>
    <mergeCell ref="M2:N2"/>
    <mergeCell ref="H52:K53"/>
    <mergeCell ref="L52:L53"/>
    <mergeCell ref="H41:K42"/>
    <mergeCell ref="A61:B61"/>
    <mergeCell ref="D61:F61"/>
    <mergeCell ref="H61:K61"/>
    <mergeCell ref="A62:B62"/>
    <mergeCell ref="D62:F62"/>
    <mergeCell ref="H62:K62"/>
    <mergeCell ref="A59:B59"/>
    <mergeCell ref="D59:F59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4:B54"/>
    <mergeCell ref="D54:F54"/>
    <mergeCell ref="H54:K54"/>
    <mergeCell ref="A52:B53"/>
    <mergeCell ref="C52:C53"/>
    <mergeCell ref="D52:F53"/>
    <mergeCell ref="G52:G53"/>
    <mergeCell ref="A49:B49"/>
    <mergeCell ref="D49:F49"/>
    <mergeCell ref="H49:K49"/>
    <mergeCell ref="A50:B50"/>
    <mergeCell ref="D50:F50"/>
    <mergeCell ref="H50:K50"/>
    <mergeCell ref="A47:B47"/>
    <mergeCell ref="D47:F47"/>
    <mergeCell ref="H47:K47"/>
    <mergeCell ref="A48:B48"/>
    <mergeCell ref="D48:F48"/>
    <mergeCell ref="H48:K48"/>
    <mergeCell ref="A45:B45"/>
    <mergeCell ref="D45:F45"/>
    <mergeCell ref="H45:K45"/>
    <mergeCell ref="A46:B46"/>
    <mergeCell ref="D46:F46"/>
    <mergeCell ref="H46:K46"/>
    <mergeCell ref="A44:B44"/>
    <mergeCell ref="D44:F44"/>
    <mergeCell ref="H44:K44"/>
    <mergeCell ref="A3:A6"/>
    <mergeCell ref="B3:N3"/>
    <mergeCell ref="H4:I4"/>
    <mergeCell ref="M4:N4"/>
    <mergeCell ref="B38:D38"/>
    <mergeCell ref="E38:G38"/>
    <mergeCell ref="J38:L38"/>
    <mergeCell ref="B39:D39"/>
    <mergeCell ref="E39:G39"/>
    <mergeCell ref="L41:L42"/>
    <mergeCell ref="A43:B43"/>
    <mergeCell ref="D43:F43"/>
    <mergeCell ref="H43:K43"/>
    <mergeCell ref="A41:B42"/>
    <mergeCell ref="C41:C42"/>
    <mergeCell ref="D41:F42"/>
    <mergeCell ref="G41:G42"/>
    <mergeCell ref="C66:D66"/>
    <mergeCell ref="F66:G66"/>
    <mergeCell ref="I66:K66"/>
    <mergeCell ref="C67:D67"/>
    <mergeCell ref="F67:G67"/>
    <mergeCell ref="I67:K67"/>
    <mergeCell ref="C68:D68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A75:A77"/>
    <mergeCell ref="B75:B77"/>
    <mergeCell ref="C75:I75"/>
    <mergeCell ref="C76:C77"/>
    <mergeCell ref="D76:I76"/>
    <mergeCell ref="J75:J77"/>
    <mergeCell ref="L75:M76"/>
    <mergeCell ref="N75:N76"/>
    <mergeCell ref="O75:O76"/>
    <mergeCell ref="L78:M78"/>
    <mergeCell ref="L79:M79"/>
    <mergeCell ref="A81:A82"/>
    <mergeCell ref="B81:B82"/>
    <mergeCell ref="C81:F81"/>
    <mergeCell ref="G81:G82"/>
    <mergeCell ref="H81:H82"/>
    <mergeCell ref="I81:L81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Normal="90" zoomScaleSheetLayoutView="100" workbookViewId="0" topLeftCell="A1">
      <selection activeCell="J91" sqref="J91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84" t="s">
        <v>0</v>
      </c>
      <c r="B3" s="686" t="s">
        <v>431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59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>
        <v>0</v>
      </c>
      <c r="C7" s="428">
        <v>0</v>
      </c>
      <c r="D7" s="433">
        <f>SUM(B7:C7)</f>
        <v>0</v>
      </c>
      <c r="E7" s="427">
        <v>0</v>
      </c>
      <c r="F7" s="428">
        <v>0</v>
      </c>
      <c r="G7" s="433">
        <f>SUM(E7:F7)</f>
        <v>0</v>
      </c>
      <c r="H7" s="464">
        <f>+G7-D7</f>
        <v>0</v>
      </c>
      <c r="I7" s="471"/>
      <c r="J7" s="427">
        <v>0</v>
      </c>
      <c r="K7" s="428">
        <v>0</v>
      </c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8263</v>
      </c>
      <c r="C8" s="33">
        <v>360</v>
      </c>
      <c r="D8" s="434">
        <f>SUM(B8:C8)</f>
        <v>8623</v>
      </c>
      <c r="E8" s="37">
        <v>8935</v>
      </c>
      <c r="F8" s="33">
        <v>289</v>
      </c>
      <c r="G8" s="434">
        <f>SUM(E8:F8)</f>
        <v>9224</v>
      </c>
      <c r="H8" s="465">
        <f>+G8-D8</f>
        <v>601</v>
      </c>
      <c r="I8" s="36">
        <f>+G8/D8</f>
        <v>1.0696973211179404</v>
      </c>
      <c r="J8" s="37">
        <v>8825</v>
      </c>
      <c r="K8" s="33">
        <v>300</v>
      </c>
      <c r="L8" s="434">
        <f>SUM(J8:K8)</f>
        <v>9125</v>
      </c>
      <c r="M8" s="465">
        <f>+L8-G8</f>
        <v>-99</v>
      </c>
      <c r="N8" s="39">
        <f>+L8/G8</f>
        <v>0.9892671292281006</v>
      </c>
    </row>
    <row r="9" spans="1:14" ht="13.5" customHeight="1">
      <c r="A9" s="509" t="s">
        <v>12</v>
      </c>
      <c r="B9" s="37">
        <v>0</v>
      </c>
      <c r="C9" s="33">
        <v>0</v>
      </c>
      <c r="D9" s="434">
        <f aca="true" t="shared" si="0" ref="D9:D15">SUM(B9:C9)</f>
        <v>0</v>
      </c>
      <c r="E9" s="37">
        <v>0</v>
      </c>
      <c r="F9" s="33">
        <v>0</v>
      </c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>
        <v>0</v>
      </c>
      <c r="K9" s="33">
        <v>0</v>
      </c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>
        <v>0</v>
      </c>
      <c r="C10" s="33">
        <v>0</v>
      </c>
      <c r="D10" s="434">
        <f t="shared" si="0"/>
        <v>0</v>
      </c>
      <c r="E10" s="37">
        <v>0</v>
      </c>
      <c r="F10" s="33">
        <v>0</v>
      </c>
      <c r="G10" s="434">
        <f t="shared" si="1"/>
        <v>0</v>
      </c>
      <c r="H10" s="465">
        <f t="shared" si="2"/>
        <v>0</v>
      </c>
      <c r="I10" s="36"/>
      <c r="J10" s="37">
        <v>0</v>
      </c>
      <c r="K10" s="33">
        <v>0</v>
      </c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338</v>
      </c>
      <c r="C11" s="33">
        <v>0</v>
      </c>
      <c r="D11" s="434">
        <f t="shared" si="0"/>
        <v>338</v>
      </c>
      <c r="E11" s="37">
        <v>232</v>
      </c>
      <c r="F11" s="33">
        <v>0</v>
      </c>
      <c r="G11" s="434">
        <f t="shared" si="1"/>
        <v>232</v>
      </c>
      <c r="H11" s="465">
        <f t="shared" si="2"/>
        <v>-106</v>
      </c>
      <c r="I11" s="36">
        <f aca="true" t="shared" si="5" ref="I11:I37">+G11/D11</f>
        <v>0.6863905325443787</v>
      </c>
      <c r="J11" s="37">
        <v>387</v>
      </c>
      <c r="K11" s="33">
        <v>0</v>
      </c>
      <c r="L11" s="434">
        <f t="shared" si="3"/>
        <v>387</v>
      </c>
      <c r="M11" s="465">
        <f t="shared" si="4"/>
        <v>155</v>
      </c>
      <c r="N11" s="39">
        <f aca="true" t="shared" si="6" ref="N11:N37">+L11/G11</f>
        <v>1.668103448275862</v>
      </c>
    </row>
    <row r="12" spans="1:14" ht="13.5" customHeight="1">
      <c r="A12" s="510" t="s">
        <v>15</v>
      </c>
      <c r="B12" s="37">
        <v>120</v>
      </c>
      <c r="C12" s="33">
        <v>0</v>
      </c>
      <c r="D12" s="434">
        <f t="shared" si="0"/>
        <v>120</v>
      </c>
      <c r="E12" s="37">
        <v>0</v>
      </c>
      <c r="F12" s="33">
        <v>0</v>
      </c>
      <c r="G12" s="434">
        <f t="shared" si="1"/>
        <v>0</v>
      </c>
      <c r="H12" s="465">
        <f t="shared" si="2"/>
        <v>-120</v>
      </c>
      <c r="I12" s="36">
        <f t="shared" si="5"/>
        <v>0</v>
      </c>
      <c r="J12" s="37">
        <v>250</v>
      </c>
      <c r="K12" s="33">
        <v>0</v>
      </c>
      <c r="L12" s="434">
        <f t="shared" si="3"/>
        <v>250</v>
      </c>
      <c r="M12" s="465">
        <f t="shared" si="4"/>
        <v>250</v>
      </c>
      <c r="N12" s="39"/>
    </row>
    <row r="13" spans="1:14" ht="13.5" customHeight="1">
      <c r="A13" s="510" t="s">
        <v>16</v>
      </c>
      <c r="B13" s="37">
        <v>0</v>
      </c>
      <c r="C13" s="33">
        <v>0</v>
      </c>
      <c r="D13" s="434">
        <f t="shared" si="0"/>
        <v>0</v>
      </c>
      <c r="E13" s="37">
        <v>0</v>
      </c>
      <c r="F13" s="33">
        <v>0</v>
      </c>
      <c r="G13" s="434">
        <f t="shared" si="1"/>
        <v>0</v>
      </c>
      <c r="H13" s="465">
        <f t="shared" si="2"/>
        <v>0</v>
      </c>
      <c r="I13" s="36"/>
      <c r="J13" s="37">
        <v>0</v>
      </c>
      <c r="K13" s="33">
        <v>0</v>
      </c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>
        <v>0</v>
      </c>
      <c r="C14" s="33">
        <v>0</v>
      </c>
      <c r="D14" s="434">
        <f t="shared" si="0"/>
        <v>0</v>
      </c>
      <c r="E14" s="37">
        <v>0</v>
      </c>
      <c r="F14" s="33">
        <v>0</v>
      </c>
      <c r="G14" s="434">
        <f t="shared" si="1"/>
        <v>0</v>
      </c>
      <c r="H14" s="465">
        <f t="shared" si="2"/>
        <v>0</v>
      </c>
      <c r="I14" s="36"/>
      <c r="J14" s="37">
        <v>0</v>
      </c>
      <c r="K14" s="33">
        <v>0</v>
      </c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17830</v>
      </c>
      <c r="C15" s="33">
        <v>0</v>
      </c>
      <c r="D15" s="434">
        <f t="shared" si="0"/>
        <v>17830</v>
      </c>
      <c r="E15" s="37">
        <v>19791</v>
      </c>
      <c r="F15" s="33">
        <v>0</v>
      </c>
      <c r="G15" s="434">
        <f t="shared" si="1"/>
        <v>19791</v>
      </c>
      <c r="H15" s="465">
        <f t="shared" si="2"/>
        <v>1961</v>
      </c>
      <c r="I15" s="36">
        <f t="shared" si="5"/>
        <v>1.1099831744251263</v>
      </c>
      <c r="J15" s="57">
        <f>SUM(J16:J17)</f>
        <v>21154</v>
      </c>
      <c r="K15" s="33">
        <v>0</v>
      </c>
      <c r="L15" s="434">
        <f t="shared" si="3"/>
        <v>21154</v>
      </c>
      <c r="M15" s="465">
        <f t="shared" si="4"/>
        <v>1363</v>
      </c>
      <c r="N15" s="39">
        <f t="shared" si="6"/>
        <v>1.0688696882421302</v>
      </c>
    </row>
    <row r="16" spans="1:14" ht="13.5" customHeight="1">
      <c r="A16" s="511" t="s">
        <v>476</v>
      </c>
      <c r="B16" s="37"/>
      <c r="C16" s="33"/>
      <c r="D16" s="434"/>
      <c r="E16" s="37">
        <v>18666</v>
      </c>
      <c r="F16" s="33"/>
      <c r="G16" s="434">
        <f t="shared" si="1"/>
        <v>18666</v>
      </c>
      <c r="H16" s="465"/>
      <c r="I16" s="36"/>
      <c r="J16" s="57">
        <f>20152</f>
        <v>20152</v>
      </c>
      <c r="K16" s="33"/>
      <c r="L16" s="434">
        <f t="shared" si="3"/>
        <v>20152</v>
      </c>
      <c r="M16" s="465">
        <f t="shared" si="4"/>
        <v>1486</v>
      </c>
      <c r="N16" s="39">
        <f t="shared" si="6"/>
        <v>1.0796099860709312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1125</v>
      </c>
      <c r="F17" s="431"/>
      <c r="G17" s="434">
        <f t="shared" si="1"/>
        <v>1125</v>
      </c>
      <c r="H17" s="466"/>
      <c r="I17" s="472"/>
      <c r="J17" s="438">
        <v>1002</v>
      </c>
      <c r="K17" s="431"/>
      <c r="L17" s="434">
        <f t="shared" si="3"/>
        <v>1002</v>
      </c>
      <c r="M17" s="465">
        <f t="shared" si="4"/>
        <v>-123</v>
      </c>
      <c r="N17" s="39">
        <f t="shared" si="6"/>
        <v>0.8906666666666667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26431</v>
      </c>
      <c r="C18" s="425">
        <f t="shared" si="7"/>
        <v>360</v>
      </c>
      <c r="D18" s="426">
        <f t="shared" si="7"/>
        <v>26791</v>
      </c>
      <c r="E18" s="424">
        <f t="shared" si="7"/>
        <v>28958</v>
      </c>
      <c r="F18" s="425">
        <f t="shared" si="7"/>
        <v>289</v>
      </c>
      <c r="G18" s="426">
        <f t="shared" si="7"/>
        <v>29247</v>
      </c>
      <c r="H18" s="369">
        <f t="shared" si="2"/>
        <v>2456</v>
      </c>
      <c r="I18" s="63">
        <f t="shared" si="5"/>
        <v>1.0916725766115487</v>
      </c>
      <c r="J18" s="437">
        <f>SUM(J7+J8+J9+J10+J11+J13+J15)</f>
        <v>30366</v>
      </c>
      <c r="K18" s="425">
        <f>SUM(K7+K8+K9+K10+K11+K13+K15)</f>
        <v>300</v>
      </c>
      <c r="L18" s="426">
        <f>SUM(L7+L8+L9+L10+L11+L13+L15)</f>
        <v>30666</v>
      </c>
      <c r="M18" s="369">
        <f t="shared" si="4"/>
        <v>1419</v>
      </c>
      <c r="N18" s="370">
        <f t="shared" si="6"/>
        <v>1.048517796697097</v>
      </c>
    </row>
    <row r="19" spans="1:14" ht="13.5" customHeight="1">
      <c r="A19" s="54" t="s">
        <v>20</v>
      </c>
      <c r="B19" s="25">
        <v>4152</v>
      </c>
      <c r="C19" s="26">
        <v>213</v>
      </c>
      <c r="D19" s="34">
        <f aca="true" t="shared" si="8" ref="D19:D36">SUM(B19:C19)</f>
        <v>4365</v>
      </c>
      <c r="E19" s="25">
        <v>4793</v>
      </c>
      <c r="F19" s="26">
        <v>172</v>
      </c>
      <c r="G19" s="27">
        <f>SUM(E19:F19)</f>
        <v>4965</v>
      </c>
      <c r="H19" s="28">
        <f t="shared" si="2"/>
        <v>600</v>
      </c>
      <c r="I19" s="55">
        <f t="shared" si="5"/>
        <v>1.1374570446735395</v>
      </c>
      <c r="J19" s="29">
        <v>4674</v>
      </c>
      <c r="K19" s="26"/>
      <c r="L19" s="30">
        <f>SUM(J19:K19)</f>
        <v>4674</v>
      </c>
      <c r="M19" s="28">
        <f t="shared" si="4"/>
        <v>-291</v>
      </c>
      <c r="N19" s="56">
        <f t="shared" si="6"/>
        <v>0.9413897280966768</v>
      </c>
    </row>
    <row r="20" spans="1:14" ht="21" customHeight="1">
      <c r="A20" s="40" t="s">
        <v>21</v>
      </c>
      <c r="B20" s="25">
        <v>292</v>
      </c>
      <c r="C20" s="26">
        <v>0</v>
      </c>
      <c r="D20" s="34">
        <f t="shared" si="8"/>
        <v>292</v>
      </c>
      <c r="E20" s="25">
        <v>664</v>
      </c>
      <c r="F20" s="26">
        <v>0</v>
      </c>
      <c r="G20" s="27">
        <f aca="true" t="shared" si="9" ref="G20:G36">SUM(E20:F20)</f>
        <v>664</v>
      </c>
      <c r="H20" s="35">
        <f t="shared" si="2"/>
        <v>372</v>
      </c>
      <c r="I20" s="36">
        <f t="shared" si="5"/>
        <v>2.2739726027397262</v>
      </c>
      <c r="J20" s="29">
        <v>500</v>
      </c>
      <c r="K20" s="26"/>
      <c r="L20" s="30">
        <f aca="true" t="shared" si="10" ref="L20:L36">SUM(J20:K20)</f>
        <v>500</v>
      </c>
      <c r="M20" s="35">
        <f t="shared" si="4"/>
        <v>-164</v>
      </c>
      <c r="N20" s="39">
        <f t="shared" si="6"/>
        <v>0.7530120481927711</v>
      </c>
    </row>
    <row r="21" spans="1:14" ht="13.5" customHeight="1">
      <c r="A21" s="31" t="s">
        <v>22</v>
      </c>
      <c r="B21" s="32">
        <v>1492</v>
      </c>
      <c r="C21" s="33">
        <v>19</v>
      </c>
      <c r="D21" s="34">
        <f t="shared" si="8"/>
        <v>1511</v>
      </c>
      <c r="E21" s="32">
        <v>1946</v>
      </c>
      <c r="F21" s="33">
        <v>15</v>
      </c>
      <c r="G21" s="27">
        <f t="shared" si="9"/>
        <v>1961</v>
      </c>
      <c r="H21" s="35">
        <f t="shared" si="2"/>
        <v>450</v>
      </c>
      <c r="I21" s="36">
        <f t="shared" si="5"/>
        <v>1.2978160158835208</v>
      </c>
      <c r="J21" s="37">
        <v>2050</v>
      </c>
      <c r="K21" s="33"/>
      <c r="L21" s="30">
        <f t="shared" si="10"/>
        <v>2050</v>
      </c>
      <c r="M21" s="35">
        <f t="shared" si="4"/>
        <v>89</v>
      </c>
      <c r="N21" s="39">
        <f t="shared" si="6"/>
        <v>1.0453850076491586</v>
      </c>
    </row>
    <row r="22" spans="1:14" ht="13.5" customHeight="1">
      <c r="A22" s="40" t="s">
        <v>23</v>
      </c>
      <c r="B22" s="32">
        <v>0</v>
      </c>
      <c r="C22" s="33">
        <v>0</v>
      </c>
      <c r="D22" s="34">
        <f t="shared" si="8"/>
        <v>0</v>
      </c>
      <c r="E22" s="32">
        <v>0</v>
      </c>
      <c r="F22" s="33">
        <v>0</v>
      </c>
      <c r="G22" s="27">
        <f t="shared" si="9"/>
        <v>0</v>
      </c>
      <c r="H22" s="35">
        <f t="shared" si="2"/>
        <v>0</v>
      </c>
      <c r="I22" s="36"/>
      <c r="J22" s="37">
        <v>0</v>
      </c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>
        <v>0</v>
      </c>
      <c r="C23" s="33">
        <v>0</v>
      </c>
      <c r="D23" s="34">
        <f t="shared" si="8"/>
        <v>0</v>
      </c>
      <c r="E23" s="32">
        <v>0</v>
      </c>
      <c r="F23" s="33">
        <v>0</v>
      </c>
      <c r="G23" s="27">
        <f t="shared" si="9"/>
        <v>0</v>
      </c>
      <c r="H23" s="35">
        <f t="shared" si="2"/>
        <v>0</v>
      </c>
      <c r="I23" s="36"/>
      <c r="J23" s="37">
        <v>0</v>
      </c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1692</v>
      </c>
      <c r="C24" s="33">
        <v>4</v>
      </c>
      <c r="D24" s="34">
        <f t="shared" si="8"/>
        <v>1696</v>
      </c>
      <c r="E24" s="37">
        <v>1617</v>
      </c>
      <c r="F24" s="33">
        <v>3</v>
      </c>
      <c r="G24" s="27">
        <f t="shared" si="9"/>
        <v>1620</v>
      </c>
      <c r="H24" s="35">
        <f t="shared" si="2"/>
        <v>-76</v>
      </c>
      <c r="I24" s="36">
        <f t="shared" si="5"/>
        <v>0.9551886792452831</v>
      </c>
      <c r="J24" s="37">
        <v>1630</v>
      </c>
      <c r="K24" s="33"/>
      <c r="L24" s="30">
        <f t="shared" si="10"/>
        <v>1630</v>
      </c>
      <c r="M24" s="35">
        <f t="shared" si="4"/>
        <v>10</v>
      </c>
      <c r="N24" s="39">
        <f t="shared" si="6"/>
        <v>1.0061728395061729</v>
      </c>
    </row>
    <row r="25" spans="1:14" ht="13.5" customHeight="1">
      <c r="A25" s="40" t="s">
        <v>26</v>
      </c>
      <c r="B25" s="32">
        <v>448</v>
      </c>
      <c r="C25" s="33">
        <v>4</v>
      </c>
      <c r="D25" s="34">
        <f t="shared" si="8"/>
        <v>452</v>
      </c>
      <c r="E25" s="32">
        <v>423</v>
      </c>
      <c r="F25" s="33">
        <v>3</v>
      </c>
      <c r="G25" s="27">
        <f t="shared" si="9"/>
        <v>426</v>
      </c>
      <c r="H25" s="35">
        <f t="shared" si="2"/>
        <v>-26</v>
      </c>
      <c r="I25" s="36">
        <f t="shared" si="5"/>
        <v>0.9424778761061947</v>
      </c>
      <c r="J25" s="57">
        <v>450</v>
      </c>
      <c r="K25" s="33"/>
      <c r="L25" s="30">
        <f t="shared" si="10"/>
        <v>450</v>
      </c>
      <c r="M25" s="35">
        <f t="shared" si="4"/>
        <v>24</v>
      </c>
      <c r="N25" s="39">
        <f t="shared" si="6"/>
        <v>1.056338028169014</v>
      </c>
    </row>
    <row r="26" spans="1:14" ht="13.5" customHeight="1">
      <c r="A26" s="31" t="s">
        <v>27</v>
      </c>
      <c r="B26" s="32">
        <v>1244</v>
      </c>
      <c r="C26" s="33">
        <v>0</v>
      </c>
      <c r="D26" s="34">
        <f t="shared" si="8"/>
        <v>1244</v>
      </c>
      <c r="E26" s="32">
        <v>1194</v>
      </c>
      <c r="F26" s="33">
        <v>0</v>
      </c>
      <c r="G26" s="27">
        <f t="shared" si="9"/>
        <v>1194</v>
      </c>
      <c r="H26" s="35">
        <f t="shared" si="2"/>
        <v>-50</v>
      </c>
      <c r="I26" s="36">
        <f t="shared" si="5"/>
        <v>0.9598070739549839</v>
      </c>
      <c r="J26" s="57">
        <v>1180</v>
      </c>
      <c r="K26" s="33"/>
      <c r="L26" s="30">
        <f t="shared" si="10"/>
        <v>1180</v>
      </c>
      <c r="M26" s="35">
        <f t="shared" si="4"/>
        <v>-14</v>
      </c>
      <c r="N26" s="39">
        <f t="shared" si="6"/>
        <v>0.9882747068676717</v>
      </c>
    </row>
    <row r="27" spans="1:14" ht="13.5" customHeight="1">
      <c r="A27" s="58" t="s">
        <v>28</v>
      </c>
      <c r="B27" s="37">
        <v>17676</v>
      </c>
      <c r="C27" s="33">
        <v>80</v>
      </c>
      <c r="D27" s="34">
        <f t="shared" si="8"/>
        <v>17756</v>
      </c>
      <c r="E27" s="37">
        <v>18882</v>
      </c>
      <c r="F27" s="33">
        <v>65</v>
      </c>
      <c r="G27" s="27">
        <f t="shared" si="9"/>
        <v>18947</v>
      </c>
      <c r="H27" s="35">
        <f t="shared" si="2"/>
        <v>1191</v>
      </c>
      <c r="I27" s="36">
        <f t="shared" si="5"/>
        <v>1.0670759179995495</v>
      </c>
      <c r="J27" s="37">
        <f>J28+J31</f>
        <v>20752</v>
      </c>
      <c r="K27" s="33"/>
      <c r="L27" s="30">
        <f t="shared" si="10"/>
        <v>20752</v>
      </c>
      <c r="M27" s="35">
        <f t="shared" si="4"/>
        <v>1805</v>
      </c>
      <c r="N27" s="39">
        <f t="shared" si="6"/>
        <v>1.0952657412783027</v>
      </c>
    </row>
    <row r="28" spans="1:14" ht="13.5" customHeight="1">
      <c r="A28" s="40" t="s">
        <v>29</v>
      </c>
      <c r="B28" s="32">
        <v>12854</v>
      </c>
      <c r="C28" s="33">
        <v>59</v>
      </c>
      <c r="D28" s="34">
        <f t="shared" si="8"/>
        <v>12913</v>
      </c>
      <c r="E28" s="32">
        <v>13757</v>
      </c>
      <c r="F28" s="33">
        <v>48</v>
      </c>
      <c r="G28" s="27">
        <f t="shared" si="9"/>
        <v>13805</v>
      </c>
      <c r="H28" s="35">
        <f t="shared" si="2"/>
        <v>892</v>
      </c>
      <c r="I28" s="36">
        <f t="shared" si="5"/>
        <v>1.069077673662201</v>
      </c>
      <c r="J28" s="57">
        <f>J29+J30</f>
        <v>15147</v>
      </c>
      <c r="K28" s="59"/>
      <c r="L28" s="30">
        <f t="shared" si="10"/>
        <v>15147</v>
      </c>
      <c r="M28" s="35">
        <f t="shared" si="4"/>
        <v>1342</v>
      </c>
      <c r="N28" s="39">
        <f t="shared" si="6"/>
        <v>1.097211155378486</v>
      </c>
    </row>
    <row r="29" spans="1:14" ht="13.5" customHeight="1">
      <c r="A29" s="58" t="s">
        <v>30</v>
      </c>
      <c r="B29" s="32">
        <v>12815</v>
      </c>
      <c r="C29" s="33">
        <v>59</v>
      </c>
      <c r="D29" s="34">
        <f t="shared" si="8"/>
        <v>12874</v>
      </c>
      <c r="E29" s="32">
        <v>13749</v>
      </c>
      <c r="F29" s="33">
        <v>48</v>
      </c>
      <c r="G29" s="27">
        <f t="shared" si="9"/>
        <v>13797</v>
      </c>
      <c r="H29" s="35">
        <f t="shared" si="2"/>
        <v>923</v>
      </c>
      <c r="I29" s="36">
        <f t="shared" si="5"/>
        <v>1.0716948889234115</v>
      </c>
      <c r="J29" s="37">
        <f>14366+731</f>
        <v>15097</v>
      </c>
      <c r="K29" s="33"/>
      <c r="L29" s="30">
        <f t="shared" si="10"/>
        <v>15097</v>
      </c>
      <c r="M29" s="35">
        <f t="shared" si="4"/>
        <v>1300</v>
      </c>
      <c r="N29" s="39">
        <f t="shared" si="6"/>
        <v>1.0942233818946148</v>
      </c>
    </row>
    <row r="30" spans="1:14" ht="13.5" customHeight="1">
      <c r="A30" s="40" t="s">
        <v>31</v>
      </c>
      <c r="B30" s="32">
        <v>39</v>
      </c>
      <c r="C30" s="33">
        <v>0</v>
      </c>
      <c r="D30" s="34">
        <f t="shared" si="8"/>
        <v>39</v>
      </c>
      <c r="E30" s="32">
        <v>8</v>
      </c>
      <c r="F30" s="33">
        <v>0</v>
      </c>
      <c r="G30" s="27">
        <f t="shared" si="9"/>
        <v>8</v>
      </c>
      <c r="H30" s="35">
        <f t="shared" si="2"/>
        <v>-31</v>
      </c>
      <c r="I30" s="36">
        <f t="shared" si="5"/>
        <v>0.20512820512820512</v>
      </c>
      <c r="J30" s="37">
        <v>50</v>
      </c>
      <c r="K30" s="33"/>
      <c r="L30" s="30">
        <f t="shared" si="10"/>
        <v>50</v>
      </c>
      <c r="M30" s="35">
        <f t="shared" si="4"/>
        <v>42</v>
      </c>
      <c r="N30" s="39">
        <f t="shared" si="6"/>
        <v>6.25</v>
      </c>
    </row>
    <row r="31" spans="1:14" ht="13.5" customHeight="1">
      <c r="A31" s="40" t="s">
        <v>32</v>
      </c>
      <c r="B31" s="32">
        <v>4822</v>
      </c>
      <c r="C31" s="33">
        <v>21</v>
      </c>
      <c r="D31" s="34">
        <f t="shared" si="8"/>
        <v>4843</v>
      </c>
      <c r="E31" s="32">
        <v>5125</v>
      </c>
      <c r="F31" s="33">
        <v>0</v>
      </c>
      <c r="G31" s="27">
        <f t="shared" si="9"/>
        <v>5125</v>
      </c>
      <c r="H31" s="35">
        <f t="shared" si="2"/>
        <v>282</v>
      </c>
      <c r="I31" s="36">
        <f t="shared" si="5"/>
        <v>1.058228370844518</v>
      </c>
      <c r="J31" s="37">
        <f>5334+271</f>
        <v>5605</v>
      </c>
      <c r="K31" s="33"/>
      <c r="L31" s="30">
        <f t="shared" si="10"/>
        <v>5605</v>
      </c>
      <c r="M31" s="35">
        <f t="shared" si="4"/>
        <v>480</v>
      </c>
      <c r="N31" s="39">
        <f t="shared" si="6"/>
        <v>1.093658536585366</v>
      </c>
    </row>
    <row r="32" spans="1:14" ht="13.5" customHeight="1">
      <c r="A32" s="58" t="s">
        <v>33</v>
      </c>
      <c r="B32" s="32">
        <v>0</v>
      </c>
      <c r="C32" s="33">
        <v>0</v>
      </c>
      <c r="D32" s="34">
        <f t="shared" si="8"/>
        <v>0</v>
      </c>
      <c r="E32" s="32">
        <v>0</v>
      </c>
      <c r="F32" s="33">
        <v>0</v>
      </c>
      <c r="G32" s="27">
        <f t="shared" si="9"/>
        <v>0</v>
      </c>
      <c r="H32" s="35">
        <f t="shared" si="2"/>
        <v>0</v>
      </c>
      <c r="I32" s="36"/>
      <c r="J32" s="37">
        <v>0</v>
      </c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163</v>
      </c>
      <c r="C33" s="33">
        <v>0</v>
      </c>
      <c r="D33" s="34">
        <f t="shared" si="8"/>
        <v>163</v>
      </c>
      <c r="E33" s="32">
        <v>152</v>
      </c>
      <c r="F33" s="33">
        <v>0</v>
      </c>
      <c r="G33" s="27">
        <f t="shared" si="9"/>
        <v>152</v>
      </c>
      <c r="H33" s="35">
        <f t="shared" si="2"/>
        <v>-11</v>
      </c>
      <c r="I33" s="36">
        <f t="shared" si="5"/>
        <v>0.9325153374233128</v>
      </c>
      <c r="J33" s="37">
        <v>147</v>
      </c>
      <c r="K33" s="33"/>
      <c r="L33" s="30">
        <f t="shared" si="10"/>
        <v>147</v>
      </c>
      <c r="M33" s="35">
        <f t="shared" si="4"/>
        <v>-5</v>
      </c>
      <c r="N33" s="39">
        <f t="shared" si="6"/>
        <v>0.9671052631578947</v>
      </c>
    </row>
    <row r="34" spans="1:14" ht="13.5" customHeight="1">
      <c r="A34" s="40" t="s">
        <v>35</v>
      </c>
      <c r="B34" s="32">
        <v>1240</v>
      </c>
      <c r="C34" s="33">
        <v>2</v>
      </c>
      <c r="D34" s="34">
        <f t="shared" si="8"/>
        <v>1242</v>
      </c>
      <c r="E34" s="32">
        <v>1422</v>
      </c>
      <c r="F34" s="33">
        <v>2</v>
      </c>
      <c r="G34" s="27">
        <f t="shared" si="9"/>
        <v>1424</v>
      </c>
      <c r="H34" s="35">
        <f t="shared" si="2"/>
        <v>182</v>
      </c>
      <c r="I34" s="36">
        <f t="shared" si="5"/>
        <v>1.146537842190016</v>
      </c>
      <c r="J34" s="57">
        <v>1413</v>
      </c>
      <c r="K34" s="33"/>
      <c r="L34" s="30">
        <f t="shared" si="10"/>
        <v>1413</v>
      </c>
      <c r="M34" s="35">
        <f t="shared" si="4"/>
        <v>-11</v>
      </c>
      <c r="N34" s="39">
        <f t="shared" si="6"/>
        <v>0.9922752808988764</v>
      </c>
    </row>
    <row r="35" spans="1:14" ht="22.5" customHeight="1">
      <c r="A35" s="40" t="s">
        <v>36</v>
      </c>
      <c r="B35" s="32">
        <v>1240</v>
      </c>
      <c r="C35" s="33">
        <v>2</v>
      </c>
      <c r="D35" s="34">
        <f t="shared" si="8"/>
        <v>1242</v>
      </c>
      <c r="E35" s="32">
        <v>1422</v>
      </c>
      <c r="F35" s="33">
        <v>2</v>
      </c>
      <c r="G35" s="27">
        <f t="shared" si="9"/>
        <v>1424</v>
      </c>
      <c r="H35" s="35">
        <f t="shared" si="2"/>
        <v>182</v>
      </c>
      <c r="I35" s="36">
        <f t="shared" si="5"/>
        <v>1.146537842190016</v>
      </c>
      <c r="J35" s="57">
        <v>1413</v>
      </c>
      <c r="K35" s="33"/>
      <c r="L35" s="30">
        <f t="shared" si="10"/>
        <v>1413</v>
      </c>
      <c r="M35" s="35">
        <f t="shared" si="4"/>
        <v>-11</v>
      </c>
      <c r="N35" s="39">
        <f t="shared" si="6"/>
        <v>0.9922752808988764</v>
      </c>
    </row>
    <row r="36" spans="1:14" ht="13.5" customHeight="1" thickBot="1">
      <c r="A36" s="60" t="s">
        <v>37</v>
      </c>
      <c r="B36" s="41">
        <v>0</v>
      </c>
      <c r="C36" s="42">
        <v>0</v>
      </c>
      <c r="D36" s="34">
        <f t="shared" si="8"/>
        <v>0</v>
      </c>
      <c r="E36" s="41">
        <v>0</v>
      </c>
      <c r="F36" s="42">
        <v>0</v>
      </c>
      <c r="G36" s="27">
        <f t="shared" si="9"/>
        <v>0</v>
      </c>
      <c r="H36" s="43">
        <f t="shared" si="2"/>
        <v>0</v>
      </c>
      <c r="I36" s="44"/>
      <c r="J36" s="61">
        <v>0</v>
      </c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26415</v>
      </c>
      <c r="C37" s="48">
        <f t="shared" si="11"/>
        <v>318</v>
      </c>
      <c r="D37" s="49">
        <f t="shared" si="11"/>
        <v>26733</v>
      </c>
      <c r="E37" s="47">
        <f t="shared" si="11"/>
        <v>28812</v>
      </c>
      <c r="F37" s="48">
        <f t="shared" si="11"/>
        <v>257</v>
      </c>
      <c r="G37" s="49">
        <f t="shared" si="11"/>
        <v>29069</v>
      </c>
      <c r="H37" s="50">
        <f t="shared" si="2"/>
        <v>2336</v>
      </c>
      <c r="I37" s="51">
        <f t="shared" si="5"/>
        <v>1.087382635693712</v>
      </c>
      <c r="J37" s="52">
        <f>SUM(J19+J21+J22+J23+J24+J27+J32+J33+J34+J36)</f>
        <v>30666</v>
      </c>
      <c r="K37" s="48">
        <f>SUM(K19+K21+K22+K23+K24+K27+K32+K33+K34+K36)</f>
        <v>0</v>
      </c>
      <c r="L37" s="49">
        <f>SUM(L19+L21+L22+L23+L24+L27+L32+L33+L34+L36)</f>
        <v>30666</v>
      </c>
      <c r="M37" s="50">
        <f t="shared" si="4"/>
        <v>1597</v>
      </c>
      <c r="N37" s="53">
        <f t="shared" si="6"/>
        <v>1.0549382503698097</v>
      </c>
    </row>
    <row r="38" spans="1:14" ht="13.5" customHeight="1" thickBot="1">
      <c r="A38" s="46" t="s">
        <v>39</v>
      </c>
      <c r="B38" s="680">
        <f>+D18-D37</f>
        <v>58</v>
      </c>
      <c r="C38" s="681"/>
      <c r="D38" s="682"/>
      <c r="E38" s="680">
        <f>+G18-G37</f>
        <v>178</v>
      </c>
      <c r="F38" s="681"/>
      <c r="G38" s="682">
        <v>-50784</v>
      </c>
      <c r="H38" s="62">
        <f>+E38-B38</f>
        <v>120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207</v>
      </c>
      <c r="B43" s="683"/>
      <c r="C43" s="66">
        <v>136</v>
      </c>
      <c r="D43" s="679" t="s">
        <v>208</v>
      </c>
      <c r="E43" s="657"/>
      <c r="F43" s="657"/>
      <c r="G43" s="67">
        <v>97</v>
      </c>
      <c r="H43" s="734" t="s">
        <v>164</v>
      </c>
      <c r="I43" s="735"/>
      <c r="J43" s="735"/>
      <c r="K43" s="735"/>
      <c r="L43" s="160">
        <v>300</v>
      </c>
      <c r="O43"/>
      <c r="P43"/>
    </row>
    <row r="44" spans="1:16" ht="12.75">
      <c r="A44" s="639" t="s">
        <v>165</v>
      </c>
      <c r="B44" s="646"/>
      <c r="C44" s="69">
        <v>155</v>
      </c>
      <c r="D44" s="679" t="s">
        <v>128</v>
      </c>
      <c r="E44" s="657"/>
      <c r="F44" s="657"/>
      <c r="G44" s="70">
        <v>278</v>
      </c>
      <c r="H44" s="658" t="s">
        <v>536</v>
      </c>
      <c r="I44" s="659"/>
      <c r="J44" s="659"/>
      <c r="K44" s="659"/>
      <c r="L44" s="68">
        <v>250</v>
      </c>
      <c r="O44"/>
      <c r="P44"/>
    </row>
    <row r="45" spans="1:16" ht="12.75">
      <c r="A45" s="639" t="s">
        <v>166</v>
      </c>
      <c r="B45" s="646"/>
      <c r="C45" s="69">
        <v>156</v>
      </c>
      <c r="D45" s="679" t="s">
        <v>209</v>
      </c>
      <c r="E45" s="657"/>
      <c r="F45" s="657"/>
      <c r="G45" s="70">
        <v>15</v>
      </c>
      <c r="H45" s="643" t="s">
        <v>211</v>
      </c>
      <c r="I45" s="644"/>
      <c r="J45" s="644"/>
      <c r="K45" s="645"/>
      <c r="L45" s="68">
        <v>100</v>
      </c>
      <c r="O45"/>
      <c r="P45"/>
    </row>
    <row r="46" spans="1:16" ht="12.75">
      <c r="A46" s="647" t="s">
        <v>127</v>
      </c>
      <c r="B46" s="674"/>
      <c r="C46" s="71">
        <v>510</v>
      </c>
      <c r="D46" s="647" t="s">
        <v>210</v>
      </c>
      <c r="E46" s="648"/>
      <c r="F46" s="674"/>
      <c r="G46" s="72">
        <v>510</v>
      </c>
      <c r="H46" s="643" t="s">
        <v>537</v>
      </c>
      <c r="I46" s="644"/>
      <c r="J46" s="644"/>
      <c r="K46" s="645"/>
      <c r="L46" s="68">
        <v>536</v>
      </c>
      <c r="O46"/>
      <c r="P46"/>
    </row>
    <row r="47" spans="1:16" ht="12.75">
      <c r="A47" s="647"/>
      <c r="B47" s="674"/>
      <c r="C47" s="71"/>
      <c r="D47" s="647"/>
      <c r="E47" s="648"/>
      <c r="F47" s="674"/>
      <c r="G47" s="72"/>
      <c r="H47" s="643"/>
      <c r="I47" s="644"/>
      <c r="J47" s="644"/>
      <c r="K47" s="645"/>
      <c r="L47" s="503"/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/>
      <c r="I48" s="644"/>
      <c r="J48" s="644"/>
      <c r="K48" s="645"/>
      <c r="L48" s="78"/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741"/>
      <c r="I49" s="742"/>
      <c r="J49" s="742"/>
      <c r="K49" s="742"/>
      <c r="L49" s="507"/>
      <c r="O49"/>
      <c r="P49"/>
    </row>
    <row r="50" spans="1:16" ht="13.5" thickBot="1">
      <c r="A50" s="633"/>
      <c r="B50" s="635"/>
      <c r="C50" s="73">
        <f>SUM(C43:C49)</f>
        <v>957</v>
      </c>
      <c r="D50" s="660" t="s">
        <v>5</v>
      </c>
      <c r="E50" s="661"/>
      <c r="F50" s="661"/>
      <c r="G50" s="73">
        <f>SUM(G43:G44)</f>
        <v>375</v>
      </c>
      <c r="H50" s="637" t="s">
        <v>5</v>
      </c>
      <c r="I50" s="638"/>
      <c r="J50" s="638"/>
      <c r="K50" s="638"/>
      <c r="L50" s="73">
        <f>SUM(L43:L48)</f>
        <v>1186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212</v>
      </c>
      <c r="B54" s="655"/>
      <c r="C54" s="66">
        <v>513</v>
      </c>
      <c r="D54" s="656" t="s">
        <v>213</v>
      </c>
      <c r="E54" s="657"/>
      <c r="F54" s="657"/>
      <c r="G54" s="76">
        <v>210</v>
      </c>
      <c r="H54" s="658" t="s">
        <v>167</v>
      </c>
      <c r="I54" s="659"/>
      <c r="J54" s="659"/>
      <c r="K54" s="659"/>
      <c r="L54" s="68">
        <v>200</v>
      </c>
      <c r="O54"/>
      <c r="P54"/>
    </row>
    <row r="55" spans="1:16" ht="13.5" customHeight="1">
      <c r="A55" s="639"/>
      <c r="B55" s="649"/>
      <c r="C55" s="69"/>
      <c r="D55" s="642" t="s">
        <v>111</v>
      </c>
      <c r="E55" s="646"/>
      <c r="F55" s="646"/>
      <c r="G55" s="77">
        <v>213</v>
      </c>
      <c r="H55" s="650" t="s">
        <v>156</v>
      </c>
      <c r="I55" s="651"/>
      <c r="J55" s="651"/>
      <c r="K55" s="651"/>
      <c r="L55" s="78">
        <v>100</v>
      </c>
      <c r="O55"/>
      <c r="P55"/>
    </row>
    <row r="56" spans="1:16" ht="13.5" customHeight="1">
      <c r="A56" s="639"/>
      <c r="B56" s="640"/>
      <c r="C56" s="69"/>
      <c r="D56" s="642"/>
      <c r="E56" s="646"/>
      <c r="F56" s="646"/>
      <c r="G56" s="77"/>
      <c r="H56" s="643" t="s">
        <v>509</v>
      </c>
      <c r="I56" s="644"/>
      <c r="J56" s="644"/>
      <c r="K56" s="645"/>
      <c r="L56" s="78">
        <v>100</v>
      </c>
      <c r="O56"/>
      <c r="P56"/>
    </row>
    <row r="57" spans="1:16" ht="13.5" customHeight="1">
      <c r="A57" s="639"/>
      <c r="B57" s="640"/>
      <c r="C57" s="69"/>
      <c r="D57" s="642"/>
      <c r="E57" s="646"/>
      <c r="F57" s="646"/>
      <c r="G57" s="77"/>
      <c r="H57" s="643" t="s">
        <v>510</v>
      </c>
      <c r="I57" s="644"/>
      <c r="J57" s="644"/>
      <c r="K57" s="645"/>
      <c r="L57" s="78">
        <v>50</v>
      </c>
      <c r="O57"/>
      <c r="P57"/>
    </row>
    <row r="58" spans="1:16" ht="13.5" customHeight="1">
      <c r="A58" s="647"/>
      <c r="B58" s="648"/>
      <c r="C58" s="71"/>
      <c r="D58" s="641"/>
      <c r="E58" s="641"/>
      <c r="F58" s="642"/>
      <c r="G58" s="178"/>
      <c r="H58" s="643"/>
      <c r="I58" s="644"/>
      <c r="J58" s="644"/>
      <c r="K58" s="645"/>
      <c r="L58" s="79"/>
      <c r="O58"/>
      <c r="P58"/>
    </row>
    <row r="59" spans="1:16" ht="13.5" customHeight="1">
      <c r="A59" s="639"/>
      <c r="B59" s="640"/>
      <c r="C59" s="71"/>
      <c r="D59" s="641"/>
      <c r="E59" s="641"/>
      <c r="F59" s="642"/>
      <c r="G59" s="178"/>
      <c r="H59" s="643"/>
      <c r="I59" s="644"/>
      <c r="J59" s="644"/>
      <c r="K59" s="645"/>
      <c r="L59" s="79"/>
      <c r="O59"/>
      <c r="P59"/>
    </row>
    <row r="60" spans="1:16" ht="13.5" customHeight="1">
      <c r="A60" s="639"/>
      <c r="B60" s="640"/>
      <c r="C60" s="69"/>
      <c r="D60" s="642"/>
      <c r="E60" s="646"/>
      <c r="F60" s="646"/>
      <c r="G60" s="77"/>
      <c r="H60" s="643"/>
      <c r="I60" s="644"/>
      <c r="J60" s="644"/>
      <c r="K60" s="645"/>
      <c r="L60" s="78"/>
      <c r="O60"/>
      <c r="P60"/>
    </row>
    <row r="61" spans="1:16" ht="13.5" thickBot="1">
      <c r="A61" s="627"/>
      <c r="B61" s="628"/>
      <c r="C61" s="80"/>
      <c r="D61" s="629"/>
      <c r="E61" s="630"/>
      <c r="F61" s="630"/>
      <c r="G61" s="81"/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73">
        <f>SUM(C54:C61)</f>
        <v>513</v>
      </c>
      <c r="D62" s="635" t="s">
        <v>5</v>
      </c>
      <c r="E62" s="636"/>
      <c r="F62" s="636"/>
      <c r="G62" s="83">
        <f>SUM(G54:G61)</f>
        <v>423</v>
      </c>
      <c r="H62" s="637" t="s">
        <v>5</v>
      </c>
      <c r="I62" s="638"/>
      <c r="J62" s="638"/>
      <c r="K62" s="638"/>
      <c r="L62" s="73">
        <f>SUM(L54:L61)</f>
        <v>450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0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46</v>
      </c>
      <c r="I67" s="580" t="s">
        <v>179</v>
      </c>
      <c r="J67" s="582"/>
      <c r="K67" s="582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46</v>
      </c>
      <c r="C68" s="583" t="s">
        <v>175</v>
      </c>
      <c r="D68" s="583"/>
      <c r="E68" s="159">
        <v>0</v>
      </c>
      <c r="F68" s="584" t="s">
        <v>177</v>
      </c>
      <c r="G68" s="585"/>
      <c r="H68" s="151">
        <v>142</v>
      </c>
      <c r="I68" s="583" t="s">
        <v>491</v>
      </c>
      <c r="J68" s="585"/>
      <c r="K68" s="585"/>
      <c r="L68" s="159">
        <v>0</v>
      </c>
      <c r="M68" s="84"/>
      <c r="N68" s="84"/>
    </row>
    <row r="69" spans="1:14" s="1" customFormat="1" ht="12.75">
      <c r="A69" s="158" t="s">
        <v>175</v>
      </c>
      <c r="B69" s="151"/>
      <c r="C69" s="583"/>
      <c r="D69" s="583"/>
      <c r="E69" s="159"/>
      <c r="F69" s="583" t="s">
        <v>175</v>
      </c>
      <c r="G69" s="583"/>
      <c r="H69" s="151"/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46</v>
      </c>
      <c r="C71" s="589" t="s">
        <v>5</v>
      </c>
      <c r="D71" s="589"/>
      <c r="E71" s="165">
        <f>SUM(E67:E70)</f>
        <v>0</v>
      </c>
      <c r="F71" s="590" t="s">
        <v>5</v>
      </c>
      <c r="G71" s="591"/>
      <c r="H71" s="161">
        <f>SUM(H67:H70)</f>
        <v>188</v>
      </c>
      <c r="I71" s="589" t="s">
        <v>5</v>
      </c>
      <c r="J71" s="591"/>
      <c r="K71" s="591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46</v>
      </c>
      <c r="C72" s="84"/>
      <c r="D72" s="84"/>
      <c r="E72" s="84"/>
      <c r="F72" s="592" t="s">
        <v>534</v>
      </c>
      <c r="G72" s="593"/>
      <c r="H72" s="183">
        <f>H71-L71</f>
        <v>188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601" t="s">
        <v>73</v>
      </c>
      <c r="B76" s="604" t="s">
        <v>495</v>
      </c>
      <c r="C76" s="607" t="s">
        <v>477</v>
      </c>
      <c r="D76" s="608"/>
      <c r="E76" s="608"/>
      <c r="F76" s="608"/>
      <c r="G76" s="608"/>
      <c r="H76" s="608"/>
      <c r="I76" s="609"/>
      <c r="J76" s="610" t="s">
        <v>496</v>
      </c>
      <c r="K76" s="7"/>
      <c r="L76" s="594" t="s">
        <v>48</v>
      </c>
      <c r="M76" s="595"/>
      <c r="N76" s="193">
        <v>2004</v>
      </c>
      <c r="O76" s="194">
        <v>2005</v>
      </c>
    </row>
    <row r="77" spans="1:15" s="1" customFormat="1" ht="12.75">
      <c r="A77" s="602"/>
      <c r="B77" s="605"/>
      <c r="C77" s="596" t="s">
        <v>76</v>
      </c>
      <c r="D77" s="598" t="s">
        <v>77</v>
      </c>
      <c r="E77" s="599"/>
      <c r="F77" s="599"/>
      <c r="G77" s="599"/>
      <c r="H77" s="599"/>
      <c r="I77" s="600"/>
      <c r="J77" s="611"/>
      <c r="K77" s="7"/>
      <c r="L77" s="197" t="s">
        <v>178</v>
      </c>
      <c r="M77" s="197"/>
      <c r="N77" s="192"/>
      <c r="O77" s="195"/>
    </row>
    <row r="78" spans="1:15" s="1" customFormat="1" ht="13.5" thickBot="1">
      <c r="A78" s="603"/>
      <c r="B78" s="606"/>
      <c r="C78" s="597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612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65142</v>
      </c>
      <c r="B79" s="117">
        <v>13559</v>
      </c>
      <c r="C79" s="170">
        <v>1413</v>
      </c>
      <c r="D79" s="171">
        <v>134</v>
      </c>
      <c r="E79" s="171">
        <v>610</v>
      </c>
      <c r="F79" s="171">
        <v>133</v>
      </c>
      <c r="G79" s="171">
        <v>0</v>
      </c>
      <c r="H79" s="170">
        <v>536</v>
      </c>
      <c r="I79" s="184">
        <v>0</v>
      </c>
      <c r="J79" s="118">
        <f>SUM(A79-B79-C79)</f>
        <v>50170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618" t="s">
        <v>112</v>
      </c>
      <c r="B83" s="620" t="s">
        <v>482</v>
      </c>
      <c r="C83" s="622" t="s">
        <v>480</v>
      </c>
      <c r="D83" s="623"/>
      <c r="E83" s="623"/>
      <c r="F83" s="624"/>
      <c r="G83" s="625" t="s">
        <v>483</v>
      </c>
      <c r="H83" s="613" t="s">
        <v>78</v>
      </c>
      <c r="I83" s="615" t="s">
        <v>481</v>
      </c>
      <c r="J83" s="616"/>
      <c r="K83" s="616"/>
      <c r="L83" s="617"/>
    </row>
    <row r="84" spans="1:12" s="1" customFormat="1" ht="18.75" thickBot="1">
      <c r="A84" s="619"/>
      <c r="B84" s="621"/>
      <c r="C84" s="119" t="s">
        <v>81</v>
      </c>
      <c r="D84" s="120" t="s">
        <v>79</v>
      </c>
      <c r="E84" s="120" t="s">
        <v>80</v>
      </c>
      <c r="F84" s="121" t="s">
        <v>114</v>
      </c>
      <c r="G84" s="626"/>
      <c r="H84" s="614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1825.06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2763.68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0</v>
      </c>
      <c r="D86" s="131">
        <v>12</v>
      </c>
      <c r="E86" s="131">
        <v>0</v>
      </c>
      <c r="F86" s="132">
        <v>12</v>
      </c>
      <c r="G86" s="133">
        <v>11.59</v>
      </c>
      <c r="H86" s="453">
        <f>+G86-F86</f>
        <v>-0.41000000000000014</v>
      </c>
      <c r="I86" s="130">
        <v>12</v>
      </c>
      <c r="J86" s="131">
        <v>36</v>
      </c>
      <c r="K86" s="131">
        <v>0</v>
      </c>
      <c r="L86" s="132">
        <f>I86+J86-K86</f>
        <v>48</v>
      </c>
    </row>
    <row r="87" spans="1:12" s="1" customFormat="1" ht="12.75">
      <c r="A87" s="128" t="s">
        <v>85</v>
      </c>
      <c r="B87" s="129">
        <v>0</v>
      </c>
      <c r="C87" s="130">
        <v>0</v>
      </c>
      <c r="D87" s="131">
        <v>46</v>
      </c>
      <c r="E87" s="131">
        <v>0</v>
      </c>
      <c r="F87" s="132">
        <v>46</v>
      </c>
      <c r="G87" s="133">
        <v>46.35</v>
      </c>
      <c r="H87" s="453">
        <f>+G87-F87</f>
        <v>0.3500000000000014</v>
      </c>
      <c r="I87" s="130">
        <v>46</v>
      </c>
      <c r="J87" s="131">
        <v>142</v>
      </c>
      <c r="K87" s="131">
        <v>0</v>
      </c>
      <c r="L87" s="132">
        <f>I87+J87-K87</f>
        <v>188</v>
      </c>
    </row>
    <row r="88" spans="1:12" s="1" customFormat="1" ht="12.75">
      <c r="A88" s="128" t="s">
        <v>113</v>
      </c>
      <c r="B88" s="129">
        <v>292.86</v>
      </c>
      <c r="C88" s="130">
        <v>896</v>
      </c>
      <c r="D88" s="131">
        <v>1424</v>
      </c>
      <c r="E88" s="131">
        <v>1504</v>
      </c>
      <c r="F88" s="132">
        <v>816</v>
      </c>
      <c r="G88" s="133">
        <v>815.92</v>
      </c>
      <c r="H88" s="453">
        <f>+G88-F88</f>
        <v>-0.08000000000004093</v>
      </c>
      <c r="I88" s="461">
        <v>816</v>
      </c>
      <c r="J88" s="447">
        <v>1413</v>
      </c>
      <c r="K88" s="447">
        <v>1186</v>
      </c>
      <c r="L88" s="132">
        <f>I88+J88-K88</f>
        <v>1043</v>
      </c>
    </row>
    <row r="89" spans="1:12" s="1" customFormat="1" ht="12.75">
      <c r="A89" s="128" t="s">
        <v>86</v>
      </c>
      <c r="B89" s="129">
        <v>1532.2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1889.82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148" t="s">
        <v>83</v>
      </c>
    </row>
    <row r="90" spans="1:12" s="1" customFormat="1" ht="13.5" thickBot="1">
      <c r="A90" s="134" t="s">
        <v>87</v>
      </c>
      <c r="B90" s="135">
        <v>98.86</v>
      </c>
      <c r="C90" s="136">
        <v>101</v>
      </c>
      <c r="D90" s="137">
        <v>276</v>
      </c>
      <c r="E90" s="137">
        <v>285</v>
      </c>
      <c r="F90" s="138">
        <v>92</v>
      </c>
      <c r="G90" s="139">
        <v>99</v>
      </c>
      <c r="H90" s="454">
        <f>+G90-F90</f>
        <v>7</v>
      </c>
      <c r="I90" s="136">
        <v>92</v>
      </c>
      <c r="J90" s="137">
        <v>301</v>
      </c>
      <c r="K90" s="137">
        <v>379</v>
      </c>
      <c r="L90" s="138">
        <f>I90+J90-K90</f>
        <v>14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497.07</v>
      </c>
      <c r="C95" s="131">
        <v>0</v>
      </c>
      <c r="D95" s="131"/>
      <c r="E95" s="131"/>
      <c r="F95" s="131"/>
      <c r="G95" s="129">
        <v>495</v>
      </c>
      <c r="H95" s="132">
        <f>SUM(C95:G95)</f>
        <v>495</v>
      </c>
      <c r="I95" s="89"/>
      <c r="J95" s="93">
        <v>2005</v>
      </c>
      <c r="K95" s="94">
        <v>13798</v>
      </c>
      <c r="L95" s="95">
        <f>+G29</f>
        <v>13797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15097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3.25</v>
      </c>
      <c r="C101" s="103">
        <v>4</v>
      </c>
      <c r="D101" s="103">
        <f>+C101-B101</f>
        <v>0.75</v>
      </c>
      <c r="E101" s="103">
        <v>4</v>
      </c>
      <c r="F101" s="103">
        <v>4</v>
      </c>
      <c r="G101" s="104">
        <f>+F101-E101</f>
        <v>0</v>
      </c>
      <c r="H101" s="105">
        <v>17416</v>
      </c>
      <c r="I101" s="106">
        <v>20003</v>
      </c>
      <c r="J101" s="107">
        <f>+I101-H101</f>
        <v>2587</v>
      </c>
    </row>
    <row r="102" spans="1:10" ht="12.75">
      <c r="A102" s="102" t="s">
        <v>98</v>
      </c>
      <c r="B102" s="103">
        <v>21.48</v>
      </c>
      <c r="C102" s="103">
        <v>21</v>
      </c>
      <c r="D102" s="103">
        <f aca="true" t="shared" si="12" ref="D102:D111">+C102-B102</f>
        <v>-0.4800000000000004</v>
      </c>
      <c r="E102" s="103">
        <v>21</v>
      </c>
      <c r="F102" s="103">
        <v>20.75</v>
      </c>
      <c r="G102" s="104">
        <f aca="true" t="shared" si="13" ref="G102:G111">+F102-E102</f>
        <v>-0.25</v>
      </c>
      <c r="H102" s="105">
        <v>16145</v>
      </c>
      <c r="I102" s="108">
        <v>17423</v>
      </c>
      <c r="J102" s="107">
        <f aca="true" t="shared" si="14" ref="J102:J111">+I102-H102</f>
        <v>1278</v>
      </c>
    </row>
    <row r="103" spans="1:10" ht="12.75">
      <c r="A103" s="102" t="s">
        <v>60</v>
      </c>
      <c r="B103" s="103">
        <v>2.75</v>
      </c>
      <c r="C103" s="103">
        <v>2</v>
      </c>
      <c r="D103" s="103">
        <f t="shared" si="12"/>
        <v>-0.75</v>
      </c>
      <c r="E103" s="103">
        <v>2.75</v>
      </c>
      <c r="F103" s="103">
        <v>2</v>
      </c>
      <c r="G103" s="104">
        <f t="shared" si="13"/>
        <v>-0.75</v>
      </c>
      <c r="H103" s="105">
        <v>13705</v>
      </c>
      <c r="I103" s="108">
        <v>12356</v>
      </c>
      <c r="J103" s="107">
        <f t="shared" si="14"/>
        <v>-1349</v>
      </c>
    </row>
    <row r="104" spans="1:10" ht="12.75">
      <c r="A104" s="102" t="s">
        <v>61</v>
      </c>
      <c r="B104" s="103">
        <v>15.5</v>
      </c>
      <c r="C104" s="103">
        <v>17.75</v>
      </c>
      <c r="D104" s="103">
        <f t="shared" si="12"/>
        <v>2.25</v>
      </c>
      <c r="E104" s="103">
        <v>17</v>
      </c>
      <c r="F104" s="103">
        <v>17</v>
      </c>
      <c r="G104" s="104">
        <f t="shared" si="13"/>
        <v>0</v>
      </c>
      <c r="H104" s="105">
        <v>11636</v>
      </c>
      <c r="I104" s="108">
        <v>12072</v>
      </c>
      <c r="J104" s="107">
        <f t="shared" si="14"/>
        <v>436</v>
      </c>
    </row>
    <row r="105" spans="1:10" ht="12.75">
      <c r="A105" s="102" t="s">
        <v>99</v>
      </c>
      <c r="B105" s="103">
        <v>0</v>
      </c>
      <c r="C105" s="103">
        <v>0</v>
      </c>
      <c r="D105" s="103">
        <f t="shared" si="12"/>
        <v>0</v>
      </c>
      <c r="E105" s="103">
        <v>0</v>
      </c>
      <c r="F105" s="103">
        <v>0</v>
      </c>
      <c r="G105" s="104">
        <f t="shared" si="13"/>
        <v>0</v>
      </c>
      <c r="H105" s="105">
        <v>0</v>
      </c>
      <c r="I105" s="108">
        <v>0</v>
      </c>
      <c r="J105" s="107">
        <f t="shared" si="14"/>
        <v>0</v>
      </c>
    </row>
    <row r="106" spans="1:10" ht="12.75">
      <c r="A106" s="102" t="s">
        <v>63</v>
      </c>
      <c r="B106" s="103">
        <v>12</v>
      </c>
      <c r="C106" s="103">
        <v>11.72</v>
      </c>
      <c r="D106" s="103">
        <f t="shared" si="12"/>
        <v>-0.27999999999999936</v>
      </c>
      <c r="E106" s="103">
        <v>12</v>
      </c>
      <c r="F106" s="103">
        <v>10.77</v>
      </c>
      <c r="G106" s="104">
        <f t="shared" si="13"/>
        <v>-1.2300000000000004</v>
      </c>
      <c r="H106" s="105">
        <v>14333</v>
      </c>
      <c r="I106" s="108">
        <v>14505</v>
      </c>
      <c r="J106" s="107">
        <f t="shared" si="14"/>
        <v>172</v>
      </c>
    </row>
    <row r="107" spans="1:10" ht="12.75">
      <c r="A107" s="102" t="s">
        <v>64</v>
      </c>
      <c r="B107" s="103">
        <v>0</v>
      </c>
      <c r="C107" s="103">
        <v>0</v>
      </c>
      <c r="D107" s="103">
        <f t="shared" si="12"/>
        <v>0</v>
      </c>
      <c r="E107" s="103">
        <v>0</v>
      </c>
      <c r="F107" s="103">
        <v>0</v>
      </c>
      <c r="G107" s="104">
        <f t="shared" si="13"/>
        <v>0</v>
      </c>
      <c r="H107" s="105">
        <v>0</v>
      </c>
      <c r="I107" s="108">
        <v>0</v>
      </c>
      <c r="J107" s="107">
        <f t="shared" si="14"/>
        <v>0</v>
      </c>
    </row>
    <row r="108" spans="1:10" ht="12.75">
      <c r="A108" s="102" t="s">
        <v>65</v>
      </c>
      <c r="B108" s="103">
        <v>1</v>
      </c>
      <c r="C108" s="103">
        <v>1</v>
      </c>
      <c r="D108" s="103">
        <f t="shared" si="12"/>
        <v>0</v>
      </c>
      <c r="E108" s="103">
        <v>1</v>
      </c>
      <c r="F108" s="103">
        <v>1</v>
      </c>
      <c r="G108" s="104">
        <f t="shared" si="13"/>
        <v>0</v>
      </c>
      <c r="H108" s="105">
        <v>9771</v>
      </c>
      <c r="I108" s="108">
        <v>11739</v>
      </c>
      <c r="J108" s="107">
        <f t="shared" si="14"/>
        <v>1968</v>
      </c>
    </row>
    <row r="109" spans="1:10" ht="12.75">
      <c r="A109" s="102" t="s">
        <v>66</v>
      </c>
      <c r="B109" s="103">
        <v>1</v>
      </c>
      <c r="C109" s="103">
        <v>1.2</v>
      </c>
      <c r="D109" s="103">
        <f t="shared" si="12"/>
        <v>0.19999999999999996</v>
      </c>
      <c r="E109" s="103">
        <v>1</v>
      </c>
      <c r="F109" s="103">
        <v>1</v>
      </c>
      <c r="G109" s="104">
        <f t="shared" si="13"/>
        <v>0</v>
      </c>
      <c r="H109" s="105">
        <v>15669</v>
      </c>
      <c r="I109" s="108">
        <v>17225</v>
      </c>
      <c r="J109" s="107">
        <f t="shared" si="14"/>
        <v>1556</v>
      </c>
    </row>
    <row r="110" spans="1:10" ht="12.75">
      <c r="A110" s="102" t="s">
        <v>67</v>
      </c>
      <c r="B110" s="103">
        <v>23.71</v>
      </c>
      <c r="C110" s="103">
        <v>23.83</v>
      </c>
      <c r="D110" s="103">
        <f t="shared" si="12"/>
        <v>0.11999999999999744</v>
      </c>
      <c r="E110" s="103">
        <v>23.63</v>
      </c>
      <c r="F110" s="103">
        <v>23.75</v>
      </c>
      <c r="G110" s="104">
        <f t="shared" si="13"/>
        <v>0.120000000000001</v>
      </c>
      <c r="H110" s="105">
        <v>10763</v>
      </c>
      <c r="I110" s="108">
        <v>11038</v>
      </c>
      <c r="J110" s="107">
        <f t="shared" si="14"/>
        <v>275</v>
      </c>
    </row>
    <row r="111" spans="1:10" ht="13.5" thickBot="1">
      <c r="A111" s="109" t="s">
        <v>5</v>
      </c>
      <c r="B111" s="110">
        <f>SUM(B101:B110)</f>
        <v>80.69</v>
      </c>
      <c r="C111" s="110">
        <f>SUM(C101:C110)</f>
        <v>82.5</v>
      </c>
      <c r="D111" s="110">
        <f t="shared" si="12"/>
        <v>1.8100000000000023</v>
      </c>
      <c r="E111" s="110">
        <f>SUM(E101:E110)</f>
        <v>82.38</v>
      </c>
      <c r="F111" s="110">
        <f>SUM(F101:F110)</f>
        <v>80.27</v>
      </c>
      <c r="G111" s="111">
        <f t="shared" si="13"/>
        <v>-2.1099999999999994</v>
      </c>
      <c r="H111" s="112">
        <v>13311</v>
      </c>
      <c r="I111" s="113">
        <v>13942</v>
      </c>
      <c r="J111" s="114">
        <f t="shared" si="14"/>
        <v>631</v>
      </c>
    </row>
    <row r="112" ht="13.5" thickBot="1"/>
    <row r="113" spans="1:16" ht="12.75">
      <c r="A113" s="706" t="s">
        <v>68</v>
      </c>
      <c r="B113" s="707"/>
      <c r="C113" s="708"/>
      <c r="D113" s="89"/>
      <c r="E113" s="706" t="s">
        <v>69</v>
      </c>
      <c r="F113" s="707"/>
      <c r="G113" s="708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709" t="s">
        <v>72</v>
      </c>
      <c r="G114" s="71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83</v>
      </c>
      <c r="C115" s="95">
        <v>82.47</v>
      </c>
      <c r="D115" s="89"/>
      <c r="E115" s="93">
        <v>2005</v>
      </c>
      <c r="F115" s="711">
        <v>152</v>
      </c>
      <c r="G115" s="624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85</v>
      </c>
      <c r="C116" s="98"/>
      <c r="D116" s="89"/>
      <c r="E116" s="96">
        <v>2006</v>
      </c>
      <c r="F116" s="704">
        <v>152</v>
      </c>
      <c r="G116" s="705"/>
      <c r="H116"/>
      <c r="I116"/>
      <c r="J116"/>
      <c r="K116"/>
      <c r="L116"/>
      <c r="M116"/>
      <c r="N116"/>
      <c r="O116"/>
      <c r="P116"/>
    </row>
  </sheetData>
  <mergeCells count="119">
    <mergeCell ref="L76:M76"/>
    <mergeCell ref="C77:C78"/>
    <mergeCell ref="D77:I77"/>
    <mergeCell ref="A76:A78"/>
    <mergeCell ref="B76:B78"/>
    <mergeCell ref="C76:I76"/>
    <mergeCell ref="J76:J78"/>
    <mergeCell ref="C71:D71"/>
    <mergeCell ref="F71:G71"/>
    <mergeCell ref="I71:K71"/>
    <mergeCell ref="F72:G72"/>
    <mergeCell ref="C69:D69"/>
    <mergeCell ref="F69:G69"/>
    <mergeCell ref="I69:K69"/>
    <mergeCell ref="C70:D70"/>
    <mergeCell ref="F70:G70"/>
    <mergeCell ref="I70:K70"/>
    <mergeCell ref="F116:G116"/>
    <mergeCell ref="A113:C113"/>
    <mergeCell ref="E113:G113"/>
    <mergeCell ref="F114:G114"/>
    <mergeCell ref="F115:G115"/>
    <mergeCell ref="A99:A100"/>
    <mergeCell ref="A65:E65"/>
    <mergeCell ref="F65:L65"/>
    <mergeCell ref="C66:D66"/>
    <mergeCell ref="F66:G66"/>
    <mergeCell ref="B99:D99"/>
    <mergeCell ref="E99:G99"/>
    <mergeCell ref="H99:J99"/>
    <mergeCell ref="I66:K66"/>
    <mergeCell ref="C67:D67"/>
    <mergeCell ref="F67:G67"/>
    <mergeCell ref="I67:K67"/>
    <mergeCell ref="C68:D68"/>
    <mergeCell ref="F68:G68"/>
    <mergeCell ref="I68:K68"/>
    <mergeCell ref="A93:A94"/>
    <mergeCell ref="B93:B94"/>
    <mergeCell ref="C93:H93"/>
    <mergeCell ref="J93:L93"/>
    <mergeCell ref="A61:B61"/>
    <mergeCell ref="D61:F61"/>
    <mergeCell ref="H61:K61"/>
    <mergeCell ref="A62:B62"/>
    <mergeCell ref="D62:F62"/>
    <mergeCell ref="H62:K62"/>
    <mergeCell ref="A59:B59"/>
    <mergeCell ref="D59:F59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H52:K53"/>
    <mergeCell ref="L52:L53"/>
    <mergeCell ref="A54:B54"/>
    <mergeCell ref="D54:F54"/>
    <mergeCell ref="H54:K54"/>
    <mergeCell ref="A52:B53"/>
    <mergeCell ref="C52:C53"/>
    <mergeCell ref="D52:F53"/>
    <mergeCell ref="G52:G53"/>
    <mergeCell ref="A49:B49"/>
    <mergeCell ref="D49:F49"/>
    <mergeCell ref="H49:K49"/>
    <mergeCell ref="A50:B50"/>
    <mergeCell ref="D50:F50"/>
    <mergeCell ref="H50:K50"/>
    <mergeCell ref="H46:K46"/>
    <mergeCell ref="H47:K47"/>
    <mergeCell ref="A48:B48"/>
    <mergeCell ref="D48:F48"/>
    <mergeCell ref="H48:K48"/>
    <mergeCell ref="A46:B46"/>
    <mergeCell ref="D46:F46"/>
    <mergeCell ref="A47:B47"/>
    <mergeCell ref="D47:F47"/>
    <mergeCell ref="A44:B44"/>
    <mergeCell ref="D44:F44"/>
    <mergeCell ref="H44:K44"/>
    <mergeCell ref="A45:B45"/>
    <mergeCell ref="D45:F45"/>
    <mergeCell ref="H45:K45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B38:D38"/>
    <mergeCell ref="E38:G38"/>
    <mergeCell ref="J38:L38"/>
    <mergeCell ref="B39:D39"/>
    <mergeCell ref="E39:G39"/>
    <mergeCell ref="A3:A6"/>
    <mergeCell ref="B3:N3"/>
    <mergeCell ref="H4:I4"/>
    <mergeCell ref="M4:N4"/>
    <mergeCell ref="H83:H84"/>
    <mergeCell ref="I83:L83"/>
    <mergeCell ref="A83:A84"/>
    <mergeCell ref="B83:B84"/>
    <mergeCell ref="C83:F83"/>
    <mergeCell ref="G83:G84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115"/>
  <sheetViews>
    <sheetView view="pageBreakPreview" zoomScaleSheetLayoutView="100" workbookViewId="0" topLeftCell="A1">
      <selection activeCell="L90" sqref="L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46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422"/>
      <c r="N2" s="423"/>
    </row>
    <row r="3" spans="1:14" ht="24" customHeight="1" thickBot="1">
      <c r="A3" s="684" t="s">
        <v>0</v>
      </c>
      <c r="B3" s="686" t="s">
        <v>432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712"/>
      <c r="N3" s="71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22" t="s">
        <v>8</v>
      </c>
      <c r="I6" s="23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 thickTop="1">
      <c r="A7" s="508" t="s">
        <v>10</v>
      </c>
      <c r="B7" s="427">
        <v>0</v>
      </c>
      <c r="C7" s="428">
        <v>0</v>
      </c>
      <c r="D7" s="433">
        <f>SUM(B7:C7)</f>
        <v>0</v>
      </c>
      <c r="E7" s="427">
        <v>0</v>
      </c>
      <c r="F7" s="428">
        <v>0</v>
      </c>
      <c r="G7" s="429">
        <f>SUM(E7:F7)</f>
        <v>0</v>
      </c>
      <c r="H7" s="352">
        <f>+G7-D7</f>
        <v>0</v>
      </c>
      <c r="I7" s="36"/>
      <c r="J7" s="427">
        <v>0</v>
      </c>
      <c r="K7" s="428"/>
      <c r="L7" s="429">
        <f>SUM(J7:K7)</f>
        <v>0</v>
      </c>
      <c r="M7" s="445">
        <f>+L7-G7</f>
        <v>0</v>
      </c>
      <c r="N7" s="441"/>
    </row>
    <row r="8" spans="1:14" ht="13.5" customHeight="1">
      <c r="A8" s="509" t="s">
        <v>11</v>
      </c>
      <c r="B8" s="37">
        <v>10107</v>
      </c>
      <c r="C8" s="33">
        <v>218</v>
      </c>
      <c r="D8" s="434">
        <f>SUM(B8:C8)</f>
        <v>10325</v>
      </c>
      <c r="E8" s="37">
        <v>10563</v>
      </c>
      <c r="F8" s="33">
        <v>163</v>
      </c>
      <c r="G8" s="38">
        <f>SUM(E8:F8)</f>
        <v>10726</v>
      </c>
      <c r="H8" s="352">
        <f>+G8-D8</f>
        <v>401</v>
      </c>
      <c r="I8" s="36">
        <f>+G8/D8</f>
        <v>1.0388377723970945</v>
      </c>
      <c r="J8" s="37">
        <v>11029</v>
      </c>
      <c r="K8" s="33"/>
      <c r="L8" s="38">
        <f>SUM(J8:K8)</f>
        <v>11029</v>
      </c>
      <c r="M8" s="352">
        <f>+L8-G8</f>
        <v>303</v>
      </c>
      <c r="N8" s="39">
        <f>+L8/G8</f>
        <v>1.0282491143016967</v>
      </c>
    </row>
    <row r="9" spans="1:14" ht="13.5" customHeight="1">
      <c r="A9" s="509" t="s">
        <v>12</v>
      </c>
      <c r="B9" s="37">
        <v>0</v>
      </c>
      <c r="C9" s="33">
        <v>0</v>
      </c>
      <c r="D9" s="434">
        <f aca="true" t="shared" si="0" ref="D9:D15">SUM(B9:C9)</f>
        <v>0</v>
      </c>
      <c r="E9" s="37">
        <v>0</v>
      </c>
      <c r="F9" s="33">
        <v>0</v>
      </c>
      <c r="G9" s="38">
        <f aca="true" t="shared" si="1" ref="G9:G17">SUM(E9:F9)</f>
        <v>0</v>
      </c>
      <c r="H9" s="352">
        <f aca="true" t="shared" si="2" ref="H9:H37">+G9-D9</f>
        <v>0</v>
      </c>
      <c r="I9" s="36"/>
      <c r="J9" s="37">
        <v>0</v>
      </c>
      <c r="K9" s="33"/>
      <c r="L9" s="38">
        <f aca="true" t="shared" si="3" ref="L9:L17">SUM(J9:K9)</f>
        <v>0</v>
      </c>
      <c r="M9" s="352">
        <f aca="true" t="shared" si="4" ref="M9:M37">+L9-G9</f>
        <v>0</v>
      </c>
      <c r="N9" s="39"/>
    </row>
    <row r="10" spans="1:14" ht="13.5" customHeight="1">
      <c r="A10" s="509" t="s">
        <v>13</v>
      </c>
      <c r="B10" s="37">
        <v>0</v>
      </c>
      <c r="C10" s="33">
        <v>0</v>
      </c>
      <c r="D10" s="434">
        <f t="shared" si="0"/>
        <v>0</v>
      </c>
      <c r="E10" s="37">
        <v>2</v>
      </c>
      <c r="F10" s="33">
        <v>0</v>
      </c>
      <c r="G10" s="38">
        <f t="shared" si="1"/>
        <v>2</v>
      </c>
      <c r="H10" s="352">
        <f t="shared" si="2"/>
        <v>2</v>
      </c>
      <c r="I10" s="36"/>
      <c r="J10" s="37">
        <v>2</v>
      </c>
      <c r="K10" s="33"/>
      <c r="L10" s="38">
        <f t="shared" si="3"/>
        <v>2</v>
      </c>
      <c r="M10" s="352">
        <f t="shared" si="4"/>
        <v>0</v>
      </c>
      <c r="N10" s="39">
        <f aca="true" t="shared" si="5" ref="N10:N37">+L10/G10</f>
        <v>1</v>
      </c>
    </row>
    <row r="11" spans="1:14" ht="13.5" customHeight="1">
      <c r="A11" s="509" t="s">
        <v>14</v>
      </c>
      <c r="B11" s="37">
        <v>191</v>
      </c>
      <c r="C11" s="33">
        <v>0</v>
      </c>
      <c r="D11" s="434">
        <f t="shared" si="0"/>
        <v>191</v>
      </c>
      <c r="E11" s="37">
        <v>128</v>
      </c>
      <c r="F11" s="33">
        <v>0</v>
      </c>
      <c r="G11" s="38">
        <f t="shared" si="1"/>
        <v>128</v>
      </c>
      <c r="H11" s="352">
        <f t="shared" si="2"/>
        <v>-63</v>
      </c>
      <c r="I11" s="36">
        <f aca="true" t="shared" si="6" ref="I11:I37">+G11/D11</f>
        <v>0.6701570680628273</v>
      </c>
      <c r="J11" s="37">
        <v>115</v>
      </c>
      <c r="K11" s="33"/>
      <c r="L11" s="38">
        <f t="shared" si="3"/>
        <v>115</v>
      </c>
      <c r="M11" s="352">
        <f t="shared" si="4"/>
        <v>-13</v>
      </c>
      <c r="N11" s="39">
        <f t="shared" si="5"/>
        <v>0.8984375</v>
      </c>
    </row>
    <row r="12" spans="1:14" ht="13.5" customHeight="1">
      <c r="A12" s="510" t="s">
        <v>15</v>
      </c>
      <c r="B12" s="37">
        <v>80</v>
      </c>
      <c r="C12" s="33">
        <v>0</v>
      </c>
      <c r="D12" s="434">
        <f t="shared" si="0"/>
        <v>80</v>
      </c>
      <c r="E12" s="37">
        <v>12</v>
      </c>
      <c r="F12" s="33">
        <v>0</v>
      </c>
      <c r="G12" s="38">
        <f t="shared" si="1"/>
        <v>12</v>
      </c>
      <c r="H12" s="352">
        <f t="shared" si="2"/>
        <v>-68</v>
      </c>
      <c r="I12" s="36">
        <f t="shared" si="6"/>
        <v>0.15</v>
      </c>
      <c r="J12" s="37">
        <v>0</v>
      </c>
      <c r="K12" s="33"/>
      <c r="L12" s="38">
        <f t="shared" si="3"/>
        <v>0</v>
      </c>
      <c r="M12" s="352">
        <f t="shared" si="4"/>
        <v>-12</v>
      </c>
      <c r="N12" s="39">
        <f t="shared" si="5"/>
        <v>0</v>
      </c>
    </row>
    <row r="13" spans="1:14" ht="13.5" customHeight="1">
      <c r="A13" s="510" t="s">
        <v>16</v>
      </c>
      <c r="B13" s="37">
        <v>0</v>
      </c>
      <c r="C13" s="33">
        <v>0</v>
      </c>
      <c r="D13" s="434">
        <f t="shared" si="0"/>
        <v>0</v>
      </c>
      <c r="E13" s="37">
        <v>0</v>
      </c>
      <c r="F13" s="33">
        <v>0</v>
      </c>
      <c r="G13" s="38">
        <f t="shared" si="1"/>
        <v>0</v>
      </c>
      <c r="H13" s="352">
        <f t="shared" si="2"/>
        <v>0</v>
      </c>
      <c r="I13" s="36"/>
      <c r="J13" s="37">
        <v>0</v>
      </c>
      <c r="K13" s="33"/>
      <c r="L13" s="38">
        <f t="shared" si="3"/>
        <v>0</v>
      </c>
      <c r="M13" s="352">
        <f t="shared" si="4"/>
        <v>0</v>
      </c>
      <c r="N13" s="39"/>
    </row>
    <row r="14" spans="1:14" ht="23.25" customHeight="1">
      <c r="A14" s="510" t="s">
        <v>17</v>
      </c>
      <c r="B14" s="37">
        <v>0</v>
      </c>
      <c r="C14" s="33">
        <v>0</v>
      </c>
      <c r="D14" s="434">
        <f t="shared" si="0"/>
        <v>0</v>
      </c>
      <c r="E14" s="37">
        <v>0</v>
      </c>
      <c r="F14" s="33">
        <v>0</v>
      </c>
      <c r="G14" s="38">
        <f t="shared" si="1"/>
        <v>0</v>
      </c>
      <c r="H14" s="352">
        <f t="shared" si="2"/>
        <v>0</v>
      </c>
      <c r="I14" s="36"/>
      <c r="J14" s="37">
        <v>0</v>
      </c>
      <c r="K14" s="33"/>
      <c r="L14" s="38">
        <f t="shared" si="3"/>
        <v>0</v>
      </c>
      <c r="M14" s="352">
        <f t="shared" si="4"/>
        <v>0</v>
      </c>
      <c r="N14" s="39"/>
    </row>
    <row r="15" spans="1:14" ht="13.5" customHeight="1">
      <c r="A15" s="518" t="s">
        <v>18</v>
      </c>
      <c r="B15" s="37">
        <v>12696</v>
      </c>
      <c r="C15" s="33">
        <v>0</v>
      </c>
      <c r="D15" s="434">
        <f t="shared" si="0"/>
        <v>12696</v>
      </c>
      <c r="E15" s="37">
        <v>14165</v>
      </c>
      <c r="F15" s="33">
        <v>0</v>
      </c>
      <c r="G15" s="38">
        <f t="shared" si="1"/>
        <v>14165</v>
      </c>
      <c r="H15" s="436">
        <f t="shared" si="2"/>
        <v>1469</v>
      </c>
      <c r="I15" s="44">
        <f t="shared" si="6"/>
        <v>1.115705734089477</v>
      </c>
      <c r="J15" s="57">
        <f>SUM(J16:J17)</f>
        <v>14724</v>
      </c>
      <c r="K15" s="33"/>
      <c r="L15" s="38">
        <f t="shared" si="3"/>
        <v>14724</v>
      </c>
      <c r="M15" s="446">
        <f t="shared" si="4"/>
        <v>559</v>
      </c>
      <c r="N15" s="39">
        <f t="shared" si="5"/>
        <v>1.0394634662901518</v>
      </c>
    </row>
    <row r="16" spans="1:14" ht="13.5" customHeight="1">
      <c r="A16" s="511" t="s">
        <v>476</v>
      </c>
      <c r="B16" s="61"/>
      <c r="C16" s="42"/>
      <c r="D16" s="443"/>
      <c r="E16" s="61">
        <v>12717</v>
      </c>
      <c r="F16" s="42"/>
      <c r="G16" s="38">
        <f t="shared" si="1"/>
        <v>12717</v>
      </c>
      <c r="H16" s="436">
        <f t="shared" si="2"/>
        <v>12717</v>
      </c>
      <c r="I16" s="44"/>
      <c r="J16" s="57">
        <f>14139</f>
        <v>14139</v>
      </c>
      <c r="K16" s="33"/>
      <c r="L16" s="38">
        <f t="shared" si="3"/>
        <v>14139</v>
      </c>
      <c r="M16" s="446">
        <f t="shared" si="4"/>
        <v>1422</v>
      </c>
      <c r="N16" s="39">
        <f t="shared" si="5"/>
        <v>1.1118188251946213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1448</v>
      </c>
      <c r="F17" s="431"/>
      <c r="G17" s="38">
        <f t="shared" si="1"/>
        <v>1448</v>
      </c>
      <c r="H17" s="436">
        <f t="shared" si="2"/>
        <v>1448</v>
      </c>
      <c r="I17" s="44"/>
      <c r="J17" s="438">
        <v>585</v>
      </c>
      <c r="K17" s="431"/>
      <c r="L17" s="38">
        <f t="shared" si="3"/>
        <v>585</v>
      </c>
      <c r="M17" s="446">
        <f t="shared" si="4"/>
        <v>-863</v>
      </c>
      <c r="N17" s="39">
        <f t="shared" si="5"/>
        <v>0.40400552486187846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22994</v>
      </c>
      <c r="C18" s="425">
        <f t="shared" si="7"/>
        <v>218</v>
      </c>
      <c r="D18" s="426">
        <f t="shared" si="7"/>
        <v>23212</v>
      </c>
      <c r="E18" s="424">
        <f t="shared" si="7"/>
        <v>24858</v>
      </c>
      <c r="F18" s="425">
        <f t="shared" si="7"/>
        <v>163</v>
      </c>
      <c r="G18" s="426">
        <f t="shared" si="7"/>
        <v>25021</v>
      </c>
      <c r="H18" s="50">
        <f t="shared" si="2"/>
        <v>1809</v>
      </c>
      <c r="I18" s="51">
        <f t="shared" si="6"/>
        <v>1.077933827330691</v>
      </c>
      <c r="J18" s="437">
        <f>SUM(J7+J8+J9+J10+J11+J13+J15)</f>
        <v>25870</v>
      </c>
      <c r="K18" s="425">
        <f>SUM(K7+K8+K9+K10+K11+K13+K15)</f>
        <v>0</v>
      </c>
      <c r="L18" s="426">
        <f>SUM(L7+L8+L9+L10+L11+L13+L15)</f>
        <v>25870</v>
      </c>
      <c r="M18" s="369">
        <f t="shared" si="4"/>
        <v>849</v>
      </c>
      <c r="N18" s="370">
        <f t="shared" si="5"/>
        <v>1.0339314975420646</v>
      </c>
    </row>
    <row r="19" spans="1:14" ht="13.5" customHeight="1">
      <c r="A19" s="54" t="s">
        <v>20</v>
      </c>
      <c r="B19" s="25">
        <v>4607</v>
      </c>
      <c r="C19" s="26">
        <v>127</v>
      </c>
      <c r="D19" s="34">
        <f aca="true" t="shared" si="8" ref="D19:D36">SUM(B19:C19)</f>
        <v>4734</v>
      </c>
      <c r="E19" s="25">
        <v>4006</v>
      </c>
      <c r="F19" s="26">
        <v>94</v>
      </c>
      <c r="G19" s="27">
        <f>SUM(E19:F19)</f>
        <v>4100</v>
      </c>
      <c r="H19" s="28">
        <f t="shared" si="2"/>
        <v>-634</v>
      </c>
      <c r="I19" s="55">
        <f t="shared" si="6"/>
        <v>0.8660752006759611</v>
      </c>
      <c r="J19" s="29">
        <v>3796</v>
      </c>
      <c r="K19" s="26"/>
      <c r="L19" s="30">
        <f>SUM(J19:K19)</f>
        <v>3796</v>
      </c>
      <c r="M19" s="28">
        <f t="shared" si="4"/>
        <v>-304</v>
      </c>
      <c r="N19" s="56">
        <f t="shared" si="5"/>
        <v>0.9258536585365854</v>
      </c>
    </row>
    <row r="20" spans="1:14" ht="21" customHeight="1">
      <c r="A20" s="40" t="s">
        <v>21</v>
      </c>
      <c r="B20" s="25">
        <v>824</v>
      </c>
      <c r="C20" s="26">
        <v>0</v>
      </c>
      <c r="D20" s="34">
        <f t="shared" si="8"/>
        <v>824</v>
      </c>
      <c r="E20" s="25">
        <v>205</v>
      </c>
      <c r="F20" s="26">
        <v>0</v>
      </c>
      <c r="G20" s="27">
        <f aca="true" t="shared" si="9" ref="G20:G36">SUM(E20:F20)</f>
        <v>205</v>
      </c>
      <c r="H20" s="35">
        <f t="shared" si="2"/>
        <v>-619</v>
      </c>
      <c r="I20" s="36">
        <f t="shared" si="6"/>
        <v>0.2487864077669903</v>
      </c>
      <c r="J20" s="29">
        <v>150</v>
      </c>
      <c r="K20" s="26"/>
      <c r="L20" s="30">
        <f aca="true" t="shared" si="10" ref="L20:L36">SUM(J20:K20)</f>
        <v>150</v>
      </c>
      <c r="M20" s="35">
        <f t="shared" si="4"/>
        <v>-55</v>
      </c>
      <c r="N20" s="39">
        <f t="shared" si="5"/>
        <v>0.7317073170731707</v>
      </c>
    </row>
    <row r="21" spans="1:14" ht="13.5" customHeight="1">
      <c r="A21" s="31" t="s">
        <v>22</v>
      </c>
      <c r="B21" s="32">
        <v>2011</v>
      </c>
      <c r="C21" s="33">
        <v>11</v>
      </c>
      <c r="D21" s="34">
        <f t="shared" si="8"/>
        <v>2022</v>
      </c>
      <c r="E21" s="32">
        <v>1847</v>
      </c>
      <c r="F21" s="33">
        <v>8</v>
      </c>
      <c r="G21" s="27">
        <f t="shared" si="9"/>
        <v>1855</v>
      </c>
      <c r="H21" s="35">
        <f t="shared" si="2"/>
        <v>-167</v>
      </c>
      <c r="I21" s="36">
        <f t="shared" si="6"/>
        <v>0.917408506429278</v>
      </c>
      <c r="J21" s="37">
        <v>2010</v>
      </c>
      <c r="K21" s="33"/>
      <c r="L21" s="30">
        <f t="shared" si="10"/>
        <v>2010</v>
      </c>
      <c r="M21" s="35">
        <f t="shared" si="4"/>
        <v>155</v>
      </c>
      <c r="N21" s="39">
        <f t="shared" si="5"/>
        <v>1.0835579514824798</v>
      </c>
    </row>
    <row r="22" spans="1:14" ht="13.5" customHeight="1">
      <c r="A22" s="40" t="s">
        <v>23</v>
      </c>
      <c r="B22" s="32">
        <v>0</v>
      </c>
      <c r="C22" s="33">
        <v>0</v>
      </c>
      <c r="D22" s="34">
        <f t="shared" si="8"/>
        <v>0</v>
      </c>
      <c r="E22" s="32">
        <v>0</v>
      </c>
      <c r="F22" s="33">
        <v>0</v>
      </c>
      <c r="G22" s="27">
        <f t="shared" si="9"/>
        <v>0</v>
      </c>
      <c r="H22" s="35">
        <f t="shared" si="2"/>
        <v>0</v>
      </c>
      <c r="I22" s="36"/>
      <c r="J22" s="37">
        <v>0</v>
      </c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>
        <v>0</v>
      </c>
      <c r="C23" s="33">
        <v>0</v>
      </c>
      <c r="D23" s="34">
        <f t="shared" si="8"/>
        <v>0</v>
      </c>
      <c r="E23" s="32">
        <v>0</v>
      </c>
      <c r="F23" s="33">
        <v>0</v>
      </c>
      <c r="G23" s="27">
        <f t="shared" si="9"/>
        <v>0</v>
      </c>
      <c r="H23" s="35">
        <f t="shared" si="2"/>
        <v>0</v>
      </c>
      <c r="I23" s="36"/>
      <c r="J23" s="37">
        <v>0</v>
      </c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1708</v>
      </c>
      <c r="C24" s="33">
        <v>2</v>
      </c>
      <c r="D24" s="34">
        <f t="shared" si="8"/>
        <v>1710</v>
      </c>
      <c r="E24" s="37">
        <v>1263</v>
      </c>
      <c r="F24" s="33">
        <v>2</v>
      </c>
      <c r="G24" s="27">
        <f t="shared" si="9"/>
        <v>1265</v>
      </c>
      <c r="H24" s="35">
        <f t="shared" si="2"/>
        <v>-445</v>
      </c>
      <c r="I24" s="36">
        <f t="shared" si="6"/>
        <v>0.7397660818713451</v>
      </c>
      <c r="J24" s="37">
        <v>1341</v>
      </c>
      <c r="K24" s="33"/>
      <c r="L24" s="30">
        <f t="shared" si="10"/>
        <v>1341</v>
      </c>
      <c r="M24" s="35">
        <f t="shared" si="4"/>
        <v>76</v>
      </c>
      <c r="N24" s="39">
        <f t="shared" si="5"/>
        <v>1.0600790513833993</v>
      </c>
    </row>
    <row r="25" spans="1:14" ht="13.5" customHeight="1">
      <c r="A25" s="40" t="s">
        <v>26</v>
      </c>
      <c r="B25" s="32">
        <v>839</v>
      </c>
      <c r="C25" s="33">
        <v>2</v>
      </c>
      <c r="D25" s="34">
        <f t="shared" si="8"/>
        <v>841</v>
      </c>
      <c r="E25" s="32">
        <v>262</v>
      </c>
      <c r="F25" s="33">
        <v>2</v>
      </c>
      <c r="G25" s="27">
        <f t="shared" si="9"/>
        <v>264</v>
      </c>
      <c r="H25" s="35">
        <f t="shared" si="2"/>
        <v>-577</v>
      </c>
      <c r="I25" s="36">
        <f t="shared" si="6"/>
        <v>0.31391200951248516</v>
      </c>
      <c r="J25" s="57">
        <v>341</v>
      </c>
      <c r="K25" s="33"/>
      <c r="L25" s="30">
        <f t="shared" si="10"/>
        <v>341</v>
      </c>
      <c r="M25" s="35">
        <f t="shared" si="4"/>
        <v>77</v>
      </c>
      <c r="N25" s="39">
        <f t="shared" si="5"/>
        <v>1.2916666666666667</v>
      </c>
    </row>
    <row r="26" spans="1:14" ht="13.5" customHeight="1">
      <c r="A26" s="31" t="s">
        <v>27</v>
      </c>
      <c r="B26" s="32">
        <v>869</v>
      </c>
      <c r="C26" s="33">
        <v>0</v>
      </c>
      <c r="D26" s="34">
        <f t="shared" si="8"/>
        <v>869</v>
      </c>
      <c r="E26" s="32">
        <v>1001</v>
      </c>
      <c r="F26" s="33">
        <v>0</v>
      </c>
      <c r="G26" s="27">
        <f t="shared" si="9"/>
        <v>1001</v>
      </c>
      <c r="H26" s="35">
        <f t="shared" si="2"/>
        <v>132</v>
      </c>
      <c r="I26" s="36">
        <f t="shared" si="6"/>
        <v>1.1518987341772151</v>
      </c>
      <c r="J26" s="57">
        <v>1000</v>
      </c>
      <c r="K26" s="33"/>
      <c r="L26" s="30">
        <f t="shared" si="10"/>
        <v>1000</v>
      </c>
      <c r="M26" s="35">
        <f t="shared" si="4"/>
        <v>-1</v>
      </c>
      <c r="N26" s="39">
        <f t="shared" si="5"/>
        <v>0.999000999000999</v>
      </c>
    </row>
    <row r="27" spans="1:14" ht="13.5" customHeight="1">
      <c r="A27" s="58" t="s">
        <v>28</v>
      </c>
      <c r="B27" s="37">
        <v>13676</v>
      </c>
      <c r="C27" s="33">
        <v>48</v>
      </c>
      <c r="D27" s="34">
        <f t="shared" si="8"/>
        <v>13724</v>
      </c>
      <c r="E27" s="37">
        <v>16507</v>
      </c>
      <c r="F27" s="33">
        <v>35</v>
      </c>
      <c r="G27" s="27">
        <f t="shared" si="9"/>
        <v>16542</v>
      </c>
      <c r="H27" s="35">
        <f t="shared" si="2"/>
        <v>2818</v>
      </c>
      <c r="I27" s="36">
        <f t="shared" si="6"/>
        <v>1.2053337219469542</v>
      </c>
      <c r="J27" s="37">
        <f>J28+J31</f>
        <v>17628</v>
      </c>
      <c r="K27" s="33"/>
      <c r="L27" s="30">
        <f t="shared" si="10"/>
        <v>17628</v>
      </c>
      <c r="M27" s="35">
        <f t="shared" si="4"/>
        <v>1086</v>
      </c>
      <c r="N27" s="39">
        <f t="shared" si="5"/>
        <v>1.065651070003627</v>
      </c>
    </row>
    <row r="28" spans="1:14" ht="13.5" customHeight="1">
      <c r="A28" s="40" t="s">
        <v>29</v>
      </c>
      <c r="B28" s="32">
        <v>9970</v>
      </c>
      <c r="C28" s="33">
        <v>35</v>
      </c>
      <c r="D28" s="34">
        <f t="shared" si="8"/>
        <v>10005</v>
      </c>
      <c r="E28" s="32">
        <v>11967</v>
      </c>
      <c r="F28" s="33">
        <v>26</v>
      </c>
      <c r="G28" s="27">
        <f t="shared" si="9"/>
        <v>11993</v>
      </c>
      <c r="H28" s="35">
        <f t="shared" si="2"/>
        <v>1988</v>
      </c>
      <c r="I28" s="36">
        <f t="shared" si="6"/>
        <v>1.1987006496751624</v>
      </c>
      <c r="J28" s="57">
        <f>J29+J30</f>
        <v>12867</v>
      </c>
      <c r="K28" s="59"/>
      <c r="L28" s="30">
        <f t="shared" si="10"/>
        <v>12867</v>
      </c>
      <c r="M28" s="35">
        <f t="shared" si="4"/>
        <v>874</v>
      </c>
      <c r="N28" s="39">
        <f t="shared" si="5"/>
        <v>1.0728758442424748</v>
      </c>
    </row>
    <row r="29" spans="1:14" ht="13.5" customHeight="1">
      <c r="A29" s="58" t="s">
        <v>30</v>
      </c>
      <c r="B29" s="32">
        <v>9879</v>
      </c>
      <c r="C29" s="33">
        <v>35</v>
      </c>
      <c r="D29" s="34">
        <f t="shared" si="8"/>
        <v>9914</v>
      </c>
      <c r="E29" s="32">
        <v>11900</v>
      </c>
      <c r="F29" s="33">
        <v>26</v>
      </c>
      <c r="G29" s="27">
        <f t="shared" si="9"/>
        <v>11926</v>
      </c>
      <c r="H29" s="35">
        <f t="shared" si="2"/>
        <v>2012</v>
      </c>
      <c r="I29" s="36">
        <f t="shared" si="6"/>
        <v>1.2029453298365946</v>
      </c>
      <c r="J29" s="37">
        <f>12360+427</f>
        <v>12787</v>
      </c>
      <c r="K29" s="33"/>
      <c r="L29" s="30">
        <f t="shared" si="10"/>
        <v>12787</v>
      </c>
      <c r="M29" s="35">
        <f t="shared" si="4"/>
        <v>861</v>
      </c>
      <c r="N29" s="39">
        <f t="shared" si="5"/>
        <v>1.0721952037564983</v>
      </c>
    </row>
    <row r="30" spans="1:14" ht="13.5" customHeight="1">
      <c r="A30" s="40" t="s">
        <v>31</v>
      </c>
      <c r="B30" s="32">
        <v>91</v>
      </c>
      <c r="C30" s="33">
        <v>0</v>
      </c>
      <c r="D30" s="34">
        <f t="shared" si="8"/>
        <v>91</v>
      </c>
      <c r="E30" s="32">
        <v>67</v>
      </c>
      <c r="F30" s="33">
        <v>0</v>
      </c>
      <c r="G30" s="27">
        <f t="shared" si="9"/>
        <v>67</v>
      </c>
      <c r="H30" s="35">
        <f t="shared" si="2"/>
        <v>-24</v>
      </c>
      <c r="I30" s="36">
        <f t="shared" si="6"/>
        <v>0.7362637362637363</v>
      </c>
      <c r="J30" s="37">
        <v>80</v>
      </c>
      <c r="K30" s="33"/>
      <c r="L30" s="30">
        <f t="shared" si="10"/>
        <v>80</v>
      </c>
      <c r="M30" s="35">
        <f t="shared" si="4"/>
        <v>13</v>
      </c>
      <c r="N30" s="39">
        <f t="shared" si="5"/>
        <v>1.1940298507462686</v>
      </c>
    </row>
    <row r="31" spans="1:14" ht="13.5" customHeight="1">
      <c r="A31" s="40" t="s">
        <v>32</v>
      </c>
      <c r="B31" s="32">
        <v>3706</v>
      </c>
      <c r="C31" s="33">
        <v>13</v>
      </c>
      <c r="D31" s="34">
        <f t="shared" si="8"/>
        <v>3719</v>
      </c>
      <c r="E31" s="32">
        <v>4540</v>
      </c>
      <c r="F31" s="33">
        <v>9</v>
      </c>
      <c r="G31" s="27">
        <f t="shared" si="9"/>
        <v>4549</v>
      </c>
      <c r="H31" s="35">
        <f t="shared" si="2"/>
        <v>830</v>
      </c>
      <c r="I31" s="36">
        <f t="shared" si="6"/>
        <v>1.2231782737294972</v>
      </c>
      <c r="J31" s="37">
        <f>4603+158</f>
        <v>4761</v>
      </c>
      <c r="K31" s="33"/>
      <c r="L31" s="30">
        <f t="shared" si="10"/>
        <v>4761</v>
      </c>
      <c r="M31" s="35">
        <f t="shared" si="4"/>
        <v>212</v>
      </c>
      <c r="N31" s="39">
        <f t="shared" si="5"/>
        <v>1.04660364915366</v>
      </c>
    </row>
    <row r="32" spans="1:14" ht="13.5" customHeight="1">
      <c r="A32" s="58" t="s">
        <v>33</v>
      </c>
      <c r="B32" s="32">
        <v>0</v>
      </c>
      <c r="C32" s="33">
        <v>0</v>
      </c>
      <c r="D32" s="34">
        <f t="shared" si="8"/>
        <v>0</v>
      </c>
      <c r="E32" s="32">
        <v>0</v>
      </c>
      <c r="F32" s="33">
        <v>0</v>
      </c>
      <c r="G32" s="27">
        <f t="shared" si="9"/>
        <v>0</v>
      </c>
      <c r="H32" s="35">
        <f t="shared" si="2"/>
        <v>0</v>
      </c>
      <c r="I32" s="36"/>
      <c r="J32" s="37">
        <v>0</v>
      </c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125</v>
      </c>
      <c r="C33" s="33">
        <v>0</v>
      </c>
      <c r="D33" s="34">
        <f t="shared" si="8"/>
        <v>125</v>
      </c>
      <c r="E33" s="32">
        <v>142</v>
      </c>
      <c r="F33" s="33">
        <v>0</v>
      </c>
      <c r="G33" s="27">
        <f t="shared" si="9"/>
        <v>142</v>
      </c>
      <c r="H33" s="35">
        <f t="shared" si="2"/>
        <v>17</v>
      </c>
      <c r="I33" s="36">
        <f t="shared" si="6"/>
        <v>1.136</v>
      </c>
      <c r="J33" s="37">
        <v>145</v>
      </c>
      <c r="K33" s="33"/>
      <c r="L33" s="30">
        <f t="shared" si="10"/>
        <v>145</v>
      </c>
      <c r="M33" s="35">
        <f t="shared" si="4"/>
        <v>3</v>
      </c>
      <c r="N33" s="39">
        <f t="shared" si="5"/>
        <v>1.0211267605633803</v>
      </c>
    </row>
    <row r="34" spans="1:14" ht="13.5" customHeight="1">
      <c r="A34" s="40" t="s">
        <v>35</v>
      </c>
      <c r="B34" s="32">
        <v>883</v>
      </c>
      <c r="C34" s="33">
        <v>1</v>
      </c>
      <c r="D34" s="34">
        <f t="shared" si="8"/>
        <v>884</v>
      </c>
      <c r="E34" s="32">
        <v>910</v>
      </c>
      <c r="F34" s="33">
        <v>1</v>
      </c>
      <c r="G34" s="27">
        <f t="shared" si="9"/>
        <v>911</v>
      </c>
      <c r="H34" s="35">
        <f t="shared" si="2"/>
        <v>27</v>
      </c>
      <c r="I34" s="36">
        <f t="shared" si="6"/>
        <v>1.0305429864253393</v>
      </c>
      <c r="J34" s="57">
        <v>950</v>
      </c>
      <c r="K34" s="33"/>
      <c r="L34" s="30">
        <f t="shared" si="10"/>
        <v>950</v>
      </c>
      <c r="M34" s="35">
        <f t="shared" si="4"/>
        <v>39</v>
      </c>
      <c r="N34" s="39">
        <f t="shared" si="5"/>
        <v>1.0428100987925357</v>
      </c>
    </row>
    <row r="35" spans="1:14" ht="22.5" customHeight="1">
      <c r="A35" s="40" t="s">
        <v>36</v>
      </c>
      <c r="B35" s="32">
        <v>883</v>
      </c>
      <c r="C35" s="33">
        <v>1</v>
      </c>
      <c r="D35" s="34">
        <f t="shared" si="8"/>
        <v>884</v>
      </c>
      <c r="E35" s="32">
        <v>910</v>
      </c>
      <c r="F35" s="33">
        <v>1</v>
      </c>
      <c r="G35" s="27">
        <f t="shared" si="9"/>
        <v>911</v>
      </c>
      <c r="H35" s="35">
        <f t="shared" si="2"/>
        <v>27</v>
      </c>
      <c r="I35" s="36">
        <f t="shared" si="6"/>
        <v>1.0305429864253393</v>
      </c>
      <c r="J35" s="57">
        <v>950</v>
      </c>
      <c r="K35" s="33"/>
      <c r="L35" s="30">
        <f t="shared" si="10"/>
        <v>950</v>
      </c>
      <c r="M35" s="35">
        <f t="shared" si="4"/>
        <v>39</v>
      </c>
      <c r="N35" s="39">
        <f t="shared" si="5"/>
        <v>1.0428100987925357</v>
      </c>
    </row>
    <row r="36" spans="1:14" ht="13.5" customHeight="1" thickBot="1">
      <c r="A36" s="60" t="s">
        <v>37</v>
      </c>
      <c r="B36" s="41">
        <v>0</v>
      </c>
      <c r="C36" s="42">
        <v>0</v>
      </c>
      <c r="D36" s="34">
        <f t="shared" si="8"/>
        <v>0</v>
      </c>
      <c r="E36" s="41">
        <v>0</v>
      </c>
      <c r="F36" s="42">
        <v>0</v>
      </c>
      <c r="G36" s="27">
        <f t="shared" si="9"/>
        <v>0</v>
      </c>
      <c r="H36" s="43">
        <f t="shared" si="2"/>
        <v>0</v>
      </c>
      <c r="I36" s="44"/>
      <c r="J36" s="61">
        <v>0</v>
      </c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23010</v>
      </c>
      <c r="C37" s="48">
        <f t="shared" si="11"/>
        <v>189</v>
      </c>
      <c r="D37" s="49">
        <f t="shared" si="11"/>
        <v>23199</v>
      </c>
      <c r="E37" s="47">
        <f t="shared" si="11"/>
        <v>24675</v>
      </c>
      <c r="F37" s="48">
        <f t="shared" si="11"/>
        <v>140</v>
      </c>
      <c r="G37" s="49">
        <f t="shared" si="11"/>
        <v>24815</v>
      </c>
      <c r="H37" s="50">
        <f t="shared" si="2"/>
        <v>1616</v>
      </c>
      <c r="I37" s="51">
        <f t="shared" si="6"/>
        <v>1.0696581749213327</v>
      </c>
      <c r="J37" s="52">
        <f>SUM(J19+J21+J22+J23+J24+J27+J32+J33+J34+J36)</f>
        <v>25870</v>
      </c>
      <c r="K37" s="48">
        <f>SUM(K19+K21+K22+K23+K24+K27+K32+K33+K34+K36)</f>
        <v>0</v>
      </c>
      <c r="L37" s="49">
        <f>SUM(L19+L21+L22+L23+L24+L27+L32+L33+L34+L36)</f>
        <v>25870</v>
      </c>
      <c r="M37" s="50">
        <f t="shared" si="4"/>
        <v>1055</v>
      </c>
      <c r="N37" s="53">
        <f t="shared" si="5"/>
        <v>1.0425146080999395</v>
      </c>
    </row>
    <row r="38" spans="1:14" ht="13.5" customHeight="1" thickBot="1">
      <c r="A38" s="46" t="s">
        <v>39</v>
      </c>
      <c r="B38" s="680">
        <f>+D18-D37</f>
        <v>13</v>
      </c>
      <c r="C38" s="681"/>
      <c r="D38" s="682"/>
      <c r="E38" s="680">
        <f>+G18-G37</f>
        <v>206</v>
      </c>
      <c r="F38" s="681"/>
      <c r="G38" s="682">
        <v>-50784</v>
      </c>
      <c r="H38" s="62">
        <f>+E38-B38</f>
        <v>193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221</v>
      </c>
      <c r="B43" s="683"/>
      <c r="C43" s="66">
        <v>300</v>
      </c>
      <c r="D43" s="679" t="s">
        <v>105</v>
      </c>
      <c r="E43" s="657"/>
      <c r="F43" s="657"/>
      <c r="G43" s="67">
        <v>281</v>
      </c>
      <c r="H43" s="658" t="s">
        <v>222</v>
      </c>
      <c r="I43" s="659"/>
      <c r="J43" s="659"/>
      <c r="K43" s="659"/>
      <c r="L43" s="68">
        <v>600</v>
      </c>
      <c r="O43"/>
      <c r="P43"/>
    </row>
    <row r="44" spans="1:16" ht="12.75">
      <c r="A44" s="639" t="s">
        <v>223</v>
      </c>
      <c r="B44" s="646"/>
      <c r="C44" s="69">
        <v>86</v>
      </c>
      <c r="D44" s="679" t="s">
        <v>224</v>
      </c>
      <c r="E44" s="657"/>
      <c r="F44" s="657"/>
      <c r="G44" s="70">
        <v>490</v>
      </c>
      <c r="H44" s="643" t="s">
        <v>103</v>
      </c>
      <c r="I44" s="644"/>
      <c r="J44" s="644"/>
      <c r="K44" s="645"/>
      <c r="L44" s="68">
        <v>334</v>
      </c>
      <c r="O44"/>
      <c r="P44"/>
    </row>
    <row r="45" spans="1:16" ht="12.75">
      <c r="A45" s="639" t="s">
        <v>103</v>
      </c>
      <c r="B45" s="646"/>
      <c r="C45" s="69">
        <v>324</v>
      </c>
      <c r="D45" s="679" t="s">
        <v>103</v>
      </c>
      <c r="E45" s="657"/>
      <c r="F45" s="657"/>
      <c r="G45" s="70">
        <v>303</v>
      </c>
      <c r="H45" s="658"/>
      <c r="I45" s="659"/>
      <c r="J45" s="659"/>
      <c r="K45" s="659"/>
      <c r="L45" s="68"/>
      <c r="O45"/>
      <c r="P45"/>
    </row>
    <row r="46" spans="1:16" ht="12.75">
      <c r="A46" s="647"/>
      <c r="B46" s="674"/>
      <c r="C46" s="71"/>
      <c r="D46" s="647"/>
      <c r="E46" s="648"/>
      <c r="F46" s="674"/>
      <c r="G46" s="72"/>
      <c r="H46" s="658"/>
      <c r="I46" s="659"/>
      <c r="J46" s="659"/>
      <c r="K46" s="659"/>
      <c r="L46" s="68"/>
      <c r="O46"/>
      <c r="P46"/>
    </row>
    <row r="47" spans="1:16" ht="12.75">
      <c r="A47" s="647"/>
      <c r="B47" s="674"/>
      <c r="C47" s="71"/>
      <c r="D47" s="647"/>
      <c r="E47" s="648"/>
      <c r="F47" s="674"/>
      <c r="G47" s="72"/>
      <c r="H47" s="643"/>
      <c r="I47" s="644"/>
      <c r="J47" s="644"/>
      <c r="K47" s="645"/>
      <c r="L47" s="68"/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/>
      <c r="I48" s="644"/>
      <c r="J48" s="644"/>
      <c r="K48" s="645"/>
      <c r="L48" s="68"/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/>
      <c r="B50" s="635"/>
      <c r="C50" s="73">
        <f>SUM(C43:C49)</f>
        <v>710</v>
      </c>
      <c r="D50" s="660" t="s">
        <v>5</v>
      </c>
      <c r="E50" s="661"/>
      <c r="F50" s="661"/>
      <c r="G50" s="73">
        <f>SUM(G43:G44)</f>
        <v>771</v>
      </c>
      <c r="H50" s="637" t="s">
        <v>5</v>
      </c>
      <c r="I50" s="638"/>
      <c r="J50" s="638"/>
      <c r="K50" s="638"/>
      <c r="L50" s="73">
        <f>SUM(L43:L44)</f>
        <v>934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730"/>
      <c r="I53" s="731"/>
      <c r="J53" s="731"/>
      <c r="K53" s="732"/>
      <c r="L53" s="733"/>
      <c r="O53"/>
      <c r="P53"/>
    </row>
    <row r="54" spans="1:16" ht="12.75">
      <c r="A54" s="654" t="s">
        <v>225</v>
      </c>
      <c r="B54" s="655"/>
      <c r="C54" s="66">
        <v>400</v>
      </c>
      <c r="D54" s="656" t="s">
        <v>226</v>
      </c>
      <c r="E54" s="657"/>
      <c r="F54" s="657"/>
      <c r="G54" s="76">
        <v>89</v>
      </c>
      <c r="H54" s="746" t="s">
        <v>486</v>
      </c>
      <c r="I54" s="747"/>
      <c r="J54" s="747"/>
      <c r="K54" s="748"/>
      <c r="L54" s="449">
        <v>40</v>
      </c>
      <c r="O54"/>
      <c r="P54"/>
    </row>
    <row r="55" spans="1:16" ht="13.5" customHeight="1">
      <c r="A55" s="639" t="s">
        <v>227</v>
      </c>
      <c r="B55" s="649"/>
      <c r="C55" s="69">
        <v>30</v>
      </c>
      <c r="D55" s="642" t="s">
        <v>228</v>
      </c>
      <c r="E55" s="646"/>
      <c r="F55" s="646"/>
      <c r="G55" s="77">
        <v>29</v>
      </c>
      <c r="H55" s="639" t="s">
        <v>118</v>
      </c>
      <c r="I55" s="646"/>
      <c r="J55" s="646"/>
      <c r="K55" s="640"/>
      <c r="L55" s="450">
        <v>50</v>
      </c>
      <c r="O55"/>
      <c r="P55"/>
    </row>
    <row r="56" spans="1:16" ht="13.5" customHeight="1">
      <c r="A56" s="639" t="s">
        <v>229</v>
      </c>
      <c r="B56" s="640"/>
      <c r="C56" s="69">
        <v>14</v>
      </c>
      <c r="D56" s="642" t="s">
        <v>167</v>
      </c>
      <c r="E56" s="646"/>
      <c r="F56" s="646"/>
      <c r="G56" s="77">
        <v>144</v>
      </c>
      <c r="H56" s="639" t="s">
        <v>487</v>
      </c>
      <c r="I56" s="646"/>
      <c r="J56" s="646"/>
      <c r="K56" s="640"/>
      <c r="L56" s="450">
        <v>50</v>
      </c>
      <c r="O56"/>
      <c r="P56"/>
    </row>
    <row r="57" spans="1:16" ht="13.5" customHeight="1">
      <c r="A57" s="639" t="s">
        <v>156</v>
      </c>
      <c r="B57" s="640"/>
      <c r="C57" s="69">
        <v>52</v>
      </c>
      <c r="D57" s="642"/>
      <c r="E57" s="646"/>
      <c r="F57" s="646"/>
      <c r="G57" s="77"/>
      <c r="H57" s="639" t="s">
        <v>488</v>
      </c>
      <c r="I57" s="646"/>
      <c r="J57" s="646"/>
      <c r="K57" s="640"/>
      <c r="L57" s="450">
        <v>40</v>
      </c>
      <c r="O57"/>
      <c r="P57"/>
    </row>
    <row r="58" spans="1:16" ht="13.5" customHeight="1">
      <c r="A58" s="647" t="s">
        <v>230</v>
      </c>
      <c r="B58" s="648"/>
      <c r="C58" s="71">
        <v>100</v>
      </c>
      <c r="D58" s="641"/>
      <c r="E58" s="641"/>
      <c r="F58" s="642"/>
      <c r="G58" s="178"/>
      <c r="H58" s="639" t="s">
        <v>489</v>
      </c>
      <c r="I58" s="646"/>
      <c r="J58" s="646"/>
      <c r="K58" s="640"/>
      <c r="L58" s="450">
        <v>60</v>
      </c>
      <c r="O58"/>
      <c r="P58"/>
    </row>
    <row r="59" spans="1:16" ht="13.5" customHeight="1">
      <c r="A59" s="639" t="s">
        <v>231</v>
      </c>
      <c r="B59" s="640"/>
      <c r="C59" s="71">
        <v>52</v>
      </c>
      <c r="D59" s="641"/>
      <c r="E59" s="641"/>
      <c r="F59" s="642"/>
      <c r="G59" s="178"/>
      <c r="H59" s="639" t="s">
        <v>156</v>
      </c>
      <c r="I59" s="646"/>
      <c r="J59" s="646"/>
      <c r="K59" s="640"/>
      <c r="L59" s="450">
        <v>101</v>
      </c>
      <c r="O59"/>
      <c r="P59"/>
    </row>
    <row r="60" spans="1:16" ht="13.5" customHeight="1">
      <c r="A60" s="639" t="s">
        <v>232</v>
      </c>
      <c r="B60" s="640"/>
      <c r="C60" s="69">
        <v>88</v>
      </c>
      <c r="D60" s="642"/>
      <c r="E60" s="646"/>
      <c r="F60" s="646"/>
      <c r="G60" s="77"/>
      <c r="H60" s="650"/>
      <c r="I60" s="651"/>
      <c r="J60" s="651"/>
      <c r="K60" s="745"/>
      <c r="L60" s="450"/>
      <c r="O60"/>
      <c r="P60"/>
    </row>
    <row r="61" spans="1:16" ht="13.5" thickBot="1">
      <c r="A61" s="627" t="s">
        <v>140</v>
      </c>
      <c r="B61" s="628"/>
      <c r="C61" s="80">
        <v>105</v>
      </c>
      <c r="D61" s="629"/>
      <c r="E61" s="630"/>
      <c r="F61" s="630"/>
      <c r="G61" s="81"/>
      <c r="H61" s="743"/>
      <c r="I61" s="744"/>
      <c r="J61" s="744"/>
      <c r="K61" s="705"/>
      <c r="L61" s="451"/>
      <c r="O61"/>
      <c r="P61"/>
    </row>
    <row r="62" spans="1:16" ht="13.5" thickBot="1">
      <c r="A62" s="633" t="s">
        <v>5</v>
      </c>
      <c r="B62" s="634"/>
      <c r="C62" s="73">
        <f>SUM(C54:C61)</f>
        <v>841</v>
      </c>
      <c r="D62" s="635" t="s">
        <v>5</v>
      </c>
      <c r="E62" s="636"/>
      <c r="F62" s="636"/>
      <c r="G62" s="83">
        <f>SUM(G54:G61)</f>
        <v>262</v>
      </c>
      <c r="H62" s="737" t="s">
        <v>5</v>
      </c>
      <c r="I62" s="738"/>
      <c r="J62" s="738"/>
      <c r="K62" s="738"/>
      <c r="L62" s="448">
        <f>SUM(L54:L60)</f>
        <v>341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0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108</v>
      </c>
      <c r="I67" s="580" t="s">
        <v>179</v>
      </c>
      <c r="J67" s="582"/>
      <c r="K67" s="582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13</v>
      </c>
      <c r="C68" s="583"/>
      <c r="D68" s="583"/>
      <c r="E68" s="159"/>
      <c r="F68" s="584" t="s">
        <v>177</v>
      </c>
      <c r="G68" s="585"/>
      <c r="H68" s="151">
        <v>165</v>
      </c>
      <c r="I68" s="583"/>
      <c r="J68" s="585"/>
      <c r="K68" s="585"/>
      <c r="L68" s="159"/>
      <c r="M68" s="84"/>
      <c r="N68" s="84"/>
    </row>
    <row r="69" spans="1:14" s="1" customFormat="1" ht="12.75">
      <c r="A69" s="158" t="s">
        <v>175</v>
      </c>
      <c r="B69" s="151">
        <v>95</v>
      </c>
      <c r="C69" s="583"/>
      <c r="D69" s="583"/>
      <c r="E69" s="159"/>
      <c r="F69" s="583" t="s">
        <v>175</v>
      </c>
      <c r="G69" s="583"/>
      <c r="H69" s="151">
        <v>0</v>
      </c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108</v>
      </c>
      <c r="C71" s="589" t="s">
        <v>5</v>
      </c>
      <c r="D71" s="589"/>
      <c r="E71" s="165">
        <f>SUM(E67:E70)</f>
        <v>0</v>
      </c>
      <c r="F71" s="590" t="s">
        <v>5</v>
      </c>
      <c r="G71" s="591"/>
      <c r="H71" s="161">
        <f>SUM(H67:H70)</f>
        <v>273</v>
      </c>
      <c r="I71" s="589" t="s">
        <v>5</v>
      </c>
      <c r="J71" s="591"/>
      <c r="K71" s="591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108</v>
      </c>
      <c r="C72" s="84"/>
      <c r="D72" s="84"/>
      <c r="E72" s="84"/>
      <c r="F72" s="592" t="s">
        <v>534</v>
      </c>
      <c r="G72" s="593"/>
      <c r="H72" s="183">
        <f>H71-L71</f>
        <v>273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3.5" thickBot="1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6" ht="12.75">
      <c r="A75" s="601" t="s">
        <v>73</v>
      </c>
      <c r="B75" s="604" t="s">
        <v>74</v>
      </c>
      <c r="C75" s="607" t="s">
        <v>477</v>
      </c>
      <c r="D75" s="608"/>
      <c r="E75" s="608"/>
      <c r="F75" s="608"/>
      <c r="G75" s="608"/>
      <c r="H75" s="608"/>
      <c r="I75" s="609"/>
      <c r="J75" s="610" t="s">
        <v>75</v>
      </c>
      <c r="K75" s="175"/>
      <c r="L75" s="718" t="s">
        <v>48</v>
      </c>
      <c r="M75" s="719"/>
      <c r="N75" s="722">
        <v>2004</v>
      </c>
      <c r="O75" s="724">
        <v>2005</v>
      </c>
      <c r="P75"/>
    </row>
    <row r="76" spans="1:16" ht="13.5" thickBot="1">
      <c r="A76" s="602"/>
      <c r="B76" s="605"/>
      <c r="C76" s="596" t="s">
        <v>76</v>
      </c>
      <c r="D76" s="598" t="s">
        <v>77</v>
      </c>
      <c r="E76" s="599"/>
      <c r="F76" s="599"/>
      <c r="G76" s="599"/>
      <c r="H76" s="599"/>
      <c r="I76" s="600"/>
      <c r="J76" s="611"/>
      <c r="K76" s="176"/>
      <c r="L76" s="720"/>
      <c r="M76" s="721"/>
      <c r="N76" s="723"/>
      <c r="O76" s="725"/>
      <c r="P76"/>
    </row>
    <row r="77" spans="1:16" ht="13.5" thickBot="1">
      <c r="A77" s="603"/>
      <c r="B77" s="606"/>
      <c r="C77" s="597"/>
      <c r="D77" s="115">
        <v>1</v>
      </c>
      <c r="E77" s="115">
        <v>2</v>
      </c>
      <c r="F77" s="115">
        <v>3</v>
      </c>
      <c r="G77" s="115">
        <v>4</v>
      </c>
      <c r="H77" s="115">
        <v>5</v>
      </c>
      <c r="I77" s="172">
        <v>6</v>
      </c>
      <c r="J77" s="612"/>
      <c r="K77" s="177"/>
      <c r="L77" s="173" t="s">
        <v>49</v>
      </c>
      <c r="M77" s="174"/>
      <c r="N77" s="166">
        <v>0</v>
      </c>
      <c r="O77" s="167">
        <v>0</v>
      </c>
      <c r="P77"/>
    </row>
    <row r="78" spans="1:16" ht="13.5" thickBot="1">
      <c r="A78" s="116">
        <v>42112</v>
      </c>
      <c r="B78" s="117">
        <v>12709</v>
      </c>
      <c r="C78" s="170">
        <f>SUM(D78:I78)</f>
        <v>950</v>
      </c>
      <c r="D78" s="171">
        <v>18</v>
      </c>
      <c r="E78" s="171">
        <v>582</v>
      </c>
      <c r="F78" s="171">
        <v>4</v>
      </c>
      <c r="G78" s="171">
        <v>346</v>
      </c>
      <c r="H78" s="170">
        <v>0</v>
      </c>
      <c r="I78" s="185">
        <v>0</v>
      </c>
      <c r="J78" s="118">
        <f>SUM(A78-B78-C78)</f>
        <v>28453</v>
      </c>
      <c r="K78" s="177"/>
      <c r="L78" s="726" t="s">
        <v>50</v>
      </c>
      <c r="M78" s="727"/>
      <c r="N78" s="87">
        <v>0</v>
      </c>
      <c r="O78" s="88">
        <v>0</v>
      </c>
      <c r="P78"/>
    </row>
    <row r="79" spans="1:15" s="1" customFormat="1" ht="13.5" thickBot="1">
      <c r="A79" s="85"/>
      <c r="B79" s="86"/>
      <c r="C79" s="86"/>
      <c r="D79" s="86"/>
      <c r="E79" s="2"/>
      <c r="F79" s="4"/>
      <c r="G79" s="4"/>
      <c r="H79" s="85"/>
      <c r="I79" s="86"/>
      <c r="J79" s="86"/>
      <c r="K79" s="86"/>
      <c r="L79" s="728" t="s">
        <v>178</v>
      </c>
      <c r="M79" s="729"/>
      <c r="N79" s="168">
        <v>0</v>
      </c>
      <c r="O79" s="169">
        <v>0</v>
      </c>
    </row>
    <row r="80" spans="1:12" s="1" customFormat="1" ht="13.5" thickBot="1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618" t="s">
        <v>112</v>
      </c>
      <c r="B81" s="620" t="s">
        <v>482</v>
      </c>
      <c r="C81" s="622" t="s">
        <v>480</v>
      </c>
      <c r="D81" s="623"/>
      <c r="E81" s="623"/>
      <c r="F81" s="624"/>
      <c r="G81" s="625" t="s">
        <v>483</v>
      </c>
      <c r="H81" s="613" t="s">
        <v>78</v>
      </c>
      <c r="I81" s="615" t="s">
        <v>481</v>
      </c>
      <c r="J81" s="616"/>
      <c r="K81" s="616"/>
      <c r="L81" s="617"/>
    </row>
    <row r="82" spans="1:12" s="1" customFormat="1" ht="18.75" thickBot="1">
      <c r="A82" s="619"/>
      <c r="B82" s="621"/>
      <c r="C82" s="119" t="s">
        <v>81</v>
      </c>
      <c r="D82" s="120" t="s">
        <v>79</v>
      </c>
      <c r="E82" s="120" t="s">
        <v>80</v>
      </c>
      <c r="F82" s="121" t="s">
        <v>114</v>
      </c>
      <c r="G82" s="626"/>
      <c r="H82" s="614"/>
      <c r="I82" s="455" t="s">
        <v>484</v>
      </c>
      <c r="J82" s="456" t="s">
        <v>79</v>
      </c>
      <c r="K82" s="456" t="s">
        <v>80</v>
      </c>
      <c r="L82" s="457" t="s">
        <v>485</v>
      </c>
    </row>
    <row r="83" spans="1:12" s="1" customFormat="1" ht="12.75">
      <c r="A83" s="122" t="s">
        <v>82</v>
      </c>
      <c r="B83" s="123">
        <v>1346.93</v>
      </c>
      <c r="C83" s="124" t="s">
        <v>83</v>
      </c>
      <c r="D83" s="125" t="s">
        <v>83</v>
      </c>
      <c r="E83" s="125" t="s">
        <v>83</v>
      </c>
      <c r="F83" s="126" t="s">
        <v>83</v>
      </c>
      <c r="G83" s="127">
        <v>2596.66</v>
      </c>
      <c r="H83" s="452" t="s">
        <v>83</v>
      </c>
      <c r="I83" s="458" t="s">
        <v>83</v>
      </c>
      <c r="J83" s="459" t="s">
        <v>83</v>
      </c>
      <c r="K83" s="459" t="s">
        <v>83</v>
      </c>
      <c r="L83" s="460" t="s">
        <v>83</v>
      </c>
    </row>
    <row r="84" spans="1:12" s="1" customFormat="1" ht="12.75">
      <c r="A84" s="128" t="s">
        <v>84</v>
      </c>
      <c r="B84" s="129">
        <v>0</v>
      </c>
      <c r="C84" s="130">
        <v>0</v>
      </c>
      <c r="D84" s="131">
        <v>0</v>
      </c>
      <c r="E84" s="131">
        <v>0</v>
      </c>
      <c r="F84" s="132">
        <v>0</v>
      </c>
      <c r="G84" s="133">
        <v>0</v>
      </c>
      <c r="H84" s="453">
        <f>+G84-F84</f>
        <v>0</v>
      </c>
      <c r="I84" s="130">
        <v>0</v>
      </c>
      <c r="J84" s="131">
        <v>41</v>
      </c>
      <c r="K84" s="131">
        <v>0</v>
      </c>
      <c r="L84" s="132">
        <f>I84+J84-K84</f>
        <v>41</v>
      </c>
    </row>
    <row r="85" spans="1:12" s="1" customFormat="1" ht="12.75">
      <c r="A85" s="128" t="s">
        <v>85</v>
      </c>
      <c r="B85" s="129">
        <v>0</v>
      </c>
      <c r="C85" s="130">
        <v>0</v>
      </c>
      <c r="D85" s="131">
        <v>108</v>
      </c>
      <c r="E85" s="131">
        <v>0</v>
      </c>
      <c r="F85" s="132">
        <v>108</v>
      </c>
      <c r="G85" s="133">
        <v>108.48</v>
      </c>
      <c r="H85" s="453">
        <f>+G85-F85</f>
        <v>0.480000000000004</v>
      </c>
      <c r="I85" s="130">
        <v>108</v>
      </c>
      <c r="J85" s="131">
        <v>165</v>
      </c>
      <c r="K85" s="131">
        <v>0</v>
      </c>
      <c r="L85" s="132">
        <f>I85+J85-K85</f>
        <v>273</v>
      </c>
    </row>
    <row r="86" spans="1:12" s="1" customFormat="1" ht="12.75">
      <c r="A86" s="128" t="s">
        <v>113</v>
      </c>
      <c r="B86" s="129">
        <v>14.72</v>
      </c>
      <c r="C86" s="130">
        <v>505</v>
      </c>
      <c r="D86" s="131">
        <v>911</v>
      </c>
      <c r="E86" s="131">
        <v>1074</v>
      </c>
      <c r="F86" s="132">
        <v>342</v>
      </c>
      <c r="G86" s="133">
        <v>342.18</v>
      </c>
      <c r="H86" s="453">
        <f>+G86-F86</f>
        <v>0.18000000000000682</v>
      </c>
      <c r="I86" s="461">
        <v>342</v>
      </c>
      <c r="J86" s="447">
        <v>950</v>
      </c>
      <c r="K86" s="447">
        <v>934</v>
      </c>
      <c r="L86" s="132">
        <f>I86+J86-K86</f>
        <v>358</v>
      </c>
    </row>
    <row r="87" spans="1:12" s="1" customFormat="1" ht="12.75">
      <c r="A87" s="128" t="s">
        <v>86</v>
      </c>
      <c r="B87" s="129">
        <v>1332.21</v>
      </c>
      <c r="C87" s="146" t="s">
        <v>83</v>
      </c>
      <c r="D87" s="125" t="s">
        <v>83</v>
      </c>
      <c r="E87" s="147" t="s">
        <v>83</v>
      </c>
      <c r="F87" s="148" t="s">
        <v>83</v>
      </c>
      <c r="G87" s="133">
        <v>2146</v>
      </c>
      <c r="H87" s="146" t="s">
        <v>83</v>
      </c>
      <c r="I87" s="124" t="s">
        <v>83</v>
      </c>
      <c r="J87" s="125" t="s">
        <v>83</v>
      </c>
      <c r="K87" s="125" t="s">
        <v>83</v>
      </c>
      <c r="L87" s="462">
        <v>0</v>
      </c>
    </row>
    <row r="88" spans="1:12" s="1" customFormat="1" ht="13.5" thickBot="1">
      <c r="A88" s="134" t="s">
        <v>87</v>
      </c>
      <c r="B88" s="135">
        <v>113.5</v>
      </c>
      <c r="C88" s="136">
        <v>119</v>
      </c>
      <c r="D88" s="137">
        <v>241</v>
      </c>
      <c r="E88" s="137">
        <v>177</v>
      </c>
      <c r="F88" s="138">
        <v>183</v>
      </c>
      <c r="G88" s="139">
        <v>162.96</v>
      </c>
      <c r="H88" s="454">
        <f>+G88-F88</f>
        <v>-20.039999999999992</v>
      </c>
      <c r="I88" s="136">
        <v>183</v>
      </c>
      <c r="J88" s="137">
        <v>255</v>
      </c>
      <c r="K88" s="137">
        <v>323</v>
      </c>
      <c r="L88" s="138">
        <f>I88+J88-K88</f>
        <v>115</v>
      </c>
    </row>
    <row r="89" spans="1:12" s="1" customFormat="1" ht="12.75">
      <c r="A89" s="85"/>
      <c r="B89" s="86"/>
      <c r="C89" s="86"/>
      <c r="D89" s="86"/>
      <c r="E89" s="2"/>
      <c r="F89" s="4"/>
      <c r="G89" s="4"/>
      <c r="H89" s="85"/>
      <c r="I89" s="86"/>
      <c r="J89" s="86"/>
      <c r="K89" s="86"/>
      <c r="L89" s="2"/>
    </row>
    <row r="90" spans="1:12" s="1" customFormat="1" ht="12.75">
      <c r="A90" s="85"/>
      <c r="B90" s="86"/>
      <c r="C90" s="86"/>
      <c r="D90" s="86"/>
      <c r="E90" s="2"/>
      <c r="F90" s="4"/>
      <c r="G90" s="4"/>
      <c r="H90" s="85"/>
      <c r="I90" s="86"/>
      <c r="J90" s="86"/>
      <c r="K90" s="86"/>
      <c r="L90" s="2" t="s">
        <v>120</v>
      </c>
    </row>
    <row r="91" ht="13.5" thickBot="1"/>
    <row r="92" spans="1:12" ht="12.75">
      <c r="A92" s="690" t="s">
        <v>205</v>
      </c>
      <c r="B92" s="666" t="s">
        <v>5</v>
      </c>
      <c r="C92" s="666" t="s">
        <v>88</v>
      </c>
      <c r="D92" s="693"/>
      <c r="E92" s="693"/>
      <c r="F92" s="693"/>
      <c r="G92" s="693"/>
      <c r="H92" s="694"/>
      <c r="I92" s="89"/>
      <c r="J92" s="695" t="s">
        <v>51</v>
      </c>
      <c r="K92" s="663"/>
      <c r="L92" s="696"/>
    </row>
    <row r="93" spans="1:12" ht="13.5" thickBot="1">
      <c r="A93" s="691"/>
      <c r="B93" s="692"/>
      <c r="C93" s="140" t="s">
        <v>89</v>
      </c>
      <c r="D93" s="141" t="s">
        <v>90</v>
      </c>
      <c r="E93" s="141" t="s">
        <v>91</v>
      </c>
      <c r="F93" s="141" t="s">
        <v>92</v>
      </c>
      <c r="G93" s="142" t="s">
        <v>93</v>
      </c>
      <c r="H93" s="143" t="s">
        <v>76</v>
      </c>
      <c r="I93" s="89"/>
      <c r="J93" s="90"/>
      <c r="K93" s="91" t="s">
        <v>52</v>
      </c>
      <c r="L93" s="92" t="s">
        <v>53</v>
      </c>
    </row>
    <row r="94" spans="1:12" ht="12.75">
      <c r="A94" s="144" t="s">
        <v>94</v>
      </c>
      <c r="B94" s="129">
        <v>0</v>
      </c>
      <c r="C94" s="131">
        <v>0</v>
      </c>
      <c r="D94" s="131">
        <v>0</v>
      </c>
      <c r="E94" s="131">
        <v>0</v>
      </c>
      <c r="F94" s="131">
        <v>0</v>
      </c>
      <c r="G94" s="129">
        <v>0</v>
      </c>
      <c r="H94" s="132">
        <f>SUM(C94:G94)</f>
        <v>0</v>
      </c>
      <c r="I94" s="89"/>
      <c r="J94" s="93">
        <v>2005</v>
      </c>
      <c r="K94" s="94">
        <v>11835</v>
      </c>
      <c r="L94" s="95">
        <f>G29</f>
        <v>11926</v>
      </c>
    </row>
    <row r="95" spans="1:12" ht="13.5" thickBot="1">
      <c r="A95" s="145" t="s">
        <v>95</v>
      </c>
      <c r="B95" s="135">
        <v>0</v>
      </c>
      <c r="C95" s="137">
        <v>0</v>
      </c>
      <c r="D95" s="137">
        <v>0</v>
      </c>
      <c r="E95" s="137">
        <v>0</v>
      </c>
      <c r="F95" s="137">
        <v>0</v>
      </c>
      <c r="G95" s="135">
        <v>0</v>
      </c>
      <c r="H95" s="138">
        <f>SUM(C95:G95)</f>
        <v>0</v>
      </c>
      <c r="I95" s="89"/>
      <c r="J95" s="96">
        <v>2006</v>
      </c>
      <c r="K95" s="97">
        <f>L29</f>
        <v>12787</v>
      </c>
      <c r="L95" s="98"/>
    </row>
    <row r="96" ht="12.75" customHeight="1"/>
    <row r="97" ht="13.5" thickBot="1"/>
    <row r="98" spans="1:10" ht="21" customHeight="1">
      <c r="A98" s="697" t="s">
        <v>54</v>
      </c>
      <c r="B98" s="699" t="s">
        <v>55</v>
      </c>
      <c r="C98" s="700"/>
      <c r="D98" s="701"/>
      <c r="E98" s="699" t="s">
        <v>206</v>
      </c>
      <c r="F98" s="700"/>
      <c r="G98" s="702"/>
      <c r="H98" s="703" t="s">
        <v>56</v>
      </c>
      <c r="I98" s="700"/>
      <c r="J98" s="702"/>
    </row>
    <row r="99" spans="1:10" ht="12.75">
      <c r="A99" s="698"/>
      <c r="B99" s="99">
        <v>2004</v>
      </c>
      <c r="C99" s="99">
        <v>2005</v>
      </c>
      <c r="D99" s="99" t="s">
        <v>57</v>
      </c>
      <c r="E99" s="99">
        <v>2004</v>
      </c>
      <c r="F99" s="99">
        <v>2005</v>
      </c>
      <c r="G99" s="100" t="s">
        <v>57</v>
      </c>
      <c r="H99" s="101">
        <v>2004</v>
      </c>
      <c r="I99" s="99">
        <v>2005</v>
      </c>
      <c r="J99" s="100" t="s">
        <v>57</v>
      </c>
    </row>
    <row r="100" spans="1:10" ht="18.75">
      <c r="A100" s="102" t="s">
        <v>58</v>
      </c>
      <c r="B100" s="103">
        <v>2.5</v>
      </c>
      <c r="C100" s="103">
        <v>3</v>
      </c>
      <c r="D100" s="103">
        <f>+C100-B100</f>
        <v>0.5</v>
      </c>
      <c r="E100" s="103">
        <v>3</v>
      </c>
      <c r="F100" s="103">
        <v>3</v>
      </c>
      <c r="G100" s="104">
        <f>+F100-E100</f>
        <v>0</v>
      </c>
      <c r="H100" s="105">
        <v>18333</v>
      </c>
      <c r="I100" s="106">
        <v>21825</v>
      </c>
      <c r="J100" s="107">
        <f>+I100-H100</f>
        <v>3492</v>
      </c>
    </row>
    <row r="101" spans="1:10" ht="12.75">
      <c r="A101" s="102" t="s">
        <v>98</v>
      </c>
      <c r="B101" s="103">
        <v>11.78</v>
      </c>
      <c r="C101" s="103">
        <v>12.31</v>
      </c>
      <c r="D101" s="103">
        <f aca="true" t="shared" si="12" ref="D101:D110">+C101-B101</f>
        <v>0.5300000000000011</v>
      </c>
      <c r="E101" s="103">
        <v>11.69</v>
      </c>
      <c r="F101" s="103">
        <v>11.68</v>
      </c>
      <c r="G101" s="104">
        <f aca="true" t="shared" si="13" ref="G101:G110">+F101-E101</f>
        <v>-0.009999999999999787</v>
      </c>
      <c r="H101" s="105">
        <v>17994</v>
      </c>
      <c r="I101" s="108">
        <v>17516</v>
      </c>
      <c r="J101" s="107">
        <f aca="true" t="shared" si="14" ref="J101:J110">+I101-H101</f>
        <v>-478</v>
      </c>
    </row>
    <row r="102" spans="1:10" ht="12.75">
      <c r="A102" s="102" t="s">
        <v>60</v>
      </c>
      <c r="B102" s="103">
        <v>1</v>
      </c>
      <c r="C102" s="103">
        <v>0.67</v>
      </c>
      <c r="D102" s="103">
        <f t="shared" si="12"/>
        <v>-0.32999999999999996</v>
      </c>
      <c r="E102" s="103">
        <v>1</v>
      </c>
      <c r="F102" s="103">
        <v>0</v>
      </c>
      <c r="G102" s="104">
        <f t="shared" si="13"/>
        <v>-1</v>
      </c>
      <c r="H102" s="105">
        <v>13209</v>
      </c>
      <c r="I102" s="108">
        <v>12994</v>
      </c>
      <c r="J102" s="107">
        <f t="shared" si="14"/>
        <v>-215</v>
      </c>
    </row>
    <row r="103" spans="1:10" ht="12.75">
      <c r="A103" s="102" t="s">
        <v>61</v>
      </c>
      <c r="B103" s="103">
        <v>20.66</v>
      </c>
      <c r="C103" s="103">
        <v>20.59</v>
      </c>
      <c r="D103" s="103">
        <f t="shared" si="12"/>
        <v>-0.07000000000000028</v>
      </c>
      <c r="E103" s="103">
        <v>20.67</v>
      </c>
      <c r="F103" s="103">
        <v>19.67</v>
      </c>
      <c r="G103" s="104">
        <f t="shared" si="13"/>
        <v>-1</v>
      </c>
      <c r="H103" s="105">
        <v>11710</v>
      </c>
      <c r="I103" s="108">
        <v>13137</v>
      </c>
      <c r="J103" s="107">
        <f t="shared" si="14"/>
        <v>1427</v>
      </c>
    </row>
    <row r="104" spans="1:10" ht="12.75">
      <c r="A104" s="102" t="s">
        <v>99</v>
      </c>
      <c r="B104" s="103">
        <v>0</v>
      </c>
      <c r="C104" s="103">
        <v>0</v>
      </c>
      <c r="D104" s="103">
        <f t="shared" si="12"/>
        <v>0</v>
      </c>
      <c r="E104" s="103">
        <v>0</v>
      </c>
      <c r="F104" s="103">
        <v>0</v>
      </c>
      <c r="G104" s="104">
        <f t="shared" si="13"/>
        <v>0</v>
      </c>
      <c r="H104" s="105">
        <v>0</v>
      </c>
      <c r="I104" s="108">
        <v>0</v>
      </c>
      <c r="J104" s="107">
        <f t="shared" si="14"/>
        <v>0</v>
      </c>
    </row>
    <row r="105" spans="1:10" ht="12.75">
      <c r="A105" s="102" t="s">
        <v>63</v>
      </c>
      <c r="B105" s="103">
        <v>0</v>
      </c>
      <c r="C105" s="103">
        <v>0</v>
      </c>
      <c r="D105" s="103">
        <f t="shared" si="12"/>
        <v>0</v>
      </c>
      <c r="E105" s="103">
        <v>0</v>
      </c>
      <c r="F105" s="103">
        <v>0</v>
      </c>
      <c r="G105" s="104">
        <f t="shared" si="13"/>
        <v>0</v>
      </c>
      <c r="H105" s="105">
        <v>0</v>
      </c>
      <c r="I105" s="108">
        <v>0</v>
      </c>
      <c r="J105" s="107">
        <f t="shared" si="14"/>
        <v>0</v>
      </c>
    </row>
    <row r="106" spans="1:10" ht="12.75">
      <c r="A106" s="102" t="s">
        <v>64</v>
      </c>
      <c r="B106" s="103">
        <v>0</v>
      </c>
      <c r="C106" s="103">
        <v>0</v>
      </c>
      <c r="D106" s="103">
        <f t="shared" si="12"/>
        <v>0</v>
      </c>
      <c r="E106" s="103">
        <v>0</v>
      </c>
      <c r="F106" s="103">
        <v>0</v>
      </c>
      <c r="G106" s="104">
        <f t="shared" si="13"/>
        <v>0</v>
      </c>
      <c r="H106" s="105">
        <v>0</v>
      </c>
      <c r="I106" s="108">
        <v>0</v>
      </c>
      <c r="J106" s="107">
        <f t="shared" si="14"/>
        <v>0</v>
      </c>
    </row>
    <row r="107" spans="1:10" ht="12.75">
      <c r="A107" s="102" t="s">
        <v>65</v>
      </c>
      <c r="B107" s="103">
        <v>7.23</v>
      </c>
      <c r="C107" s="103">
        <v>10.78</v>
      </c>
      <c r="D107" s="103">
        <f t="shared" si="12"/>
        <v>3.549999999999999</v>
      </c>
      <c r="E107" s="103">
        <v>8.88</v>
      </c>
      <c r="F107" s="103">
        <v>13.9</v>
      </c>
      <c r="G107" s="104">
        <f t="shared" si="13"/>
        <v>5.02</v>
      </c>
      <c r="H107" s="105">
        <v>7979</v>
      </c>
      <c r="I107" s="108">
        <v>12390</v>
      </c>
      <c r="J107" s="107">
        <f t="shared" si="14"/>
        <v>4411</v>
      </c>
    </row>
    <row r="108" spans="1:10" ht="12.75">
      <c r="A108" s="102" t="s">
        <v>66</v>
      </c>
      <c r="B108" s="103">
        <v>1.41</v>
      </c>
      <c r="C108" s="103">
        <v>1.16</v>
      </c>
      <c r="D108" s="103">
        <f t="shared" si="12"/>
        <v>-0.25</v>
      </c>
      <c r="E108" s="103">
        <v>1</v>
      </c>
      <c r="F108" s="103">
        <v>1</v>
      </c>
      <c r="G108" s="104">
        <f t="shared" si="13"/>
        <v>0</v>
      </c>
      <c r="H108" s="105">
        <v>10151</v>
      </c>
      <c r="I108" s="108">
        <v>17508</v>
      </c>
      <c r="J108" s="107">
        <f t="shared" si="14"/>
        <v>7357</v>
      </c>
    </row>
    <row r="109" spans="1:10" ht="12.75">
      <c r="A109" s="102" t="s">
        <v>67</v>
      </c>
      <c r="B109" s="103">
        <v>20.95</v>
      </c>
      <c r="C109" s="103">
        <v>21.23</v>
      </c>
      <c r="D109" s="103">
        <f t="shared" si="12"/>
        <v>0.28000000000000114</v>
      </c>
      <c r="E109" s="103">
        <v>21.81</v>
      </c>
      <c r="F109" s="103">
        <v>22</v>
      </c>
      <c r="G109" s="104">
        <f t="shared" si="13"/>
        <v>0.19000000000000128</v>
      </c>
      <c r="H109" s="105">
        <v>10772</v>
      </c>
      <c r="I109" s="108">
        <v>13180</v>
      </c>
      <c r="J109" s="107">
        <f t="shared" si="14"/>
        <v>2408</v>
      </c>
    </row>
    <row r="110" spans="1:10" ht="13.5" thickBot="1">
      <c r="A110" s="109" t="s">
        <v>5</v>
      </c>
      <c r="B110" s="110">
        <f>SUM(B100:B109)</f>
        <v>65.53</v>
      </c>
      <c r="C110" s="110">
        <f>SUM(C100:C109)</f>
        <v>69.74</v>
      </c>
      <c r="D110" s="110">
        <f t="shared" si="12"/>
        <v>4.209999999999994</v>
      </c>
      <c r="E110" s="110">
        <f>SUM(E100:E109)</f>
        <v>68.05</v>
      </c>
      <c r="F110" s="110">
        <v>71.25</v>
      </c>
      <c r="G110" s="111">
        <f t="shared" si="13"/>
        <v>3.200000000000003</v>
      </c>
      <c r="H110" s="112">
        <v>12533</v>
      </c>
      <c r="I110" s="113">
        <v>14252</v>
      </c>
      <c r="J110" s="114">
        <f t="shared" si="14"/>
        <v>1719</v>
      </c>
    </row>
    <row r="111" ht="13.5" thickBot="1"/>
    <row r="112" spans="1:16" ht="12.75">
      <c r="A112" s="706" t="s">
        <v>68</v>
      </c>
      <c r="B112" s="707"/>
      <c r="C112" s="708"/>
      <c r="D112" s="89"/>
      <c r="E112" s="706" t="s">
        <v>69</v>
      </c>
      <c r="F112" s="707"/>
      <c r="G112" s="708"/>
      <c r="H112"/>
      <c r="I112"/>
      <c r="J112"/>
      <c r="K112"/>
      <c r="L112"/>
      <c r="M112"/>
      <c r="N112"/>
      <c r="O112"/>
      <c r="P112"/>
    </row>
    <row r="113" spans="1:16" ht="13.5" thickBot="1">
      <c r="A113" s="90" t="s">
        <v>70</v>
      </c>
      <c r="B113" s="91" t="s">
        <v>71</v>
      </c>
      <c r="C113" s="92" t="s">
        <v>53</v>
      </c>
      <c r="D113" s="89"/>
      <c r="E113" s="90"/>
      <c r="F113" s="709" t="s">
        <v>72</v>
      </c>
      <c r="G113" s="710"/>
      <c r="H113"/>
      <c r="I113"/>
      <c r="J113"/>
      <c r="K113"/>
      <c r="L113"/>
      <c r="M113"/>
      <c r="N113"/>
      <c r="O113"/>
      <c r="P113"/>
    </row>
    <row r="114" spans="1:16" ht="12.75">
      <c r="A114" s="93">
        <v>2005</v>
      </c>
      <c r="B114" s="94">
        <v>71</v>
      </c>
      <c r="C114" s="95">
        <v>70</v>
      </c>
      <c r="D114" s="89"/>
      <c r="E114" s="93">
        <v>2005</v>
      </c>
      <c r="F114" s="711">
        <v>136</v>
      </c>
      <c r="G114" s="624"/>
      <c r="H114"/>
      <c r="I114"/>
      <c r="J114"/>
      <c r="K114"/>
      <c r="L114"/>
      <c r="M114"/>
      <c r="N114"/>
      <c r="O114"/>
      <c r="P114"/>
    </row>
    <row r="115" spans="1:16" ht="13.5" thickBot="1">
      <c r="A115" s="96">
        <v>2006</v>
      </c>
      <c r="B115" s="97">
        <v>75</v>
      </c>
      <c r="C115" s="98"/>
      <c r="D115" s="89"/>
      <c r="E115" s="96">
        <v>2006</v>
      </c>
      <c r="F115" s="704">
        <v>136</v>
      </c>
      <c r="G115" s="705"/>
      <c r="H115"/>
      <c r="I115"/>
      <c r="J115"/>
      <c r="K115"/>
      <c r="L115"/>
      <c r="M115"/>
      <c r="N115"/>
      <c r="O115"/>
      <c r="P115"/>
    </row>
  </sheetData>
  <mergeCells count="123">
    <mergeCell ref="F115:G115"/>
    <mergeCell ref="H46:K46"/>
    <mergeCell ref="A112:C112"/>
    <mergeCell ref="E112:G112"/>
    <mergeCell ref="F113:G113"/>
    <mergeCell ref="F114:G114"/>
    <mergeCell ref="A98:A99"/>
    <mergeCell ref="B98:D98"/>
    <mergeCell ref="E98:G98"/>
    <mergeCell ref="H98:J98"/>
    <mergeCell ref="B38:D38"/>
    <mergeCell ref="E38:G38"/>
    <mergeCell ref="J38:L38"/>
    <mergeCell ref="A92:A93"/>
    <mergeCell ref="B92:B93"/>
    <mergeCell ref="C92:H92"/>
    <mergeCell ref="J92:L92"/>
    <mergeCell ref="B39:D39"/>
    <mergeCell ref="E39:G39"/>
    <mergeCell ref="H41:K42"/>
    <mergeCell ref="A3:A6"/>
    <mergeCell ref="B3:N3"/>
    <mergeCell ref="H4:I4"/>
    <mergeCell ref="M4:N4"/>
    <mergeCell ref="L41:L42"/>
    <mergeCell ref="A43:B43"/>
    <mergeCell ref="D43:F43"/>
    <mergeCell ref="H43:K43"/>
    <mergeCell ref="A41:B42"/>
    <mergeCell ref="C41:C42"/>
    <mergeCell ref="D41:F42"/>
    <mergeCell ref="G41:G42"/>
    <mergeCell ref="H45:K45"/>
    <mergeCell ref="A46:B46"/>
    <mergeCell ref="D46:F46"/>
    <mergeCell ref="H44:K44"/>
    <mergeCell ref="A44:B44"/>
    <mergeCell ref="D44:F44"/>
    <mergeCell ref="A45:B45"/>
    <mergeCell ref="D45:F45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H52:K53"/>
    <mergeCell ref="L52:L53"/>
    <mergeCell ref="A54:B54"/>
    <mergeCell ref="D54:F54"/>
    <mergeCell ref="H54:K54"/>
    <mergeCell ref="A52:B53"/>
    <mergeCell ref="C52:C53"/>
    <mergeCell ref="D52:F53"/>
    <mergeCell ref="G52:G53"/>
    <mergeCell ref="A55:B55"/>
    <mergeCell ref="D55:F55"/>
    <mergeCell ref="A56:B56"/>
    <mergeCell ref="D56:F56"/>
    <mergeCell ref="A61:B61"/>
    <mergeCell ref="D61:F61"/>
    <mergeCell ref="A62:B62"/>
    <mergeCell ref="A57:B57"/>
    <mergeCell ref="D57:F57"/>
    <mergeCell ref="A58:B58"/>
    <mergeCell ref="D58:F58"/>
    <mergeCell ref="A59:B59"/>
    <mergeCell ref="D59:F59"/>
    <mergeCell ref="A60:B60"/>
    <mergeCell ref="D60:F60"/>
    <mergeCell ref="D62:F62"/>
    <mergeCell ref="C66:D66"/>
    <mergeCell ref="F66:G66"/>
    <mergeCell ref="I66:K66"/>
    <mergeCell ref="H62:K62"/>
    <mergeCell ref="A65:E65"/>
    <mergeCell ref="F65:L65"/>
    <mergeCell ref="C68:D68"/>
    <mergeCell ref="F68:G68"/>
    <mergeCell ref="I68:K68"/>
    <mergeCell ref="C67:D67"/>
    <mergeCell ref="F67:G67"/>
    <mergeCell ref="I67:K67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A75:A77"/>
    <mergeCell ref="B75:B77"/>
    <mergeCell ref="C75:I75"/>
    <mergeCell ref="J75:J77"/>
    <mergeCell ref="L75:M76"/>
    <mergeCell ref="O75:O76"/>
    <mergeCell ref="C76:C77"/>
    <mergeCell ref="D76:I76"/>
    <mergeCell ref="N75:N76"/>
    <mergeCell ref="L78:M78"/>
    <mergeCell ref="L79:M79"/>
    <mergeCell ref="A81:A82"/>
    <mergeCell ref="B81:B82"/>
    <mergeCell ref="C81:F81"/>
    <mergeCell ref="G81:G82"/>
    <mergeCell ref="H81:H82"/>
    <mergeCell ref="I81:L81"/>
    <mergeCell ref="H58:K58"/>
    <mergeCell ref="H59:K59"/>
    <mergeCell ref="H61:K61"/>
    <mergeCell ref="H55:K55"/>
    <mergeCell ref="H56:K56"/>
    <mergeCell ref="H57:K57"/>
    <mergeCell ref="H60:K60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K90" sqref="K90"/>
    </sheetView>
  </sheetViews>
  <sheetFormatPr defaultColWidth="9.00390625" defaultRowHeight="12.75"/>
  <cols>
    <col min="1" max="1" width="28.125" style="7" customWidth="1"/>
    <col min="2" max="3" width="9.75390625" style="8" customWidth="1"/>
    <col min="4" max="4" width="10.125" style="8" customWidth="1"/>
    <col min="5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332" customFormat="1" ht="30.75" customHeight="1">
      <c r="A1" s="46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29"/>
      <c r="M1" s="330"/>
      <c r="N1" s="331"/>
      <c r="O1" s="330"/>
      <c r="P1" s="330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16"/>
      <c r="N2" s="717"/>
    </row>
    <row r="3" spans="1:14" ht="24" customHeight="1" thickBot="1">
      <c r="A3" s="684" t="s">
        <v>0</v>
      </c>
      <c r="B3" s="686" t="s">
        <v>430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712"/>
      <c r="N3" s="71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>
        <v>0</v>
      </c>
      <c r="F7" s="428">
        <v>0</v>
      </c>
      <c r="G7" s="433">
        <v>0</v>
      </c>
      <c r="H7" s="464">
        <f>+G7-D7</f>
        <v>0</v>
      </c>
      <c r="I7" s="441"/>
      <c r="J7" s="46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11598</v>
      </c>
      <c r="C8" s="33">
        <v>286</v>
      </c>
      <c r="D8" s="434">
        <f>SUM(B8:C8)</f>
        <v>11884</v>
      </c>
      <c r="E8" s="37">
        <v>12223</v>
      </c>
      <c r="F8" s="33">
        <v>282</v>
      </c>
      <c r="G8" s="434">
        <f>SUM(E8:F8)</f>
        <v>12505</v>
      </c>
      <c r="H8" s="465">
        <f>+G8-D8</f>
        <v>621</v>
      </c>
      <c r="I8" s="39">
        <f>+G8/D8</f>
        <v>1.0522551329518681</v>
      </c>
      <c r="J8" s="468">
        <v>12500</v>
      </c>
      <c r="K8" s="33">
        <v>280</v>
      </c>
      <c r="L8" s="434">
        <f>SUM(J8:K8)</f>
        <v>12780</v>
      </c>
      <c r="M8" s="465">
        <f>+L8-G8</f>
        <v>275</v>
      </c>
      <c r="N8" s="39">
        <f>+L8/G8</f>
        <v>1.0219912035185925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9"/>
      <c r="J9" s="468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9"/>
      <c r="J10" s="468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414</v>
      </c>
      <c r="C11" s="33"/>
      <c r="D11" s="434">
        <f t="shared" si="0"/>
        <v>414</v>
      </c>
      <c r="E11" s="37">
        <v>581</v>
      </c>
      <c r="F11" s="33"/>
      <c r="G11" s="434">
        <f t="shared" si="1"/>
        <v>581</v>
      </c>
      <c r="H11" s="465">
        <f t="shared" si="2"/>
        <v>167</v>
      </c>
      <c r="I11" s="39">
        <f aca="true" t="shared" si="5" ref="I11:I37">+G11/D11</f>
        <v>1.4033816425120773</v>
      </c>
      <c r="J11" s="468">
        <v>580</v>
      </c>
      <c r="K11" s="33"/>
      <c r="L11" s="434">
        <f t="shared" si="3"/>
        <v>580</v>
      </c>
      <c r="M11" s="465">
        <f t="shared" si="4"/>
        <v>-1</v>
      </c>
      <c r="N11" s="39">
        <f aca="true" t="shared" si="6" ref="N11:N37">+L11/G11</f>
        <v>0.9982788296041308</v>
      </c>
    </row>
    <row r="12" spans="1:14" ht="13.5" customHeight="1">
      <c r="A12" s="510" t="s">
        <v>15</v>
      </c>
      <c r="B12" s="37">
        <v>122</v>
      </c>
      <c r="C12" s="33"/>
      <c r="D12" s="434">
        <f t="shared" si="0"/>
        <v>122</v>
      </c>
      <c r="E12" s="37">
        <v>187</v>
      </c>
      <c r="F12" s="33"/>
      <c r="G12" s="434">
        <f t="shared" si="1"/>
        <v>187</v>
      </c>
      <c r="H12" s="465">
        <f t="shared" si="2"/>
        <v>65</v>
      </c>
      <c r="I12" s="39">
        <f t="shared" si="5"/>
        <v>1.5327868852459017</v>
      </c>
      <c r="J12" s="468"/>
      <c r="K12" s="33"/>
      <c r="L12" s="434">
        <f t="shared" si="3"/>
        <v>0</v>
      </c>
      <c r="M12" s="465">
        <f t="shared" si="4"/>
        <v>-187</v>
      </c>
      <c r="N12" s="39">
        <f t="shared" si="6"/>
        <v>0</v>
      </c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9"/>
      <c r="J13" s="468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9"/>
      <c r="J14" s="468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18" t="s">
        <v>18</v>
      </c>
      <c r="B15" s="37">
        <v>14597</v>
      </c>
      <c r="C15" s="33"/>
      <c r="D15" s="434">
        <f t="shared" si="0"/>
        <v>14597</v>
      </c>
      <c r="E15" s="37">
        <v>16436</v>
      </c>
      <c r="F15" s="33"/>
      <c r="G15" s="434">
        <f t="shared" si="1"/>
        <v>16436</v>
      </c>
      <c r="H15" s="465">
        <f t="shared" si="2"/>
        <v>1839</v>
      </c>
      <c r="I15" s="39">
        <f t="shared" si="5"/>
        <v>1.1259847913954921</v>
      </c>
      <c r="J15" s="469">
        <f>SUM(J16:J17)</f>
        <v>17780</v>
      </c>
      <c r="K15" s="33"/>
      <c r="L15" s="434">
        <f t="shared" si="3"/>
        <v>17780</v>
      </c>
      <c r="M15" s="465">
        <f t="shared" si="4"/>
        <v>1344</v>
      </c>
      <c r="N15" s="39">
        <f t="shared" si="6"/>
        <v>1.081771720613288</v>
      </c>
    </row>
    <row r="16" spans="1:14" ht="13.5" customHeight="1">
      <c r="A16" s="511" t="s">
        <v>476</v>
      </c>
      <c r="B16" s="37"/>
      <c r="C16" s="33"/>
      <c r="D16" s="434"/>
      <c r="E16" s="37">
        <v>14932</v>
      </c>
      <c r="F16" s="33"/>
      <c r="G16" s="434">
        <f t="shared" si="1"/>
        <v>14932</v>
      </c>
      <c r="H16" s="465">
        <f t="shared" si="2"/>
        <v>14932</v>
      </c>
      <c r="I16" s="39"/>
      <c r="J16" s="469">
        <f>17115</f>
        <v>17115</v>
      </c>
      <c r="K16" s="33"/>
      <c r="L16" s="434">
        <f t="shared" si="3"/>
        <v>17115</v>
      </c>
      <c r="M16" s="465">
        <f t="shared" si="4"/>
        <v>2183</v>
      </c>
      <c r="N16" s="39">
        <f t="shared" si="6"/>
        <v>1.1461960889365121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1504</v>
      </c>
      <c r="F17" s="431"/>
      <c r="G17" s="432">
        <f t="shared" si="1"/>
        <v>1504</v>
      </c>
      <c r="H17" s="466">
        <f t="shared" si="2"/>
        <v>1504</v>
      </c>
      <c r="I17" s="442"/>
      <c r="J17" s="470">
        <v>665</v>
      </c>
      <c r="K17" s="431"/>
      <c r="L17" s="434">
        <f t="shared" si="3"/>
        <v>665</v>
      </c>
      <c r="M17" s="465">
        <f t="shared" si="4"/>
        <v>-839</v>
      </c>
      <c r="N17" s="39">
        <f t="shared" si="6"/>
        <v>0.4421542553191489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26609</v>
      </c>
      <c r="C18" s="425">
        <f t="shared" si="7"/>
        <v>286</v>
      </c>
      <c r="D18" s="426">
        <f t="shared" si="7"/>
        <v>26895</v>
      </c>
      <c r="E18" s="424">
        <f t="shared" si="7"/>
        <v>29240</v>
      </c>
      <c r="F18" s="425">
        <f t="shared" si="7"/>
        <v>282</v>
      </c>
      <c r="G18" s="426">
        <f t="shared" si="7"/>
        <v>29522</v>
      </c>
      <c r="H18" s="369">
        <f t="shared" si="2"/>
        <v>2627</v>
      </c>
      <c r="I18" s="63">
        <f t="shared" si="5"/>
        <v>1.0976761479828965</v>
      </c>
      <c r="J18" s="437">
        <f>SUM(J7+J8+J9+J10+J11+J13+J15)</f>
        <v>30860</v>
      </c>
      <c r="K18" s="425">
        <f>SUM(K7+K8+K9+K10+K11+K13+K15)</f>
        <v>280</v>
      </c>
      <c r="L18" s="426">
        <f>SUM(L7+L8+L9+L10+L11+L13+L15)</f>
        <v>31140</v>
      </c>
      <c r="M18" s="369">
        <f t="shared" si="4"/>
        <v>1618</v>
      </c>
      <c r="N18" s="370">
        <f t="shared" si="6"/>
        <v>1.0548065849197208</v>
      </c>
    </row>
    <row r="19" spans="1:14" ht="13.5" customHeight="1">
      <c r="A19" s="54" t="s">
        <v>20</v>
      </c>
      <c r="B19" s="25">
        <v>4967</v>
      </c>
      <c r="C19" s="26">
        <v>149</v>
      </c>
      <c r="D19" s="34">
        <f aca="true" t="shared" si="8" ref="D19:D36">SUM(B19:C19)</f>
        <v>5116</v>
      </c>
      <c r="E19" s="25">
        <v>6150</v>
      </c>
      <c r="F19" s="26">
        <v>144</v>
      </c>
      <c r="G19" s="27">
        <f>SUM(E19:F19)</f>
        <v>6294</v>
      </c>
      <c r="H19" s="28">
        <f t="shared" si="2"/>
        <v>1178</v>
      </c>
      <c r="I19" s="55">
        <f t="shared" si="5"/>
        <v>1.2302580140734949</v>
      </c>
      <c r="J19" s="29">
        <v>6007</v>
      </c>
      <c r="K19" s="26">
        <v>145</v>
      </c>
      <c r="L19" s="30">
        <f>SUM(J19:K19)</f>
        <v>6152</v>
      </c>
      <c r="M19" s="28">
        <f t="shared" si="4"/>
        <v>-142</v>
      </c>
      <c r="N19" s="56">
        <f t="shared" si="6"/>
        <v>0.9774388306323483</v>
      </c>
    </row>
    <row r="20" spans="1:14" ht="21" customHeight="1">
      <c r="A20" s="40" t="s">
        <v>21</v>
      </c>
      <c r="B20" s="25">
        <v>129</v>
      </c>
      <c r="C20" s="26"/>
      <c r="D20" s="34">
        <f t="shared" si="8"/>
        <v>129</v>
      </c>
      <c r="E20" s="25">
        <v>1039</v>
      </c>
      <c r="F20" s="26"/>
      <c r="G20" s="27">
        <f aca="true" t="shared" si="9" ref="G20:G36">SUM(E20:F20)</f>
        <v>1039</v>
      </c>
      <c r="H20" s="35">
        <f t="shared" si="2"/>
        <v>910</v>
      </c>
      <c r="I20" s="36">
        <f t="shared" si="5"/>
        <v>8.054263565891473</v>
      </c>
      <c r="J20" s="29">
        <v>377</v>
      </c>
      <c r="K20" s="26"/>
      <c r="L20" s="30">
        <f aca="true" t="shared" si="10" ref="L20:L36">SUM(J20:K20)</f>
        <v>377</v>
      </c>
      <c r="M20" s="35">
        <f t="shared" si="4"/>
        <v>-662</v>
      </c>
      <c r="N20" s="39">
        <f t="shared" si="6"/>
        <v>0.36284889316650626</v>
      </c>
    </row>
    <row r="21" spans="1:14" ht="13.5" customHeight="1">
      <c r="A21" s="31" t="s">
        <v>22</v>
      </c>
      <c r="B21" s="32">
        <v>1982</v>
      </c>
      <c r="C21" s="33">
        <v>13</v>
      </c>
      <c r="D21" s="34">
        <f t="shared" si="8"/>
        <v>1995</v>
      </c>
      <c r="E21" s="32">
        <v>2163</v>
      </c>
      <c r="F21" s="33">
        <v>12</v>
      </c>
      <c r="G21" s="27">
        <f t="shared" si="9"/>
        <v>2175</v>
      </c>
      <c r="H21" s="35">
        <f t="shared" si="2"/>
        <v>180</v>
      </c>
      <c r="I21" s="36">
        <f t="shared" si="5"/>
        <v>1.0902255639097744</v>
      </c>
      <c r="J21" s="37">
        <v>2300</v>
      </c>
      <c r="K21" s="33">
        <v>12</v>
      </c>
      <c r="L21" s="30">
        <f t="shared" si="10"/>
        <v>2312</v>
      </c>
      <c r="M21" s="35">
        <f t="shared" si="4"/>
        <v>137</v>
      </c>
      <c r="N21" s="39">
        <f t="shared" si="6"/>
        <v>1.0629885057471264</v>
      </c>
    </row>
    <row r="22" spans="1:14" ht="13.5" customHeight="1">
      <c r="A22" s="40" t="s">
        <v>23</v>
      </c>
      <c r="B22" s="32"/>
      <c r="C22" s="33"/>
      <c r="D22" s="34">
        <f t="shared" si="8"/>
        <v>0</v>
      </c>
      <c r="E22" s="32"/>
      <c r="F22" s="33"/>
      <c r="G22" s="27">
        <f t="shared" si="9"/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1325</v>
      </c>
      <c r="C24" s="33">
        <v>3</v>
      </c>
      <c r="D24" s="34">
        <f t="shared" si="8"/>
        <v>1328</v>
      </c>
      <c r="E24" s="37">
        <v>1496</v>
      </c>
      <c r="F24" s="33">
        <v>3</v>
      </c>
      <c r="G24" s="27">
        <f t="shared" si="9"/>
        <v>1499</v>
      </c>
      <c r="H24" s="35">
        <f t="shared" si="2"/>
        <v>171</v>
      </c>
      <c r="I24" s="36">
        <f t="shared" si="5"/>
        <v>1.1287650602409638</v>
      </c>
      <c r="J24" s="37">
        <v>1274</v>
      </c>
      <c r="K24" s="33">
        <v>3</v>
      </c>
      <c r="L24" s="30">
        <f t="shared" si="10"/>
        <v>1277</v>
      </c>
      <c r="M24" s="35">
        <f t="shared" si="4"/>
        <v>-222</v>
      </c>
      <c r="N24" s="39">
        <f t="shared" si="6"/>
        <v>0.8519012675116745</v>
      </c>
    </row>
    <row r="25" spans="1:14" ht="13.5" customHeight="1">
      <c r="A25" s="40" t="s">
        <v>26</v>
      </c>
      <c r="B25" s="32">
        <v>390</v>
      </c>
      <c r="C25" s="33">
        <v>3</v>
      </c>
      <c r="D25" s="34">
        <f t="shared" si="8"/>
        <v>393</v>
      </c>
      <c r="E25" s="32">
        <v>504</v>
      </c>
      <c r="F25" s="33">
        <v>3</v>
      </c>
      <c r="G25" s="27">
        <f t="shared" si="9"/>
        <v>507</v>
      </c>
      <c r="H25" s="35">
        <f t="shared" si="2"/>
        <v>114</v>
      </c>
      <c r="I25" s="36">
        <f t="shared" si="5"/>
        <v>1.2900763358778626</v>
      </c>
      <c r="J25" s="57">
        <v>565</v>
      </c>
      <c r="K25" s="33">
        <v>3</v>
      </c>
      <c r="L25" s="30">
        <f t="shared" si="10"/>
        <v>568</v>
      </c>
      <c r="M25" s="35">
        <f t="shared" si="4"/>
        <v>61</v>
      </c>
      <c r="N25" s="39">
        <f t="shared" si="6"/>
        <v>1.1203155818540433</v>
      </c>
    </row>
    <row r="26" spans="1:14" ht="13.5" customHeight="1">
      <c r="A26" s="31" t="s">
        <v>27</v>
      </c>
      <c r="B26" s="32">
        <v>935</v>
      </c>
      <c r="C26" s="33"/>
      <c r="D26" s="34">
        <f t="shared" si="8"/>
        <v>935</v>
      </c>
      <c r="E26" s="32">
        <v>992</v>
      </c>
      <c r="F26" s="33"/>
      <c r="G26" s="27">
        <f t="shared" si="9"/>
        <v>992</v>
      </c>
      <c r="H26" s="35">
        <f t="shared" si="2"/>
        <v>57</v>
      </c>
      <c r="I26" s="36">
        <f t="shared" si="5"/>
        <v>1.0609625668449199</v>
      </c>
      <c r="J26" s="57">
        <v>709</v>
      </c>
      <c r="K26" s="33"/>
      <c r="L26" s="30">
        <f t="shared" si="10"/>
        <v>709</v>
      </c>
      <c r="M26" s="35">
        <f t="shared" si="4"/>
        <v>-283</v>
      </c>
      <c r="N26" s="39">
        <f t="shared" si="6"/>
        <v>0.7147177419354839</v>
      </c>
    </row>
    <row r="27" spans="1:14" ht="13.5" customHeight="1">
      <c r="A27" s="58" t="s">
        <v>28</v>
      </c>
      <c r="B27" s="37">
        <v>17469</v>
      </c>
      <c r="C27" s="33">
        <v>57</v>
      </c>
      <c r="D27" s="34">
        <f t="shared" si="8"/>
        <v>17526</v>
      </c>
      <c r="E27" s="37">
        <v>18566</v>
      </c>
      <c r="F27" s="33">
        <v>54</v>
      </c>
      <c r="G27" s="27">
        <f t="shared" si="9"/>
        <v>18620</v>
      </c>
      <c r="H27" s="35">
        <f t="shared" si="2"/>
        <v>1094</v>
      </c>
      <c r="I27" s="36">
        <f t="shared" si="5"/>
        <v>1.0624215451329453</v>
      </c>
      <c r="J27" s="37">
        <f>J28+J31</f>
        <v>20569</v>
      </c>
      <c r="K27" s="33">
        <v>54</v>
      </c>
      <c r="L27" s="30">
        <f t="shared" si="10"/>
        <v>20623</v>
      </c>
      <c r="M27" s="35">
        <f t="shared" si="4"/>
        <v>2003</v>
      </c>
      <c r="N27" s="39">
        <f t="shared" si="6"/>
        <v>1.1075725026852847</v>
      </c>
    </row>
    <row r="28" spans="1:14" ht="13.5" customHeight="1">
      <c r="A28" s="40" t="s">
        <v>29</v>
      </c>
      <c r="B28" s="32">
        <v>12781</v>
      </c>
      <c r="C28" s="33">
        <v>42</v>
      </c>
      <c r="D28" s="34">
        <f t="shared" si="8"/>
        <v>12823</v>
      </c>
      <c r="E28" s="32">
        <v>13515</v>
      </c>
      <c r="F28" s="33">
        <v>40</v>
      </c>
      <c r="G28" s="27">
        <f t="shared" si="9"/>
        <v>13555</v>
      </c>
      <c r="H28" s="35">
        <f t="shared" si="2"/>
        <v>732</v>
      </c>
      <c r="I28" s="36">
        <f t="shared" si="5"/>
        <v>1.0570849255244483</v>
      </c>
      <c r="J28" s="57">
        <f>J29+J30</f>
        <v>15013</v>
      </c>
      <c r="K28" s="59">
        <v>40</v>
      </c>
      <c r="L28" s="30">
        <f t="shared" si="10"/>
        <v>15053</v>
      </c>
      <c r="M28" s="35">
        <f t="shared" si="4"/>
        <v>1498</v>
      </c>
      <c r="N28" s="39">
        <f t="shared" si="6"/>
        <v>1.1105127259313907</v>
      </c>
    </row>
    <row r="29" spans="1:14" ht="13.5" customHeight="1">
      <c r="A29" s="58" t="s">
        <v>30</v>
      </c>
      <c r="B29" s="32">
        <v>12485</v>
      </c>
      <c r="C29" s="33">
        <v>42</v>
      </c>
      <c r="D29" s="34">
        <f t="shared" si="8"/>
        <v>12527</v>
      </c>
      <c r="E29" s="32">
        <v>13448</v>
      </c>
      <c r="F29" s="33">
        <v>40</v>
      </c>
      <c r="G29" s="27">
        <f t="shared" si="9"/>
        <v>13488</v>
      </c>
      <c r="H29" s="35">
        <f t="shared" si="2"/>
        <v>961</v>
      </c>
      <c r="I29" s="36">
        <f t="shared" si="5"/>
        <v>1.0767142971182246</v>
      </c>
      <c r="J29" s="37">
        <f>14461+485</f>
        <v>14946</v>
      </c>
      <c r="K29" s="33">
        <v>40</v>
      </c>
      <c r="L29" s="30">
        <f t="shared" si="10"/>
        <v>14986</v>
      </c>
      <c r="M29" s="35">
        <f t="shared" si="4"/>
        <v>1498</v>
      </c>
      <c r="N29" s="39">
        <f t="shared" si="6"/>
        <v>1.111061684460261</v>
      </c>
    </row>
    <row r="30" spans="1:14" ht="13.5" customHeight="1">
      <c r="A30" s="40" t="s">
        <v>31</v>
      </c>
      <c r="B30" s="32">
        <v>296</v>
      </c>
      <c r="C30" s="33"/>
      <c r="D30" s="34">
        <f t="shared" si="8"/>
        <v>296</v>
      </c>
      <c r="E30" s="32">
        <v>67</v>
      </c>
      <c r="F30" s="33"/>
      <c r="G30" s="27">
        <f t="shared" si="9"/>
        <v>67</v>
      </c>
      <c r="H30" s="35">
        <f t="shared" si="2"/>
        <v>-229</v>
      </c>
      <c r="I30" s="36">
        <f t="shared" si="5"/>
        <v>0.22635135135135134</v>
      </c>
      <c r="J30" s="37">
        <v>67</v>
      </c>
      <c r="K30" s="33"/>
      <c r="L30" s="30">
        <f t="shared" si="10"/>
        <v>67</v>
      </c>
      <c r="M30" s="35">
        <f t="shared" si="4"/>
        <v>0</v>
      </c>
      <c r="N30" s="39">
        <f t="shared" si="6"/>
        <v>1</v>
      </c>
    </row>
    <row r="31" spans="1:14" ht="13.5" customHeight="1">
      <c r="A31" s="40" t="s">
        <v>32</v>
      </c>
      <c r="B31" s="32">
        <v>4688</v>
      </c>
      <c r="C31" s="33">
        <v>15</v>
      </c>
      <c r="D31" s="34">
        <f t="shared" si="8"/>
        <v>4703</v>
      </c>
      <c r="E31" s="32">
        <v>5051</v>
      </c>
      <c r="F31" s="33">
        <v>14</v>
      </c>
      <c r="G31" s="27">
        <f t="shared" si="9"/>
        <v>5065</v>
      </c>
      <c r="H31" s="35">
        <f t="shared" si="2"/>
        <v>362</v>
      </c>
      <c r="I31" s="36">
        <f t="shared" si="5"/>
        <v>1.0769721454390815</v>
      </c>
      <c r="J31" s="37">
        <f>5376+180</f>
        <v>5556</v>
      </c>
      <c r="K31" s="33">
        <v>14</v>
      </c>
      <c r="L31" s="30">
        <f t="shared" si="10"/>
        <v>5570</v>
      </c>
      <c r="M31" s="35">
        <f t="shared" si="4"/>
        <v>505</v>
      </c>
      <c r="N31" s="39">
        <f t="shared" si="6"/>
        <v>1.0997038499506417</v>
      </c>
    </row>
    <row r="32" spans="1:14" ht="13.5" customHeight="1">
      <c r="A32" s="58" t="s">
        <v>33</v>
      </c>
      <c r="B32" s="32"/>
      <c r="C32" s="33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169</v>
      </c>
      <c r="C33" s="33"/>
      <c r="D33" s="34">
        <f t="shared" si="8"/>
        <v>169</v>
      </c>
      <c r="E33" s="32">
        <v>172</v>
      </c>
      <c r="F33" s="33">
        <v>0</v>
      </c>
      <c r="G33" s="27">
        <f t="shared" si="9"/>
        <v>172</v>
      </c>
      <c r="H33" s="35">
        <f t="shared" si="2"/>
        <v>3</v>
      </c>
      <c r="I33" s="36">
        <f t="shared" si="5"/>
        <v>1.017751479289941</v>
      </c>
      <c r="J33" s="37">
        <v>170</v>
      </c>
      <c r="K33" s="33"/>
      <c r="L33" s="30">
        <f t="shared" si="10"/>
        <v>170</v>
      </c>
      <c r="M33" s="35">
        <f t="shared" si="4"/>
        <v>-2</v>
      </c>
      <c r="N33" s="39">
        <f t="shared" si="6"/>
        <v>0.9883720930232558</v>
      </c>
    </row>
    <row r="34" spans="1:14" ht="13.5" customHeight="1">
      <c r="A34" s="40" t="s">
        <v>35</v>
      </c>
      <c r="B34" s="32">
        <v>493</v>
      </c>
      <c r="C34" s="33">
        <v>2</v>
      </c>
      <c r="D34" s="34">
        <f t="shared" si="8"/>
        <v>495</v>
      </c>
      <c r="E34" s="32">
        <v>724</v>
      </c>
      <c r="F34" s="33">
        <v>1</v>
      </c>
      <c r="G34" s="27">
        <f t="shared" si="9"/>
        <v>725</v>
      </c>
      <c r="H34" s="35">
        <f t="shared" si="2"/>
        <v>230</v>
      </c>
      <c r="I34" s="36">
        <f t="shared" si="5"/>
        <v>1.4646464646464648</v>
      </c>
      <c r="J34" s="57">
        <v>605</v>
      </c>
      <c r="K34" s="33">
        <v>1</v>
      </c>
      <c r="L34" s="30">
        <f t="shared" si="10"/>
        <v>606</v>
      </c>
      <c r="M34" s="35">
        <f t="shared" si="4"/>
        <v>-119</v>
      </c>
      <c r="N34" s="39">
        <f t="shared" si="6"/>
        <v>0.8358620689655173</v>
      </c>
    </row>
    <row r="35" spans="1:14" ht="22.5" customHeight="1">
      <c r="A35" s="40" t="s">
        <v>36</v>
      </c>
      <c r="B35" s="32">
        <v>493</v>
      </c>
      <c r="C35" s="33">
        <v>2</v>
      </c>
      <c r="D35" s="34">
        <f t="shared" si="8"/>
        <v>495</v>
      </c>
      <c r="E35" s="32">
        <v>724</v>
      </c>
      <c r="F35" s="33">
        <v>1</v>
      </c>
      <c r="G35" s="27">
        <f t="shared" si="9"/>
        <v>725</v>
      </c>
      <c r="H35" s="35">
        <f t="shared" si="2"/>
        <v>230</v>
      </c>
      <c r="I35" s="36">
        <f t="shared" si="5"/>
        <v>1.4646464646464648</v>
      </c>
      <c r="J35" s="57">
        <v>605</v>
      </c>
      <c r="K35" s="33">
        <v>1</v>
      </c>
      <c r="L35" s="30">
        <f t="shared" si="10"/>
        <v>606</v>
      </c>
      <c r="M35" s="35">
        <f t="shared" si="4"/>
        <v>-119</v>
      </c>
      <c r="N35" s="39">
        <f t="shared" si="6"/>
        <v>0.8358620689655173</v>
      </c>
    </row>
    <row r="36" spans="1:14" ht="13.5" customHeight="1" thickBot="1">
      <c r="A36" s="60" t="s">
        <v>37</v>
      </c>
      <c r="B36" s="41">
        <v>206</v>
      </c>
      <c r="C36" s="42"/>
      <c r="D36" s="34">
        <f t="shared" si="8"/>
        <v>206</v>
      </c>
      <c r="E36" s="41"/>
      <c r="F36" s="42"/>
      <c r="G36" s="27">
        <f t="shared" si="9"/>
        <v>0</v>
      </c>
      <c r="H36" s="43">
        <f t="shared" si="2"/>
        <v>-206</v>
      </c>
      <c r="I36" s="44">
        <f t="shared" si="5"/>
        <v>0</v>
      </c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26611</v>
      </c>
      <c r="C37" s="48">
        <f t="shared" si="11"/>
        <v>224</v>
      </c>
      <c r="D37" s="49">
        <f t="shared" si="11"/>
        <v>26835</v>
      </c>
      <c r="E37" s="47">
        <f t="shared" si="11"/>
        <v>29271</v>
      </c>
      <c r="F37" s="48">
        <f t="shared" si="11"/>
        <v>214</v>
      </c>
      <c r="G37" s="49">
        <f t="shared" si="11"/>
        <v>29485</v>
      </c>
      <c r="H37" s="50">
        <f t="shared" si="2"/>
        <v>2650</v>
      </c>
      <c r="I37" s="51">
        <f t="shared" si="5"/>
        <v>1.0987516303335196</v>
      </c>
      <c r="J37" s="52">
        <f>SUM(J19+J21+J22+J23+J24+J27+J32+J33+J34+J36)</f>
        <v>30925</v>
      </c>
      <c r="K37" s="48">
        <f>SUM(K19+K21+K22+K23+K24+K27+K32+K33+K34+K36)</f>
        <v>215</v>
      </c>
      <c r="L37" s="49">
        <f>SUM(L19+L21+L22+L23+L24+L27+L32+L33+L34+L36)</f>
        <v>31140</v>
      </c>
      <c r="M37" s="50">
        <f t="shared" si="4"/>
        <v>1655</v>
      </c>
      <c r="N37" s="53">
        <f t="shared" si="6"/>
        <v>1.0561302357130744</v>
      </c>
    </row>
    <row r="38" spans="1:14" ht="13.5" customHeight="1" thickBot="1">
      <c r="A38" s="46" t="s">
        <v>39</v>
      </c>
      <c r="B38" s="680">
        <f>+D18-D37</f>
        <v>60</v>
      </c>
      <c r="C38" s="681"/>
      <c r="D38" s="682"/>
      <c r="E38" s="680">
        <f>+G18-G37</f>
        <v>37</v>
      </c>
      <c r="F38" s="681"/>
      <c r="G38" s="682">
        <v>-50784</v>
      </c>
      <c r="H38" s="62">
        <f>+E38-B38</f>
        <v>-23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437</v>
      </c>
      <c r="B43" s="683"/>
      <c r="C43" s="66">
        <v>150</v>
      </c>
      <c r="D43" s="679" t="s">
        <v>96</v>
      </c>
      <c r="E43" s="657"/>
      <c r="F43" s="657"/>
      <c r="G43" s="67">
        <v>166</v>
      </c>
      <c r="H43" s="658" t="s">
        <v>96</v>
      </c>
      <c r="I43" s="659"/>
      <c r="J43" s="659"/>
      <c r="K43" s="659"/>
      <c r="L43" s="68">
        <v>167</v>
      </c>
      <c r="O43"/>
      <c r="P43"/>
    </row>
    <row r="44" spans="1:16" ht="12.75">
      <c r="A44" s="639" t="s">
        <v>438</v>
      </c>
      <c r="B44" s="646"/>
      <c r="C44" s="69">
        <v>150</v>
      </c>
      <c r="D44" s="679" t="s">
        <v>439</v>
      </c>
      <c r="E44" s="657"/>
      <c r="F44" s="657"/>
      <c r="G44" s="70">
        <v>86</v>
      </c>
      <c r="H44" s="658" t="s">
        <v>440</v>
      </c>
      <c r="I44" s="659"/>
      <c r="J44" s="659"/>
      <c r="K44" s="659"/>
      <c r="L44" s="68">
        <v>100</v>
      </c>
      <c r="O44"/>
      <c r="P44"/>
    </row>
    <row r="45" spans="1:16" ht="12.75">
      <c r="A45" s="639" t="s">
        <v>96</v>
      </c>
      <c r="B45" s="646"/>
      <c r="C45" s="69">
        <v>166</v>
      </c>
      <c r="D45" s="679" t="s">
        <v>441</v>
      </c>
      <c r="E45" s="657"/>
      <c r="F45" s="657"/>
      <c r="G45" s="70">
        <v>65</v>
      </c>
      <c r="H45" s="658" t="s">
        <v>442</v>
      </c>
      <c r="I45" s="659"/>
      <c r="J45" s="659"/>
      <c r="K45" s="659"/>
      <c r="L45" s="68">
        <v>168</v>
      </c>
      <c r="O45"/>
      <c r="P45"/>
    </row>
    <row r="46" spans="1:16" ht="12.75">
      <c r="A46" s="647"/>
      <c r="B46" s="674"/>
      <c r="C46" s="71"/>
      <c r="D46" s="647" t="s">
        <v>443</v>
      </c>
      <c r="E46" s="648"/>
      <c r="F46" s="674"/>
      <c r="G46" s="72">
        <v>139</v>
      </c>
      <c r="H46" s="643" t="s">
        <v>466</v>
      </c>
      <c r="I46" s="644"/>
      <c r="J46" s="644"/>
      <c r="K46" s="645"/>
      <c r="L46" s="68">
        <v>130</v>
      </c>
      <c r="O46"/>
      <c r="P46"/>
    </row>
    <row r="47" spans="1:16" ht="12.75">
      <c r="A47" s="647"/>
      <c r="B47" s="674"/>
      <c r="C47" s="71"/>
      <c r="D47" s="647" t="s">
        <v>444</v>
      </c>
      <c r="E47" s="648"/>
      <c r="F47" s="674"/>
      <c r="G47" s="72">
        <v>596</v>
      </c>
      <c r="H47" s="643" t="s">
        <v>445</v>
      </c>
      <c r="I47" s="644"/>
      <c r="J47" s="644"/>
      <c r="K47" s="645"/>
      <c r="L47" s="68">
        <v>105</v>
      </c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 t="s">
        <v>467</v>
      </c>
      <c r="I48" s="644"/>
      <c r="J48" s="644"/>
      <c r="K48" s="645"/>
      <c r="L48" s="68">
        <v>60</v>
      </c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 t="s">
        <v>468</v>
      </c>
      <c r="I49" s="659"/>
      <c r="J49" s="659"/>
      <c r="K49" s="659"/>
      <c r="L49" s="68">
        <v>120</v>
      </c>
      <c r="O49"/>
      <c r="P49"/>
    </row>
    <row r="50" spans="1:16" ht="13.5" thickBot="1">
      <c r="A50" s="633"/>
      <c r="B50" s="635"/>
      <c r="C50" s="73">
        <f>SUM(C43:C49)</f>
        <v>466</v>
      </c>
      <c r="D50" s="660" t="s">
        <v>5</v>
      </c>
      <c r="E50" s="661"/>
      <c r="F50" s="661"/>
      <c r="G50" s="73">
        <v>1052</v>
      </c>
      <c r="H50" s="637" t="s">
        <v>5</v>
      </c>
      <c r="I50" s="638"/>
      <c r="J50" s="638"/>
      <c r="K50" s="638"/>
      <c r="L50" s="73">
        <v>850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446</v>
      </c>
      <c r="B54" s="655"/>
      <c r="C54" s="66">
        <v>220</v>
      </c>
      <c r="D54" s="656" t="s">
        <v>447</v>
      </c>
      <c r="E54" s="657"/>
      <c r="F54" s="657"/>
      <c r="G54" s="76">
        <v>179</v>
      </c>
      <c r="H54" s="658" t="s">
        <v>448</v>
      </c>
      <c r="I54" s="659"/>
      <c r="J54" s="659"/>
      <c r="K54" s="659"/>
      <c r="L54" s="68">
        <v>150</v>
      </c>
      <c r="O54"/>
      <c r="P54"/>
    </row>
    <row r="55" spans="1:16" ht="13.5" customHeight="1">
      <c r="A55" s="639" t="s">
        <v>449</v>
      </c>
      <c r="B55" s="649"/>
      <c r="C55" s="69">
        <v>80</v>
      </c>
      <c r="D55" s="642" t="s">
        <v>450</v>
      </c>
      <c r="E55" s="646"/>
      <c r="F55" s="646"/>
      <c r="G55" s="77">
        <v>93</v>
      </c>
      <c r="H55" s="650" t="s">
        <v>451</v>
      </c>
      <c r="I55" s="651"/>
      <c r="J55" s="651"/>
      <c r="K55" s="651"/>
      <c r="L55" s="78">
        <v>80</v>
      </c>
      <c r="O55"/>
      <c r="P55"/>
    </row>
    <row r="56" spans="1:16" ht="13.5" customHeight="1">
      <c r="A56" s="639" t="s">
        <v>452</v>
      </c>
      <c r="B56" s="640"/>
      <c r="C56" s="69">
        <v>60</v>
      </c>
      <c r="D56" s="642" t="s">
        <v>453</v>
      </c>
      <c r="E56" s="646"/>
      <c r="F56" s="646"/>
      <c r="G56" s="77">
        <v>70</v>
      </c>
      <c r="H56" s="643" t="s">
        <v>454</v>
      </c>
      <c r="I56" s="644"/>
      <c r="J56" s="644"/>
      <c r="K56" s="645"/>
      <c r="L56" s="78">
        <v>338</v>
      </c>
      <c r="O56"/>
      <c r="P56"/>
    </row>
    <row r="57" spans="1:16" ht="13.5" customHeight="1">
      <c r="A57" s="639" t="s">
        <v>241</v>
      </c>
      <c r="B57" s="640"/>
      <c r="C57" s="69">
        <v>15</v>
      </c>
      <c r="D57" s="642" t="s">
        <v>248</v>
      </c>
      <c r="E57" s="646"/>
      <c r="F57" s="646"/>
      <c r="G57" s="77">
        <v>162</v>
      </c>
      <c r="H57" s="643"/>
      <c r="I57" s="644"/>
      <c r="J57" s="644"/>
      <c r="K57" s="645"/>
      <c r="L57" s="78"/>
      <c r="O57"/>
      <c r="P57"/>
    </row>
    <row r="58" spans="1:16" ht="13.5" customHeight="1">
      <c r="A58" s="647" t="s">
        <v>118</v>
      </c>
      <c r="B58" s="648"/>
      <c r="C58" s="71">
        <v>210</v>
      </c>
      <c r="D58" s="641"/>
      <c r="E58" s="641"/>
      <c r="F58" s="642"/>
      <c r="G58" s="178"/>
      <c r="H58" s="643"/>
      <c r="I58" s="644"/>
      <c r="J58" s="644"/>
      <c r="K58" s="645"/>
      <c r="L58" s="79"/>
      <c r="O58"/>
      <c r="P58"/>
    </row>
    <row r="59" spans="1:16" ht="13.5" customHeight="1">
      <c r="A59" s="639" t="s">
        <v>156</v>
      </c>
      <c r="B59" s="640"/>
      <c r="C59" s="71">
        <v>185</v>
      </c>
      <c r="D59" s="641"/>
      <c r="E59" s="641"/>
      <c r="F59" s="642"/>
      <c r="G59" s="178"/>
      <c r="H59" s="643"/>
      <c r="I59" s="644"/>
      <c r="J59" s="644"/>
      <c r="K59" s="645"/>
      <c r="L59" s="79"/>
      <c r="O59"/>
      <c r="P59"/>
    </row>
    <row r="60" spans="1:16" ht="13.5" customHeight="1">
      <c r="A60" s="639"/>
      <c r="B60" s="640"/>
      <c r="C60" s="69"/>
      <c r="D60" s="642"/>
      <c r="E60" s="646"/>
      <c r="F60" s="646"/>
      <c r="G60" s="77"/>
      <c r="H60" s="643"/>
      <c r="I60" s="644"/>
      <c r="J60" s="644"/>
      <c r="K60" s="645"/>
      <c r="L60" s="78"/>
      <c r="O60"/>
      <c r="P60"/>
    </row>
    <row r="61" spans="1:16" ht="13.5" thickBot="1">
      <c r="A61" s="627"/>
      <c r="B61" s="628"/>
      <c r="C61" s="80"/>
      <c r="D61" s="629"/>
      <c r="E61" s="630"/>
      <c r="F61" s="630"/>
      <c r="G61" s="81"/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73">
        <f>SUM(C54:C61)</f>
        <v>770</v>
      </c>
      <c r="D62" s="635" t="s">
        <v>5</v>
      </c>
      <c r="E62" s="636"/>
      <c r="F62" s="636"/>
      <c r="G62" s="83">
        <f>SUM(G54:G61)</f>
        <v>504</v>
      </c>
      <c r="H62" s="637" t="s">
        <v>5</v>
      </c>
      <c r="I62" s="638"/>
      <c r="J62" s="638"/>
      <c r="K62" s="638"/>
      <c r="L62" s="73">
        <f>SUM(L54:L61)</f>
        <v>568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0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67</v>
      </c>
      <c r="I67" s="580" t="s">
        <v>179</v>
      </c>
      <c r="J67" s="582"/>
      <c r="K67" s="582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48</v>
      </c>
      <c r="C68" s="583" t="s">
        <v>531</v>
      </c>
      <c r="D68" s="583"/>
      <c r="E68" s="159">
        <v>10</v>
      </c>
      <c r="F68" s="584" t="s">
        <v>177</v>
      </c>
      <c r="G68" s="585"/>
      <c r="H68" s="151">
        <v>37</v>
      </c>
      <c r="I68" s="583"/>
      <c r="J68" s="585"/>
      <c r="K68" s="585"/>
      <c r="L68" s="159"/>
      <c r="M68" s="84"/>
      <c r="N68" s="84"/>
    </row>
    <row r="69" spans="1:14" s="1" customFormat="1" ht="12.75">
      <c r="A69" s="158" t="s">
        <v>175</v>
      </c>
      <c r="B69" s="151">
        <v>29</v>
      </c>
      <c r="C69" s="583"/>
      <c r="D69" s="583"/>
      <c r="E69" s="159"/>
      <c r="F69" s="583" t="s">
        <v>175</v>
      </c>
      <c r="G69" s="583"/>
      <c r="H69" s="151">
        <v>0</v>
      </c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77</v>
      </c>
      <c r="C71" s="589" t="s">
        <v>5</v>
      </c>
      <c r="D71" s="589"/>
      <c r="E71" s="165">
        <f>SUM(E67:E70)</f>
        <v>10</v>
      </c>
      <c r="F71" s="590" t="s">
        <v>5</v>
      </c>
      <c r="G71" s="591"/>
      <c r="H71" s="161">
        <f>SUM(H67:H70)</f>
        <v>104</v>
      </c>
      <c r="I71" s="589" t="s">
        <v>5</v>
      </c>
      <c r="J71" s="591"/>
      <c r="K71" s="591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67</v>
      </c>
      <c r="C72" s="84"/>
      <c r="D72" s="84"/>
      <c r="E72" s="84"/>
      <c r="F72" s="592" t="s">
        <v>534</v>
      </c>
      <c r="G72" s="593"/>
      <c r="H72" s="183">
        <f>H71-L71</f>
        <v>104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3.5" thickBot="1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6" ht="12.75">
      <c r="A75" s="601" t="s">
        <v>73</v>
      </c>
      <c r="B75" s="604" t="s">
        <v>74</v>
      </c>
      <c r="C75" s="607" t="s">
        <v>477</v>
      </c>
      <c r="D75" s="608"/>
      <c r="E75" s="608"/>
      <c r="F75" s="608"/>
      <c r="G75" s="608"/>
      <c r="H75" s="608"/>
      <c r="I75" s="609"/>
      <c r="J75" s="610" t="s">
        <v>75</v>
      </c>
      <c r="K75" s="175"/>
      <c r="L75" s="718" t="s">
        <v>48</v>
      </c>
      <c r="M75" s="719"/>
      <c r="N75" s="722">
        <v>2004</v>
      </c>
      <c r="O75" s="724">
        <v>2005</v>
      </c>
      <c r="P75"/>
    </row>
    <row r="76" spans="1:16" ht="13.5" thickBot="1">
      <c r="A76" s="602"/>
      <c r="B76" s="605"/>
      <c r="C76" s="596" t="s">
        <v>76</v>
      </c>
      <c r="D76" s="598" t="s">
        <v>77</v>
      </c>
      <c r="E76" s="599"/>
      <c r="F76" s="599"/>
      <c r="G76" s="599"/>
      <c r="H76" s="599"/>
      <c r="I76" s="600"/>
      <c r="J76" s="611"/>
      <c r="K76" s="176"/>
      <c r="L76" s="720"/>
      <c r="M76" s="721"/>
      <c r="N76" s="723"/>
      <c r="O76" s="725"/>
      <c r="P76"/>
    </row>
    <row r="77" spans="1:16" ht="13.5" thickBot="1">
      <c r="A77" s="603"/>
      <c r="B77" s="606"/>
      <c r="C77" s="597"/>
      <c r="D77" s="115">
        <v>1</v>
      </c>
      <c r="E77" s="115">
        <v>2</v>
      </c>
      <c r="F77" s="115">
        <v>3</v>
      </c>
      <c r="G77" s="115">
        <v>4</v>
      </c>
      <c r="H77" s="115">
        <v>5</v>
      </c>
      <c r="I77" s="172">
        <v>6</v>
      </c>
      <c r="J77" s="612"/>
      <c r="K77" s="177"/>
      <c r="L77" s="173" t="s">
        <v>49</v>
      </c>
      <c r="M77" s="174"/>
      <c r="N77" s="166">
        <v>0</v>
      </c>
      <c r="O77" s="167">
        <v>0</v>
      </c>
      <c r="P77"/>
    </row>
    <row r="78" spans="1:16" ht="13.5" thickBot="1">
      <c r="A78" s="116">
        <v>21536</v>
      </c>
      <c r="B78" s="117">
        <v>11631</v>
      </c>
      <c r="C78" s="170">
        <v>606</v>
      </c>
      <c r="D78" s="171">
        <v>49</v>
      </c>
      <c r="E78" s="171">
        <v>388</v>
      </c>
      <c r="F78" s="171">
        <v>2</v>
      </c>
      <c r="G78" s="171"/>
      <c r="H78" s="170">
        <v>167</v>
      </c>
      <c r="I78" s="185">
        <v>0</v>
      </c>
      <c r="J78" s="118">
        <f>SUM(A78-B78-C78)</f>
        <v>9299</v>
      </c>
      <c r="K78" s="177"/>
      <c r="L78" s="726" t="s">
        <v>50</v>
      </c>
      <c r="M78" s="727"/>
      <c r="N78" s="87">
        <v>0</v>
      </c>
      <c r="O78" s="88">
        <v>0</v>
      </c>
      <c r="P78"/>
    </row>
    <row r="79" spans="1:15" s="1" customFormat="1" ht="13.5" thickBot="1">
      <c r="A79" s="85"/>
      <c r="B79" s="86"/>
      <c r="C79" s="86"/>
      <c r="D79" s="86"/>
      <c r="E79" s="2"/>
      <c r="F79" s="4"/>
      <c r="G79" s="4"/>
      <c r="H79" s="85"/>
      <c r="I79" s="86"/>
      <c r="J79" s="86"/>
      <c r="K79" s="86"/>
      <c r="L79" s="728" t="s">
        <v>178</v>
      </c>
      <c r="M79" s="729"/>
      <c r="N79" s="168">
        <v>0</v>
      </c>
      <c r="O79" s="169">
        <v>0</v>
      </c>
    </row>
    <row r="80" spans="1:12" s="1" customFormat="1" ht="13.5" thickBot="1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618" t="s">
        <v>112</v>
      </c>
      <c r="B81" s="620" t="s">
        <v>482</v>
      </c>
      <c r="C81" s="622" t="s">
        <v>480</v>
      </c>
      <c r="D81" s="623"/>
      <c r="E81" s="623"/>
      <c r="F81" s="624"/>
      <c r="G81" s="625" t="s">
        <v>483</v>
      </c>
      <c r="H81" s="613" t="s">
        <v>78</v>
      </c>
      <c r="I81" s="615" t="s">
        <v>481</v>
      </c>
      <c r="J81" s="616"/>
      <c r="K81" s="616"/>
      <c r="L81" s="617"/>
    </row>
    <row r="82" spans="1:12" s="1" customFormat="1" ht="18.75" thickBot="1">
      <c r="A82" s="619"/>
      <c r="B82" s="621"/>
      <c r="C82" s="119" t="s">
        <v>81</v>
      </c>
      <c r="D82" s="120" t="s">
        <v>79</v>
      </c>
      <c r="E82" s="120" t="s">
        <v>80</v>
      </c>
      <c r="F82" s="121" t="s">
        <v>114</v>
      </c>
      <c r="G82" s="626"/>
      <c r="H82" s="614"/>
      <c r="I82" s="455" t="s">
        <v>484</v>
      </c>
      <c r="J82" s="456" t="s">
        <v>79</v>
      </c>
      <c r="K82" s="456" t="s">
        <v>80</v>
      </c>
      <c r="L82" s="457" t="s">
        <v>485</v>
      </c>
    </row>
    <row r="83" spans="1:12" s="1" customFormat="1" ht="12.75">
      <c r="A83" s="122" t="s">
        <v>82</v>
      </c>
      <c r="B83" s="123">
        <v>2139.6</v>
      </c>
      <c r="C83" s="124" t="s">
        <v>83</v>
      </c>
      <c r="D83" s="125" t="s">
        <v>83</v>
      </c>
      <c r="E83" s="125" t="s">
        <v>83</v>
      </c>
      <c r="F83" s="126" t="s">
        <v>83</v>
      </c>
      <c r="G83" s="127">
        <v>3003.34</v>
      </c>
      <c r="H83" s="452" t="s">
        <v>83</v>
      </c>
      <c r="I83" s="458" t="s">
        <v>83</v>
      </c>
      <c r="J83" s="459" t="s">
        <v>83</v>
      </c>
      <c r="K83" s="459" t="s">
        <v>83</v>
      </c>
      <c r="L83" s="460" t="s">
        <v>83</v>
      </c>
    </row>
    <row r="84" spans="1:12" s="1" customFormat="1" ht="12.75">
      <c r="A84" s="128" t="s">
        <v>84</v>
      </c>
      <c r="B84" s="129">
        <v>0</v>
      </c>
      <c r="C84" s="130">
        <v>0</v>
      </c>
      <c r="D84" s="131">
        <v>12</v>
      </c>
      <c r="E84" s="131">
        <v>0</v>
      </c>
      <c r="F84" s="132">
        <v>12.14</v>
      </c>
      <c r="G84" s="133">
        <v>12.14</v>
      </c>
      <c r="H84" s="453">
        <f>+G84-F84</f>
        <v>0</v>
      </c>
      <c r="I84" s="130">
        <v>12</v>
      </c>
      <c r="J84" s="131">
        <v>0</v>
      </c>
      <c r="K84" s="131">
        <v>0</v>
      </c>
      <c r="L84" s="132">
        <f>I84+J84-K84</f>
        <v>12</v>
      </c>
    </row>
    <row r="85" spans="1:12" s="1" customFormat="1" ht="12.75">
      <c r="A85" s="128" t="s">
        <v>85</v>
      </c>
      <c r="B85" s="129">
        <v>0</v>
      </c>
      <c r="C85" s="130">
        <v>0</v>
      </c>
      <c r="D85" s="131">
        <v>77</v>
      </c>
      <c r="E85" s="131">
        <v>10</v>
      </c>
      <c r="F85" s="132">
        <v>67.3</v>
      </c>
      <c r="G85" s="133">
        <v>67.3</v>
      </c>
      <c r="H85" s="453">
        <f>+G85-F85</f>
        <v>0</v>
      </c>
      <c r="I85" s="130">
        <v>67</v>
      </c>
      <c r="J85" s="131">
        <v>37</v>
      </c>
      <c r="K85" s="131">
        <v>0</v>
      </c>
      <c r="L85" s="132">
        <f>I85+J85-K85</f>
        <v>104</v>
      </c>
    </row>
    <row r="86" spans="1:12" s="1" customFormat="1" ht="12.75">
      <c r="A86" s="128" t="s">
        <v>113</v>
      </c>
      <c r="B86" s="129">
        <v>763.46</v>
      </c>
      <c r="C86" s="130">
        <v>763.46</v>
      </c>
      <c r="D86" s="131">
        <v>1134</v>
      </c>
      <c r="E86" s="131">
        <v>1302</v>
      </c>
      <c r="F86" s="132">
        <v>595.09</v>
      </c>
      <c r="G86" s="133">
        <v>595.09</v>
      </c>
      <c r="H86" s="453">
        <f>+G86-F86</f>
        <v>0</v>
      </c>
      <c r="I86" s="461">
        <v>595</v>
      </c>
      <c r="J86" s="447">
        <v>606</v>
      </c>
      <c r="K86" s="447">
        <v>850</v>
      </c>
      <c r="L86" s="132">
        <f>I86+J86-K86</f>
        <v>351</v>
      </c>
    </row>
    <row r="87" spans="1:12" s="1" customFormat="1" ht="12.75">
      <c r="A87" s="128" t="s">
        <v>86</v>
      </c>
      <c r="B87" s="129">
        <v>1376.14</v>
      </c>
      <c r="C87" s="146" t="s">
        <v>83</v>
      </c>
      <c r="D87" s="125" t="s">
        <v>83</v>
      </c>
      <c r="E87" s="147" t="s">
        <v>83</v>
      </c>
      <c r="F87" s="148" t="s">
        <v>83</v>
      </c>
      <c r="G87" s="133">
        <v>2328.81</v>
      </c>
      <c r="H87" s="146" t="s">
        <v>83</v>
      </c>
      <c r="I87" s="124" t="s">
        <v>83</v>
      </c>
      <c r="J87" s="125" t="s">
        <v>83</v>
      </c>
      <c r="K87" s="125" t="s">
        <v>83</v>
      </c>
      <c r="L87" s="462"/>
    </row>
    <row r="88" spans="1:12" s="1" customFormat="1" ht="13.5" thickBot="1">
      <c r="A88" s="134" t="s">
        <v>87</v>
      </c>
      <c r="B88" s="135">
        <v>82.8</v>
      </c>
      <c r="C88" s="136">
        <v>90.43</v>
      </c>
      <c r="D88" s="137">
        <v>270</v>
      </c>
      <c r="E88" s="137">
        <v>322</v>
      </c>
      <c r="F88" s="138">
        <v>38.07</v>
      </c>
      <c r="G88" s="139">
        <v>48.63</v>
      </c>
      <c r="H88" s="454">
        <f>+G88-F88</f>
        <v>10.560000000000002</v>
      </c>
      <c r="I88" s="136">
        <v>38</v>
      </c>
      <c r="J88" s="137">
        <v>299</v>
      </c>
      <c r="K88" s="137">
        <v>328</v>
      </c>
      <c r="L88" s="138">
        <f>I88+J88-K88</f>
        <v>9</v>
      </c>
    </row>
    <row r="89" spans="1:12" s="1" customFormat="1" ht="12.75">
      <c r="A89" s="85"/>
      <c r="B89" s="86"/>
      <c r="C89" s="86"/>
      <c r="D89" s="86"/>
      <c r="E89" s="2"/>
      <c r="F89" s="4"/>
      <c r="G89" s="4"/>
      <c r="H89" s="85"/>
      <c r="I89" s="86"/>
      <c r="J89" s="86"/>
      <c r="K89" s="86"/>
      <c r="L89" s="2"/>
    </row>
    <row r="90" spans="1:12" s="1" customFormat="1" ht="12.75">
      <c r="A90" s="85"/>
      <c r="B90" s="86"/>
      <c r="C90" s="86"/>
      <c r="D90" s="86"/>
      <c r="E90" s="2"/>
      <c r="F90" s="4"/>
      <c r="G90" s="4"/>
      <c r="H90" s="85"/>
      <c r="I90" s="86"/>
      <c r="J90" s="86"/>
      <c r="K90" s="86"/>
      <c r="L90" s="2"/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/>
      <c r="E95" s="131"/>
      <c r="F95" s="131"/>
      <c r="G95" s="129"/>
      <c r="H95" s="132">
        <f>SUM(C95:G95)</f>
        <v>0</v>
      </c>
      <c r="I95" s="89"/>
      <c r="J95" s="93">
        <v>2005</v>
      </c>
      <c r="K95" s="94">
        <v>13488</v>
      </c>
      <c r="L95" s="95">
        <f>+G29</f>
        <v>13488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L29</f>
        <v>14986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4.64</v>
      </c>
      <c r="C101" s="103">
        <v>4</v>
      </c>
      <c r="D101" s="103">
        <f>+C101-B101</f>
        <v>-0.6399999999999997</v>
      </c>
      <c r="E101" s="103">
        <v>4</v>
      </c>
      <c r="F101" s="103">
        <v>4</v>
      </c>
      <c r="G101" s="104">
        <f>+F101-E101</f>
        <v>0</v>
      </c>
      <c r="H101" s="105">
        <v>17834</v>
      </c>
      <c r="I101" s="106">
        <v>20952</v>
      </c>
      <c r="J101" s="107">
        <f>+I101-H101</f>
        <v>3118</v>
      </c>
    </row>
    <row r="102" spans="1:10" ht="12.75">
      <c r="A102" s="102" t="s">
        <v>98</v>
      </c>
      <c r="B102" s="103">
        <v>23.826</v>
      </c>
      <c r="C102" s="103">
        <v>18.902</v>
      </c>
      <c r="D102" s="103">
        <f aca="true" t="shared" si="12" ref="D102:D111">+C102-B102</f>
        <v>-4.9239999999999995</v>
      </c>
      <c r="E102" s="103">
        <v>21.8</v>
      </c>
      <c r="F102" s="103">
        <v>18.8</v>
      </c>
      <c r="G102" s="104">
        <f aca="true" t="shared" si="13" ref="G102:G111">+F102-E102</f>
        <v>-3</v>
      </c>
      <c r="H102" s="105">
        <v>16124</v>
      </c>
      <c r="I102" s="108">
        <v>18403</v>
      </c>
      <c r="J102" s="107">
        <f aca="true" t="shared" si="14" ref="J102:J111">+I102-H102</f>
        <v>2279</v>
      </c>
    </row>
    <row r="103" spans="1:10" ht="12.75">
      <c r="A103" s="102" t="s">
        <v>60</v>
      </c>
      <c r="B103" s="103">
        <v>0.5</v>
      </c>
      <c r="C103" s="103">
        <v>0</v>
      </c>
      <c r="D103" s="103">
        <f t="shared" si="12"/>
        <v>-0.5</v>
      </c>
      <c r="E103" s="103">
        <v>0</v>
      </c>
      <c r="F103" s="103">
        <v>0</v>
      </c>
      <c r="G103" s="104">
        <f t="shared" si="13"/>
        <v>0</v>
      </c>
      <c r="H103" s="105">
        <v>13341</v>
      </c>
      <c r="I103" s="108">
        <v>0</v>
      </c>
      <c r="J103" s="107">
        <v>0</v>
      </c>
    </row>
    <row r="104" spans="1:10" ht="12.75">
      <c r="A104" s="102" t="s">
        <v>61</v>
      </c>
      <c r="B104" s="103">
        <v>18.753</v>
      </c>
      <c r="C104" s="103">
        <v>19.997</v>
      </c>
      <c r="D104" s="103">
        <f t="shared" si="12"/>
        <v>1.2439999999999998</v>
      </c>
      <c r="E104" s="103">
        <v>19</v>
      </c>
      <c r="F104" s="103">
        <v>20</v>
      </c>
      <c r="G104" s="104">
        <f t="shared" si="13"/>
        <v>1</v>
      </c>
      <c r="H104" s="105">
        <v>12009</v>
      </c>
      <c r="I104" s="108">
        <v>13150</v>
      </c>
      <c r="J104" s="107">
        <f t="shared" si="14"/>
        <v>1141</v>
      </c>
    </row>
    <row r="105" spans="1:10" ht="12.75">
      <c r="A105" s="102" t="s">
        <v>99</v>
      </c>
      <c r="B105" s="103">
        <v>0</v>
      </c>
      <c r="C105" s="103">
        <v>0</v>
      </c>
      <c r="D105" s="103">
        <f t="shared" si="12"/>
        <v>0</v>
      </c>
      <c r="E105" s="103">
        <v>0</v>
      </c>
      <c r="F105" s="103">
        <v>0</v>
      </c>
      <c r="G105" s="104">
        <f t="shared" si="13"/>
        <v>0</v>
      </c>
      <c r="H105" s="105">
        <v>0</v>
      </c>
      <c r="I105" s="108">
        <v>0</v>
      </c>
      <c r="J105" s="107">
        <f t="shared" si="14"/>
        <v>0</v>
      </c>
    </row>
    <row r="106" spans="1:10" ht="12.75">
      <c r="A106" s="102" t="s">
        <v>63</v>
      </c>
      <c r="B106" s="103">
        <v>0</v>
      </c>
      <c r="C106" s="103">
        <v>0</v>
      </c>
      <c r="D106" s="103">
        <f t="shared" si="12"/>
        <v>0</v>
      </c>
      <c r="E106" s="103">
        <v>0</v>
      </c>
      <c r="F106" s="103">
        <v>0</v>
      </c>
      <c r="G106" s="104">
        <f t="shared" si="13"/>
        <v>0</v>
      </c>
      <c r="H106" s="105">
        <v>0</v>
      </c>
      <c r="I106" s="108">
        <v>0</v>
      </c>
      <c r="J106" s="107">
        <f t="shared" si="14"/>
        <v>0</v>
      </c>
    </row>
    <row r="107" spans="1:10" ht="12.75">
      <c r="A107" s="102" t="s">
        <v>64</v>
      </c>
      <c r="B107" s="103">
        <v>0</v>
      </c>
      <c r="C107" s="103">
        <v>0</v>
      </c>
      <c r="D107" s="103">
        <f t="shared" si="12"/>
        <v>0</v>
      </c>
      <c r="E107" s="103">
        <v>0</v>
      </c>
      <c r="F107" s="103">
        <v>0</v>
      </c>
      <c r="G107" s="104">
        <f t="shared" si="13"/>
        <v>0</v>
      </c>
      <c r="H107" s="105">
        <v>0</v>
      </c>
      <c r="I107" s="108">
        <v>0</v>
      </c>
      <c r="J107" s="107">
        <f t="shared" si="14"/>
        <v>0</v>
      </c>
    </row>
    <row r="108" spans="1:10" ht="12.75">
      <c r="A108" s="102" t="s">
        <v>65</v>
      </c>
      <c r="B108" s="103">
        <v>8.165</v>
      </c>
      <c r="C108" s="103">
        <v>7.967</v>
      </c>
      <c r="D108" s="103">
        <f t="shared" si="12"/>
        <v>-0.1979999999999995</v>
      </c>
      <c r="E108" s="103">
        <v>10.95</v>
      </c>
      <c r="F108" s="103">
        <v>7.2</v>
      </c>
      <c r="G108" s="104">
        <f t="shared" si="13"/>
        <v>-3.749999999999999</v>
      </c>
      <c r="H108" s="105">
        <v>8479</v>
      </c>
      <c r="I108" s="108">
        <v>11805</v>
      </c>
      <c r="J108" s="107">
        <f t="shared" si="14"/>
        <v>3326</v>
      </c>
    </row>
    <row r="109" spans="1:10" ht="12.75">
      <c r="A109" s="102" t="s">
        <v>66</v>
      </c>
      <c r="B109" s="103">
        <v>2.25</v>
      </c>
      <c r="C109" s="103">
        <v>2</v>
      </c>
      <c r="D109" s="103">
        <f t="shared" si="12"/>
        <v>-0.25</v>
      </c>
      <c r="E109" s="103">
        <v>2</v>
      </c>
      <c r="F109" s="103">
        <v>2</v>
      </c>
      <c r="G109" s="104">
        <f t="shared" si="13"/>
        <v>0</v>
      </c>
      <c r="H109" s="105">
        <v>12101</v>
      </c>
      <c r="I109" s="108">
        <v>17140</v>
      </c>
      <c r="J109" s="107">
        <f t="shared" si="14"/>
        <v>5039</v>
      </c>
    </row>
    <row r="110" spans="1:10" ht="12.75">
      <c r="A110" s="102" t="s">
        <v>67</v>
      </c>
      <c r="B110" s="103">
        <v>26.947</v>
      </c>
      <c r="C110" s="103">
        <v>28.163</v>
      </c>
      <c r="D110" s="103">
        <f t="shared" si="12"/>
        <v>1.216000000000001</v>
      </c>
      <c r="E110" s="103">
        <v>28.314</v>
      </c>
      <c r="F110" s="103">
        <v>28.314</v>
      </c>
      <c r="G110" s="104">
        <f t="shared" si="13"/>
        <v>0</v>
      </c>
      <c r="H110" s="105">
        <v>9404</v>
      </c>
      <c r="I110" s="108">
        <v>10689</v>
      </c>
      <c r="J110" s="107">
        <f t="shared" si="14"/>
        <v>1285</v>
      </c>
    </row>
    <row r="111" spans="1:10" ht="13.5" thickBot="1">
      <c r="A111" s="109" t="s">
        <v>5</v>
      </c>
      <c r="B111" s="110">
        <v>85.09</v>
      </c>
      <c r="C111" s="110">
        <v>81.029</v>
      </c>
      <c r="D111" s="110">
        <f t="shared" si="12"/>
        <v>-4.061000000000007</v>
      </c>
      <c r="E111" s="110">
        <v>86.06</v>
      </c>
      <c r="F111" s="110">
        <v>80.314</v>
      </c>
      <c r="G111" s="111">
        <f t="shared" si="13"/>
        <v>-5.746000000000009</v>
      </c>
      <c r="H111" s="112">
        <v>12325</v>
      </c>
      <c r="I111" s="113">
        <v>13872</v>
      </c>
      <c r="J111" s="114">
        <f t="shared" si="14"/>
        <v>1547</v>
      </c>
    </row>
    <row r="112" ht="13.5" thickBot="1"/>
    <row r="113" spans="1:16" ht="12.75">
      <c r="A113" s="706" t="s">
        <v>68</v>
      </c>
      <c r="B113" s="707"/>
      <c r="C113" s="708"/>
      <c r="D113" s="89"/>
      <c r="E113" s="706" t="s">
        <v>69</v>
      </c>
      <c r="F113" s="707"/>
      <c r="G113" s="708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709" t="s">
        <v>72</v>
      </c>
      <c r="G114" s="71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81</v>
      </c>
      <c r="C115" s="95">
        <v>81</v>
      </c>
      <c r="D115" s="89"/>
      <c r="E115" s="93">
        <v>2005</v>
      </c>
      <c r="F115" s="711">
        <v>180</v>
      </c>
      <c r="G115" s="624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85</v>
      </c>
      <c r="C116" s="98"/>
      <c r="D116" s="89"/>
      <c r="E116" s="96">
        <v>2006</v>
      </c>
      <c r="F116" s="704">
        <v>180</v>
      </c>
      <c r="G116" s="705"/>
      <c r="H116"/>
      <c r="I116"/>
      <c r="J116"/>
      <c r="K116"/>
      <c r="L116"/>
      <c r="M116"/>
      <c r="N116"/>
      <c r="O116"/>
      <c r="P116"/>
    </row>
  </sheetData>
  <mergeCells count="124">
    <mergeCell ref="C67:D67"/>
    <mergeCell ref="F67:G67"/>
    <mergeCell ref="I67:K67"/>
    <mergeCell ref="C68:D68"/>
    <mergeCell ref="F68:G68"/>
    <mergeCell ref="I68:K68"/>
    <mergeCell ref="A62:B62"/>
    <mergeCell ref="D62:F62"/>
    <mergeCell ref="F66:G66"/>
    <mergeCell ref="I66:K66"/>
    <mergeCell ref="A93:A94"/>
    <mergeCell ref="B93:B94"/>
    <mergeCell ref="H62:K62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L52:L53"/>
    <mergeCell ref="A54:B54"/>
    <mergeCell ref="D54:F54"/>
    <mergeCell ref="H54:K54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E39:G39"/>
    <mergeCell ref="B38:D38"/>
    <mergeCell ref="E38:G38"/>
    <mergeCell ref="B39:D39"/>
    <mergeCell ref="M2:N2"/>
    <mergeCell ref="J38:L38"/>
    <mergeCell ref="B3:N3"/>
    <mergeCell ref="H4:I4"/>
    <mergeCell ref="M4:N4"/>
    <mergeCell ref="A3:A6"/>
    <mergeCell ref="C93:H93"/>
    <mergeCell ref="J93:L93"/>
    <mergeCell ref="A99:A100"/>
    <mergeCell ref="B99:D99"/>
    <mergeCell ref="E99:G99"/>
    <mergeCell ref="H99:J99"/>
    <mergeCell ref="A65:E65"/>
    <mergeCell ref="F65:L65"/>
    <mergeCell ref="C66:D66"/>
    <mergeCell ref="F116:G116"/>
    <mergeCell ref="A113:C113"/>
    <mergeCell ref="E113:G113"/>
    <mergeCell ref="F114:G114"/>
    <mergeCell ref="F115:G115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A75:A77"/>
    <mergeCell ref="B75:B77"/>
    <mergeCell ref="C75:I75"/>
    <mergeCell ref="C76:C77"/>
    <mergeCell ref="D76:I76"/>
    <mergeCell ref="J75:J77"/>
    <mergeCell ref="L75:M76"/>
    <mergeCell ref="N75:N76"/>
    <mergeCell ref="O75:O76"/>
    <mergeCell ref="L78:M78"/>
    <mergeCell ref="L79:M79"/>
    <mergeCell ref="A81:A82"/>
    <mergeCell ref="B81:B82"/>
    <mergeCell ref="C81:F81"/>
    <mergeCell ref="G81:G82"/>
    <mergeCell ref="H81:H82"/>
    <mergeCell ref="I81:L81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Normal="95" zoomScaleSheetLayoutView="100" workbookViewId="0" topLeftCell="A73">
      <selection activeCell="M86" sqref="M86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84" t="s">
        <v>0</v>
      </c>
      <c r="B3" s="686" t="s">
        <v>433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59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>
        <v>127</v>
      </c>
      <c r="C7" s="428"/>
      <c r="D7" s="433">
        <f>SUM(B7:C7)</f>
        <v>127</v>
      </c>
      <c r="E7" s="427">
        <v>136</v>
      </c>
      <c r="F7" s="428"/>
      <c r="G7" s="433">
        <f>SUM(E7:F7)</f>
        <v>136</v>
      </c>
      <c r="H7" s="464">
        <f>+G7-D7</f>
        <v>9</v>
      </c>
      <c r="I7" s="471">
        <f>+G7/D7</f>
        <v>1.0708661417322836</v>
      </c>
      <c r="J7" s="427">
        <v>136</v>
      </c>
      <c r="K7" s="428"/>
      <c r="L7" s="433">
        <f>SUM(J7:K7)</f>
        <v>136</v>
      </c>
      <c r="M7" s="464">
        <f>+L7-G7</f>
        <v>0</v>
      </c>
      <c r="N7" s="441">
        <f>+L7/G7</f>
        <v>1</v>
      </c>
    </row>
    <row r="8" spans="1:14" ht="13.5" customHeight="1">
      <c r="A8" s="509" t="s">
        <v>11</v>
      </c>
      <c r="B8" s="37">
        <v>4229</v>
      </c>
      <c r="C8" s="33"/>
      <c r="D8" s="434">
        <f>SUM(B8:C8)</f>
        <v>4229</v>
      </c>
      <c r="E8" s="37">
        <v>4565</v>
      </c>
      <c r="F8" s="33"/>
      <c r="G8" s="434">
        <f>SUM(E8:F8)</f>
        <v>4565</v>
      </c>
      <c r="H8" s="465">
        <f>+G8-D8</f>
        <v>336</v>
      </c>
      <c r="I8" s="36">
        <f>+G8/D8</f>
        <v>1.079451406951998</v>
      </c>
      <c r="J8" s="37">
        <v>4695</v>
      </c>
      <c r="K8" s="33"/>
      <c r="L8" s="434">
        <f>SUM(J8:K8)</f>
        <v>4695</v>
      </c>
      <c r="M8" s="465">
        <f>+L8-G8</f>
        <v>130</v>
      </c>
      <c r="N8" s="39">
        <f>+L8/G8</f>
        <v>1.0284775465498357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16</v>
      </c>
      <c r="C11" s="33"/>
      <c r="D11" s="434">
        <f t="shared" si="0"/>
        <v>16</v>
      </c>
      <c r="E11" s="37">
        <v>8</v>
      </c>
      <c r="F11" s="33"/>
      <c r="G11" s="434">
        <f t="shared" si="1"/>
        <v>8</v>
      </c>
      <c r="H11" s="465">
        <f t="shared" si="2"/>
        <v>-8</v>
      </c>
      <c r="I11" s="36">
        <f aca="true" t="shared" si="5" ref="I11:I37">+G11/D11</f>
        <v>0.5</v>
      </c>
      <c r="J11" s="37">
        <v>2</v>
      </c>
      <c r="K11" s="33"/>
      <c r="L11" s="434">
        <f t="shared" si="3"/>
        <v>2</v>
      </c>
      <c r="M11" s="465">
        <f t="shared" si="4"/>
        <v>-6</v>
      </c>
      <c r="N11" s="39">
        <f aca="true" t="shared" si="6" ref="N11:N37">+L11/G11</f>
        <v>0.25</v>
      </c>
    </row>
    <row r="12" spans="1:14" ht="13.5" customHeight="1">
      <c r="A12" s="510" t="s">
        <v>15</v>
      </c>
      <c r="B12" s="37"/>
      <c r="C12" s="33"/>
      <c r="D12" s="434">
        <f t="shared" si="0"/>
        <v>0</v>
      </c>
      <c r="E12" s="37"/>
      <c r="F12" s="33"/>
      <c r="G12" s="434">
        <f t="shared" si="1"/>
        <v>0</v>
      </c>
      <c r="H12" s="465">
        <f t="shared" si="2"/>
        <v>0</v>
      </c>
      <c r="I12" s="36"/>
      <c r="J12" s="37"/>
      <c r="K12" s="33"/>
      <c r="L12" s="434">
        <f t="shared" si="3"/>
        <v>0</v>
      </c>
      <c r="M12" s="465">
        <f t="shared" si="4"/>
        <v>0</v>
      </c>
      <c r="N12" s="39"/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8430</v>
      </c>
      <c r="C15" s="33"/>
      <c r="D15" s="434">
        <f t="shared" si="0"/>
        <v>8430</v>
      </c>
      <c r="E15" s="37">
        <v>9160</v>
      </c>
      <c r="F15" s="33"/>
      <c r="G15" s="434">
        <f t="shared" si="1"/>
        <v>9160</v>
      </c>
      <c r="H15" s="465">
        <f t="shared" si="2"/>
        <v>730</v>
      </c>
      <c r="I15" s="36">
        <f t="shared" si="5"/>
        <v>1.0865954922894425</v>
      </c>
      <c r="J15" s="57">
        <f>SUM(J16:J17)</f>
        <v>10028</v>
      </c>
      <c r="K15" s="33"/>
      <c r="L15" s="434">
        <f t="shared" si="3"/>
        <v>10028</v>
      </c>
      <c r="M15" s="465">
        <f t="shared" si="4"/>
        <v>868</v>
      </c>
      <c r="N15" s="39">
        <f t="shared" si="6"/>
        <v>1.0947598253275108</v>
      </c>
    </row>
    <row r="16" spans="1:14" ht="13.5" customHeight="1">
      <c r="A16" s="511" t="s">
        <v>476</v>
      </c>
      <c r="B16" s="37"/>
      <c r="C16" s="33"/>
      <c r="D16" s="434"/>
      <c r="E16" s="37">
        <v>8480</v>
      </c>
      <c r="F16" s="33"/>
      <c r="G16" s="434">
        <f t="shared" si="1"/>
        <v>8480</v>
      </c>
      <c r="H16" s="465"/>
      <c r="I16" s="36"/>
      <c r="J16" s="57">
        <f>8994</f>
        <v>8994</v>
      </c>
      <c r="K16" s="33"/>
      <c r="L16" s="434">
        <f t="shared" si="3"/>
        <v>8994</v>
      </c>
      <c r="M16" s="465">
        <f t="shared" si="4"/>
        <v>514</v>
      </c>
      <c r="N16" s="39">
        <f t="shared" si="6"/>
        <v>1.0606132075471697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680</v>
      </c>
      <c r="F17" s="431"/>
      <c r="G17" s="434">
        <f t="shared" si="1"/>
        <v>680</v>
      </c>
      <c r="H17" s="466"/>
      <c r="I17" s="472"/>
      <c r="J17" s="438">
        <v>1034</v>
      </c>
      <c r="K17" s="431"/>
      <c r="L17" s="434">
        <f t="shared" si="3"/>
        <v>1034</v>
      </c>
      <c r="M17" s="465">
        <f t="shared" si="4"/>
        <v>354</v>
      </c>
      <c r="N17" s="39">
        <f t="shared" si="6"/>
        <v>1.5205882352941176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12802</v>
      </c>
      <c r="C18" s="425">
        <f t="shared" si="7"/>
        <v>0</v>
      </c>
      <c r="D18" s="426">
        <f t="shared" si="7"/>
        <v>12802</v>
      </c>
      <c r="E18" s="424">
        <f t="shared" si="7"/>
        <v>13869</v>
      </c>
      <c r="F18" s="425">
        <f t="shared" si="7"/>
        <v>0</v>
      </c>
      <c r="G18" s="426">
        <f t="shared" si="7"/>
        <v>13869</v>
      </c>
      <c r="H18" s="369">
        <f t="shared" si="2"/>
        <v>1067</v>
      </c>
      <c r="I18" s="63">
        <f t="shared" si="5"/>
        <v>1.0833463521324793</v>
      </c>
      <c r="J18" s="437">
        <f>SUM(J7+J8+J9+J10+J11+J13+J15)</f>
        <v>14861</v>
      </c>
      <c r="K18" s="425">
        <f>SUM(K7+K8+K9+K10+K11+K13+K15)</f>
        <v>0</v>
      </c>
      <c r="L18" s="426">
        <f>SUM(L7+L8+L9+L10+L11+L13+L15)</f>
        <v>14861</v>
      </c>
      <c r="M18" s="369">
        <f t="shared" si="4"/>
        <v>992</v>
      </c>
      <c r="N18" s="370">
        <f t="shared" si="6"/>
        <v>1.0715264258418056</v>
      </c>
    </row>
    <row r="19" spans="1:14" ht="13.5" customHeight="1">
      <c r="A19" s="54" t="s">
        <v>20</v>
      </c>
      <c r="B19" s="25">
        <v>2612</v>
      </c>
      <c r="C19" s="26"/>
      <c r="D19" s="34">
        <f aca="true" t="shared" si="8" ref="D19:D36">SUM(B19:C19)</f>
        <v>2612</v>
      </c>
      <c r="E19" s="25">
        <v>3201</v>
      </c>
      <c r="F19" s="26"/>
      <c r="G19" s="27">
        <f>SUM(E19:F19)</f>
        <v>3201</v>
      </c>
      <c r="H19" s="28">
        <f t="shared" si="2"/>
        <v>589</v>
      </c>
      <c r="I19" s="55">
        <f t="shared" si="5"/>
        <v>1.2254977029096479</v>
      </c>
      <c r="J19" s="29">
        <v>2700</v>
      </c>
      <c r="K19" s="26"/>
      <c r="L19" s="30">
        <f>SUM(J19:K19)</f>
        <v>2700</v>
      </c>
      <c r="M19" s="28">
        <f t="shared" si="4"/>
        <v>-501</v>
      </c>
      <c r="N19" s="56">
        <f t="shared" si="6"/>
        <v>0.8434864104967198</v>
      </c>
    </row>
    <row r="20" spans="1:14" ht="21" customHeight="1">
      <c r="A20" s="40" t="s">
        <v>21</v>
      </c>
      <c r="B20" s="25">
        <v>281</v>
      </c>
      <c r="C20" s="26"/>
      <c r="D20" s="34">
        <f t="shared" si="8"/>
        <v>281</v>
      </c>
      <c r="E20" s="25">
        <v>993</v>
      </c>
      <c r="F20" s="26"/>
      <c r="G20" s="27">
        <f aca="true" t="shared" si="9" ref="G20:G36">SUM(E20:F20)</f>
        <v>993</v>
      </c>
      <c r="H20" s="35">
        <f t="shared" si="2"/>
        <v>712</v>
      </c>
      <c r="I20" s="36">
        <f t="shared" si="5"/>
        <v>3.5338078291814945</v>
      </c>
      <c r="J20" s="29">
        <v>300</v>
      </c>
      <c r="K20" s="26"/>
      <c r="L20" s="30">
        <f aca="true" t="shared" si="10" ref="L20:L36">SUM(J20:K20)</f>
        <v>300</v>
      </c>
      <c r="M20" s="35">
        <f t="shared" si="4"/>
        <v>-693</v>
      </c>
      <c r="N20" s="39">
        <f t="shared" si="6"/>
        <v>0.3021148036253776</v>
      </c>
    </row>
    <row r="21" spans="1:14" ht="13.5" customHeight="1">
      <c r="A21" s="31" t="s">
        <v>22</v>
      </c>
      <c r="B21" s="32">
        <v>650</v>
      </c>
      <c r="C21" s="33"/>
      <c r="D21" s="34">
        <f t="shared" si="8"/>
        <v>650</v>
      </c>
      <c r="E21" s="32">
        <v>625</v>
      </c>
      <c r="F21" s="33"/>
      <c r="G21" s="27">
        <f t="shared" si="9"/>
        <v>625</v>
      </c>
      <c r="H21" s="35">
        <f t="shared" si="2"/>
        <v>-25</v>
      </c>
      <c r="I21" s="36">
        <f t="shared" si="5"/>
        <v>0.9615384615384616</v>
      </c>
      <c r="J21" s="37">
        <v>625</v>
      </c>
      <c r="K21" s="33"/>
      <c r="L21" s="30">
        <f t="shared" si="10"/>
        <v>625</v>
      </c>
      <c r="M21" s="35">
        <f t="shared" si="4"/>
        <v>0</v>
      </c>
      <c r="N21" s="39">
        <f t="shared" si="6"/>
        <v>1</v>
      </c>
    </row>
    <row r="22" spans="1:14" ht="13.5" customHeight="1">
      <c r="A22" s="40" t="s">
        <v>23</v>
      </c>
      <c r="B22" s="32"/>
      <c r="C22" s="33"/>
      <c r="D22" s="34">
        <f t="shared" si="8"/>
        <v>0</v>
      </c>
      <c r="E22" s="32"/>
      <c r="F22" s="33"/>
      <c r="G22" s="27">
        <f t="shared" si="9"/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1061</v>
      </c>
      <c r="C24" s="33"/>
      <c r="D24" s="34">
        <f t="shared" si="8"/>
        <v>1061</v>
      </c>
      <c r="E24" s="37">
        <v>1106</v>
      </c>
      <c r="F24" s="33"/>
      <c r="G24" s="27">
        <f t="shared" si="9"/>
        <v>1106</v>
      </c>
      <c r="H24" s="35">
        <f t="shared" si="2"/>
        <v>45</v>
      </c>
      <c r="I24" s="36">
        <f t="shared" si="5"/>
        <v>1.0424128180961356</v>
      </c>
      <c r="J24" s="37">
        <v>1155</v>
      </c>
      <c r="K24" s="33"/>
      <c r="L24" s="30">
        <f t="shared" si="10"/>
        <v>1155</v>
      </c>
      <c r="M24" s="35">
        <f t="shared" si="4"/>
        <v>49</v>
      </c>
      <c r="N24" s="39">
        <f t="shared" si="6"/>
        <v>1.0443037974683544</v>
      </c>
    </row>
    <row r="25" spans="1:14" ht="13.5" customHeight="1">
      <c r="A25" s="40" t="s">
        <v>26</v>
      </c>
      <c r="B25" s="32">
        <v>572</v>
      </c>
      <c r="C25" s="33"/>
      <c r="D25" s="34">
        <f t="shared" si="8"/>
        <v>572</v>
      </c>
      <c r="E25" s="32">
        <v>332</v>
      </c>
      <c r="F25" s="33"/>
      <c r="G25" s="27">
        <f t="shared" si="9"/>
        <v>332</v>
      </c>
      <c r="H25" s="35">
        <f t="shared" si="2"/>
        <v>-240</v>
      </c>
      <c r="I25" s="36">
        <f t="shared" si="5"/>
        <v>0.5804195804195804</v>
      </c>
      <c r="J25" s="57">
        <v>400</v>
      </c>
      <c r="K25" s="33"/>
      <c r="L25" s="30">
        <f t="shared" si="10"/>
        <v>400</v>
      </c>
      <c r="M25" s="35">
        <f t="shared" si="4"/>
        <v>68</v>
      </c>
      <c r="N25" s="39">
        <f t="shared" si="6"/>
        <v>1.2048192771084338</v>
      </c>
    </row>
    <row r="26" spans="1:14" ht="13.5" customHeight="1">
      <c r="A26" s="31" t="s">
        <v>27</v>
      </c>
      <c r="B26" s="32">
        <v>489</v>
      </c>
      <c r="C26" s="33"/>
      <c r="D26" s="34">
        <f t="shared" si="8"/>
        <v>489</v>
      </c>
      <c r="E26" s="32">
        <v>774</v>
      </c>
      <c r="F26" s="33"/>
      <c r="G26" s="27">
        <f t="shared" si="9"/>
        <v>774</v>
      </c>
      <c r="H26" s="35">
        <f t="shared" si="2"/>
        <v>285</v>
      </c>
      <c r="I26" s="36">
        <f t="shared" si="5"/>
        <v>1.5828220858895705</v>
      </c>
      <c r="J26" s="57">
        <v>755</v>
      </c>
      <c r="K26" s="33"/>
      <c r="L26" s="30">
        <f t="shared" si="10"/>
        <v>755</v>
      </c>
      <c r="M26" s="35">
        <f t="shared" si="4"/>
        <v>-19</v>
      </c>
      <c r="N26" s="39">
        <f t="shared" si="6"/>
        <v>0.975452196382429</v>
      </c>
    </row>
    <row r="27" spans="1:14" ht="13.5" customHeight="1">
      <c r="A27" s="58" t="s">
        <v>28</v>
      </c>
      <c r="B27" s="37">
        <v>8063</v>
      </c>
      <c r="C27" s="33"/>
      <c r="D27" s="34">
        <f t="shared" si="8"/>
        <v>8063</v>
      </c>
      <c r="E27" s="37">
        <v>8380</v>
      </c>
      <c r="F27" s="33"/>
      <c r="G27" s="27">
        <f t="shared" si="9"/>
        <v>8380</v>
      </c>
      <c r="H27" s="35">
        <f t="shared" si="2"/>
        <v>317</v>
      </c>
      <c r="I27" s="36">
        <f t="shared" si="5"/>
        <v>1.039315391293563</v>
      </c>
      <c r="J27" s="37">
        <f>J28+J31</f>
        <v>9805</v>
      </c>
      <c r="K27" s="33"/>
      <c r="L27" s="30">
        <f t="shared" si="10"/>
        <v>9805</v>
      </c>
      <c r="M27" s="35">
        <f t="shared" si="4"/>
        <v>1425</v>
      </c>
      <c r="N27" s="39">
        <f t="shared" si="6"/>
        <v>1.1700477326968974</v>
      </c>
    </row>
    <row r="28" spans="1:14" ht="13.5" customHeight="1">
      <c r="A28" s="40" t="s">
        <v>29</v>
      </c>
      <c r="B28" s="32">
        <v>5825</v>
      </c>
      <c r="C28" s="33"/>
      <c r="D28" s="34">
        <f t="shared" si="8"/>
        <v>5825</v>
      </c>
      <c r="E28" s="32">
        <v>6118</v>
      </c>
      <c r="F28" s="33"/>
      <c r="G28" s="27">
        <f t="shared" si="9"/>
        <v>6118</v>
      </c>
      <c r="H28" s="35">
        <f t="shared" si="2"/>
        <v>293</v>
      </c>
      <c r="I28" s="36">
        <f t="shared" si="5"/>
        <v>1.0503004291845495</v>
      </c>
      <c r="J28" s="57">
        <f>J29+J30</f>
        <v>7157</v>
      </c>
      <c r="K28" s="59"/>
      <c r="L28" s="30">
        <f t="shared" si="10"/>
        <v>7157</v>
      </c>
      <c r="M28" s="35">
        <f t="shared" si="4"/>
        <v>1039</v>
      </c>
      <c r="N28" s="39">
        <f t="shared" si="6"/>
        <v>1.1698267407649559</v>
      </c>
    </row>
    <row r="29" spans="1:14" ht="13.5" customHeight="1">
      <c r="A29" s="58" t="s">
        <v>30</v>
      </c>
      <c r="B29" s="32">
        <v>5769</v>
      </c>
      <c r="C29" s="33"/>
      <c r="D29" s="34">
        <f t="shared" si="8"/>
        <v>5769</v>
      </c>
      <c r="E29" s="32">
        <v>5944</v>
      </c>
      <c r="F29" s="33"/>
      <c r="G29" s="27">
        <f t="shared" si="9"/>
        <v>5944</v>
      </c>
      <c r="H29" s="35">
        <f t="shared" si="2"/>
        <v>175</v>
      </c>
      <c r="I29" s="36">
        <f t="shared" si="5"/>
        <v>1.0303345467152019</v>
      </c>
      <c r="J29" s="37">
        <f>6122+755</f>
        <v>6877</v>
      </c>
      <c r="K29" s="33"/>
      <c r="L29" s="30">
        <f t="shared" si="10"/>
        <v>6877</v>
      </c>
      <c r="M29" s="35">
        <f t="shared" si="4"/>
        <v>933</v>
      </c>
      <c r="N29" s="39">
        <f t="shared" si="6"/>
        <v>1.156965006729475</v>
      </c>
    </row>
    <row r="30" spans="1:14" ht="13.5" customHeight="1">
      <c r="A30" s="40" t="s">
        <v>31</v>
      </c>
      <c r="B30" s="32">
        <v>56</v>
      </c>
      <c r="C30" s="33"/>
      <c r="D30" s="34">
        <f t="shared" si="8"/>
        <v>56</v>
      </c>
      <c r="E30" s="32">
        <v>174</v>
      </c>
      <c r="F30" s="33"/>
      <c r="G30" s="27">
        <f t="shared" si="9"/>
        <v>174</v>
      </c>
      <c r="H30" s="35">
        <f t="shared" si="2"/>
        <v>118</v>
      </c>
      <c r="I30" s="36">
        <f t="shared" si="5"/>
        <v>3.107142857142857</v>
      </c>
      <c r="J30" s="37">
        <v>280</v>
      </c>
      <c r="K30" s="33"/>
      <c r="L30" s="30">
        <f t="shared" si="10"/>
        <v>280</v>
      </c>
      <c r="M30" s="35">
        <f t="shared" si="4"/>
        <v>106</v>
      </c>
      <c r="N30" s="39">
        <f t="shared" si="6"/>
        <v>1.6091954022988506</v>
      </c>
    </row>
    <row r="31" spans="1:14" ht="13.5" customHeight="1">
      <c r="A31" s="40" t="s">
        <v>32</v>
      </c>
      <c r="B31" s="32">
        <v>2238</v>
      </c>
      <c r="C31" s="33"/>
      <c r="D31" s="34">
        <f t="shared" si="8"/>
        <v>2238</v>
      </c>
      <c r="E31" s="32">
        <v>2262</v>
      </c>
      <c r="F31" s="33"/>
      <c r="G31" s="27">
        <f t="shared" si="9"/>
        <v>2262</v>
      </c>
      <c r="H31" s="35">
        <f t="shared" si="2"/>
        <v>24</v>
      </c>
      <c r="I31" s="36">
        <f t="shared" si="5"/>
        <v>1.0107238605898123</v>
      </c>
      <c r="J31" s="37">
        <f>2369+279</f>
        <v>2648</v>
      </c>
      <c r="K31" s="33"/>
      <c r="L31" s="30">
        <f t="shared" si="10"/>
        <v>2648</v>
      </c>
      <c r="M31" s="35">
        <f t="shared" si="4"/>
        <v>386</v>
      </c>
      <c r="N31" s="39">
        <f t="shared" si="6"/>
        <v>1.1706454465075156</v>
      </c>
    </row>
    <row r="32" spans="1:14" ht="13.5" customHeight="1">
      <c r="A32" s="58" t="s">
        <v>33</v>
      </c>
      <c r="B32" s="32"/>
      <c r="C32" s="33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93</v>
      </c>
      <c r="C33" s="33"/>
      <c r="D33" s="34">
        <f t="shared" si="8"/>
        <v>93</v>
      </c>
      <c r="E33" s="32">
        <v>108</v>
      </c>
      <c r="F33" s="33"/>
      <c r="G33" s="27">
        <f t="shared" si="9"/>
        <v>108</v>
      </c>
      <c r="H33" s="35">
        <f t="shared" si="2"/>
        <v>15</v>
      </c>
      <c r="I33" s="36">
        <f t="shared" si="5"/>
        <v>1.1612903225806452</v>
      </c>
      <c r="J33" s="37">
        <v>120</v>
      </c>
      <c r="K33" s="33"/>
      <c r="L33" s="30">
        <f t="shared" si="10"/>
        <v>120</v>
      </c>
      <c r="M33" s="35">
        <f t="shared" si="4"/>
        <v>12</v>
      </c>
      <c r="N33" s="39">
        <f t="shared" si="6"/>
        <v>1.1111111111111112</v>
      </c>
    </row>
    <row r="34" spans="1:14" ht="13.5" customHeight="1">
      <c r="A34" s="40" t="s">
        <v>35</v>
      </c>
      <c r="B34" s="32">
        <v>298</v>
      </c>
      <c r="C34" s="33"/>
      <c r="D34" s="34">
        <f t="shared" si="8"/>
        <v>298</v>
      </c>
      <c r="E34" s="32">
        <v>423</v>
      </c>
      <c r="F34" s="33"/>
      <c r="G34" s="27">
        <f t="shared" si="9"/>
        <v>423</v>
      </c>
      <c r="H34" s="35">
        <f t="shared" si="2"/>
        <v>125</v>
      </c>
      <c r="I34" s="36">
        <f t="shared" si="5"/>
        <v>1.419463087248322</v>
      </c>
      <c r="J34" s="57">
        <v>456</v>
      </c>
      <c r="K34" s="33"/>
      <c r="L34" s="30">
        <f t="shared" si="10"/>
        <v>456</v>
      </c>
      <c r="M34" s="35">
        <f t="shared" si="4"/>
        <v>33</v>
      </c>
      <c r="N34" s="39">
        <f t="shared" si="6"/>
        <v>1.0780141843971631</v>
      </c>
    </row>
    <row r="35" spans="1:14" ht="22.5" customHeight="1">
      <c r="A35" s="40" t="s">
        <v>36</v>
      </c>
      <c r="B35" s="32">
        <v>298</v>
      </c>
      <c r="C35" s="33"/>
      <c r="D35" s="34">
        <f t="shared" si="8"/>
        <v>298</v>
      </c>
      <c r="E35" s="32">
        <v>423</v>
      </c>
      <c r="F35" s="33"/>
      <c r="G35" s="27">
        <f t="shared" si="9"/>
        <v>423</v>
      </c>
      <c r="H35" s="35">
        <f t="shared" si="2"/>
        <v>125</v>
      </c>
      <c r="I35" s="36">
        <f t="shared" si="5"/>
        <v>1.419463087248322</v>
      </c>
      <c r="J35" s="57">
        <v>456</v>
      </c>
      <c r="K35" s="33"/>
      <c r="L35" s="30">
        <f t="shared" si="10"/>
        <v>456</v>
      </c>
      <c r="M35" s="35">
        <f t="shared" si="4"/>
        <v>33</v>
      </c>
      <c r="N35" s="39">
        <f t="shared" si="6"/>
        <v>1.0780141843971631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12777</v>
      </c>
      <c r="C37" s="48">
        <f t="shared" si="11"/>
        <v>0</v>
      </c>
      <c r="D37" s="49">
        <f t="shared" si="11"/>
        <v>12777</v>
      </c>
      <c r="E37" s="47">
        <f t="shared" si="11"/>
        <v>13843</v>
      </c>
      <c r="F37" s="48">
        <f t="shared" si="11"/>
        <v>0</v>
      </c>
      <c r="G37" s="49">
        <f t="shared" si="11"/>
        <v>13843</v>
      </c>
      <c r="H37" s="50">
        <f t="shared" si="2"/>
        <v>1066</v>
      </c>
      <c r="I37" s="51">
        <f t="shared" si="5"/>
        <v>1.0834311653752837</v>
      </c>
      <c r="J37" s="52">
        <f>SUM(J19+J21+J22+J23+J24+J27+J32+J33+J34+J36)</f>
        <v>14861</v>
      </c>
      <c r="K37" s="48">
        <f>SUM(K19+K21+K22+K23+K24+K27+K32+K33+K34+K36)</f>
        <v>0</v>
      </c>
      <c r="L37" s="49">
        <f>SUM(L19+L21+L22+L23+L24+L27+L32+L33+L34+L36)</f>
        <v>14861</v>
      </c>
      <c r="M37" s="50">
        <f t="shared" si="4"/>
        <v>1018</v>
      </c>
      <c r="N37" s="53">
        <f t="shared" si="6"/>
        <v>1.073538972766019</v>
      </c>
    </row>
    <row r="38" spans="1:14" ht="13.5" customHeight="1" thickBot="1">
      <c r="A38" s="46" t="s">
        <v>39</v>
      </c>
      <c r="B38" s="680">
        <f>+D18-D37</f>
        <v>25</v>
      </c>
      <c r="C38" s="681"/>
      <c r="D38" s="682"/>
      <c r="E38" s="680">
        <f>+G18-G37</f>
        <v>26</v>
      </c>
      <c r="F38" s="681"/>
      <c r="G38" s="682">
        <v>-50784</v>
      </c>
      <c r="H38" s="62">
        <f>+E38-B38</f>
        <v>1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187</v>
      </c>
      <c r="B43" s="683"/>
      <c r="C43" s="66">
        <v>142</v>
      </c>
      <c r="D43" s="679" t="s">
        <v>188</v>
      </c>
      <c r="E43" s="657"/>
      <c r="F43" s="657"/>
      <c r="G43" s="67">
        <v>199</v>
      </c>
      <c r="H43" s="658" t="s">
        <v>145</v>
      </c>
      <c r="I43" s="659"/>
      <c r="J43" s="659"/>
      <c r="K43" s="659"/>
      <c r="L43" s="68">
        <v>120</v>
      </c>
      <c r="O43"/>
      <c r="P43"/>
    </row>
    <row r="44" spans="1:16" ht="12.75">
      <c r="A44" s="639" t="s">
        <v>97</v>
      </c>
      <c r="B44" s="646"/>
      <c r="C44" s="69">
        <v>65</v>
      </c>
      <c r="D44" s="679"/>
      <c r="E44" s="657"/>
      <c r="F44" s="657"/>
      <c r="G44" s="70"/>
      <c r="H44" s="658" t="s">
        <v>128</v>
      </c>
      <c r="I44" s="659"/>
      <c r="J44" s="659"/>
      <c r="K44" s="659"/>
      <c r="L44" s="68">
        <v>130</v>
      </c>
      <c r="O44"/>
      <c r="P44"/>
    </row>
    <row r="45" spans="1:16" ht="12.75">
      <c r="A45" s="639" t="s">
        <v>189</v>
      </c>
      <c r="B45" s="646"/>
      <c r="C45" s="69">
        <v>499</v>
      </c>
      <c r="D45" s="679"/>
      <c r="E45" s="657"/>
      <c r="F45" s="657"/>
      <c r="G45" s="70"/>
      <c r="H45" s="658" t="s">
        <v>508</v>
      </c>
      <c r="I45" s="659"/>
      <c r="J45" s="659"/>
      <c r="K45" s="659"/>
      <c r="L45" s="68">
        <v>600</v>
      </c>
      <c r="O45"/>
      <c r="P45"/>
    </row>
    <row r="46" spans="1:16" ht="12.75">
      <c r="A46" s="647" t="s">
        <v>190</v>
      </c>
      <c r="B46" s="674"/>
      <c r="C46" s="71">
        <v>112</v>
      </c>
      <c r="D46" s="647"/>
      <c r="E46" s="648"/>
      <c r="F46" s="674"/>
      <c r="G46" s="72"/>
      <c r="H46" s="643" t="s">
        <v>96</v>
      </c>
      <c r="I46" s="644"/>
      <c r="J46" s="644"/>
      <c r="K46" s="645"/>
      <c r="L46" s="68">
        <v>157</v>
      </c>
      <c r="O46"/>
      <c r="P46"/>
    </row>
    <row r="47" spans="1:16" ht="12.75">
      <c r="A47" s="647" t="s">
        <v>191</v>
      </c>
      <c r="B47" s="674"/>
      <c r="C47" s="71">
        <v>250</v>
      </c>
      <c r="D47" s="647"/>
      <c r="E47" s="648"/>
      <c r="F47" s="674"/>
      <c r="G47" s="72"/>
      <c r="H47" s="643" t="s">
        <v>551</v>
      </c>
      <c r="I47" s="644"/>
      <c r="J47" s="644"/>
      <c r="K47" s="645"/>
      <c r="L47" s="68">
        <v>110</v>
      </c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/>
      <c r="I48" s="644"/>
      <c r="J48" s="644"/>
      <c r="K48" s="645"/>
      <c r="L48" s="68"/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/>
      <c r="B50" s="635"/>
      <c r="C50" s="73">
        <f>SUM(C43:C49)</f>
        <v>1068</v>
      </c>
      <c r="D50" s="660" t="s">
        <v>5</v>
      </c>
      <c r="E50" s="661"/>
      <c r="F50" s="661"/>
      <c r="G50" s="73">
        <f>SUM(G43:G44)</f>
        <v>199</v>
      </c>
      <c r="H50" s="637" t="s">
        <v>5</v>
      </c>
      <c r="I50" s="638"/>
      <c r="J50" s="638"/>
      <c r="K50" s="638"/>
      <c r="L50" s="73">
        <f>SUM(L43:L49)</f>
        <v>1117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195</v>
      </c>
      <c r="B54" s="655"/>
      <c r="C54" s="66">
        <v>55</v>
      </c>
      <c r="D54" s="656" t="s">
        <v>196</v>
      </c>
      <c r="E54" s="657"/>
      <c r="F54" s="657"/>
      <c r="G54" s="76">
        <v>129</v>
      </c>
      <c r="H54" s="658" t="s">
        <v>197</v>
      </c>
      <c r="I54" s="659"/>
      <c r="J54" s="659"/>
      <c r="K54" s="659"/>
      <c r="L54" s="68">
        <v>150</v>
      </c>
      <c r="O54"/>
      <c r="P54"/>
    </row>
    <row r="55" spans="1:16" ht="13.5" customHeight="1">
      <c r="A55" s="639" t="s">
        <v>198</v>
      </c>
      <c r="B55" s="649"/>
      <c r="C55" s="69">
        <v>120</v>
      </c>
      <c r="D55" s="642" t="s">
        <v>199</v>
      </c>
      <c r="E55" s="646"/>
      <c r="F55" s="646"/>
      <c r="G55" s="77">
        <v>203</v>
      </c>
      <c r="H55" s="650" t="s">
        <v>200</v>
      </c>
      <c r="I55" s="651"/>
      <c r="J55" s="651"/>
      <c r="K55" s="651"/>
      <c r="L55" s="78">
        <v>250</v>
      </c>
      <c r="O55"/>
      <c r="P55"/>
    </row>
    <row r="56" spans="1:16" ht="13.5" customHeight="1">
      <c r="A56" s="639" t="s">
        <v>201</v>
      </c>
      <c r="B56" s="640"/>
      <c r="C56" s="69">
        <v>45</v>
      </c>
      <c r="D56" s="642"/>
      <c r="E56" s="646"/>
      <c r="F56" s="646"/>
      <c r="G56" s="77"/>
      <c r="H56" s="643"/>
      <c r="I56" s="644"/>
      <c r="J56" s="644"/>
      <c r="K56" s="645"/>
      <c r="L56" s="78"/>
      <c r="O56"/>
      <c r="P56"/>
    </row>
    <row r="57" spans="1:16" ht="13.5" customHeight="1">
      <c r="A57" s="639" t="s">
        <v>202</v>
      </c>
      <c r="B57" s="640"/>
      <c r="C57" s="69">
        <v>48</v>
      </c>
      <c r="D57" s="642"/>
      <c r="E57" s="646"/>
      <c r="F57" s="646"/>
      <c r="G57" s="77"/>
      <c r="H57" s="643"/>
      <c r="I57" s="644"/>
      <c r="J57" s="644"/>
      <c r="K57" s="645"/>
      <c r="L57" s="78"/>
      <c r="O57"/>
      <c r="P57"/>
    </row>
    <row r="58" spans="1:16" ht="13.5" customHeight="1">
      <c r="A58" s="647" t="s">
        <v>203</v>
      </c>
      <c r="B58" s="648"/>
      <c r="C58" s="71">
        <v>60</v>
      </c>
      <c r="D58" s="641"/>
      <c r="E58" s="641"/>
      <c r="F58" s="642"/>
      <c r="G58" s="178"/>
      <c r="H58" s="643"/>
      <c r="I58" s="644"/>
      <c r="J58" s="644"/>
      <c r="K58" s="645"/>
      <c r="L58" s="79"/>
      <c r="O58"/>
      <c r="P58"/>
    </row>
    <row r="59" spans="1:16" ht="13.5" customHeight="1">
      <c r="A59" s="639" t="s">
        <v>204</v>
      </c>
      <c r="B59" s="640"/>
      <c r="C59" s="71">
        <v>244</v>
      </c>
      <c r="D59" s="641"/>
      <c r="E59" s="641"/>
      <c r="F59" s="642"/>
      <c r="G59" s="178"/>
      <c r="H59" s="643"/>
      <c r="I59" s="644"/>
      <c r="J59" s="644"/>
      <c r="K59" s="645"/>
      <c r="L59" s="79"/>
      <c r="O59"/>
      <c r="P59"/>
    </row>
    <row r="60" spans="1:16" ht="13.5" customHeight="1">
      <c r="A60" s="639"/>
      <c r="B60" s="640"/>
      <c r="C60" s="69"/>
      <c r="D60" s="642"/>
      <c r="E60" s="646"/>
      <c r="F60" s="646"/>
      <c r="G60" s="77"/>
      <c r="H60" s="643"/>
      <c r="I60" s="644"/>
      <c r="J60" s="644"/>
      <c r="K60" s="645"/>
      <c r="L60" s="78"/>
      <c r="O60"/>
      <c r="P60"/>
    </row>
    <row r="61" spans="1:16" ht="13.5" thickBot="1">
      <c r="A61" s="627"/>
      <c r="B61" s="628"/>
      <c r="C61" s="80"/>
      <c r="D61" s="629"/>
      <c r="E61" s="630"/>
      <c r="F61" s="630"/>
      <c r="G61" s="81"/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73">
        <f>SUM(C54:C61)</f>
        <v>572</v>
      </c>
      <c r="D62" s="635" t="s">
        <v>5</v>
      </c>
      <c r="E62" s="636"/>
      <c r="F62" s="636"/>
      <c r="G62" s="83">
        <f>SUM(G54:G61)</f>
        <v>332</v>
      </c>
      <c r="H62" s="637" t="s">
        <v>5</v>
      </c>
      <c r="I62" s="638"/>
      <c r="J62" s="638"/>
      <c r="K62" s="638"/>
      <c r="L62" s="73">
        <f>SUM(L54:L61)</f>
        <v>400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97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117</v>
      </c>
      <c r="I67" s="580" t="s">
        <v>179</v>
      </c>
      <c r="J67" s="582"/>
      <c r="K67" s="582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20</v>
      </c>
      <c r="C68" s="583" t="s">
        <v>175</v>
      </c>
      <c r="D68" s="583"/>
      <c r="E68" s="159">
        <v>0</v>
      </c>
      <c r="F68" s="584" t="s">
        <v>177</v>
      </c>
      <c r="G68" s="585"/>
      <c r="H68" s="151">
        <v>21</v>
      </c>
      <c r="I68" s="583"/>
      <c r="J68" s="585"/>
      <c r="K68" s="585"/>
      <c r="L68" s="159"/>
      <c r="M68" s="84"/>
      <c r="N68" s="84"/>
    </row>
    <row r="69" spans="1:14" s="1" customFormat="1" ht="12.75">
      <c r="A69" s="158" t="s">
        <v>175</v>
      </c>
      <c r="B69" s="151"/>
      <c r="C69" s="583"/>
      <c r="D69" s="583"/>
      <c r="E69" s="159"/>
      <c r="F69" s="583" t="s">
        <v>175</v>
      </c>
      <c r="G69" s="583"/>
      <c r="H69" s="151"/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117</v>
      </c>
      <c r="C71" s="589" t="s">
        <v>5</v>
      </c>
      <c r="D71" s="589"/>
      <c r="E71" s="165">
        <f>SUM(E67:E70)</f>
        <v>0</v>
      </c>
      <c r="F71" s="590" t="s">
        <v>5</v>
      </c>
      <c r="G71" s="591"/>
      <c r="H71" s="161">
        <f>SUM(H67:H70)</f>
        <v>138</v>
      </c>
      <c r="I71" s="589" t="s">
        <v>5</v>
      </c>
      <c r="J71" s="591"/>
      <c r="K71" s="591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117</v>
      </c>
      <c r="C72" s="84"/>
      <c r="D72" s="84"/>
      <c r="E72" s="84"/>
      <c r="F72" s="592" t="s">
        <v>534</v>
      </c>
      <c r="G72" s="593"/>
      <c r="H72" s="183">
        <f>H71-L71</f>
        <v>138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601" t="s">
        <v>73</v>
      </c>
      <c r="B76" s="604" t="s">
        <v>495</v>
      </c>
      <c r="C76" s="607" t="s">
        <v>477</v>
      </c>
      <c r="D76" s="608"/>
      <c r="E76" s="608"/>
      <c r="F76" s="608"/>
      <c r="G76" s="608"/>
      <c r="H76" s="608"/>
      <c r="I76" s="609"/>
      <c r="J76" s="610" t="s">
        <v>496</v>
      </c>
      <c r="K76" s="7"/>
      <c r="L76" s="594" t="s">
        <v>48</v>
      </c>
      <c r="M76" s="595"/>
      <c r="N76" s="193">
        <v>2004</v>
      </c>
      <c r="O76" s="194">
        <v>2005</v>
      </c>
    </row>
    <row r="77" spans="1:15" s="1" customFormat="1" ht="12.75">
      <c r="A77" s="602"/>
      <c r="B77" s="605"/>
      <c r="C77" s="596" t="s">
        <v>76</v>
      </c>
      <c r="D77" s="598" t="s">
        <v>77</v>
      </c>
      <c r="E77" s="599"/>
      <c r="F77" s="599"/>
      <c r="G77" s="599"/>
      <c r="H77" s="599"/>
      <c r="I77" s="600"/>
      <c r="J77" s="611"/>
      <c r="K77" s="7"/>
      <c r="L77" s="197" t="s">
        <v>178</v>
      </c>
      <c r="M77" s="197"/>
      <c r="N77" s="192"/>
      <c r="O77" s="195"/>
    </row>
    <row r="78" spans="1:15" s="1" customFormat="1" ht="13.5" thickBot="1">
      <c r="A78" s="603"/>
      <c r="B78" s="606"/>
      <c r="C78" s="597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612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20595</v>
      </c>
      <c r="B79" s="117">
        <v>3384</v>
      </c>
      <c r="C79" s="170">
        <v>456</v>
      </c>
      <c r="D79" s="171">
        <v>113</v>
      </c>
      <c r="E79" s="171">
        <v>166</v>
      </c>
      <c r="F79" s="171">
        <v>0</v>
      </c>
      <c r="G79" s="171">
        <v>0</v>
      </c>
      <c r="H79" s="170">
        <v>177</v>
      </c>
      <c r="I79" s="184">
        <v>0</v>
      </c>
      <c r="J79" s="118">
        <f>SUM(A79-B79-C79)</f>
        <v>16755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96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618" t="s">
        <v>112</v>
      </c>
      <c r="B83" s="620" t="s">
        <v>482</v>
      </c>
      <c r="C83" s="622" t="s">
        <v>480</v>
      </c>
      <c r="D83" s="623"/>
      <c r="E83" s="623"/>
      <c r="F83" s="624"/>
      <c r="G83" s="625" t="s">
        <v>483</v>
      </c>
      <c r="H83" s="613" t="s">
        <v>78</v>
      </c>
      <c r="I83" s="615" t="s">
        <v>481</v>
      </c>
      <c r="J83" s="616"/>
      <c r="K83" s="616"/>
      <c r="L83" s="617"/>
    </row>
    <row r="84" spans="1:12" s="1" customFormat="1" ht="18.75" thickBot="1">
      <c r="A84" s="619"/>
      <c r="B84" s="621"/>
      <c r="C84" s="119" t="s">
        <v>81</v>
      </c>
      <c r="D84" s="120" t="s">
        <v>79</v>
      </c>
      <c r="E84" s="120" t="s">
        <v>80</v>
      </c>
      <c r="F84" s="121" t="s">
        <v>114</v>
      </c>
      <c r="G84" s="626"/>
      <c r="H84" s="614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1014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1125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8</v>
      </c>
      <c r="D86" s="131">
        <v>5</v>
      </c>
      <c r="E86" s="131">
        <v>0</v>
      </c>
      <c r="F86" s="132">
        <v>13</v>
      </c>
      <c r="G86" s="133">
        <v>0</v>
      </c>
      <c r="H86" s="453">
        <f>+G86-F86</f>
        <v>-13</v>
      </c>
      <c r="I86" s="130">
        <v>13</v>
      </c>
      <c r="J86" s="131">
        <v>5</v>
      </c>
      <c r="K86" s="131">
        <v>0</v>
      </c>
      <c r="L86" s="132">
        <f>I86+J86-K86</f>
        <v>18</v>
      </c>
    </row>
    <row r="87" spans="1:12" s="1" customFormat="1" ht="12.75">
      <c r="A87" s="128" t="s">
        <v>85</v>
      </c>
      <c r="B87" s="129">
        <v>0</v>
      </c>
      <c r="C87" s="130">
        <v>97</v>
      </c>
      <c r="D87" s="131">
        <v>20</v>
      </c>
      <c r="E87" s="131">
        <v>0</v>
      </c>
      <c r="F87" s="132">
        <v>117</v>
      </c>
      <c r="G87" s="133">
        <v>0</v>
      </c>
      <c r="H87" s="453">
        <f>+G87-F87</f>
        <v>-117</v>
      </c>
      <c r="I87" s="130">
        <v>117</v>
      </c>
      <c r="J87" s="131">
        <v>21</v>
      </c>
      <c r="K87" s="131">
        <v>0</v>
      </c>
      <c r="L87" s="132">
        <f>I87+J87-K87</f>
        <v>138</v>
      </c>
    </row>
    <row r="88" spans="1:12" s="1" customFormat="1" ht="12.75">
      <c r="A88" s="128" t="s">
        <v>113</v>
      </c>
      <c r="B88" s="129">
        <v>0</v>
      </c>
      <c r="C88" s="130">
        <v>31</v>
      </c>
      <c r="D88" s="131">
        <v>423</v>
      </c>
      <c r="E88" s="131">
        <v>343</v>
      </c>
      <c r="F88" s="132">
        <v>111</v>
      </c>
      <c r="G88" s="133">
        <v>0</v>
      </c>
      <c r="H88" s="453">
        <f>+G88-F88</f>
        <v>-111</v>
      </c>
      <c r="I88" s="461">
        <v>111</v>
      </c>
      <c r="J88" s="447">
        <v>1056</v>
      </c>
      <c r="K88" s="447">
        <v>1117</v>
      </c>
      <c r="L88" s="132">
        <f>I88+J88-K88</f>
        <v>50</v>
      </c>
    </row>
    <row r="89" spans="1:12" s="1" customFormat="1" ht="12.75">
      <c r="A89" s="128" t="s">
        <v>86</v>
      </c>
      <c r="B89" s="129">
        <v>1014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1125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26.56</v>
      </c>
      <c r="C90" s="136">
        <v>33</v>
      </c>
      <c r="D90" s="137">
        <v>119</v>
      </c>
      <c r="E90" s="137">
        <v>112</v>
      </c>
      <c r="F90" s="138">
        <v>40</v>
      </c>
      <c r="G90" s="139">
        <v>33.59</v>
      </c>
      <c r="H90" s="454">
        <f>+G90-F90</f>
        <v>-6.409999999999997</v>
      </c>
      <c r="I90" s="136">
        <v>40</v>
      </c>
      <c r="J90" s="137">
        <v>137</v>
      </c>
      <c r="K90" s="137">
        <v>120</v>
      </c>
      <c r="L90" s="138">
        <f>I90+J90-K90</f>
        <v>57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/>
      <c r="E95" s="131"/>
      <c r="F95" s="131"/>
      <c r="G95" s="129"/>
      <c r="H95" s="132">
        <f>SUM(C95:G95)</f>
        <v>0</v>
      </c>
      <c r="I95" s="89"/>
      <c r="J95" s="93">
        <v>2005</v>
      </c>
      <c r="K95" s="94">
        <v>5945</v>
      </c>
      <c r="L95" s="95">
        <f>+G29</f>
        <v>5944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6877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3</v>
      </c>
      <c r="C101" s="103">
        <v>3</v>
      </c>
      <c r="D101" s="103">
        <f>+C101-B101</f>
        <v>0</v>
      </c>
      <c r="E101" s="103">
        <v>3</v>
      </c>
      <c r="F101" s="103">
        <v>3</v>
      </c>
      <c r="G101" s="104">
        <f>+F101-E101</f>
        <v>0</v>
      </c>
      <c r="H101" s="105">
        <v>16982</v>
      </c>
      <c r="I101" s="106">
        <v>17800</v>
      </c>
      <c r="J101" s="107">
        <f>+I101-H101</f>
        <v>818</v>
      </c>
    </row>
    <row r="102" spans="1:10" ht="12.75">
      <c r="A102" s="102" t="s">
        <v>98</v>
      </c>
      <c r="B102" s="103">
        <v>14</v>
      </c>
      <c r="C102" s="103">
        <v>13</v>
      </c>
      <c r="D102" s="103">
        <f aca="true" t="shared" si="12" ref="D102:D111">+C102-B102</f>
        <v>-1</v>
      </c>
      <c r="E102" s="103">
        <v>14</v>
      </c>
      <c r="F102" s="103">
        <v>13</v>
      </c>
      <c r="G102" s="104">
        <f aca="true" t="shared" si="13" ref="G102:G111">+F102-E102</f>
        <v>-1</v>
      </c>
      <c r="H102" s="105">
        <v>16647</v>
      </c>
      <c r="I102" s="108">
        <v>18615</v>
      </c>
      <c r="J102" s="107">
        <f aca="true" t="shared" si="14" ref="J102:J111">+I102-H102</f>
        <v>1968</v>
      </c>
    </row>
    <row r="103" spans="1:10" ht="12.75">
      <c r="A103" s="102" t="s">
        <v>60</v>
      </c>
      <c r="B103" s="103"/>
      <c r="C103" s="103"/>
      <c r="D103" s="103">
        <f t="shared" si="12"/>
        <v>0</v>
      </c>
      <c r="E103" s="103"/>
      <c r="F103" s="103"/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61</v>
      </c>
      <c r="B104" s="103"/>
      <c r="C104" s="103"/>
      <c r="D104" s="103">
        <f t="shared" si="12"/>
        <v>0</v>
      </c>
      <c r="E104" s="103"/>
      <c r="F104" s="103"/>
      <c r="G104" s="104">
        <f t="shared" si="13"/>
        <v>0</v>
      </c>
      <c r="H104" s="105"/>
      <c r="I104" s="108"/>
      <c r="J104" s="107">
        <f t="shared" si="14"/>
        <v>0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64</v>
      </c>
      <c r="B107" s="103">
        <v>0.75</v>
      </c>
      <c r="C107" s="103">
        <v>0.75</v>
      </c>
      <c r="D107" s="103">
        <f t="shared" si="12"/>
        <v>0</v>
      </c>
      <c r="E107" s="103">
        <v>0.75</v>
      </c>
      <c r="F107" s="103">
        <v>0.75</v>
      </c>
      <c r="G107" s="104">
        <f t="shared" si="13"/>
        <v>0</v>
      </c>
      <c r="H107" s="105">
        <v>7796</v>
      </c>
      <c r="I107" s="108">
        <v>7499</v>
      </c>
      <c r="J107" s="107">
        <f t="shared" si="14"/>
        <v>-297</v>
      </c>
    </row>
    <row r="108" spans="1:10" ht="12.75">
      <c r="A108" s="102" t="s">
        <v>65</v>
      </c>
      <c r="B108" s="103">
        <v>4</v>
      </c>
      <c r="C108" s="103">
        <v>6</v>
      </c>
      <c r="D108" s="103">
        <f t="shared" si="12"/>
        <v>2</v>
      </c>
      <c r="E108" s="103">
        <v>4</v>
      </c>
      <c r="F108" s="103">
        <v>6</v>
      </c>
      <c r="G108" s="104">
        <f t="shared" si="13"/>
        <v>2</v>
      </c>
      <c r="H108" s="105">
        <v>10476</v>
      </c>
      <c r="I108" s="108">
        <v>12030</v>
      </c>
      <c r="J108" s="107">
        <f t="shared" si="14"/>
        <v>1554</v>
      </c>
    </row>
    <row r="109" spans="1:10" ht="12.75">
      <c r="A109" s="102" t="s">
        <v>66</v>
      </c>
      <c r="B109" s="103">
        <v>1</v>
      </c>
      <c r="C109" s="103">
        <v>1</v>
      </c>
      <c r="D109" s="103">
        <f t="shared" si="12"/>
        <v>0</v>
      </c>
      <c r="E109" s="103">
        <v>1</v>
      </c>
      <c r="F109" s="103">
        <v>1</v>
      </c>
      <c r="G109" s="104">
        <f t="shared" si="13"/>
        <v>0</v>
      </c>
      <c r="H109" s="105">
        <v>11142</v>
      </c>
      <c r="I109" s="108">
        <v>13862</v>
      </c>
      <c r="J109" s="107">
        <f t="shared" si="14"/>
        <v>2720</v>
      </c>
    </row>
    <row r="110" spans="1:10" ht="12.75">
      <c r="A110" s="102" t="s">
        <v>67</v>
      </c>
      <c r="B110" s="103">
        <v>11.1</v>
      </c>
      <c r="C110" s="103">
        <v>11.1</v>
      </c>
      <c r="D110" s="103">
        <f t="shared" si="12"/>
        <v>0</v>
      </c>
      <c r="E110" s="103">
        <v>11.1</v>
      </c>
      <c r="F110" s="103">
        <v>11.1</v>
      </c>
      <c r="G110" s="104">
        <f t="shared" si="13"/>
        <v>0</v>
      </c>
      <c r="H110" s="105">
        <v>9409</v>
      </c>
      <c r="I110" s="108">
        <v>9725</v>
      </c>
      <c r="J110" s="107">
        <f t="shared" si="14"/>
        <v>316</v>
      </c>
    </row>
    <row r="111" spans="1:10" ht="13.5" thickBot="1">
      <c r="A111" s="109" t="s">
        <v>5</v>
      </c>
      <c r="B111" s="110">
        <f>SUM(B101:B110)</f>
        <v>33.85</v>
      </c>
      <c r="C111" s="110">
        <f>SUM(C101:C110)</f>
        <v>34.85</v>
      </c>
      <c r="D111" s="110">
        <f t="shared" si="12"/>
        <v>1</v>
      </c>
      <c r="E111" s="110">
        <f>SUM(E101:E110)</f>
        <v>33.85</v>
      </c>
      <c r="F111" s="110">
        <f>SUM(F101:F110)</f>
        <v>34.85</v>
      </c>
      <c r="G111" s="111">
        <f t="shared" si="13"/>
        <v>1</v>
      </c>
      <c r="H111" s="112">
        <v>14511</v>
      </c>
      <c r="I111" s="113">
        <v>13598</v>
      </c>
      <c r="J111" s="114">
        <f t="shared" si="14"/>
        <v>-913</v>
      </c>
    </row>
    <row r="112" ht="13.5" thickBot="1"/>
    <row r="113" spans="1:16" ht="12.75">
      <c r="A113" s="706" t="s">
        <v>68</v>
      </c>
      <c r="B113" s="707"/>
      <c r="C113" s="708"/>
      <c r="D113" s="89"/>
      <c r="E113" s="706" t="s">
        <v>69</v>
      </c>
      <c r="F113" s="707"/>
      <c r="G113" s="708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709" t="s">
        <v>72</v>
      </c>
      <c r="G114" s="71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186">
        <v>34.85</v>
      </c>
      <c r="C115" s="187">
        <v>34.85</v>
      </c>
      <c r="D115" s="89"/>
      <c r="E115" s="93">
        <v>2005</v>
      </c>
      <c r="F115" s="711">
        <v>68</v>
      </c>
      <c r="G115" s="624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188">
        <v>36.35</v>
      </c>
      <c r="C116" s="189"/>
      <c r="D116" s="89"/>
      <c r="E116" s="96">
        <v>2006</v>
      </c>
      <c r="F116" s="704">
        <v>68</v>
      </c>
      <c r="G116" s="705"/>
      <c r="H116"/>
      <c r="I116"/>
      <c r="J116"/>
      <c r="K116"/>
      <c r="L116"/>
      <c r="M116"/>
      <c r="N116"/>
      <c r="O116"/>
      <c r="P116"/>
    </row>
  </sheetData>
  <mergeCells count="119">
    <mergeCell ref="F72:G72"/>
    <mergeCell ref="A76:A78"/>
    <mergeCell ref="B76:B78"/>
    <mergeCell ref="C76:I76"/>
    <mergeCell ref="C77:C78"/>
    <mergeCell ref="D77:I77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C66:D66"/>
    <mergeCell ref="F66:G66"/>
    <mergeCell ref="I66:K66"/>
    <mergeCell ref="C67:D67"/>
    <mergeCell ref="F67:G67"/>
    <mergeCell ref="I67:K67"/>
    <mergeCell ref="F116:G116"/>
    <mergeCell ref="A113:C113"/>
    <mergeCell ref="E113:G113"/>
    <mergeCell ref="F114:G114"/>
    <mergeCell ref="F115:G115"/>
    <mergeCell ref="A99:A100"/>
    <mergeCell ref="B99:D99"/>
    <mergeCell ref="E99:G99"/>
    <mergeCell ref="H99:J99"/>
    <mergeCell ref="A3:A6"/>
    <mergeCell ref="B3:N3"/>
    <mergeCell ref="H4:I4"/>
    <mergeCell ref="M4:N4"/>
    <mergeCell ref="B38:D38"/>
    <mergeCell ref="E38:G38"/>
    <mergeCell ref="J38:L38"/>
    <mergeCell ref="B39:D39"/>
    <mergeCell ref="E39:G39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L52:L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A93:A94"/>
    <mergeCell ref="B93:B94"/>
    <mergeCell ref="C93:H93"/>
    <mergeCell ref="J93:L93"/>
    <mergeCell ref="J76:J78"/>
    <mergeCell ref="L76:M76"/>
    <mergeCell ref="A61:B61"/>
    <mergeCell ref="D61:F61"/>
    <mergeCell ref="H61:K61"/>
    <mergeCell ref="A62:B62"/>
    <mergeCell ref="D62:F62"/>
    <mergeCell ref="A65:E65"/>
    <mergeCell ref="F65:L65"/>
    <mergeCell ref="H62:K62"/>
    <mergeCell ref="H83:H84"/>
    <mergeCell ref="I83:L83"/>
    <mergeCell ref="A83:A84"/>
    <mergeCell ref="B83:B84"/>
    <mergeCell ref="C83:F83"/>
    <mergeCell ref="G83:G84"/>
  </mergeCells>
  <printOptions horizontalCentered="1"/>
  <pageMargins left="0.15748031496062992" right="0.15748031496062992" top="0.7480314960629921" bottom="0.15748031496062992" header="0.5511811023622047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J88" sqref="J88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84" t="s">
        <v>0</v>
      </c>
      <c r="B3" s="686" t="s">
        <v>434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59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13916</v>
      </c>
      <c r="C8" s="33">
        <v>550</v>
      </c>
      <c r="D8" s="434">
        <f>SUM(B8:C8)</f>
        <v>14466</v>
      </c>
      <c r="E8" s="37">
        <v>14754</v>
      </c>
      <c r="F8" s="33">
        <v>615</v>
      </c>
      <c r="G8" s="434">
        <f>SUM(E8:F8)</f>
        <v>15369</v>
      </c>
      <c r="H8" s="465">
        <f>+G8-D8</f>
        <v>903</v>
      </c>
      <c r="I8" s="36">
        <f>+G8/D8</f>
        <v>1.0624222314392369</v>
      </c>
      <c r="J8" s="37">
        <v>15385</v>
      </c>
      <c r="K8" s="33">
        <v>600</v>
      </c>
      <c r="L8" s="434">
        <f>SUM(J8:K8)</f>
        <v>15985</v>
      </c>
      <c r="M8" s="465">
        <f>+L8-G8</f>
        <v>616</v>
      </c>
      <c r="N8" s="39">
        <f>+L8/G8</f>
        <v>1.0400806818921204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232</v>
      </c>
      <c r="C11" s="33"/>
      <c r="D11" s="434">
        <f t="shared" si="0"/>
        <v>232</v>
      </c>
      <c r="E11" s="37">
        <v>33</v>
      </c>
      <c r="F11" s="33"/>
      <c r="G11" s="434">
        <f t="shared" si="1"/>
        <v>33</v>
      </c>
      <c r="H11" s="465">
        <f t="shared" si="2"/>
        <v>-199</v>
      </c>
      <c r="I11" s="36">
        <f aca="true" t="shared" si="5" ref="I11:I37">+G11/D11</f>
        <v>0.14224137931034483</v>
      </c>
      <c r="J11" s="37">
        <v>20</v>
      </c>
      <c r="K11" s="33"/>
      <c r="L11" s="434">
        <f t="shared" si="3"/>
        <v>20</v>
      </c>
      <c r="M11" s="465">
        <f t="shared" si="4"/>
        <v>-13</v>
      </c>
      <c r="N11" s="39">
        <f aca="true" t="shared" si="6" ref="N11:N37">+L11/G11</f>
        <v>0.6060606060606061</v>
      </c>
    </row>
    <row r="12" spans="1:14" ht="13.5" customHeight="1">
      <c r="A12" s="510" t="s">
        <v>15</v>
      </c>
      <c r="B12" s="37">
        <v>193</v>
      </c>
      <c r="C12" s="33"/>
      <c r="D12" s="434">
        <f t="shared" si="0"/>
        <v>193</v>
      </c>
      <c r="E12" s="37"/>
      <c r="F12" s="33"/>
      <c r="G12" s="434">
        <f t="shared" si="1"/>
        <v>0</v>
      </c>
      <c r="H12" s="465">
        <f t="shared" si="2"/>
        <v>-193</v>
      </c>
      <c r="I12" s="36">
        <f t="shared" si="5"/>
        <v>0</v>
      </c>
      <c r="J12" s="37"/>
      <c r="K12" s="33"/>
      <c r="L12" s="434">
        <f t="shared" si="3"/>
        <v>0</v>
      </c>
      <c r="M12" s="465">
        <f t="shared" si="4"/>
        <v>0</v>
      </c>
      <c r="N12" s="39"/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17925</v>
      </c>
      <c r="C15" s="33"/>
      <c r="D15" s="434">
        <f t="shared" si="0"/>
        <v>17925</v>
      </c>
      <c r="E15" s="37">
        <v>19295</v>
      </c>
      <c r="F15" s="33"/>
      <c r="G15" s="434">
        <f t="shared" si="1"/>
        <v>19295</v>
      </c>
      <c r="H15" s="465">
        <f t="shared" si="2"/>
        <v>1370</v>
      </c>
      <c r="I15" s="36">
        <f t="shared" si="5"/>
        <v>1.0764295676429567</v>
      </c>
      <c r="J15" s="57">
        <f>SUM(J16:J17)</f>
        <v>20385</v>
      </c>
      <c r="K15" s="33"/>
      <c r="L15" s="434">
        <f t="shared" si="3"/>
        <v>20385</v>
      </c>
      <c r="M15" s="465">
        <f t="shared" si="4"/>
        <v>1090</v>
      </c>
      <c r="N15" s="39">
        <f t="shared" si="6"/>
        <v>1.0564913189945582</v>
      </c>
    </row>
    <row r="16" spans="1:14" ht="13.5" customHeight="1">
      <c r="A16" s="511" t="s">
        <v>476</v>
      </c>
      <c r="B16" s="37"/>
      <c r="C16" s="33"/>
      <c r="D16" s="434"/>
      <c r="E16" s="37">
        <v>18192</v>
      </c>
      <c r="F16" s="33"/>
      <c r="G16" s="434">
        <f t="shared" si="1"/>
        <v>18192</v>
      </c>
      <c r="H16" s="465"/>
      <c r="I16" s="36"/>
      <c r="J16" s="57">
        <f>19634</f>
        <v>19634</v>
      </c>
      <c r="K16" s="33"/>
      <c r="L16" s="434">
        <f t="shared" si="3"/>
        <v>19634</v>
      </c>
      <c r="M16" s="465">
        <f t="shared" si="4"/>
        <v>1442</v>
      </c>
      <c r="N16" s="39">
        <f t="shared" si="6"/>
        <v>1.0792656112576957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1103</v>
      </c>
      <c r="F17" s="431"/>
      <c r="G17" s="434">
        <f t="shared" si="1"/>
        <v>1103</v>
      </c>
      <c r="H17" s="466"/>
      <c r="I17" s="472"/>
      <c r="J17" s="438">
        <v>751</v>
      </c>
      <c r="K17" s="431"/>
      <c r="L17" s="434">
        <f t="shared" si="3"/>
        <v>751</v>
      </c>
      <c r="M17" s="465">
        <f t="shared" si="4"/>
        <v>-352</v>
      </c>
      <c r="N17" s="39">
        <f t="shared" si="6"/>
        <v>0.6808703535811423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32073</v>
      </c>
      <c r="C18" s="425">
        <f t="shared" si="7"/>
        <v>550</v>
      </c>
      <c r="D18" s="426">
        <f t="shared" si="7"/>
        <v>32623</v>
      </c>
      <c r="E18" s="424">
        <f t="shared" si="7"/>
        <v>34082</v>
      </c>
      <c r="F18" s="425">
        <f t="shared" si="7"/>
        <v>615</v>
      </c>
      <c r="G18" s="426">
        <f t="shared" si="7"/>
        <v>34697</v>
      </c>
      <c r="H18" s="369">
        <f t="shared" si="2"/>
        <v>2074</v>
      </c>
      <c r="I18" s="63">
        <f t="shared" si="5"/>
        <v>1.0635747785304845</v>
      </c>
      <c r="J18" s="437">
        <f>SUM(J7+J8+J9+J10+J11+J13+J15)</f>
        <v>35790</v>
      </c>
      <c r="K18" s="425">
        <f>SUM(K7+K8+K9+K10+K11+K13+K15)</f>
        <v>600</v>
      </c>
      <c r="L18" s="426">
        <f>SUM(L7+L8+L9+L10+L11+L13+L15)</f>
        <v>36390</v>
      </c>
      <c r="M18" s="369">
        <f t="shared" si="4"/>
        <v>1693</v>
      </c>
      <c r="N18" s="370">
        <f t="shared" si="6"/>
        <v>1.0487938438481712</v>
      </c>
    </row>
    <row r="19" spans="1:14" ht="13.5" customHeight="1">
      <c r="A19" s="54" t="s">
        <v>20</v>
      </c>
      <c r="B19" s="25">
        <v>6838</v>
      </c>
      <c r="C19" s="26">
        <v>355</v>
      </c>
      <c r="D19" s="34">
        <f aca="true" t="shared" si="8" ref="D19:D36">SUM(B19:C19)</f>
        <v>7193</v>
      </c>
      <c r="E19" s="25">
        <v>6968</v>
      </c>
      <c r="F19" s="26">
        <v>400</v>
      </c>
      <c r="G19" s="27">
        <f>SUM(E19:F19)</f>
        <v>7368</v>
      </c>
      <c r="H19" s="28">
        <f t="shared" si="2"/>
        <v>175</v>
      </c>
      <c r="I19" s="55">
        <f t="shared" si="5"/>
        <v>1.0243292089531488</v>
      </c>
      <c r="J19" s="29">
        <v>7116</v>
      </c>
      <c r="K19" s="26">
        <v>400</v>
      </c>
      <c r="L19" s="30">
        <f>SUM(J19:K19)</f>
        <v>7516</v>
      </c>
      <c r="M19" s="28">
        <f t="shared" si="4"/>
        <v>148</v>
      </c>
      <c r="N19" s="56">
        <f t="shared" si="6"/>
        <v>1.020086862106406</v>
      </c>
    </row>
    <row r="20" spans="1:14" ht="21" customHeight="1">
      <c r="A20" s="40" t="s">
        <v>21</v>
      </c>
      <c r="B20" s="25">
        <v>1757</v>
      </c>
      <c r="C20" s="26">
        <v>2</v>
      </c>
      <c r="D20" s="34">
        <f t="shared" si="8"/>
        <v>1759</v>
      </c>
      <c r="E20" s="25">
        <v>1530</v>
      </c>
      <c r="F20" s="26">
        <v>5</v>
      </c>
      <c r="G20" s="27">
        <f aca="true" t="shared" si="9" ref="G20:G36">SUM(E20:F20)</f>
        <v>1535</v>
      </c>
      <c r="H20" s="35">
        <f t="shared" si="2"/>
        <v>-224</v>
      </c>
      <c r="I20" s="36">
        <f t="shared" si="5"/>
        <v>0.8726549175667994</v>
      </c>
      <c r="J20" s="29">
        <v>426</v>
      </c>
      <c r="K20" s="26">
        <v>5</v>
      </c>
      <c r="L20" s="30">
        <f aca="true" t="shared" si="10" ref="L20:L36">SUM(J20:K20)</f>
        <v>431</v>
      </c>
      <c r="M20" s="35">
        <f t="shared" si="4"/>
        <v>-1104</v>
      </c>
      <c r="N20" s="39">
        <f t="shared" si="6"/>
        <v>0.2807817589576547</v>
      </c>
    </row>
    <row r="21" spans="1:14" ht="13.5" customHeight="1">
      <c r="A21" s="31" t="s">
        <v>22</v>
      </c>
      <c r="B21" s="32">
        <v>2361</v>
      </c>
      <c r="C21" s="33">
        <v>27</v>
      </c>
      <c r="D21" s="34">
        <f t="shared" si="8"/>
        <v>2388</v>
      </c>
      <c r="E21" s="32">
        <v>2523</v>
      </c>
      <c r="F21" s="33">
        <v>30</v>
      </c>
      <c r="G21" s="27">
        <f t="shared" si="9"/>
        <v>2553</v>
      </c>
      <c r="H21" s="35">
        <f t="shared" si="2"/>
        <v>165</v>
      </c>
      <c r="I21" s="36">
        <f t="shared" si="5"/>
        <v>1.0690954773869348</v>
      </c>
      <c r="J21" s="37">
        <v>2761</v>
      </c>
      <c r="K21" s="33">
        <v>40</v>
      </c>
      <c r="L21" s="30">
        <f t="shared" si="10"/>
        <v>2801</v>
      </c>
      <c r="M21" s="35">
        <f t="shared" si="4"/>
        <v>248</v>
      </c>
      <c r="N21" s="39">
        <f t="shared" si="6"/>
        <v>1.0971406188797492</v>
      </c>
    </row>
    <row r="22" spans="1:14" ht="13.5" customHeight="1">
      <c r="A22" s="40" t="s">
        <v>23</v>
      </c>
      <c r="B22" s="32">
        <v>68</v>
      </c>
      <c r="C22" s="33"/>
      <c r="D22" s="34">
        <f t="shared" si="8"/>
        <v>68</v>
      </c>
      <c r="E22" s="32"/>
      <c r="F22" s="33"/>
      <c r="G22" s="27">
        <f t="shared" si="9"/>
        <v>0</v>
      </c>
      <c r="H22" s="35">
        <f t="shared" si="2"/>
        <v>-68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2503</v>
      </c>
      <c r="C24" s="33">
        <v>5</v>
      </c>
      <c r="D24" s="34">
        <f t="shared" si="8"/>
        <v>2508</v>
      </c>
      <c r="E24" s="37">
        <v>2447</v>
      </c>
      <c r="F24" s="33">
        <v>6</v>
      </c>
      <c r="G24" s="27">
        <f t="shared" si="9"/>
        <v>2453</v>
      </c>
      <c r="H24" s="35">
        <f t="shared" si="2"/>
        <v>-55</v>
      </c>
      <c r="I24" s="36">
        <f t="shared" si="5"/>
        <v>0.9780701754385965</v>
      </c>
      <c r="J24" s="37">
        <v>2303</v>
      </c>
      <c r="K24" s="33">
        <v>6</v>
      </c>
      <c r="L24" s="30">
        <f t="shared" si="10"/>
        <v>2309</v>
      </c>
      <c r="M24" s="35">
        <f t="shared" si="4"/>
        <v>-144</v>
      </c>
      <c r="N24" s="39">
        <f t="shared" si="6"/>
        <v>0.9412963717896453</v>
      </c>
    </row>
    <row r="25" spans="1:14" ht="13.5" customHeight="1">
      <c r="A25" s="40" t="s">
        <v>26</v>
      </c>
      <c r="B25" s="32">
        <v>908</v>
      </c>
      <c r="C25" s="33">
        <v>1</v>
      </c>
      <c r="D25" s="34">
        <f t="shared" si="8"/>
        <v>909</v>
      </c>
      <c r="E25" s="32">
        <v>864</v>
      </c>
      <c r="F25" s="33">
        <v>1</v>
      </c>
      <c r="G25" s="27">
        <f t="shared" si="9"/>
        <v>865</v>
      </c>
      <c r="H25" s="35">
        <f t="shared" si="2"/>
        <v>-44</v>
      </c>
      <c r="I25" s="36">
        <f t="shared" si="5"/>
        <v>0.9515951595159516</v>
      </c>
      <c r="J25" s="57">
        <v>404</v>
      </c>
      <c r="K25" s="33">
        <v>1</v>
      </c>
      <c r="L25" s="30">
        <f t="shared" si="10"/>
        <v>405</v>
      </c>
      <c r="M25" s="35">
        <f t="shared" si="4"/>
        <v>-460</v>
      </c>
      <c r="N25" s="39">
        <f t="shared" si="6"/>
        <v>0.4682080924855491</v>
      </c>
    </row>
    <row r="26" spans="1:14" ht="13.5" customHeight="1">
      <c r="A26" s="31" t="s">
        <v>27</v>
      </c>
      <c r="B26" s="32">
        <v>1563</v>
      </c>
      <c r="C26" s="33">
        <v>4</v>
      </c>
      <c r="D26" s="34">
        <f t="shared" si="8"/>
        <v>1567</v>
      </c>
      <c r="E26" s="32">
        <v>1555</v>
      </c>
      <c r="F26" s="33">
        <v>5</v>
      </c>
      <c r="G26" s="27">
        <f t="shared" si="9"/>
        <v>1560</v>
      </c>
      <c r="H26" s="35">
        <f t="shared" si="2"/>
        <v>-7</v>
      </c>
      <c r="I26" s="36">
        <f t="shared" si="5"/>
        <v>0.9955328653477984</v>
      </c>
      <c r="J26" s="57">
        <v>1864</v>
      </c>
      <c r="K26" s="33">
        <v>5</v>
      </c>
      <c r="L26" s="30">
        <f t="shared" si="10"/>
        <v>1869</v>
      </c>
      <c r="M26" s="35">
        <f t="shared" si="4"/>
        <v>309</v>
      </c>
      <c r="N26" s="39">
        <f t="shared" si="6"/>
        <v>1.198076923076923</v>
      </c>
    </row>
    <row r="27" spans="1:14" ht="13.5" customHeight="1">
      <c r="A27" s="58" t="s">
        <v>28</v>
      </c>
      <c r="B27" s="37">
        <v>18814</v>
      </c>
      <c r="C27" s="33">
        <v>127</v>
      </c>
      <c r="D27" s="34">
        <f t="shared" si="8"/>
        <v>18941</v>
      </c>
      <c r="E27" s="37">
        <v>20497</v>
      </c>
      <c r="F27" s="33">
        <v>140</v>
      </c>
      <c r="G27" s="27">
        <f t="shared" si="9"/>
        <v>20637</v>
      </c>
      <c r="H27" s="35">
        <f t="shared" si="2"/>
        <v>1696</v>
      </c>
      <c r="I27" s="36">
        <f t="shared" si="5"/>
        <v>1.0895412069056545</v>
      </c>
      <c r="J27" s="37">
        <f>J28+J31</f>
        <v>21954</v>
      </c>
      <c r="K27" s="33">
        <v>140</v>
      </c>
      <c r="L27" s="30">
        <f t="shared" si="10"/>
        <v>22094</v>
      </c>
      <c r="M27" s="35">
        <f t="shared" si="4"/>
        <v>1457</v>
      </c>
      <c r="N27" s="39">
        <f t="shared" si="6"/>
        <v>1.0706013470950235</v>
      </c>
    </row>
    <row r="28" spans="1:14" ht="13.5" customHeight="1">
      <c r="A28" s="40" t="s">
        <v>29</v>
      </c>
      <c r="B28" s="32">
        <v>13696</v>
      </c>
      <c r="C28" s="33">
        <v>94</v>
      </c>
      <c r="D28" s="34">
        <f t="shared" si="8"/>
        <v>13790</v>
      </c>
      <c r="E28" s="32">
        <v>14973</v>
      </c>
      <c r="F28" s="33">
        <v>104</v>
      </c>
      <c r="G28" s="27">
        <f t="shared" si="9"/>
        <v>15077</v>
      </c>
      <c r="H28" s="35">
        <f t="shared" si="2"/>
        <v>1287</v>
      </c>
      <c r="I28" s="36">
        <f t="shared" si="5"/>
        <v>1.0933284989122554</v>
      </c>
      <c r="J28" s="57">
        <f>J29+J30</f>
        <v>16025</v>
      </c>
      <c r="K28" s="59">
        <v>104</v>
      </c>
      <c r="L28" s="30">
        <f t="shared" si="10"/>
        <v>16129</v>
      </c>
      <c r="M28" s="35">
        <f t="shared" si="4"/>
        <v>1052</v>
      </c>
      <c r="N28" s="39">
        <f t="shared" si="6"/>
        <v>1.0697751542083969</v>
      </c>
    </row>
    <row r="29" spans="1:14" ht="13.5" customHeight="1">
      <c r="A29" s="58" t="s">
        <v>30</v>
      </c>
      <c r="B29" s="32">
        <v>13591</v>
      </c>
      <c r="C29" s="33">
        <v>94</v>
      </c>
      <c r="D29" s="34">
        <f t="shared" si="8"/>
        <v>13685</v>
      </c>
      <c r="E29" s="32">
        <v>14917</v>
      </c>
      <c r="F29" s="33">
        <v>104</v>
      </c>
      <c r="G29" s="27">
        <f t="shared" si="9"/>
        <v>15021</v>
      </c>
      <c r="H29" s="35">
        <f t="shared" si="2"/>
        <v>1336</v>
      </c>
      <c r="I29" s="36">
        <f t="shared" si="5"/>
        <v>1.0976251370113264</v>
      </c>
      <c r="J29" s="37">
        <f>15421+548</f>
        <v>15969</v>
      </c>
      <c r="K29" s="33">
        <v>104</v>
      </c>
      <c r="L29" s="30">
        <f t="shared" si="10"/>
        <v>16073</v>
      </c>
      <c r="M29" s="35">
        <f t="shared" si="4"/>
        <v>1052</v>
      </c>
      <c r="N29" s="39">
        <f t="shared" si="6"/>
        <v>1.0700352839358231</v>
      </c>
    </row>
    <row r="30" spans="1:14" ht="13.5" customHeight="1">
      <c r="A30" s="40" t="s">
        <v>31</v>
      </c>
      <c r="B30" s="32">
        <v>105</v>
      </c>
      <c r="C30" s="33"/>
      <c r="D30" s="34">
        <f t="shared" si="8"/>
        <v>105</v>
      </c>
      <c r="E30" s="32">
        <v>56</v>
      </c>
      <c r="F30" s="33"/>
      <c r="G30" s="27">
        <f t="shared" si="9"/>
        <v>56</v>
      </c>
      <c r="H30" s="35">
        <f t="shared" si="2"/>
        <v>-49</v>
      </c>
      <c r="I30" s="36">
        <f t="shared" si="5"/>
        <v>0.5333333333333333</v>
      </c>
      <c r="J30" s="37">
        <v>56</v>
      </c>
      <c r="K30" s="33"/>
      <c r="L30" s="30">
        <f t="shared" si="10"/>
        <v>56</v>
      </c>
      <c r="M30" s="35">
        <f t="shared" si="4"/>
        <v>0</v>
      </c>
      <c r="N30" s="39">
        <f t="shared" si="6"/>
        <v>1</v>
      </c>
    </row>
    <row r="31" spans="1:14" ht="13.5" customHeight="1">
      <c r="A31" s="40" t="s">
        <v>32</v>
      </c>
      <c r="B31" s="32">
        <v>5118</v>
      </c>
      <c r="C31" s="33">
        <v>33</v>
      </c>
      <c r="D31" s="34">
        <f t="shared" si="8"/>
        <v>5151</v>
      </c>
      <c r="E31" s="32">
        <v>5524</v>
      </c>
      <c r="F31" s="33">
        <v>36</v>
      </c>
      <c r="G31" s="27">
        <f t="shared" si="9"/>
        <v>5560</v>
      </c>
      <c r="H31" s="35">
        <f t="shared" si="2"/>
        <v>409</v>
      </c>
      <c r="I31" s="36">
        <f t="shared" si="5"/>
        <v>1.079402057852844</v>
      </c>
      <c r="J31" s="37">
        <f>5726+203</f>
        <v>5929</v>
      </c>
      <c r="K31" s="33">
        <v>36</v>
      </c>
      <c r="L31" s="30">
        <f t="shared" si="10"/>
        <v>5965</v>
      </c>
      <c r="M31" s="35">
        <f t="shared" si="4"/>
        <v>405</v>
      </c>
      <c r="N31" s="39">
        <f t="shared" si="6"/>
        <v>1.0728417266187051</v>
      </c>
    </row>
    <row r="32" spans="1:14" ht="13.5" customHeight="1">
      <c r="A32" s="58" t="s">
        <v>33</v>
      </c>
      <c r="B32" s="32"/>
      <c r="C32" s="33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817</v>
      </c>
      <c r="C33" s="33"/>
      <c r="D33" s="34">
        <f t="shared" si="8"/>
        <v>817</v>
      </c>
      <c r="E33" s="32">
        <v>951</v>
      </c>
      <c r="F33" s="33"/>
      <c r="G33" s="27">
        <f t="shared" si="9"/>
        <v>951</v>
      </c>
      <c r="H33" s="35">
        <f t="shared" si="2"/>
        <v>134</v>
      </c>
      <c r="I33" s="36">
        <f t="shared" si="5"/>
        <v>1.1640146878824968</v>
      </c>
      <c r="J33" s="37">
        <v>980</v>
      </c>
      <c r="K33" s="33"/>
      <c r="L33" s="30">
        <f t="shared" si="10"/>
        <v>980</v>
      </c>
      <c r="M33" s="35">
        <f t="shared" si="4"/>
        <v>29</v>
      </c>
      <c r="N33" s="39">
        <f t="shared" si="6"/>
        <v>1.0304942166140905</v>
      </c>
    </row>
    <row r="34" spans="1:14" ht="13.5" customHeight="1">
      <c r="A34" s="40" t="s">
        <v>35</v>
      </c>
      <c r="B34" s="32">
        <v>636</v>
      </c>
      <c r="C34" s="33">
        <v>8</v>
      </c>
      <c r="D34" s="34">
        <f t="shared" si="8"/>
        <v>644</v>
      </c>
      <c r="E34" s="32">
        <v>659</v>
      </c>
      <c r="F34" s="33">
        <v>9</v>
      </c>
      <c r="G34" s="27">
        <f t="shared" si="9"/>
        <v>668</v>
      </c>
      <c r="H34" s="35">
        <f t="shared" si="2"/>
        <v>24</v>
      </c>
      <c r="I34" s="36">
        <f t="shared" si="5"/>
        <v>1.0372670807453417</v>
      </c>
      <c r="J34" s="57">
        <v>676</v>
      </c>
      <c r="K34" s="33">
        <v>14</v>
      </c>
      <c r="L34" s="30">
        <f t="shared" si="10"/>
        <v>690</v>
      </c>
      <c r="M34" s="35">
        <f t="shared" si="4"/>
        <v>22</v>
      </c>
      <c r="N34" s="39">
        <f t="shared" si="6"/>
        <v>1.032934131736527</v>
      </c>
    </row>
    <row r="35" spans="1:14" ht="22.5" customHeight="1">
      <c r="A35" s="40" t="s">
        <v>36</v>
      </c>
      <c r="B35" s="32">
        <v>636</v>
      </c>
      <c r="C35" s="33">
        <v>8</v>
      </c>
      <c r="D35" s="34">
        <f t="shared" si="8"/>
        <v>644</v>
      </c>
      <c r="E35" s="32">
        <v>659</v>
      </c>
      <c r="F35" s="33">
        <v>9</v>
      </c>
      <c r="G35" s="27">
        <f t="shared" si="9"/>
        <v>668</v>
      </c>
      <c r="H35" s="35">
        <f t="shared" si="2"/>
        <v>24</v>
      </c>
      <c r="I35" s="36">
        <f t="shared" si="5"/>
        <v>1.0372670807453417</v>
      </c>
      <c r="J35" s="57">
        <v>676</v>
      </c>
      <c r="K35" s="33">
        <v>14</v>
      </c>
      <c r="L35" s="30">
        <f t="shared" si="10"/>
        <v>690</v>
      </c>
      <c r="M35" s="35">
        <f t="shared" si="4"/>
        <v>22</v>
      </c>
      <c r="N35" s="39">
        <f t="shared" si="6"/>
        <v>1.032934131736527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32037</v>
      </c>
      <c r="C37" s="48">
        <f t="shared" si="11"/>
        <v>522</v>
      </c>
      <c r="D37" s="49">
        <f t="shared" si="11"/>
        <v>32559</v>
      </c>
      <c r="E37" s="47">
        <f t="shared" si="11"/>
        <v>34045</v>
      </c>
      <c r="F37" s="48">
        <f t="shared" si="11"/>
        <v>585</v>
      </c>
      <c r="G37" s="49">
        <f t="shared" si="11"/>
        <v>34630</v>
      </c>
      <c r="H37" s="50">
        <f t="shared" si="2"/>
        <v>2071</v>
      </c>
      <c r="I37" s="51">
        <f t="shared" si="5"/>
        <v>1.0636076046561627</v>
      </c>
      <c r="J37" s="52">
        <f>SUM(J19+J21+J22+J23+J24+J27+J32+J33+J34+J36)</f>
        <v>35790</v>
      </c>
      <c r="K37" s="48">
        <f>SUM(K19+K21+K22+K23+K24+K27+K32+K33+K34+K36)</f>
        <v>600</v>
      </c>
      <c r="L37" s="49">
        <f>SUM(L19+L21+L22+L23+L24+L27+L32+L33+L34+L36)</f>
        <v>36390</v>
      </c>
      <c r="M37" s="50">
        <f t="shared" si="4"/>
        <v>1760</v>
      </c>
      <c r="N37" s="53">
        <f t="shared" si="6"/>
        <v>1.0508229858504188</v>
      </c>
    </row>
    <row r="38" spans="1:14" ht="13.5" customHeight="1" thickBot="1">
      <c r="A38" s="46" t="s">
        <v>39</v>
      </c>
      <c r="B38" s="680">
        <f>+D18-D37</f>
        <v>64</v>
      </c>
      <c r="C38" s="681"/>
      <c r="D38" s="682"/>
      <c r="E38" s="680">
        <f>+G18-G37</f>
        <v>67</v>
      </c>
      <c r="F38" s="681"/>
      <c r="G38" s="682">
        <v>-50784</v>
      </c>
      <c r="H38" s="62">
        <f>+E38-B38</f>
        <v>3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129</v>
      </c>
      <c r="B43" s="683"/>
      <c r="C43" s="66">
        <v>167</v>
      </c>
      <c r="D43" s="679" t="s">
        <v>130</v>
      </c>
      <c r="E43" s="657"/>
      <c r="F43" s="657"/>
      <c r="G43" s="67">
        <v>163</v>
      </c>
      <c r="H43" s="658" t="s">
        <v>390</v>
      </c>
      <c r="I43" s="659"/>
      <c r="J43" s="659"/>
      <c r="K43" s="659"/>
      <c r="L43" s="68">
        <v>163</v>
      </c>
      <c r="O43"/>
      <c r="P43"/>
    </row>
    <row r="44" spans="1:16" ht="12.75">
      <c r="A44" s="639" t="s">
        <v>130</v>
      </c>
      <c r="B44" s="646"/>
      <c r="C44" s="69">
        <v>170</v>
      </c>
      <c r="D44" s="679" t="s">
        <v>130</v>
      </c>
      <c r="E44" s="657"/>
      <c r="F44" s="657"/>
      <c r="G44" s="70">
        <v>163</v>
      </c>
      <c r="H44" s="658" t="s">
        <v>511</v>
      </c>
      <c r="I44" s="659"/>
      <c r="J44" s="659"/>
      <c r="K44" s="659"/>
      <c r="L44" s="68">
        <v>690</v>
      </c>
      <c r="O44"/>
      <c r="P44"/>
    </row>
    <row r="45" spans="1:16" ht="12.75">
      <c r="A45" s="639" t="s">
        <v>131</v>
      </c>
      <c r="B45" s="646"/>
      <c r="C45" s="69">
        <v>108</v>
      </c>
      <c r="D45" s="679"/>
      <c r="E45" s="657"/>
      <c r="F45" s="657"/>
      <c r="G45" s="70"/>
      <c r="H45" s="658" t="s">
        <v>512</v>
      </c>
      <c r="I45" s="659"/>
      <c r="J45" s="659"/>
      <c r="K45" s="659"/>
      <c r="L45" s="68">
        <v>719</v>
      </c>
      <c r="O45"/>
      <c r="P45"/>
    </row>
    <row r="46" spans="1:16" ht="12.75">
      <c r="A46" s="647" t="s">
        <v>391</v>
      </c>
      <c r="B46" s="674"/>
      <c r="C46" s="71">
        <v>531</v>
      </c>
      <c r="D46" s="647"/>
      <c r="E46" s="648"/>
      <c r="F46" s="674"/>
      <c r="G46" s="72"/>
      <c r="H46" s="643" t="s">
        <v>43</v>
      </c>
      <c r="I46" s="644"/>
      <c r="J46" s="644"/>
      <c r="K46" s="645"/>
      <c r="L46" s="68">
        <v>213</v>
      </c>
      <c r="O46"/>
      <c r="P46"/>
    </row>
    <row r="47" spans="1:16" ht="12.75">
      <c r="A47" s="647"/>
      <c r="B47" s="674"/>
      <c r="C47" s="71"/>
      <c r="D47" s="647"/>
      <c r="E47" s="648"/>
      <c r="F47" s="674"/>
      <c r="G47" s="72"/>
      <c r="H47" s="643"/>
      <c r="I47" s="644"/>
      <c r="J47" s="644"/>
      <c r="K47" s="645"/>
      <c r="L47" s="68"/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/>
      <c r="I48" s="644"/>
      <c r="J48" s="644"/>
      <c r="K48" s="645"/>
      <c r="L48" s="68"/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/>
      <c r="B50" s="635"/>
      <c r="C50" s="73">
        <f>SUM(C43:C49)</f>
        <v>976</v>
      </c>
      <c r="D50" s="660" t="s">
        <v>5</v>
      </c>
      <c r="E50" s="661"/>
      <c r="F50" s="661"/>
      <c r="G50" s="73">
        <f>SUM(G43:G44)</f>
        <v>326</v>
      </c>
      <c r="H50" s="637" t="s">
        <v>5</v>
      </c>
      <c r="I50" s="638"/>
      <c r="J50" s="638"/>
      <c r="K50" s="638"/>
      <c r="L50" s="73">
        <f>SUM(L43:L49)</f>
        <v>1785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119</v>
      </c>
      <c r="B54" s="655"/>
      <c r="C54" s="66">
        <v>271</v>
      </c>
      <c r="D54" s="656" t="s">
        <v>134</v>
      </c>
      <c r="E54" s="657"/>
      <c r="F54" s="657"/>
      <c r="G54" s="76">
        <v>217</v>
      </c>
      <c r="H54" s="658" t="s">
        <v>134</v>
      </c>
      <c r="I54" s="659"/>
      <c r="J54" s="659"/>
      <c r="K54" s="659"/>
      <c r="L54" s="68">
        <v>95</v>
      </c>
      <c r="O54"/>
      <c r="P54"/>
    </row>
    <row r="55" spans="1:16" ht="13.5" customHeight="1">
      <c r="A55" s="639" t="s">
        <v>132</v>
      </c>
      <c r="B55" s="649"/>
      <c r="C55" s="69">
        <v>90</v>
      </c>
      <c r="D55" s="642" t="s">
        <v>133</v>
      </c>
      <c r="E55" s="646"/>
      <c r="F55" s="646"/>
      <c r="G55" s="77">
        <v>433</v>
      </c>
      <c r="H55" s="650" t="s">
        <v>119</v>
      </c>
      <c r="I55" s="651"/>
      <c r="J55" s="651"/>
      <c r="K55" s="651"/>
      <c r="L55" s="78">
        <v>150</v>
      </c>
      <c r="O55"/>
      <c r="P55"/>
    </row>
    <row r="56" spans="1:16" ht="13.5" customHeight="1">
      <c r="A56" s="639" t="s">
        <v>134</v>
      </c>
      <c r="B56" s="640"/>
      <c r="C56" s="69">
        <v>84</v>
      </c>
      <c r="D56" s="642" t="s">
        <v>392</v>
      </c>
      <c r="E56" s="646"/>
      <c r="F56" s="646"/>
      <c r="G56" s="77">
        <v>147</v>
      </c>
      <c r="H56" s="643" t="s">
        <v>136</v>
      </c>
      <c r="I56" s="644"/>
      <c r="J56" s="644"/>
      <c r="K56" s="645"/>
      <c r="L56" s="78">
        <v>30</v>
      </c>
      <c r="O56"/>
      <c r="P56"/>
    </row>
    <row r="57" spans="1:16" ht="13.5" customHeight="1">
      <c r="A57" s="639" t="s">
        <v>136</v>
      </c>
      <c r="B57" s="640"/>
      <c r="C57" s="69">
        <v>79</v>
      </c>
      <c r="D57" s="642" t="s">
        <v>135</v>
      </c>
      <c r="E57" s="646"/>
      <c r="F57" s="646"/>
      <c r="G57" s="77">
        <v>33</v>
      </c>
      <c r="H57" s="643" t="s">
        <v>393</v>
      </c>
      <c r="I57" s="644"/>
      <c r="J57" s="644"/>
      <c r="K57" s="645"/>
      <c r="L57" s="78">
        <v>30</v>
      </c>
      <c r="O57"/>
      <c r="P57"/>
    </row>
    <row r="58" spans="1:16" ht="13.5" customHeight="1">
      <c r="A58" s="647" t="s">
        <v>394</v>
      </c>
      <c r="B58" s="648"/>
      <c r="C58" s="71">
        <v>69</v>
      </c>
      <c r="D58" s="641" t="s">
        <v>395</v>
      </c>
      <c r="E58" s="641"/>
      <c r="F58" s="642"/>
      <c r="G58" s="178">
        <v>35</v>
      </c>
      <c r="H58" s="643" t="s">
        <v>396</v>
      </c>
      <c r="I58" s="644"/>
      <c r="J58" s="644"/>
      <c r="K58" s="645"/>
      <c r="L58" s="79">
        <v>20</v>
      </c>
      <c r="O58"/>
      <c r="P58"/>
    </row>
    <row r="59" spans="1:16" ht="13.5" customHeight="1">
      <c r="A59" s="639" t="s">
        <v>397</v>
      </c>
      <c r="B59" s="640"/>
      <c r="C59" s="71">
        <v>47</v>
      </c>
      <c r="D59" s="641"/>
      <c r="E59" s="641"/>
      <c r="F59" s="642"/>
      <c r="G59" s="178"/>
      <c r="H59" s="643" t="s">
        <v>138</v>
      </c>
      <c r="I59" s="644"/>
      <c r="J59" s="644"/>
      <c r="K59" s="645"/>
      <c r="L59" s="79">
        <v>80</v>
      </c>
      <c r="O59"/>
      <c r="P59"/>
    </row>
    <row r="60" spans="1:16" ht="13.5" customHeight="1">
      <c r="A60" s="639" t="s">
        <v>137</v>
      </c>
      <c r="B60" s="640"/>
      <c r="C60" s="69">
        <v>269</v>
      </c>
      <c r="D60" s="642"/>
      <c r="E60" s="646"/>
      <c r="F60" s="646"/>
      <c r="G60" s="77"/>
      <c r="H60" s="643"/>
      <c r="I60" s="644"/>
      <c r="J60" s="644"/>
      <c r="K60" s="645"/>
      <c r="L60" s="78"/>
      <c r="O60"/>
      <c r="P60"/>
    </row>
    <row r="61" spans="1:16" ht="13.5" thickBot="1">
      <c r="A61" s="627"/>
      <c r="B61" s="628"/>
      <c r="C61" s="80"/>
      <c r="D61" s="629"/>
      <c r="E61" s="630"/>
      <c r="F61" s="630"/>
      <c r="G61" s="81"/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73">
        <f>SUM(C54:C61)</f>
        <v>909</v>
      </c>
      <c r="D62" s="635" t="s">
        <v>5</v>
      </c>
      <c r="E62" s="636"/>
      <c r="F62" s="636"/>
      <c r="G62" s="83">
        <f>SUM(G54:G61)</f>
        <v>865</v>
      </c>
      <c r="H62" s="637" t="s">
        <v>5</v>
      </c>
      <c r="I62" s="638"/>
      <c r="J62" s="638"/>
      <c r="K62" s="638"/>
      <c r="L62" s="73">
        <f>SUM(L54:L61)</f>
        <v>405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167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231</v>
      </c>
      <c r="I67" s="580" t="s">
        <v>179</v>
      </c>
      <c r="J67" s="582"/>
      <c r="K67" s="582"/>
      <c r="L67" s="157">
        <v>285</v>
      </c>
      <c r="M67" s="84"/>
      <c r="N67" s="84"/>
    </row>
    <row r="68" spans="1:14" s="1" customFormat="1" ht="12.75">
      <c r="A68" s="158" t="s">
        <v>174</v>
      </c>
      <c r="B68" s="151">
        <v>51</v>
      </c>
      <c r="C68" s="583" t="s">
        <v>175</v>
      </c>
      <c r="D68" s="583"/>
      <c r="E68" s="159">
        <v>0</v>
      </c>
      <c r="F68" s="584" t="s">
        <v>177</v>
      </c>
      <c r="G68" s="585"/>
      <c r="H68" s="151">
        <v>54</v>
      </c>
      <c r="I68" s="583"/>
      <c r="J68" s="585"/>
      <c r="K68" s="585"/>
      <c r="L68" s="159"/>
      <c r="M68" s="84"/>
      <c r="N68" s="84"/>
    </row>
    <row r="69" spans="1:14" s="1" customFormat="1" ht="12.75">
      <c r="A69" s="158" t="s">
        <v>175</v>
      </c>
      <c r="B69" s="151">
        <v>13</v>
      </c>
      <c r="C69" s="583"/>
      <c r="D69" s="583"/>
      <c r="E69" s="159"/>
      <c r="F69" s="583" t="s">
        <v>175</v>
      </c>
      <c r="G69" s="583"/>
      <c r="H69" s="151"/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231</v>
      </c>
      <c r="C71" s="589" t="s">
        <v>5</v>
      </c>
      <c r="D71" s="589"/>
      <c r="E71" s="165">
        <f>SUM(E67:E70)</f>
        <v>0</v>
      </c>
      <c r="F71" s="590" t="s">
        <v>5</v>
      </c>
      <c r="G71" s="591"/>
      <c r="H71" s="161">
        <f>SUM(H67:H70)</f>
        <v>285</v>
      </c>
      <c r="I71" s="589" t="s">
        <v>5</v>
      </c>
      <c r="J71" s="591"/>
      <c r="K71" s="591"/>
      <c r="L71" s="165">
        <f>SUM(L67:L70)</f>
        <v>285</v>
      </c>
      <c r="M71" s="84"/>
      <c r="N71" s="84"/>
    </row>
    <row r="72" spans="1:14" s="1" customFormat="1" ht="13.5" thickBot="1">
      <c r="A72" s="181" t="s">
        <v>534</v>
      </c>
      <c r="B72" s="182">
        <f>B71-E71</f>
        <v>231</v>
      </c>
      <c r="C72" s="84"/>
      <c r="D72" s="84"/>
      <c r="E72" s="84"/>
      <c r="F72" s="592" t="s">
        <v>534</v>
      </c>
      <c r="G72" s="593"/>
      <c r="H72" s="183">
        <f>H71-L71</f>
        <v>0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601" t="s">
        <v>73</v>
      </c>
      <c r="B76" s="604" t="s">
        <v>495</v>
      </c>
      <c r="C76" s="607" t="s">
        <v>477</v>
      </c>
      <c r="D76" s="608"/>
      <c r="E76" s="608"/>
      <c r="F76" s="608"/>
      <c r="G76" s="608"/>
      <c r="H76" s="608"/>
      <c r="I76" s="609"/>
      <c r="J76" s="610" t="s">
        <v>496</v>
      </c>
      <c r="K76" s="7"/>
      <c r="L76" s="594" t="s">
        <v>48</v>
      </c>
      <c r="M76" s="595"/>
      <c r="N76" s="193">
        <v>2004</v>
      </c>
      <c r="O76" s="194">
        <v>2005</v>
      </c>
    </row>
    <row r="77" spans="1:15" s="1" customFormat="1" ht="12.75">
      <c r="A77" s="602"/>
      <c r="B77" s="605"/>
      <c r="C77" s="596" t="s">
        <v>76</v>
      </c>
      <c r="D77" s="598" t="s">
        <v>77</v>
      </c>
      <c r="E77" s="599"/>
      <c r="F77" s="599"/>
      <c r="G77" s="599"/>
      <c r="H77" s="599"/>
      <c r="I77" s="600"/>
      <c r="J77" s="611"/>
      <c r="K77" s="7"/>
      <c r="L77" s="197" t="s">
        <v>178</v>
      </c>
      <c r="M77" s="197"/>
      <c r="N77" s="192"/>
      <c r="O77" s="195"/>
    </row>
    <row r="78" spans="1:15" s="1" customFormat="1" ht="13.5" thickBot="1">
      <c r="A78" s="603"/>
      <c r="B78" s="606"/>
      <c r="C78" s="597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612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27841</v>
      </c>
      <c r="B79" s="117">
        <v>10097</v>
      </c>
      <c r="C79" s="170">
        <v>690</v>
      </c>
      <c r="D79" s="171">
        <v>107</v>
      </c>
      <c r="E79" s="171">
        <v>211</v>
      </c>
      <c r="F79" s="171">
        <v>159</v>
      </c>
      <c r="G79" s="171">
        <v>0</v>
      </c>
      <c r="H79" s="170">
        <v>213</v>
      </c>
      <c r="I79" s="184">
        <v>0</v>
      </c>
      <c r="J79" s="118">
        <f>SUM(A79-B79-C79)</f>
        <v>17054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618" t="s">
        <v>112</v>
      </c>
      <c r="B83" s="620" t="s">
        <v>482</v>
      </c>
      <c r="C83" s="622" t="s">
        <v>480</v>
      </c>
      <c r="D83" s="623"/>
      <c r="E83" s="623"/>
      <c r="F83" s="624"/>
      <c r="G83" s="625" t="s">
        <v>483</v>
      </c>
      <c r="H83" s="613" t="s">
        <v>78</v>
      </c>
      <c r="I83" s="615" t="s">
        <v>481</v>
      </c>
      <c r="J83" s="616"/>
      <c r="K83" s="616"/>
      <c r="L83" s="617"/>
    </row>
    <row r="84" spans="1:12" s="1" customFormat="1" ht="18.75" thickBot="1">
      <c r="A84" s="619"/>
      <c r="B84" s="621"/>
      <c r="C84" s="119" t="s">
        <v>81</v>
      </c>
      <c r="D84" s="120" t="s">
        <v>79</v>
      </c>
      <c r="E84" s="120" t="s">
        <v>80</v>
      </c>
      <c r="F84" s="121" t="s">
        <v>114</v>
      </c>
      <c r="G84" s="626"/>
      <c r="H84" s="614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2199.67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2394.29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18.24</v>
      </c>
      <c r="C86" s="130">
        <v>18</v>
      </c>
      <c r="D86" s="131">
        <v>13</v>
      </c>
      <c r="E86" s="131">
        <v>0</v>
      </c>
      <c r="F86" s="132">
        <v>31</v>
      </c>
      <c r="G86" s="133">
        <v>30.99</v>
      </c>
      <c r="H86" s="453">
        <f>+G86-F86</f>
        <v>-0.010000000000001563</v>
      </c>
      <c r="I86" s="130">
        <v>31</v>
      </c>
      <c r="J86" s="131">
        <v>13</v>
      </c>
      <c r="K86" s="131">
        <v>0</v>
      </c>
      <c r="L86" s="132">
        <f>I86+J86-K86</f>
        <v>44</v>
      </c>
    </row>
    <row r="87" spans="1:12" s="1" customFormat="1" ht="12.75">
      <c r="A87" s="128" t="s">
        <v>85</v>
      </c>
      <c r="B87" s="129">
        <v>166.67</v>
      </c>
      <c r="C87" s="130">
        <v>167</v>
      </c>
      <c r="D87" s="131">
        <v>64</v>
      </c>
      <c r="E87" s="131">
        <v>0</v>
      </c>
      <c r="F87" s="132">
        <v>231</v>
      </c>
      <c r="G87" s="133">
        <v>230.66</v>
      </c>
      <c r="H87" s="453">
        <f>+G87-F87</f>
        <v>-0.3400000000000034</v>
      </c>
      <c r="I87" s="130">
        <v>231</v>
      </c>
      <c r="J87" s="131">
        <v>54</v>
      </c>
      <c r="K87" s="131">
        <v>285</v>
      </c>
      <c r="L87" s="132">
        <f>I87+J87-K87</f>
        <v>0</v>
      </c>
    </row>
    <row r="88" spans="1:12" s="1" customFormat="1" ht="12.75">
      <c r="A88" s="128" t="s">
        <v>113</v>
      </c>
      <c r="B88" s="129">
        <v>25.27</v>
      </c>
      <c r="C88" s="130">
        <v>25</v>
      </c>
      <c r="D88" s="131">
        <v>668</v>
      </c>
      <c r="E88" s="131">
        <v>533</v>
      </c>
      <c r="F88" s="132">
        <v>160</v>
      </c>
      <c r="G88" s="133">
        <v>159.72</v>
      </c>
      <c r="H88" s="453">
        <f>+G88-F88</f>
        <v>-0.28000000000000114</v>
      </c>
      <c r="I88" s="461">
        <v>160</v>
      </c>
      <c r="J88" s="447">
        <v>1625</v>
      </c>
      <c r="K88" s="447">
        <v>1785</v>
      </c>
      <c r="L88" s="132">
        <f>I88+J88-K88</f>
        <v>0</v>
      </c>
    </row>
    <row r="89" spans="1:12" s="1" customFormat="1" ht="12.75">
      <c r="A89" s="128" t="s">
        <v>86</v>
      </c>
      <c r="B89" s="129">
        <v>1989.49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1972.92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61</v>
      </c>
      <c r="C90" s="136">
        <v>142</v>
      </c>
      <c r="D90" s="137">
        <v>300</v>
      </c>
      <c r="E90" s="137">
        <v>309</v>
      </c>
      <c r="F90" s="138">
        <v>133</v>
      </c>
      <c r="G90" s="139">
        <v>108.24</v>
      </c>
      <c r="H90" s="454">
        <f>+G90-F90</f>
        <v>-24.760000000000005</v>
      </c>
      <c r="I90" s="136">
        <v>133</v>
      </c>
      <c r="J90" s="137">
        <v>321</v>
      </c>
      <c r="K90" s="137">
        <v>327</v>
      </c>
      <c r="L90" s="138">
        <f>I90+J90-K90</f>
        <v>127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/>
      <c r="E95" s="131"/>
      <c r="F95" s="131"/>
      <c r="G95" s="129"/>
      <c r="H95" s="132">
        <f>SUM(C95:G95)</f>
        <v>0</v>
      </c>
      <c r="I95" s="89"/>
      <c r="J95" s="93">
        <v>2005</v>
      </c>
      <c r="K95" s="94">
        <v>15038</v>
      </c>
      <c r="L95" s="95">
        <f>+G29</f>
        <v>15021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16073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5.23</v>
      </c>
      <c r="C101" s="103">
        <v>5</v>
      </c>
      <c r="D101" s="103">
        <f>+C101-B101</f>
        <v>-0.23000000000000043</v>
      </c>
      <c r="E101" s="103">
        <v>5</v>
      </c>
      <c r="F101" s="103">
        <v>5</v>
      </c>
      <c r="G101" s="104">
        <f>+F101-E101</f>
        <v>0</v>
      </c>
      <c r="H101" s="105">
        <v>17991</v>
      </c>
      <c r="I101" s="106">
        <v>19696</v>
      </c>
      <c r="J101" s="107">
        <f>+I101-H101</f>
        <v>1705</v>
      </c>
    </row>
    <row r="102" spans="1:10" ht="12.75">
      <c r="A102" s="102" t="s">
        <v>98</v>
      </c>
      <c r="B102" s="103">
        <v>29.03</v>
      </c>
      <c r="C102" s="103">
        <v>27.35</v>
      </c>
      <c r="D102" s="103">
        <f aca="true" t="shared" si="12" ref="D102:D111">+C102-B102</f>
        <v>-1.6799999999999997</v>
      </c>
      <c r="E102" s="103">
        <v>29</v>
      </c>
      <c r="F102" s="103">
        <v>29</v>
      </c>
      <c r="G102" s="104">
        <f aca="true" t="shared" si="13" ref="G102:G111">+F102-E102</f>
        <v>0</v>
      </c>
      <c r="H102" s="105">
        <v>16255</v>
      </c>
      <c r="I102" s="108">
        <v>17694</v>
      </c>
      <c r="J102" s="107">
        <f aca="true" t="shared" si="14" ref="J102:J111">+I102-H102</f>
        <v>1439</v>
      </c>
    </row>
    <row r="103" spans="1:10" ht="12.75">
      <c r="A103" s="102" t="s">
        <v>60</v>
      </c>
      <c r="B103" s="103">
        <v>4.74</v>
      </c>
      <c r="C103" s="103">
        <v>3</v>
      </c>
      <c r="D103" s="103">
        <f t="shared" si="12"/>
        <v>-1.7400000000000002</v>
      </c>
      <c r="E103" s="103">
        <v>4</v>
      </c>
      <c r="F103" s="103">
        <v>3</v>
      </c>
      <c r="G103" s="104">
        <f t="shared" si="13"/>
        <v>-1</v>
      </c>
      <c r="H103" s="105">
        <v>14241</v>
      </c>
      <c r="I103" s="108">
        <v>17106</v>
      </c>
      <c r="J103" s="107">
        <f t="shared" si="14"/>
        <v>2865</v>
      </c>
    </row>
    <row r="104" spans="1:10" ht="12.75">
      <c r="A104" s="102" t="s">
        <v>61</v>
      </c>
      <c r="B104" s="103">
        <v>8</v>
      </c>
      <c r="C104" s="103">
        <v>8</v>
      </c>
      <c r="D104" s="103">
        <f t="shared" si="12"/>
        <v>0</v>
      </c>
      <c r="E104" s="103">
        <v>8</v>
      </c>
      <c r="F104" s="103">
        <v>8</v>
      </c>
      <c r="G104" s="104">
        <f t="shared" si="13"/>
        <v>0</v>
      </c>
      <c r="H104" s="105">
        <v>12034</v>
      </c>
      <c r="I104" s="108">
        <v>12441</v>
      </c>
      <c r="J104" s="107">
        <f t="shared" si="14"/>
        <v>407</v>
      </c>
    </row>
    <row r="105" spans="1:10" ht="12.75">
      <c r="A105" s="102" t="s">
        <v>99</v>
      </c>
      <c r="B105" s="103">
        <v>0.5</v>
      </c>
      <c r="C105" s="103">
        <v>0.5</v>
      </c>
      <c r="D105" s="103">
        <f t="shared" si="12"/>
        <v>0</v>
      </c>
      <c r="E105" s="103">
        <v>0.5</v>
      </c>
      <c r="F105" s="103">
        <v>0.5</v>
      </c>
      <c r="G105" s="104">
        <f t="shared" si="13"/>
        <v>0</v>
      </c>
      <c r="H105" s="105">
        <v>24475</v>
      </c>
      <c r="I105" s="108">
        <v>25484</v>
      </c>
      <c r="J105" s="107">
        <f t="shared" si="14"/>
        <v>1009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398</v>
      </c>
      <c r="B107" s="103"/>
      <c r="C107" s="103">
        <v>0.72</v>
      </c>
      <c r="D107" s="103">
        <f t="shared" si="12"/>
        <v>0.72</v>
      </c>
      <c r="E107" s="103"/>
      <c r="F107" s="103"/>
      <c r="G107" s="104">
        <f t="shared" si="13"/>
        <v>0</v>
      </c>
      <c r="H107" s="105"/>
      <c r="I107" s="108">
        <v>6288</v>
      </c>
      <c r="J107" s="107">
        <f t="shared" si="14"/>
        <v>6288</v>
      </c>
    </row>
    <row r="108" spans="1:10" ht="12.75">
      <c r="A108" s="102" t="s">
        <v>65</v>
      </c>
      <c r="B108" s="103">
        <v>7.79</v>
      </c>
      <c r="C108" s="103">
        <v>12.77</v>
      </c>
      <c r="D108" s="103">
        <f t="shared" si="12"/>
        <v>4.9799999999999995</v>
      </c>
      <c r="E108" s="103">
        <v>10</v>
      </c>
      <c r="F108" s="103">
        <v>15</v>
      </c>
      <c r="G108" s="104">
        <f t="shared" si="13"/>
        <v>5</v>
      </c>
      <c r="H108" s="105">
        <v>10912</v>
      </c>
      <c r="I108" s="108">
        <v>12760</v>
      </c>
      <c r="J108" s="107">
        <f t="shared" si="14"/>
        <v>1848</v>
      </c>
    </row>
    <row r="109" spans="1:10" ht="12.75">
      <c r="A109" s="102" t="s">
        <v>66</v>
      </c>
      <c r="B109" s="103">
        <v>3</v>
      </c>
      <c r="C109" s="103">
        <v>3</v>
      </c>
      <c r="D109" s="103">
        <f t="shared" si="12"/>
        <v>0</v>
      </c>
      <c r="E109" s="103">
        <v>3</v>
      </c>
      <c r="F109" s="103">
        <v>3</v>
      </c>
      <c r="G109" s="104">
        <f t="shared" si="13"/>
        <v>0</v>
      </c>
      <c r="H109" s="105">
        <v>15333</v>
      </c>
      <c r="I109" s="108">
        <v>18068</v>
      </c>
      <c r="J109" s="107">
        <f t="shared" si="14"/>
        <v>2735</v>
      </c>
    </row>
    <row r="110" spans="1:10" ht="12.75">
      <c r="A110" s="102" t="s">
        <v>67</v>
      </c>
      <c r="B110" s="103">
        <v>26.62</v>
      </c>
      <c r="C110" s="103">
        <v>27.75</v>
      </c>
      <c r="D110" s="103">
        <f t="shared" si="12"/>
        <v>1.129999999999999</v>
      </c>
      <c r="E110" s="103">
        <v>27.75</v>
      </c>
      <c r="F110" s="103">
        <v>27.75</v>
      </c>
      <c r="G110" s="104">
        <f t="shared" si="13"/>
        <v>0</v>
      </c>
      <c r="H110" s="105">
        <v>10446</v>
      </c>
      <c r="I110" s="108">
        <v>10238</v>
      </c>
      <c r="J110" s="107">
        <f t="shared" si="14"/>
        <v>-208</v>
      </c>
    </row>
    <row r="111" spans="1:10" ht="13.5" thickBot="1">
      <c r="A111" s="109" t="s">
        <v>5</v>
      </c>
      <c r="B111" s="110">
        <v>84.4</v>
      </c>
      <c r="C111" s="110">
        <v>88.09</v>
      </c>
      <c r="D111" s="110">
        <f t="shared" si="12"/>
        <v>3.6899999999999977</v>
      </c>
      <c r="E111" s="110">
        <v>87.25</v>
      </c>
      <c r="F111" s="110">
        <v>91.25</v>
      </c>
      <c r="G111" s="111">
        <f t="shared" si="13"/>
        <v>4</v>
      </c>
      <c r="H111" s="112">
        <v>13513</v>
      </c>
      <c r="I111" s="113">
        <v>14210</v>
      </c>
      <c r="J111" s="114">
        <f t="shared" si="14"/>
        <v>697</v>
      </c>
    </row>
    <row r="112" ht="13.5" thickBot="1"/>
    <row r="113" spans="1:16" ht="12.75">
      <c r="A113" s="706" t="s">
        <v>68</v>
      </c>
      <c r="B113" s="707"/>
      <c r="C113" s="708"/>
      <c r="D113" s="89"/>
      <c r="E113" s="706" t="s">
        <v>69</v>
      </c>
      <c r="F113" s="707"/>
      <c r="G113" s="708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709" t="s">
        <v>72</v>
      </c>
      <c r="G114" s="71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90</v>
      </c>
      <c r="C115" s="95">
        <v>91</v>
      </c>
      <c r="D115" s="89"/>
      <c r="E115" s="93">
        <v>2005</v>
      </c>
      <c r="F115" s="711">
        <v>203</v>
      </c>
      <c r="G115" s="624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91</v>
      </c>
      <c r="C116" s="98"/>
      <c r="D116" s="89"/>
      <c r="E116" s="96">
        <v>2006</v>
      </c>
      <c r="F116" s="704">
        <v>203</v>
      </c>
      <c r="G116" s="705"/>
      <c r="H116"/>
      <c r="I116"/>
      <c r="J116"/>
      <c r="K116"/>
      <c r="L116"/>
      <c r="M116"/>
      <c r="N116"/>
      <c r="O116"/>
      <c r="P116"/>
    </row>
  </sheetData>
  <mergeCells count="119">
    <mergeCell ref="H83:H84"/>
    <mergeCell ref="I83:L83"/>
    <mergeCell ref="A83:A84"/>
    <mergeCell ref="B83:B84"/>
    <mergeCell ref="C83:F83"/>
    <mergeCell ref="G83:G84"/>
    <mergeCell ref="J76:J78"/>
    <mergeCell ref="L76:M76"/>
    <mergeCell ref="C77:C78"/>
    <mergeCell ref="D77:I77"/>
    <mergeCell ref="F72:G72"/>
    <mergeCell ref="A76:A78"/>
    <mergeCell ref="B76:B78"/>
    <mergeCell ref="C76:I76"/>
    <mergeCell ref="C70:D70"/>
    <mergeCell ref="F70:G70"/>
    <mergeCell ref="I70:K70"/>
    <mergeCell ref="C71:D71"/>
    <mergeCell ref="F71:G71"/>
    <mergeCell ref="I71:K71"/>
    <mergeCell ref="I66:K66"/>
    <mergeCell ref="I68:K68"/>
    <mergeCell ref="C69:D69"/>
    <mergeCell ref="F69:G69"/>
    <mergeCell ref="I69:K69"/>
    <mergeCell ref="I67:K67"/>
    <mergeCell ref="A3:A6"/>
    <mergeCell ref="B3:N3"/>
    <mergeCell ref="H4:I4"/>
    <mergeCell ref="M4:N4"/>
    <mergeCell ref="B38:D38"/>
    <mergeCell ref="E38:G38"/>
    <mergeCell ref="J38:L38"/>
    <mergeCell ref="A65:E65"/>
    <mergeCell ref="F65:L65"/>
    <mergeCell ref="B39:D39"/>
    <mergeCell ref="E39:G39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L52:L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H62:K62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93:A94"/>
    <mergeCell ref="B93:B94"/>
    <mergeCell ref="C93:H93"/>
    <mergeCell ref="J93:L93"/>
    <mergeCell ref="A62:B62"/>
    <mergeCell ref="D62:F62"/>
    <mergeCell ref="C68:D68"/>
    <mergeCell ref="F68:G68"/>
    <mergeCell ref="C67:D67"/>
    <mergeCell ref="F67:G67"/>
    <mergeCell ref="C66:D66"/>
    <mergeCell ref="F66:G66"/>
    <mergeCell ref="A99:A100"/>
    <mergeCell ref="B99:D99"/>
    <mergeCell ref="E99:G99"/>
    <mergeCell ref="H99:J99"/>
    <mergeCell ref="F116:G116"/>
    <mergeCell ref="A113:C113"/>
    <mergeCell ref="E113:G113"/>
    <mergeCell ref="F114:G114"/>
    <mergeCell ref="F115:G115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5" r:id="rId1"/>
  <headerFooter alignWithMargins="0">
    <oddFooter>&amp;C&amp;P</oddFooter>
  </headerFooter>
  <rowBreaks count="1" manualBreakCount="1">
    <brk id="7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"/>
  <sheetViews>
    <sheetView view="pageBreakPreview" zoomScaleSheetLayoutView="100" workbookViewId="0" topLeftCell="A1">
      <selection activeCell="J88" sqref="J88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84" t="s">
        <v>0</v>
      </c>
      <c r="B3" s="686" t="s">
        <v>141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59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>
        <v>203</v>
      </c>
      <c r="C7" s="428"/>
      <c r="D7" s="433">
        <f>SUM(B7:C7)</f>
        <v>203</v>
      </c>
      <c r="E7" s="427">
        <v>251</v>
      </c>
      <c r="F7" s="428"/>
      <c r="G7" s="429">
        <f>SUM(E7:F7)</f>
        <v>251</v>
      </c>
      <c r="H7" s="464">
        <f>+G7-D7</f>
        <v>48</v>
      </c>
      <c r="I7" s="471">
        <f>+G7/D7</f>
        <v>1.2364532019704433</v>
      </c>
      <c r="J7" s="427">
        <v>250</v>
      </c>
      <c r="K7" s="428"/>
      <c r="L7" s="433">
        <f>SUM(J7:K7)</f>
        <v>250</v>
      </c>
      <c r="M7" s="464">
        <f>+L7-G7</f>
        <v>-1</v>
      </c>
      <c r="N7" s="441">
        <f>+L7/G7</f>
        <v>0.9960159362549801</v>
      </c>
    </row>
    <row r="8" spans="1:14" ht="13.5" customHeight="1">
      <c r="A8" s="509" t="s">
        <v>11</v>
      </c>
      <c r="B8" s="37">
        <v>3959</v>
      </c>
      <c r="C8" s="33"/>
      <c r="D8" s="434">
        <f>SUM(B8:C8)</f>
        <v>3959</v>
      </c>
      <c r="E8" s="37">
        <v>4144</v>
      </c>
      <c r="F8" s="33"/>
      <c r="G8" s="38">
        <f>SUM(E8:F8)</f>
        <v>4144</v>
      </c>
      <c r="H8" s="465">
        <f>+G8-D8</f>
        <v>185</v>
      </c>
      <c r="I8" s="36">
        <f>+G8/D8</f>
        <v>1.0467289719626167</v>
      </c>
      <c r="J8" s="37">
        <v>4284</v>
      </c>
      <c r="K8" s="33"/>
      <c r="L8" s="434">
        <f>SUM(J8:K8)</f>
        <v>4284</v>
      </c>
      <c r="M8" s="465">
        <f>+L8-G8</f>
        <v>140</v>
      </c>
      <c r="N8" s="39">
        <f>+L8/G8</f>
        <v>1.0337837837837838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38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>
        <v>2</v>
      </c>
      <c r="C10" s="33"/>
      <c r="D10" s="434">
        <f t="shared" si="0"/>
        <v>2</v>
      </c>
      <c r="E10" s="37"/>
      <c r="F10" s="33"/>
      <c r="G10" s="38">
        <f t="shared" si="1"/>
        <v>0</v>
      </c>
      <c r="H10" s="465">
        <f t="shared" si="2"/>
        <v>-2</v>
      </c>
      <c r="I10" s="36">
        <f aca="true" t="shared" si="5" ref="I10:I37">+G10/D10</f>
        <v>0</v>
      </c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41</v>
      </c>
      <c r="C11" s="33"/>
      <c r="D11" s="434">
        <f t="shared" si="0"/>
        <v>41</v>
      </c>
      <c r="E11" s="37">
        <v>4</v>
      </c>
      <c r="F11" s="33"/>
      <c r="G11" s="38">
        <f t="shared" si="1"/>
        <v>4</v>
      </c>
      <c r="H11" s="465">
        <f t="shared" si="2"/>
        <v>-37</v>
      </c>
      <c r="I11" s="36">
        <f t="shared" si="5"/>
        <v>0.0975609756097561</v>
      </c>
      <c r="J11" s="37">
        <v>1</v>
      </c>
      <c r="K11" s="33"/>
      <c r="L11" s="434">
        <f t="shared" si="3"/>
        <v>1</v>
      </c>
      <c r="M11" s="465">
        <f t="shared" si="4"/>
        <v>-3</v>
      </c>
      <c r="N11" s="39">
        <f aca="true" t="shared" si="6" ref="N11:N37">+L11/G11</f>
        <v>0.25</v>
      </c>
    </row>
    <row r="12" spans="1:14" ht="13.5" customHeight="1">
      <c r="A12" s="510" t="s">
        <v>15</v>
      </c>
      <c r="B12" s="37">
        <v>4</v>
      </c>
      <c r="C12" s="33"/>
      <c r="D12" s="434">
        <f t="shared" si="0"/>
        <v>4</v>
      </c>
      <c r="E12" s="37">
        <v>3</v>
      </c>
      <c r="F12" s="33"/>
      <c r="G12" s="38">
        <f t="shared" si="1"/>
        <v>3</v>
      </c>
      <c r="H12" s="465">
        <f t="shared" si="2"/>
        <v>-1</v>
      </c>
      <c r="I12" s="36">
        <f t="shared" si="5"/>
        <v>0.75</v>
      </c>
      <c r="J12" s="37"/>
      <c r="K12" s="33"/>
      <c r="L12" s="434">
        <f t="shared" si="3"/>
        <v>0</v>
      </c>
      <c r="M12" s="465">
        <f t="shared" si="4"/>
        <v>-3</v>
      </c>
      <c r="N12" s="39">
        <f t="shared" si="6"/>
        <v>0</v>
      </c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38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38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6908</v>
      </c>
      <c r="C15" s="33"/>
      <c r="D15" s="434">
        <f t="shared" si="0"/>
        <v>6908</v>
      </c>
      <c r="E15" s="37">
        <v>7869</v>
      </c>
      <c r="F15" s="33"/>
      <c r="G15" s="38">
        <f t="shared" si="1"/>
        <v>7869</v>
      </c>
      <c r="H15" s="465">
        <f t="shared" si="2"/>
        <v>961</v>
      </c>
      <c r="I15" s="36">
        <f t="shared" si="5"/>
        <v>1.139114070642733</v>
      </c>
      <c r="J15" s="57">
        <f>SUM(J16:J17)</f>
        <v>8629</v>
      </c>
      <c r="K15" s="33"/>
      <c r="L15" s="434">
        <f t="shared" si="3"/>
        <v>8629</v>
      </c>
      <c r="M15" s="465">
        <f t="shared" si="4"/>
        <v>760</v>
      </c>
      <c r="N15" s="39">
        <f t="shared" si="6"/>
        <v>1.0965815224297877</v>
      </c>
    </row>
    <row r="16" spans="1:14" ht="13.5" customHeight="1">
      <c r="A16" s="511" t="s">
        <v>476</v>
      </c>
      <c r="B16" s="37"/>
      <c r="C16" s="33"/>
      <c r="D16" s="434"/>
      <c r="E16" s="37">
        <v>7534</v>
      </c>
      <c r="F16" s="33"/>
      <c r="G16" s="38">
        <f t="shared" si="1"/>
        <v>7534</v>
      </c>
      <c r="H16" s="465">
        <f t="shared" si="2"/>
        <v>7534</v>
      </c>
      <c r="I16" s="36"/>
      <c r="J16" s="57">
        <f>8025</f>
        <v>8025</v>
      </c>
      <c r="K16" s="33"/>
      <c r="L16" s="434">
        <f t="shared" si="3"/>
        <v>8025</v>
      </c>
      <c r="M16" s="465">
        <f t="shared" si="4"/>
        <v>491</v>
      </c>
      <c r="N16" s="39">
        <f t="shared" si="6"/>
        <v>1.0651712237855058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335</v>
      </c>
      <c r="F17" s="431"/>
      <c r="G17" s="432">
        <f t="shared" si="1"/>
        <v>335</v>
      </c>
      <c r="H17" s="465">
        <f t="shared" si="2"/>
        <v>335</v>
      </c>
      <c r="I17" s="36"/>
      <c r="J17" s="438">
        <v>604</v>
      </c>
      <c r="K17" s="431"/>
      <c r="L17" s="434">
        <f t="shared" si="3"/>
        <v>604</v>
      </c>
      <c r="M17" s="465">
        <f t="shared" si="4"/>
        <v>269</v>
      </c>
      <c r="N17" s="39">
        <f t="shared" si="6"/>
        <v>1.8029850746268656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11113</v>
      </c>
      <c r="C18" s="425">
        <f t="shared" si="7"/>
        <v>0</v>
      </c>
      <c r="D18" s="426">
        <f t="shared" si="7"/>
        <v>11113</v>
      </c>
      <c r="E18" s="424">
        <f t="shared" si="7"/>
        <v>12268</v>
      </c>
      <c r="F18" s="425">
        <f t="shared" si="7"/>
        <v>0</v>
      </c>
      <c r="G18" s="426">
        <f t="shared" si="7"/>
        <v>12268</v>
      </c>
      <c r="H18" s="369">
        <f t="shared" si="2"/>
        <v>1155</v>
      </c>
      <c r="I18" s="63">
        <f t="shared" si="5"/>
        <v>1.1039323315036444</v>
      </c>
      <c r="J18" s="437">
        <f>SUM(J7+J8+J9+J10+J11+J13+J15)</f>
        <v>13164</v>
      </c>
      <c r="K18" s="425">
        <f>SUM(K7+K8+K9+K10+K11+K13+K15)</f>
        <v>0</v>
      </c>
      <c r="L18" s="426">
        <f>SUM(L7+L8+L9+L10+L11+L13+L15)</f>
        <v>13164</v>
      </c>
      <c r="M18" s="369">
        <f t="shared" si="4"/>
        <v>896</v>
      </c>
      <c r="N18" s="370">
        <f t="shared" si="6"/>
        <v>1.073035539615259</v>
      </c>
    </row>
    <row r="19" spans="1:14" ht="13.5" customHeight="1">
      <c r="A19" s="54" t="s">
        <v>20</v>
      </c>
      <c r="B19" s="25">
        <v>2752</v>
      </c>
      <c r="C19" s="26"/>
      <c r="D19" s="34">
        <f aca="true" t="shared" si="8" ref="D19:D36">SUM(B19:C19)</f>
        <v>2752</v>
      </c>
      <c r="E19" s="25">
        <v>2792</v>
      </c>
      <c r="F19" s="26"/>
      <c r="G19" s="27">
        <f>SUM(E19:F19)</f>
        <v>2792</v>
      </c>
      <c r="H19" s="28">
        <f t="shared" si="2"/>
        <v>40</v>
      </c>
      <c r="I19" s="55">
        <f t="shared" si="5"/>
        <v>1.0145348837209303</v>
      </c>
      <c r="J19" s="29">
        <v>2483</v>
      </c>
      <c r="K19" s="26"/>
      <c r="L19" s="30">
        <f>SUM(J19:K19)</f>
        <v>2483</v>
      </c>
      <c r="M19" s="28">
        <f t="shared" si="4"/>
        <v>-309</v>
      </c>
      <c r="N19" s="56">
        <f t="shared" si="6"/>
        <v>0.8893266475644699</v>
      </c>
    </row>
    <row r="20" spans="1:14" ht="21" customHeight="1">
      <c r="A20" s="40" t="s">
        <v>21</v>
      </c>
      <c r="B20" s="25">
        <v>541</v>
      </c>
      <c r="C20" s="26"/>
      <c r="D20" s="34">
        <f t="shared" si="8"/>
        <v>541</v>
      </c>
      <c r="E20" s="25">
        <v>394</v>
      </c>
      <c r="F20" s="26"/>
      <c r="G20" s="27">
        <f aca="true" t="shared" si="9" ref="G20:G36">SUM(E20:F20)</f>
        <v>394</v>
      </c>
      <c r="H20" s="35">
        <f t="shared" si="2"/>
        <v>-147</v>
      </c>
      <c r="I20" s="36">
        <f t="shared" si="5"/>
        <v>0.7282809611829945</v>
      </c>
      <c r="J20" s="29">
        <v>0</v>
      </c>
      <c r="K20" s="26"/>
      <c r="L20" s="30">
        <f aca="true" t="shared" si="10" ref="L20:L36">SUM(J20:K20)</f>
        <v>0</v>
      </c>
      <c r="M20" s="35">
        <f t="shared" si="4"/>
        <v>-394</v>
      </c>
      <c r="N20" s="39">
        <f t="shared" si="6"/>
        <v>0</v>
      </c>
    </row>
    <row r="21" spans="1:14" ht="13.5" customHeight="1">
      <c r="A21" s="31" t="s">
        <v>22</v>
      </c>
      <c r="B21" s="32">
        <v>464</v>
      </c>
      <c r="C21" s="33"/>
      <c r="D21" s="34">
        <f t="shared" si="8"/>
        <v>464</v>
      </c>
      <c r="E21" s="32">
        <v>462</v>
      </c>
      <c r="F21" s="33"/>
      <c r="G21" s="27">
        <f t="shared" si="9"/>
        <v>462</v>
      </c>
      <c r="H21" s="35">
        <f t="shared" si="2"/>
        <v>-2</v>
      </c>
      <c r="I21" s="36">
        <f t="shared" si="5"/>
        <v>0.9956896551724138</v>
      </c>
      <c r="J21" s="37">
        <v>508</v>
      </c>
      <c r="K21" s="33"/>
      <c r="L21" s="30">
        <f t="shared" si="10"/>
        <v>508</v>
      </c>
      <c r="M21" s="35">
        <f t="shared" si="4"/>
        <v>46</v>
      </c>
      <c r="N21" s="39">
        <f t="shared" si="6"/>
        <v>1.0995670995670996</v>
      </c>
    </row>
    <row r="22" spans="1:14" ht="13.5" customHeight="1">
      <c r="A22" s="40" t="s">
        <v>23</v>
      </c>
      <c r="B22" s="32"/>
      <c r="C22" s="33"/>
      <c r="D22" s="34">
        <f t="shared" si="8"/>
        <v>0</v>
      </c>
      <c r="E22" s="32"/>
      <c r="F22" s="33"/>
      <c r="G22" s="27">
        <f t="shared" si="9"/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1183</v>
      </c>
      <c r="C24" s="33"/>
      <c r="D24" s="34">
        <f t="shared" si="8"/>
        <v>1183</v>
      </c>
      <c r="E24" s="37">
        <v>981</v>
      </c>
      <c r="F24" s="33"/>
      <c r="G24" s="27">
        <f t="shared" si="9"/>
        <v>981</v>
      </c>
      <c r="H24" s="35">
        <f t="shared" si="2"/>
        <v>-202</v>
      </c>
      <c r="I24" s="36">
        <f t="shared" si="5"/>
        <v>0.8292476754015216</v>
      </c>
      <c r="J24" s="37">
        <v>615</v>
      </c>
      <c r="K24" s="33"/>
      <c r="L24" s="30">
        <f t="shared" si="10"/>
        <v>615</v>
      </c>
      <c r="M24" s="35">
        <f t="shared" si="4"/>
        <v>-366</v>
      </c>
      <c r="N24" s="39">
        <f t="shared" si="6"/>
        <v>0.6269113149847095</v>
      </c>
    </row>
    <row r="25" spans="1:14" ht="13.5" customHeight="1">
      <c r="A25" s="40" t="s">
        <v>26</v>
      </c>
      <c r="B25" s="32">
        <v>696</v>
      </c>
      <c r="C25" s="33"/>
      <c r="D25" s="34">
        <f t="shared" si="8"/>
        <v>696</v>
      </c>
      <c r="E25" s="32">
        <v>433</v>
      </c>
      <c r="F25" s="33"/>
      <c r="G25" s="27">
        <f t="shared" si="9"/>
        <v>433</v>
      </c>
      <c r="H25" s="35">
        <f t="shared" si="2"/>
        <v>-263</v>
      </c>
      <c r="I25" s="36">
        <f t="shared" si="5"/>
        <v>0.6221264367816092</v>
      </c>
      <c r="J25" s="57">
        <v>200</v>
      </c>
      <c r="K25" s="33"/>
      <c r="L25" s="30">
        <f t="shared" si="10"/>
        <v>200</v>
      </c>
      <c r="M25" s="35">
        <f t="shared" si="4"/>
        <v>-233</v>
      </c>
      <c r="N25" s="39">
        <f t="shared" si="6"/>
        <v>0.4618937644341801</v>
      </c>
    </row>
    <row r="26" spans="1:14" ht="13.5" customHeight="1">
      <c r="A26" s="31" t="s">
        <v>27</v>
      </c>
      <c r="B26" s="32">
        <v>474</v>
      </c>
      <c r="C26" s="33"/>
      <c r="D26" s="34">
        <f t="shared" si="8"/>
        <v>474</v>
      </c>
      <c r="E26" s="32">
        <v>548</v>
      </c>
      <c r="F26" s="33"/>
      <c r="G26" s="27">
        <f t="shared" si="9"/>
        <v>548</v>
      </c>
      <c r="H26" s="35">
        <f t="shared" si="2"/>
        <v>74</v>
      </c>
      <c r="I26" s="36">
        <f t="shared" si="5"/>
        <v>1.1561181434599157</v>
      </c>
      <c r="J26" s="57">
        <v>415</v>
      </c>
      <c r="K26" s="33"/>
      <c r="L26" s="30">
        <f t="shared" si="10"/>
        <v>415</v>
      </c>
      <c r="M26" s="35">
        <f t="shared" si="4"/>
        <v>-133</v>
      </c>
      <c r="N26" s="39">
        <f t="shared" si="6"/>
        <v>0.7572992700729927</v>
      </c>
    </row>
    <row r="27" spans="1:14" ht="13.5" customHeight="1">
      <c r="A27" s="58" t="s">
        <v>28</v>
      </c>
      <c r="B27" s="37">
        <v>6577</v>
      </c>
      <c r="C27" s="33"/>
      <c r="D27" s="34">
        <f t="shared" si="8"/>
        <v>6577</v>
      </c>
      <c r="E27" s="37">
        <v>8172</v>
      </c>
      <c r="F27" s="33"/>
      <c r="G27" s="27">
        <f t="shared" si="9"/>
        <v>8172</v>
      </c>
      <c r="H27" s="35">
        <f t="shared" si="2"/>
        <v>1595</v>
      </c>
      <c r="I27" s="36">
        <f t="shared" si="5"/>
        <v>1.2425117834879125</v>
      </c>
      <c r="J27" s="37">
        <f>J28+J31</f>
        <v>8964</v>
      </c>
      <c r="K27" s="33"/>
      <c r="L27" s="30">
        <f t="shared" si="10"/>
        <v>8964</v>
      </c>
      <c r="M27" s="35">
        <f t="shared" si="4"/>
        <v>792</v>
      </c>
      <c r="N27" s="39">
        <f t="shared" si="6"/>
        <v>1.0969162995594715</v>
      </c>
    </row>
    <row r="28" spans="1:14" ht="13.5" customHeight="1">
      <c r="A28" s="40" t="s">
        <v>29</v>
      </c>
      <c r="B28" s="32">
        <v>4816</v>
      </c>
      <c r="C28" s="33"/>
      <c r="D28" s="34">
        <f t="shared" si="8"/>
        <v>4816</v>
      </c>
      <c r="E28" s="32">
        <v>5971</v>
      </c>
      <c r="F28" s="33"/>
      <c r="G28" s="27">
        <f t="shared" si="9"/>
        <v>5971</v>
      </c>
      <c r="H28" s="35">
        <f t="shared" si="2"/>
        <v>1155</v>
      </c>
      <c r="I28" s="36">
        <f t="shared" si="5"/>
        <v>1.239825581395349</v>
      </c>
      <c r="J28" s="57">
        <f>J29+J30</f>
        <v>6543</v>
      </c>
      <c r="K28" s="59"/>
      <c r="L28" s="30">
        <f t="shared" si="10"/>
        <v>6543</v>
      </c>
      <c r="M28" s="35">
        <f t="shared" si="4"/>
        <v>572</v>
      </c>
      <c r="N28" s="39">
        <f t="shared" si="6"/>
        <v>1.0957963490202647</v>
      </c>
    </row>
    <row r="29" spans="1:14" ht="13.5" customHeight="1">
      <c r="A29" s="58" t="s">
        <v>30</v>
      </c>
      <c r="B29" s="32">
        <v>4650</v>
      </c>
      <c r="C29" s="33"/>
      <c r="D29" s="34">
        <f t="shared" si="8"/>
        <v>4650</v>
      </c>
      <c r="E29" s="32">
        <v>5835</v>
      </c>
      <c r="F29" s="33"/>
      <c r="G29" s="27">
        <f t="shared" si="9"/>
        <v>5835</v>
      </c>
      <c r="H29" s="35">
        <f t="shared" si="2"/>
        <v>1185</v>
      </c>
      <c r="I29" s="36">
        <f t="shared" si="5"/>
        <v>1.2548387096774194</v>
      </c>
      <c r="J29" s="37">
        <f>5972+441</f>
        <v>6413</v>
      </c>
      <c r="K29" s="33"/>
      <c r="L29" s="30">
        <f t="shared" si="10"/>
        <v>6413</v>
      </c>
      <c r="M29" s="35">
        <f t="shared" si="4"/>
        <v>578</v>
      </c>
      <c r="N29" s="39">
        <f t="shared" si="6"/>
        <v>1.099057412167952</v>
      </c>
    </row>
    <row r="30" spans="1:14" ht="13.5" customHeight="1">
      <c r="A30" s="40" t="s">
        <v>31</v>
      </c>
      <c r="B30" s="32">
        <v>166</v>
      </c>
      <c r="C30" s="33"/>
      <c r="D30" s="34">
        <f t="shared" si="8"/>
        <v>166</v>
      </c>
      <c r="E30" s="32">
        <v>136</v>
      </c>
      <c r="F30" s="33"/>
      <c r="G30" s="27">
        <f t="shared" si="9"/>
        <v>136</v>
      </c>
      <c r="H30" s="35">
        <f t="shared" si="2"/>
        <v>-30</v>
      </c>
      <c r="I30" s="36">
        <f t="shared" si="5"/>
        <v>0.8192771084337349</v>
      </c>
      <c r="J30" s="37">
        <v>130</v>
      </c>
      <c r="K30" s="33"/>
      <c r="L30" s="30">
        <f t="shared" si="10"/>
        <v>130</v>
      </c>
      <c r="M30" s="35">
        <f t="shared" si="4"/>
        <v>-6</v>
      </c>
      <c r="N30" s="39">
        <f t="shared" si="6"/>
        <v>0.9558823529411765</v>
      </c>
    </row>
    <row r="31" spans="1:14" ht="13.5" customHeight="1">
      <c r="A31" s="40" t="s">
        <v>32</v>
      </c>
      <c r="B31" s="32">
        <v>1761</v>
      </c>
      <c r="C31" s="33"/>
      <c r="D31" s="34">
        <f t="shared" si="8"/>
        <v>1761</v>
      </c>
      <c r="E31" s="32">
        <v>2201</v>
      </c>
      <c r="F31" s="33"/>
      <c r="G31" s="27">
        <f t="shared" si="9"/>
        <v>2201</v>
      </c>
      <c r="H31" s="35">
        <f t="shared" si="2"/>
        <v>440</v>
      </c>
      <c r="I31" s="36">
        <f t="shared" si="5"/>
        <v>1.2498580352072686</v>
      </c>
      <c r="J31" s="37">
        <f>2258+163</f>
        <v>2421</v>
      </c>
      <c r="K31" s="33"/>
      <c r="L31" s="30">
        <f t="shared" si="10"/>
        <v>2421</v>
      </c>
      <c r="M31" s="35">
        <f t="shared" si="4"/>
        <v>220</v>
      </c>
      <c r="N31" s="39">
        <f t="shared" si="6"/>
        <v>1.0999545661063153</v>
      </c>
    </row>
    <row r="32" spans="1:14" ht="13.5" customHeight="1">
      <c r="A32" s="58" t="s">
        <v>233</v>
      </c>
      <c r="B32" s="32">
        <v>4</v>
      </c>
      <c r="C32" s="33"/>
      <c r="D32" s="34">
        <f t="shared" si="8"/>
        <v>4</v>
      </c>
      <c r="E32" s="32">
        <v>11</v>
      </c>
      <c r="F32" s="33"/>
      <c r="G32" s="27">
        <f t="shared" si="9"/>
        <v>11</v>
      </c>
      <c r="H32" s="35">
        <f t="shared" si="2"/>
        <v>7</v>
      </c>
      <c r="I32" s="36">
        <f t="shared" si="5"/>
        <v>2.75</v>
      </c>
      <c r="J32" s="37">
        <v>11</v>
      </c>
      <c r="K32" s="33"/>
      <c r="L32" s="30">
        <f t="shared" si="10"/>
        <v>11</v>
      </c>
      <c r="M32" s="35">
        <f t="shared" si="4"/>
        <v>0</v>
      </c>
      <c r="N32" s="39">
        <f t="shared" si="6"/>
        <v>1</v>
      </c>
    </row>
    <row r="33" spans="1:14" ht="13.5" customHeight="1">
      <c r="A33" s="58" t="s">
        <v>34</v>
      </c>
      <c r="B33" s="32">
        <v>124</v>
      </c>
      <c r="C33" s="33"/>
      <c r="D33" s="34">
        <f t="shared" si="8"/>
        <v>124</v>
      </c>
      <c r="E33" s="32">
        <v>162</v>
      </c>
      <c r="F33" s="33"/>
      <c r="G33" s="27">
        <f t="shared" si="9"/>
        <v>162</v>
      </c>
      <c r="H33" s="35">
        <f t="shared" si="2"/>
        <v>38</v>
      </c>
      <c r="I33" s="36">
        <f t="shared" si="5"/>
        <v>1.3064516129032258</v>
      </c>
      <c r="J33" s="37">
        <v>165</v>
      </c>
      <c r="K33" s="33"/>
      <c r="L33" s="30">
        <f t="shared" si="10"/>
        <v>165</v>
      </c>
      <c r="M33" s="35">
        <f t="shared" si="4"/>
        <v>3</v>
      </c>
      <c r="N33" s="39">
        <f t="shared" si="6"/>
        <v>1.0185185185185186</v>
      </c>
    </row>
    <row r="34" spans="1:14" ht="13.5" customHeight="1">
      <c r="A34" s="40" t="s">
        <v>35</v>
      </c>
      <c r="B34" s="32">
        <v>332</v>
      </c>
      <c r="C34" s="33"/>
      <c r="D34" s="34">
        <f t="shared" si="8"/>
        <v>332</v>
      </c>
      <c r="E34" s="32">
        <v>415</v>
      </c>
      <c r="F34" s="33"/>
      <c r="G34" s="27">
        <f t="shared" si="9"/>
        <v>415</v>
      </c>
      <c r="H34" s="35">
        <f t="shared" si="2"/>
        <v>83</v>
      </c>
      <c r="I34" s="36">
        <f t="shared" si="5"/>
        <v>1.25</v>
      </c>
      <c r="J34" s="57">
        <v>418</v>
      </c>
      <c r="K34" s="33"/>
      <c r="L34" s="30">
        <f t="shared" si="10"/>
        <v>418</v>
      </c>
      <c r="M34" s="35">
        <f t="shared" si="4"/>
        <v>3</v>
      </c>
      <c r="N34" s="39">
        <f t="shared" si="6"/>
        <v>1.0072289156626506</v>
      </c>
    </row>
    <row r="35" spans="1:14" ht="22.5" customHeight="1">
      <c r="A35" s="40" t="s">
        <v>36</v>
      </c>
      <c r="B35" s="32">
        <v>332</v>
      </c>
      <c r="C35" s="33"/>
      <c r="D35" s="34">
        <f t="shared" si="8"/>
        <v>332</v>
      </c>
      <c r="E35" s="32">
        <v>415</v>
      </c>
      <c r="F35" s="33"/>
      <c r="G35" s="27">
        <f t="shared" si="9"/>
        <v>415</v>
      </c>
      <c r="H35" s="35">
        <f t="shared" si="2"/>
        <v>83</v>
      </c>
      <c r="I35" s="36">
        <f t="shared" si="5"/>
        <v>1.25</v>
      </c>
      <c r="J35" s="57">
        <v>418</v>
      </c>
      <c r="K35" s="33"/>
      <c r="L35" s="30">
        <f t="shared" si="10"/>
        <v>418</v>
      </c>
      <c r="M35" s="35">
        <f t="shared" si="4"/>
        <v>3</v>
      </c>
      <c r="N35" s="39">
        <f t="shared" si="6"/>
        <v>1.0072289156626506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11436</v>
      </c>
      <c r="C37" s="48">
        <f t="shared" si="11"/>
        <v>0</v>
      </c>
      <c r="D37" s="49">
        <f t="shared" si="11"/>
        <v>11436</v>
      </c>
      <c r="E37" s="47">
        <f t="shared" si="11"/>
        <v>12995</v>
      </c>
      <c r="F37" s="48">
        <f t="shared" si="11"/>
        <v>0</v>
      </c>
      <c r="G37" s="49">
        <f t="shared" si="11"/>
        <v>12995</v>
      </c>
      <c r="H37" s="50">
        <f t="shared" si="2"/>
        <v>1559</v>
      </c>
      <c r="I37" s="51">
        <f t="shared" si="5"/>
        <v>1.1363238894718433</v>
      </c>
      <c r="J37" s="52">
        <f>SUM(J19+J21+J22+J23+J24+J27+J32+J33+J34+J36)</f>
        <v>13164</v>
      </c>
      <c r="K37" s="48">
        <f>SUM(K19+K21+K22+K23+K24+K27+K32+K33+K34+K36)</f>
        <v>0</v>
      </c>
      <c r="L37" s="49">
        <f>SUM(L19+L21+L22+L23+L24+L27+L32+L33+L34+L36)</f>
        <v>13164</v>
      </c>
      <c r="M37" s="50">
        <f t="shared" si="4"/>
        <v>169</v>
      </c>
      <c r="N37" s="53">
        <f t="shared" si="6"/>
        <v>1.0130050019238168</v>
      </c>
    </row>
    <row r="38" spans="1:14" ht="13.5" customHeight="1" thickBot="1">
      <c r="A38" s="46" t="s">
        <v>39</v>
      </c>
      <c r="B38" s="680">
        <f>+D18-D37</f>
        <v>-323</v>
      </c>
      <c r="C38" s="681"/>
      <c r="D38" s="682"/>
      <c r="E38" s="680">
        <f>+G18-G37</f>
        <v>-727</v>
      </c>
      <c r="F38" s="681"/>
      <c r="G38" s="682">
        <v>-50784</v>
      </c>
      <c r="H38" s="62">
        <f>+E38-B38</f>
        <v>-404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234</v>
      </c>
      <c r="B43" s="683"/>
      <c r="C43" s="66">
        <v>152</v>
      </c>
      <c r="D43" s="679" t="s">
        <v>235</v>
      </c>
      <c r="E43" s="657"/>
      <c r="F43" s="657"/>
      <c r="G43" s="67">
        <v>104</v>
      </c>
      <c r="H43" s="658" t="s">
        <v>236</v>
      </c>
      <c r="I43" s="659"/>
      <c r="J43" s="659"/>
      <c r="K43" s="659"/>
      <c r="L43" s="68">
        <v>450</v>
      </c>
      <c r="O43"/>
      <c r="P43"/>
    </row>
    <row r="44" spans="1:16" ht="12.75">
      <c r="A44" s="639" t="s">
        <v>237</v>
      </c>
      <c r="B44" s="646"/>
      <c r="C44" s="69">
        <v>53</v>
      </c>
      <c r="D44" s="679" t="s">
        <v>145</v>
      </c>
      <c r="E44" s="657"/>
      <c r="F44" s="657"/>
      <c r="G44" s="70">
        <v>53</v>
      </c>
      <c r="H44" s="658" t="s">
        <v>238</v>
      </c>
      <c r="I44" s="659"/>
      <c r="J44" s="659"/>
      <c r="K44" s="659"/>
      <c r="L44" s="68">
        <v>140</v>
      </c>
      <c r="O44"/>
      <c r="P44"/>
    </row>
    <row r="45" spans="1:16" ht="12.75">
      <c r="A45" s="639" t="s">
        <v>239</v>
      </c>
      <c r="B45" s="646"/>
      <c r="C45" s="69">
        <v>608</v>
      </c>
      <c r="D45" s="679"/>
      <c r="E45" s="657"/>
      <c r="F45" s="657"/>
      <c r="G45" s="70"/>
      <c r="H45" s="658" t="s">
        <v>127</v>
      </c>
      <c r="I45" s="659"/>
      <c r="J45" s="659"/>
      <c r="K45" s="659"/>
      <c r="L45" s="68">
        <v>10</v>
      </c>
      <c r="O45"/>
      <c r="P45"/>
    </row>
    <row r="46" spans="1:16" ht="12.75">
      <c r="A46" s="647" t="s">
        <v>142</v>
      </c>
      <c r="B46" s="674"/>
      <c r="C46" s="71">
        <v>129</v>
      </c>
      <c r="D46" s="647"/>
      <c r="E46" s="648"/>
      <c r="F46" s="674"/>
      <c r="G46" s="72"/>
      <c r="H46" s="643"/>
      <c r="I46" s="644"/>
      <c r="J46" s="644"/>
      <c r="K46" s="645"/>
      <c r="L46" s="68"/>
      <c r="O46"/>
      <c r="P46"/>
    </row>
    <row r="47" spans="1:16" ht="12.75">
      <c r="A47" s="647" t="s">
        <v>143</v>
      </c>
      <c r="B47" s="674"/>
      <c r="C47" s="71">
        <v>45</v>
      </c>
      <c r="D47" s="647"/>
      <c r="E47" s="648"/>
      <c r="F47" s="674"/>
      <c r="G47" s="72"/>
      <c r="H47" s="643"/>
      <c r="I47" s="644"/>
      <c r="J47" s="644"/>
      <c r="K47" s="645"/>
      <c r="L47" s="68"/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/>
      <c r="I48" s="644"/>
      <c r="J48" s="644"/>
      <c r="K48" s="645"/>
      <c r="L48" s="68"/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/>
      <c r="B50" s="635"/>
      <c r="C50" s="73">
        <f>SUM(C43:C49)</f>
        <v>987</v>
      </c>
      <c r="D50" s="660" t="s">
        <v>5</v>
      </c>
      <c r="E50" s="661"/>
      <c r="F50" s="661"/>
      <c r="G50" s="73">
        <f>SUM(G43:G44)</f>
        <v>157</v>
      </c>
      <c r="H50" s="637" t="s">
        <v>5</v>
      </c>
      <c r="I50" s="638"/>
      <c r="J50" s="638"/>
      <c r="K50" s="638"/>
      <c r="L50" s="73">
        <f>SUM(L43:L45)</f>
        <v>600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240</v>
      </c>
      <c r="B54" s="655"/>
      <c r="C54" s="66">
        <v>183</v>
      </c>
      <c r="D54" s="656" t="s">
        <v>241</v>
      </c>
      <c r="E54" s="657"/>
      <c r="F54" s="657"/>
      <c r="G54" s="76">
        <v>51</v>
      </c>
      <c r="H54" s="658" t="s">
        <v>242</v>
      </c>
      <c r="I54" s="659"/>
      <c r="J54" s="659"/>
      <c r="K54" s="659"/>
      <c r="L54" s="68">
        <v>95</v>
      </c>
      <c r="O54"/>
      <c r="P54"/>
    </row>
    <row r="55" spans="1:16" ht="13.5" customHeight="1">
      <c r="A55" s="639" t="s">
        <v>243</v>
      </c>
      <c r="B55" s="649"/>
      <c r="C55" s="69">
        <v>45</v>
      </c>
      <c r="D55" s="642" t="s">
        <v>244</v>
      </c>
      <c r="E55" s="646"/>
      <c r="F55" s="646"/>
      <c r="G55" s="77">
        <v>69</v>
      </c>
      <c r="H55" s="650" t="s">
        <v>499</v>
      </c>
      <c r="I55" s="651"/>
      <c r="J55" s="651"/>
      <c r="K55" s="651"/>
      <c r="L55" s="78">
        <v>30</v>
      </c>
      <c r="O55"/>
      <c r="P55"/>
    </row>
    <row r="56" spans="1:16" ht="13.5" customHeight="1">
      <c r="A56" s="639" t="s">
        <v>245</v>
      </c>
      <c r="B56" s="640"/>
      <c r="C56" s="69">
        <v>59</v>
      </c>
      <c r="D56" s="642" t="s">
        <v>243</v>
      </c>
      <c r="E56" s="646"/>
      <c r="F56" s="646"/>
      <c r="G56" s="77">
        <v>44</v>
      </c>
      <c r="H56" s="643" t="s">
        <v>500</v>
      </c>
      <c r="I56" s="644"/>
      <c r="J56" s="644"/>
      <c r="K56" s="645"/>
      <c r="L56" s="78">
        <v>25</v>
      </c>
      <c r="O56"/>
      <c r="P56"/>
    </row>
    <row r="57" spans="1:16" ht="13.5" customHeight="1">
      <c r="A57" s="639" t="s">
        <v>169</v>
      </c>
      <c r="B57" s="640"/>
      <c r="C57" s="69">
        <v>409</v>
      </c>
      <c r="D57" s="642" t="s">
        <v>246</v>
      </c>
      <c r="E57" s="646"/>
      <c r="F57" s="646"/>
      <c r="G57" s="77">
        <v>99</v>
      </c>
      <c r="H57" s="643" t="s">
        <v>501</v>
      </c>
      <c r="I57" s="644"/>
      <c r="J57" s="644"/>
      <c r="K57" s="645"/>
      <c r="L57" s="78">
        <v>35</v>
      </c>
      <c r="O57"/>
      <c r="P57"/>
    </row>
    <row r="58" spans="1:16" ht="13.5" customHeight="1">
      <c r="A58" s="647"/>
      <c r="B58" s="648"/>
      <c r="C58" s="71"/>
      <c r="D58" s="641" t="s">
        <v>247</v>
      </c>
      <c r="E58" s="641"/>
      <c r="F58" s="642"/>
      <c r="G58" s="178">
        <v>33</v>
      </c>
      <c r="H58" s="643" t="s">
        <v>241</v>
      </c>
      <c r="I58" s="644"/>
      <c r="J58" s="644"/>
      <c r="K58" s="645"/>
      <c r="L58" s="79">
        <v>15</v>
      </c>
      <c r="O58"/>
      <c r="P58"/>
    </row>
    <row r="59" spans="1:16" ht="13.5" customHeight="1">
      <c r="A59" s="639"/>
      <c r="B59" s="640"/>
      <c r="C59" s="71"/>
      <c r="D59" s="641" t="s">
        <v>169</v>
      </c>
      <c r="E59" s="641"/>
      <c r="F59" s="642"/>
      <c r="G59" s="178">
        <v>137</v>
      </c>
      <c r="H59" s="643"/>
      <c r="I59" s="644"/>
      <c r="J59" s="644"/>
      <c r="K59" s="645"/>
      <c r="L59" s="79"/>
      <c r="O59"/>
      <c r="P59"/>
    </row>
    <row r="60" spans="1:16" ht="13.5" customHeight="1">
      <c r="A60" s="639"/>
      <c r="B60" s="640"/>
      <c r="C60" s="69"/>
      <c r="D60" s="642"/>
      <c r="E60" s="646"/>
      <c r="F60" s="646"/>
      <c r="G60" s="77"/>
      <c r="H60" s="643"/>
      <c r="I60" s="644"/>
      <c r="J60" s="644"/>
      <c r="K60" s="645"/>
      <c r="L60" s="78"/>
      <c r="O60"/>
      <c r="P60"/>
    </row>
    <row r="61" spans="1:16" ht="13.5" thickBot="1">
      <c r="A61" s="627"/>
      <c r="B61" s="628"/>
      <c r="C61" s="80"/>
      <c r="D61" s="629"/>
      <c r="E61" s="630"/>
      <c r="F61" s="630"/>
      <c r="G61" s="81"/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73">
        <f>SUM(C54:C61)</f>
        <v>696</v>
      </c>
      <c r="D62" s="635" t="s">
        <v>5</v>
      </c>
      <c r="E62" s="636"/>
      <c r="F62" s="636"/>
      <c r="G62" s="83">
        <f>SUM(G54:G61)</f>
        <v>433</v>
      </c>
      <c r="H62" s="637" t="s">
        <v>5</v>
      </c>
      <c r="I62" s="638"/>
      <c r="J62" s="638"/>
      <c r="K62" s="638"/>
      <c r="L62" s="73">
        <f>SUM(L54:L61)</f>
        <v>200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2015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1692</v>
      </c>
      <c r="I67" s="580" t="s">
        <v>179</v>
      </c>
      <c r="J67" s="582"/>
      <c r="K67" s="582"/>
      <c r="L67" s="157">
        <v>700</v>
      </c>
      <c r="M67" s="84"/>
      <c r="N67" s="84"/>
    </row>
    <row r="68" spans="1:14" s="1" customFormat="1" ht="12.75">
      <c r="A68" s="158" t="s">
        <v>174</v>
      </c>
      <c r="B68" s="151"/>
      <c r="C68" s="583" t="s">
        <v>175</v>
      </c>
      <c r="D68" s="583"/>
      <c r="E68" s="159">
        <v>0</v>
      </c>
      <c r="F68" s="584" t="s">
        <v>177</v>
      </c>
      <c r="G68" s="585"/>
      <c r="H68" s="151"/>
      <c r="I68" s="583" t="s">
        <v>497</v>
      </c>
      <c r="J68" s="585"/>
      <c r="K68" s="585"/>
      <c r="L68" s="159">
        <v>727</v>
      </c>
      <c r="M68" s="84"/>
      <c r="N68" s="84"/>
    </row>
    <row r="69" spans="1:14" s="1" customFormat="1" ht="12.75">
      <c r="A69" s="158" t="s">
        <v>175</v>
      </c>
      <c r="B69" s="151"/>
      <c r="C69" s="583" t="s">
        <v>497</v>
      </c>
      <c r="D69" s="583"/>
      <c r="E69" s="159">
        <v>323</v>
      </c>
      <c r="F69" s="583" t="s">
        <v>175</v>
      </c>
      <c r="G69" s="583"/>
      <c r="H69" s="151"/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2015</v>
      </c>
      <c r="C71" s="589" t="s">
        <v>5</v>
      </c>
      <c r="D71" s="589"/>
      <c r="E71" s="165">
        <f>SUM(E67:E70)</f>
        <v>323</v>
      </c>
      <c r="F71" s="590" t="s">
        <v>5</v>
      </c>
      <c r="G71" s="591"/>
      <c r="H71" s="161">
        <f>SUM(H67:H70)</f>
        <v>1692</v>
      </c>
      <c r="I71" s="589" t="s">
        <v>5</v>
      </c>
      <c r="J71" s="591"/>
      <c r="K71" s="591"/>
      <c r="L71" s="165">
        <f>SUM(L67:L70)</f>
        <v>1427</v>
      </c>
      <c r="M71" s="84"/>
      <c r="N71" s="84"/>
    </row>
    <row r="72" spans="1:14" s="1" customFormat="1" ht="13.5" thickBot="1">
      <c r="A72" s="181" t="s">
        <v>534</v>
      </c>
      <c r="B72" s="182">
        <f>B71-E71</f>
        <v>1692</v>
      </c>
      <c r="C72" s="84"/>
      <c r="D72" s="84"/>
      <c r="E72" s="84"/>
      <c r="F72" s="592" t="s">
        <v>534</v>
      </c>
      <c r="G72" s="593"/>
      <c r="H72" s="183">
        <f>H71-L71</f>
        <v>265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601" t="s">
        <v>73</v>
      </c>
      <c r="B76" s="604" t="s">
        <v>495</v>
      </c>
      <c r="C76" s="607" t="s">
        <v>477</v>
      </c>
      <c r="D76" s="608"/>
      <c r="E76" s="608"/>
      <c r="F76" s="608"/>
      <c r="G76" s="608"/>
      <c r="H76" s="608"/>
      <c r="I76" s="609"/>
      <c r="J76" s="610" t="s">
        <v>496</v>
      </c>
      <c r="K76" s="7"/>
      <c r="L76" s="594" t="s">
        <v>48</v>
      </c>
      <c r="M76" s="595"/>
      <c r="N76" s="193">
        <v>2004</v>
      </c>
      <c r="O76" s="194">
        <v>2005</v>
      </c>
    </row>
    <row r="77" spans="1:15" s="1" customFormat="1" ht="12.75">
      <c r="A77" s="602"/>
      <c r="B77" s="605"/>
      <c r="C77" s="596" t="s">
        <v>76</v>
      </c>
      <c r="D77" s="598" t="s">
        <v>77</v>
      </c>
      <c r="E77" s="599"/>
      <c r="F77" s="599"/>
      <c r="G77" s="599"/>
      <c r="H77" s="599"/>
      <c r="I77" s="600"/>
      <c r="J77" s="611"/>
      <c r="K77" s="7"/>
      <c r="L77" s="197" t="s">
        <v>178</v>
      </c>
      <c r="M77" s="197"/>
      <c r="N77" s="192"/>
      <c r="O77" s="195"/>
    </row>
    <row r="78" spans="1:15" s="1" customFormat="1" ht="13.5" thickBot="1">
      <c r="A78" s="603"/>
      <c r="B78" s="606"/>
      <c r="C78" s="597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612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7756</v>
      </c>
      <c r="B79" s="117">
        <v>4076</v>
      </c>
      <c r="C79" s="170">
        <v>418</v>
      </c>
      <c r="D79" s="171">
        <v>91</v>
      </c>
      <c r="E79" s="171">
        <v>260</v>
      </c>
      <c r="F79" s="171">
        <v>57</v>
      </c>
      <c r="G79" s="171">
        <v>0</v>
      </c>
      <c r="H79" s="170">
        <v>10</v>
      </c>
      <c r="I79" s="184">
        <v>0</v>
      </c>
      <c r="J79" s="118">
        <f>SUM(A79-B79-C79)</f>
        <v>3262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 t="s">
        <v>120</v>
      </c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618" t="s">
        <v>112</v>
      </c>
      <c r="B83" s="620" t="s">
        <v>482</v>
      </c>
      <c r="C83" s="622" t="s">
        <v>480</v>
      </c>
      <c r="D83" s="623"/>
      <c r="E83" s="623"/>
      <c r="F83" s="624"/>
      <c r="G83" s="625" t="s">
        <v>483</v>
      </c>
      <c r="H83" s="613" t="s">
        <v>78</v>
      </c>
      <c r="I83" s="615" t="s">
        <v>481</v>
      </c>
      <c r="J83" s="616"/>
      <c r="K83" s="616"/>
      <c r="L83" s="617"/>
    </row>
    <row r="84" spans="1:12" s="1" customFormat="1" ht="18.75" thickBot="1">
      <c r="A84" s="619"/>
      <c r="B84" s="621"/>
      <c r="C84" s="119" t="s">
        <v>81</v>
      </c>
      <c r="D84" s="120" t="s">
        <v>79</v>
      </c>
      <c r="E84" s="120" t="s">
        <v>80</v>
      </c>
      <c r="F84" s="121" t="s">
        <v>114</v>
      </c>
      <c r="G84" s="626"/>
      <c r="H84" s="614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2860.84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2530.55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/>
      <c r="C86" s="130">
        <v>188</v>
      </c>
      <c r="D86" s="131">
        <v>0</v>
      </c>
      <c r="E86" s="131">
        <v>0</v>
      </c>
      <c r="F86" s="132">
        <f>C86+D86-E86</f>
        <v>188</v>
      </c>
      <c r="G86" s="133">
        <v>188</v>
      </c>
      <c r="H86" s="453">
        <f>+G86-F86</f>
        <v>0</v>
      </c>
      <c r="I86" s="130">
        <v>188</v>
      </c>
      <c r="J86" s="131">
        <v>0</v>
      </c>
      <c r="K86" s="131">
        <v>0</v>
      </c>
      <c r="L86" s="132">
        <f>I86+J86-K86</f>
        <v>188</v>
      </c>
    </row>
    <row r="87" spans="1:12" s="1" customFormat="1" ht="12.75">
      <c r="A87" s="128" t="s">
        <v>85</v>
      </c>
      <c r="B87" s="129"/>
      <c r="C87" s="130">
        <v>2015</v>
      </c>
      <c r="D87" s="131">
        <v>0</v>
      </c>
      <c r="E87" s="131">
        <v>323</v>
      </c>
      <c r="F87" s="132">
        <f>C87+D87-E87</f>
        <v>1692</v>
      </c>
      <c r="G87" s="133">
        <v>1691.84</v>
      </c>
      <c r="H87" s="453">
        <f>+G87-F87</f>
        <v>-0.16000000000008185</v>
      </c>
      <c r="I87" s="130">
        <v>1692</v>
      </c>
      <c r="J87" s="131">
        <v>0</v>
      </c>
      <c r="K87" s="131">
        <v>1427</v>
      </c>
      <c r="L87" s="132">
        <f>I87+J87-K87</f>
        <v>265</v>
      </c>
    </row>
    <row r="88" spans="1:12" s="1" customFormat="1" ht="12.75">
      <c r="A88" s="128" t="s">
        <v>113</v>
      </c>
      <c r="B88" s="129"/>
      <c r="C88" s="130">
        <v>209</v>
      </c>
      <c r="D88" s="131">
        <v>415</v>
      </c>
      <c r="E88" s="131">
        <v>167</v>
      </c>
      <c r="F88" s="132">
        <f>C88+D88-E88</f>
        <v>457</v>
      </c>
      <c r="G88" s="133">
        <v>456.77</v>
      </c>
      <c r="H88" s="453">
        <f>+G88-F88</f>
        <v>-0.2300000000000182</v>
      </c>
      <c r="I88" s="461">
        <v>457</v>
      </c>
      <c r="J88" s="447">
        <v>1118</v>
      </c>
      <c r="K88" s="447">
        <v>600</v>
      </c>
      <c r="L88" s="132">
        <f>I88+J88-K88</f>
        <v>975</v>
      </c>
    </row>
    <row r="89" spans="1:12" s="1" customFormat="1" ht="12.75">
      <c r="A89" s="128" t="s">
        <v>86</v>
      </c>
      <c r="B89" s="129">
        <v>2860.84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193.94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102.42</v>
      </c>
      <c r="C90" s="136">
        <v>106</v>
      </c>
      <c r="D90" s="137">
        <v>117</v>
      </c>
      <c r="E90" s="137">
        <v>134</v>
      </c>
      <c r="F90" s="138">
        <v>89</v>
      </c>
      <c r="G90" s="139">
        <v>87.81</v>
      </c>
      <c r="H90" s="454">
        <f>+G90-F90</f>
        <v>-1.1899999999999977</v>
      </c>
      <c r="I90" s="136">
        <v>89</v>
      </c>
      <c r="J90" s="137">
        <v>128</v>
      </c>
      <c r="K90" s="137">
        <v>100</v>
      </c>
      <c r="L90" s="138">
        <f>I90+J90-K90</f>
        <v>117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/>
      <c r="E95" s="131"/>
      <c r="F95" s="131"/>
      <c r="G95" s="129"/>
      <c r="H95" s="132">
        <f>SUM(C95:G95)</f>
        <v>0</v>
      </c>
      <c r="I95" s="89"/>
      <c r="J95" s="93">
        <v>2005</v>
      </c>
      <c r="K95" s="94">
        <f>5835000/1000</f>
        <v>5835</v>
      </c>
      <c r="L95" s="95">
        <f>G29</f>
        <v>5835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6413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4.1</v>
      </c>
      <c r="C101" s="103">
        <v>4</v>
      </c>
      <c r="D101" s="103">
        <f>+C101-B101</f>
        <v>-0.09999999999999964</v>
      </c>
      <c r="E101" s="103">
        <v>4</v>
      </c>
      <c r="F101" s="103">
        <v>4</v>
      </c>
      <c r="G101" s="104">
        <f>+F101-E101</f>
        <v>0</v>
      </c>
      <c r="H101" s="105">
        <v>18273</v>
      </c>
      <c r="I101" s="106">
        <v>20622</v>
      </c>
      <c r="J101" s="107">
        <f>+I101-H101</f>
        <v>2349</v>
      </c>
    </row>
    <row r="102" spans="1:10" ht="12.75">
      <c r="A102" s="102" t="s">
        <v>98</v>
      </c>
      <c r="B102" s="103">
        <v>6.2</v>
      </c>
      <c r="C102" s="103">
        <v>6.62</v>
      </c>
      <c r="D102" s="103">
        <f aca="true" t="shared" si="12" ref="D102:D111">+C102-B102</f>
        <v>0.41999999999999993</v>
      </c>
      <c r="E102" s="103">
        <v>6</v>
      </c>
      <c r="F102" s="103">
        <v>7.8</v>
      </c>
      <c r="G102" s="104">
        <f aca="true" t="shared" si="13" ref="G102:G111">+F102-E102</f>
        <v>1.7999999999999998</v>
      </c>
      <c r="H102" s="105">
        <v>17123</v>
      </c>
      <c r="I102" s="108">
        <v>17487</v>
      </c>
      <c r="J102" s="107">
        <f aca="true" t="shared" si="14" ref="J102:J111">+I102-H102</f>
        <v>364</v>
      </c>
    </row>
    <row r="103" spans="1:10" ht="12.75">
      <c r="A103" s="102" t="s">
        <v>60</v>
      </c>
      <c r="B103" s="103"/>
      <c r="C103" s="103"/>
      <c r="D103" s="103">
        <f t="shared" si="12"/>
        <v>0</v>
      </c>
      <c r="E103" s="103"/>
      <c r="F103" s="103"/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61</v>
      </c>
      <c r="B104" s="103">
        <v>3.9</v>
      </c>
      <c r="C104" s="103">
        <v>3.33</v>
      </c>
      <c r="D104" s="103">
        <f t="shared" si="12"/>
        <v>-0.5699999999999998</v>
      </c>
      <c r="E104" s="103">
        <v>3</v>
      </c>
      <c r="F104" s="103">
        <v>4</v>
      </c>
      <c r="G104" s="104">
        <f t="shared" si="13"/>
        <v>1</v>
      </c>
      <c r="H104" s="105">
        <v>11022</v>
      </c>
      <c r="I104" s="108">
        <v>13958</v>
      </c>
      <c r="J104" s="107">
        <f t="shared" si="14"/>
        <v>2936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64</v>
      </c>
      <c r="B107" s="103"/>
      <c r="C107" s="103"/>
      <c r="D107" s="103">
        <f t="shared" si="12"/>
        <v>0</v>
      </c>
      <c r="E107" s="103"/>
      <c r="F107" s="103"/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65</v>
      </c>
      <c r="B108" s="103">
        <v>6.1</v>
      </c>
      <c r="C108" s="103">
        <v>11.06</v>
      </c>
      <c r="D108" s="103">
        <f t="shared" si="12"/>
        <v>4.960000000000001</v>
      </c>
      <c r="E108" s="103">
        <v>9</v>
      </c>
      <c r="F108" s="103">
        <v>11</v>
      </c>
      <c r="G108" s="104">
        <f t="shared" si="13"/>
        <v>2</v>
      </c>
      <c r="H108" s="105">
        <v>10343</v>
      </c>
      <c r="I108" s="108">
        <v>11187</v>
      </c>
      <c r="J108" s="107">
        <f t="shared" si="14"/>
        <v>844</v>
      </c>
    </row>
    <row r="109" spans="1:10" ht="12.75">
      <c r="A109" s="102" t="s">
        <v>66</v>
      </c>
      <c r="B109" s="103"/>
      <c r="C109" s="103">
        <v>0.53</v>
      </c>
      <c r="D109" s="103">
        <f t="shared" si="12"/>
        <v>0.53</v>
      </c>
      <c r="E109" s="103"/>
      <c r="F109" s="103">
        <v>1</v>
      </c>
      <c r="G109" s="104">
        <f t="shared" si="13"/>
        <v>1</v>
      </c>
      <c r="H109" s="105"/>
      <c r="I109" s="108">
        <v>13863</v>
      </c>
      <c r="J109" s="107">
        <f t="shared" si="14"/>
        <v>13863</v>
      </c>
    </row>
    <row r="110" spans="1:10" ht="12.75">
      <c r="A110" s="102" t="s">
        <v>67</v>
      </c>
      <c r="B110" s="103">
        <v>9.6</v>
      </c>
      <c r="C110" s="103">
        <v>9.67</v>
      </c>
      <c r="D110" s="103">
        <f t="shared" si="12"/>
        <v>0.07000000000000028</v>
      </c>
      <c r="E110" s="103">
        <v>9</v>
      </c>
      <c r="F110" s="103">
        <v>10</v>
      </c>
      <c r="G110" s="104">
        <f t="shared" si="13"/>
        <v>1</v>
      </c>
      <c r="H110" s="105">
        <v>10588</v>
      </c>
      <c r="I110" s="108">
        <v>11421</v>
      </c>
      <c r="J110" s="107">
        <f t="shared" si="14"/>
        <v>833</v>
      </c>
    </row>
    <row r="111" spans="1:10" ht="13.5" thickBot="1">
      <c r="A111" s="109" t="s">
        <v>5</v>
      </c>
      <c r="B111" s="110">
        <v>29.8</v>
      </c>
      <c r="C111" s="110">
        <v>35.21</v>
      </c>
      <c r="D111" s="110">
        <f t="shared" si="12"/>
        <v>5.41</v>
      </c>
      <c r="E111" s="110">
        <v>31</v>
      </c>
      <c r="F111" s="110">
        <v>37.8</v>
      </c>
      <c r="G111" s="111">
        <f t="shared" si="13"/>
        <v>6.799999999999997</v>
      </c>
      <c r="H111" s="112">
        <v>13008</v>
      </c>
      <c r="I111" s="113">
        <v>13810</v>
      </c>
      <c r="J111" s="114">
        <f t="shared" si="14"/>
        <v>802</v>
      </c>
    </row>
    <row r="112" ht="13.5" thickBot="1"/>
    <row r="113" spans="1:16" ht="12.75">
      <c r="A113" s="706" t="s">
        <v>68</v>
      </c>
      <c r="B113" s="707"/>
      <c r="C113" s="708"/>
      <c r="D113" s="89"/>
      <c r="E113" s="706" t="s">
        <v>69</v>
      </c>
      <c r="F113" s="707"/>
      <c r="G113" s="708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709" t="s">
        <v>72</v>
      </c>
      <c r="G114" s="71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32</v>
      </c>
      <c r="C115" s="95">
        <v>35.21</v>
      </c>
      <c r="D115" s="89"/>
      <c r="E115" s="93">
        <v>2005</v>
      </c>
      <c r="F115" s="711">
        <v>60</v>
      </c>
      <c r="G115" s="624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35</v>
      </c>
      <c r="C116" s="98"/>
      <c r="D116" s="89"/>
      <c r="E116" s="96">
        <v>2006</v>
      </c>
      <c r="F116" s="704">
        <v>60</v>
      </c>
      <c r="G116" s="705"/>
      <c r="H116"/>
      <c r="I116"/>
      <c r="J116"/>
      <c r="K116"/>
      <c r="L116"/>
      <c r="M116"/>
      <c r="N116"/>
      <c r="O116"/>
      <c r="P116"/>
    </row>
    <row r="127" ht="12.75">
      <c r="A127" s="191"/>
    </row>
  </sheetData>
  <mergeCells count="119">
    <mergeCell ref="H83:H84"/>
    <mergeCell ref="I83:L83"/>
    <mergeCell ref="A83:A84"/>
    <mergeCell ref="B83:B84"/>
    <mergeCell ref="C83:F83"/>
    <mergeCell ref="G83:G84"/>
    <mergeCell ref="J76:J78"/>
    <mergeCell ref="L76:M76"/>
    <mergeCell ref="C77:C78"/>
    <mergeCell ref="D77:I77"/>
    <mergeCell ref="F72:G72"/>
    <mergeCell ref="A76:A78"/>
    <mergeCell ref="B76:B78"/>
    <mergeCell ref="C76:I76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I66:K66"/>
    <mergeCell ref="C67:D67"/>
    <mergeCell ref="F67:G67"/>
    <mergeCell ref="I67:K67"/>
    <mergeCell ref="C66:D66"/>
    <mergeCell ref="F66:G66"/>
    <mergeCell ref="F116:G116"/>
    <mergeCell ref="A113:C113"/>
    <mergeCell ref="E113:G113"/>
    <mergeCell ref="F114:G114"/>
    <mergeCell ref="F115:G115"/>
    <mergeCell ref="A99:A100"/>
    <mergeCell ref="B99:D99"/>
    <mergeCell ref="E99:G99"/>
    <mergeCell ref="H99:J99"/>
    <mergeCell ref="A93:A94"/>
    <mergeCell ref="B93:B94"/>
    <mergeCell ref="C93:H93"/>
    <mergeCell ref="J93:L93"/>
    <mergeCell ref="A3:A6"/>
    <mergeCell ref="B3:N3"/>
    <mergeCell ref="H4:I4"/>
    <mergeCell ref="M4:N4"/>
    <mergeCell ref="B38:D38"/>
    <mergeCell ref="A65:E65"/>
    <mergeCell ref="F65:L65"/>
    <mergeCell ref="E38:G38"/>
    <mergeCell ref="J38:L38"/>
    <mergeCell ref="B39:D39"/>
    <mergeCell ref="E39:G39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L52:L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62:B62"/>
    <mergeCell ref="D62:F62"/>
    <mergeCell ref="H62:K62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J31" sqref="J31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33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16"/>
      <c r="N2" s="717"/>
    </row>
    <row r="3" spans="1:14" ht="24" customHeight="1" thickBot="1">
      <c r="A3" s="684" t="s">
        <v>0</v>
      </c>
      <c r="B3" s="686" t="s">
        <v>170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712"/>
      <c r="N3" s="71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>
        <v>0</v>
      </c>
      <c r="C7" s="428">
        <v>0</v>
      </c>
      <c r="D7" s="433">
        <f>SUM(B7:C7)</f>
        <v>0</v>
      </c>
      <c r="E7" s="427">
        <v>0</v>
      </c>
      <c r="F7" s="428">
        <v>0</v>
      </c>
      <c r="G7" s="433">
        <f>SUM(E7:F7)</f>
        <v>0</v>
      </c>
      <c r="H7" s="464">
        <f>+G7-D7</f>
        <v>0</v>
      </c>
      <c r="I7" s="471"/>
      <c r="J7" s="427">
        <v>0</v>
      </c>
      <c r="K7" s="428">
        <v>0</v>
      </c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4520</v>
      </c>
      <c r="C8" s="33">
        <v>0</v>
      </c>
      <c r="D8" s="434">
        <f>SUM(B8:C8)</f>
        <v>4520</v>
      </c>
      <c r="E8" s="37">
        <v>4873</v>
      </c>
      <c r="F8" s="33">
        <v>0</v>
      </c>
      <c r="G8" s="434">
        <f>SUM(E8:F8)</f>
        <v>4873</v>
      </c>
      <c r="H8" s="465">
        <f>+G8-D8</f>
        <v>353</v>
      </c>
      <c r="I8" s="36">
        <f>+G8/D8</f>
        <v>1.0780973451327434</v>
      </c>
      <c r="J8" s="37">
        <v>5284</v>
      </c>
      <c r="K8" s="33">
        <v>0</v>
      </c>
      <c r="L8" s="434">
        <f>SUM(J8:K8)</f>
        <v>5284</v>
      </c>
      <c r="M8" s="465">
        <f>+L8-G8</f>
        <v>411</v>
      </c>
      <c r="N8" s="39">
        <f>+L8/G8</f>
        <v>1.0843422942745742</v>
      </c>
    </row>
    <row r="9" spans="1:14" ht="13.5" customHeight="1">
      <c r="A9" s="509" t="s">
        <v>12</v>
      </c>
      <c r="B9" s="37">
        <v>0</v>
      </c>
      <c r="C9" s="33">
        <v>0</v>
      </c>
      <c r="D9" s="434">
        <f aca="true" t="shared" si="0" ref="D9:D15">SUM(B9:C9)</f>
        <v>0</v>
      </c>
      <c r="E9" s="37">
        <v>0</v>
      </c>
      <c r="F9" s="33">
        <v>0</v>
      </c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>
        <v>0</v>
      </c>
      <c r="K9" s="33">
        <v>0</v>
      </c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>
        <v>0</v>
      </c>
      <c r="C10" s="33">
        <v>0</v>
      </c>
      <c r="D10" s="434">
        <f t="shared" si="0"/>
        <v>0</v>
      </c>
      <c r="E10" s="37">
        <v>0</v>
      </c>
      <c r="F10" s="33">
        <v>0</v>
      </c>
      <c r="G10" s="434">
        <f t="shared" si="1"/>
        <v>0</v>
      </c>
      <c r="H10" s="465">
        <f t="shared" si="2"/>
        <v>0</v>
      </c>
      <c r="I10" s="36"/>
      <c r="J10" s="37">
        <v>0</v>
      </c>
      <c r="K10" s="33">
        <v>0</v>
      </c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26</v>
      </c>
      <c r="C11" s="33">
        <v>0</v>
      </c>
      <c r="D11" s="434">
        <f t="shared" si="0"/>
        <v>26</v>
      </c>
      <c r="E11" s="37">
        <v>93</v>
      </c>
      <c r="F11" s="33">
        <v>0</v>
      </c>
      <c r="G11" s="434">
        <f t="shared" si="1"/>
        <v>93</v>
      </c>
      <c r="H11" s="465">
        <f t="shared" si="2"/>
        <v>67</v>
      </c>
      <c r="I11" s="36">
        <f aca="true" t="shared" si="5" ref="I11:I37">+G11/D11</f>
        <v>3.576923076923077</v>
      </c>
      <c r="J11" s="37">
        <v>65</v>
      </c>
      <c r="K11" s="33">
        <v>0</v>
      </c>
      <c r="L11" s="434">
        <f t="shared" si="3"/>
        <v>65</v>
      </c>
      <c r="M11" s="465">
        <f t="shared" si="4"/>
        <v>-28</v>
      </c>
      <c r="N11" s="39">
        <f aca="true" t="shared" si="6" ref="N11:N37">+L11/G11</f>
        <v>0.6989247311827957</v>
      </c>
    </row>
    <row r="12" spans="1:14" ht="13.5" customHeight="1">
      <c r="A12" s="510" t="s">
        <v>15</v>
      </c>
      <c r="B12" s="37">
        <v>0</v>
      </c>
      <c r="C12" s="33">
        <v>0</v>
      </c>
      <c r="D12" s="434">
        <f t="shared" si="0"/>
        <v>0</v>
      </c>
      <c r="E12" s="37">
        <v>34</v>
      </c>
      <c r="F12" s="33">
        <v>0</v>
      </c>
      <c r="G12" s="434">
        <f t="shared" si="1"/>
        <v>34</v>
      </c>
      <c r="H12" s="465">
        <f t="shared" si="2"/>
        <v>34</v>
      </c>
      <c r="I12" s="36"/>
      <c r="J12" s="37">
        <v>40</v>
      </c>
      <c r="K12" s="33">
        <v>0</v>
      </c>
      <c r="L12" s="434">
        <f t="shared" si="3"/>
        <v>40</v>
      </c>
      <c r="M12" s="465">
        <f t="shared" si="4"/>
        <v>6</v>
      </c>
      <c r="N12" s="39">
        <f t="shared" si="6"/>
        <v>1.1764705882352942</v>
      </c>
    </row>
    <row r="13" spans="1:14" ht="13.5" customHeight="1">
      <c r="A13" s="510" t="s">
        <v>16</v>
      </c>
      <c r="B13" s="37">
        <v>0</v>
      </c>
      <c r="C13" s="33">
        <v>0</v>
      </c>
      <c r="D13" s="434">
        <f t="shared" si="0"/>
        <v>0</v>
      </c>
      <c r="E13" s="37">
        <v>0</v>
      </c>
      <c r="F13" s="33">
        <v>0</v>
      </c>
      <c r="G13" s="434">
        <f t="shared" si="1"/>
        <v>0</v>
      </c>
      <c r="H13" s="465">
        <f t="shared" si="2"/>
        <v>0</v>
      </c>
      <c r="I13" s="36"/>
      <c r="J13" s="37">
        <v>0</v>
      </c>
      <c r="K13" s="33">
        <v>0</v>
      </c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>
        <v>0</v>
      </c>
      <c r="C14" s="33">
        <v>0</v>
      </c>
      <c r="D14" s="434">
        <f t="shared" si="0"/>
        <v>0</v>
      </c>
      <c r="E14" s="37">
        <v>0</v>
      </c>
      <c r="F14" s="33">
        <v>0</v>
      </c>
      <c r="G14" s="434">
        <f t="shared" si="1"/>
        <v>0</v>
      </c>
      <c r="H14" s="465">
        <f t="shared" si="2"/>
        <v>0</v>
      </c>
      <c r="I14" s="36"/>
      <c r="J14" s="37">
        <v>0</v>
      </c>
      <c r="K14" s="33">
        <v>0</v>
      </c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6200</v>
      </c>
      <c r="C15" s="33">
        <v>0</v>
      </c>
      <c r="D15" s="434">
        <f t="shared" si="0"/>
        <v>6200</v>
      </c>
      <c r="E15" s="37">
        <v>7124</v>
      </c>
      <c r="F15" s="33">
        <v>0</v>
      </c>
      <c r="G15" s="434">
        <f t="shared" si="1"/>
        <v>7124</v>
      </c>
      <c r="H15" s="465">
        <f t="shared" si="2"/>
        <v>924</v>
      </c>
      <c r="I15" s="36">
        <f t="shared" si="5"/>
        <v>1.149032258064516</v>
      </c>
      <c r="J15" s="57">
        <f>SUM(J16:J17)</f>
        <v>7318</v>
      </c>
      <c r="K15" s="33">
        <v>0</v>
      </c>
      <c r="L15" s="434">
        <f t="shared" si="3"/>
        <v>7318</v>
      </c>
      <c r="M15" s="465">
        <f t="shared" si="4"/>
        <v>194</v>
      </c>
      <c r="N15" s="39">
        <f t="shared" si="6"/>
        <v>1.0272318921953958</v>
      </c>
    </row>
    <row r="16" spans="1:14" ht="13.5" customHeight="1">
      <c r="A16" s="511" t="s">
        <v>476</v>
      </c>
      <c r="B16" s="37"/>
      <c r="C16" s="33"/>
      <c r="D16" s="434"/>
      <c r="E16" s="37">
        <v>6557</v>
      </c>
      <c r="F16" s="33"/>
      <c r="G16" s="434">
        <f t="shared" si="1"/>
        <v>6557</v>
      </c>
      <c r="H16" s="465"/>
      <c r="I16" s="36"/>
      <c r="J16" s="57">
        <f>7014</f>
        <v>7014</v>
      </c>
      <c r="K16" s="33"/>
      <c r="L16" s="434">
        <f t="shared" si="3"/>
        <v>7014</v>
      </c>
      <c r="M16" s="465">
        <f t="shared" si="4"/>
        <v>457</v>
      </c>
      <c r="N16" s="39">
        <f t="shared" si="6"/>
        <v>1.069696507549184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567</v>
      </c>
      <c r="F17" s="431"/>
      <c r="G17" s="434">
        <f t="shared" si="1"/>
        <v>567</v>
      </c>
      <c r="H17" s="466"/>
      <c r="I17" s="472"/>
      <c r="J17" s="438">
        <v>304</v>
      </c>
      <c r="K17" s="431"/>
      <c r="L17" s="434">
        <f t="shared" si="3"/>
        <v>304</v>
      </c>
      <c r="M17" s="465">
        <f t="shared" si="4"/>
        <v>-263</v>
      </c>
      <c r="N17" s="39">
        <f t="shared" si="6"/>
        <v>0.5361552028218695</v>
      </c>
    </row>
    <row r="18" spans="1:14" ht="13.5" customHeight="1" thickBot="1">
      <c r="A18" s="364" t="s">
        <v>19</v>
      </c>
      <c r="B18" s="424">
        <f>SUM(B7+B8+B9+B10+B11+B13+B15)</f>
        <v>10746</v>
      </c>
      <c r="C18" s="425">
        <f>SUM(C7+C8+C9+C10+C11+C13+C15)</f>
        <v>0</v>
      </c>
      <c r="D18" s="426">
        <f>SUM(D7+D8+D9+D10+D11+D13+D15)</f>
        <v>10746</v>
      </c>
      <c r="E18" s="424">
        <v>12090</v>
      </c>
      <c r="F18" s="425">
        <f>SUM(F7+F8+F9+F10+F11+F13+F15)</f>
        <v>0</v>
      </c>
      <c r="G18" s="426">
        <v>12090</v>
      </c>
      <c r="H18" s="369">
        <f t="shared" si="2"/>
        <v>1344</v>
      </c>
      <c r="I18" s="63">
        <f t="shared" si="5"/>
        <v>1.125069793411502</v>
      </c>
      <c r="J18" s="437">
        <f>SUM(J7+J8+J9+J10+J11+J13+J15)</f>
        <v>12667</v>
      </c>
      <c r="K18" s="425">
        <f>SUM(K7+K8+K9+K10+K11+K13+K15)</f>
        <v>0</v>
      </c>
      <c r="L18" s="426">
        <f>SUM(L7+L8+L9+L10+L11+L13+L15)</f>
        <v>12667</v>
      </c>
      <c r="M18" s="369">
        <f t="shared" si="4"/>
        <v>577</v>
      </c>
      <c r="N18" s="370">
        <f t="shared" si="6"/>
        <v>1.0477253928866832</v>
      </c>
    </row>
    <row r="19" spans="1:14" ht="13.5" customHeight="1">
      <c r="A19" s="54" t="s">
        <v>20</v>
      </c>
      <c r="B19" s="25">
        <v>2528</v>
      </c>
      <c r="C19" s="26">
        <v>0</v>
      </c>
      <c r="D19" s="34">
        <f aca="true" t="shared" si="7" ref="D19:D36">SUM(B19:C19)</f>
        <v>2528</v>
      </c>
      <c r="E19" s="25">
        <v>2830</v>
      </c>
      <c r="F19" s="26">
        <v>0</v>
      </c>
      <c r="G19" s="27">
        <f>SUM(E19:F19)</f>
        <v>2830</v>
      </c>
      <c r="H19" s="28">
        <f t="shared" si="2"/>
        <v>302</v>
      </c>
      <c r="I19" s="55">
        <f t="shared" si="5"/>
        <v>1.1194620253164558</v>
      </c>
      <c r="J19" s="29">
        <v>2881</v>
      </c>
      <c r="K19" s="26">
        <v>0</v>
      </c>
      <c r="L19" s="30">
        <f>SUM(J19:K19)</f>
        <v>2881</v>
      </c>
      <c r="M19" s="28">
        <f t="shared" si="4"/>
        <v>51</v>
      </c>
      <c r="N19" s="56">
        <f t="shared" si="6"/>
        <v>1.0180212014134276</v>
      </c>
    </row>
    <row r="20" spans="1:14" ht="21" customHeight="1">
      <c r="A20" s="40" t="s">
        <v>21</v>
      </c>
      <c r="B20" s="25">
        <v>256</v>
      </c>
      <c r="C20" s="26">
        <v>0</v>
      </c>
      <c r="D20" s="34">
        <f t="shared" si="7"/>
        <v>256</v>
      </c>
      <c r="E20" s="25">
        <v>633</v>
      </c>
      <c r="F20" s="26">
        <v>0</v>
      </c>
      <c r="G20" s="27">
        <f aca="true" t="shared" si="8" ref="G20:G36">SUM(E20:F20)</f>
        <v>633</v>
      </c>
      <c r="H20" s="35">
        <f t="shared" si="2"/>
        <v>377</v>
      </c>
      <c r="I20" s="36">
        <f t="shared" si="5"/>
        <v>2.47265625</v>
      </c>
      <c r="J20" s="29">
        <v>275</v>
      </c>
      <c r="K20" s="26">
        <v>0</v>
      </c>
      <c r="L20" s="30">
        <f aca="true" t="shared" si="9" ref="L20:L36">SUM(J20:K20)</f>
        <v>275</v>
      </c>
      <c r="M20" s="35">
        <f t="shared" si="4"/>
        <v>-358</v>
      </c>
      <c r="N20" s="39">
        <f t="shared" si="6"/>
        <v>0.4344391785150079</v>
      </c>
    </row>
    <row r="21" spans="1:14" ht="13.5" customHeight="1">
      <c r="A21" s="31" t="s">
        <v>22</v>
      </c>
      <c r="B21" s="32">
        <v>436</v>
      </c>
      <c r="C21" s="33">
        <v>0</v>
      </c>
      <c r="D21" s="34">
        <f t="shared" si="7"/>
        <v>436</v>
      </c>
      <c r="E21" s="32">
        <v>446</v>
      </c>
      <c r="F21" s="33">
        <v>0</v>
      </c>
      <c r="G21" s="27">
        <f t="shared" si="8"/>
        <v>446</v>
      </c>
      <c r="H21" s="35">
        <f t="shared" si="2"/>
        <v>10</v>
      </c>
      <c r="I21" s="36">
        <f t="shared" si="5"/>
        <v>1.0229357798165137</v>
      </c>
      <c r="J21" s="37">
        <v>495</v>
      </c>
      <c r="K21" s="33">
        <v>0</v>
      </c>
      <c r="L21" s="30">
        <f t="shared" si="9"/>
        <v>495</v>
      </c>
      <c r="M21" s="35">
        <f t="shared" si="4"/>
        <v>49</v>
      </c>
      <c r="N21" s="39">
        <f t="shared" si="6"/>
        <v>1.109865470852018</v>
      </c>
    </row>
    <row r="22" spans="1:14" ht="13.5" customHeight="1">
      <c r="A22" s="40" t="s">
        <v>23</v>
      </c>
      <c r="B22" s="32">
        <v>82</v>
      </c>
      <c r="C22" s="33">
        <v>0</v>
      </c>
      <c r="D22" s="34">
        <f t="shared" si="7"/>
        <v>82</v>
      </c>
      <c r="E22" s="32">
        <v>64</v>
      </c>
      <c r="F22" s="33">
        <v>0</v>
      </c>
      <c r="G22" s="27">
        <f t="shared" si="8"/>
        <v>64</v>
      </c>
      <c r="H22" s="35">
        <f t="shared" si="2"/>
        <v>-18</v>
      </c>
      <c r="I22" s="36"/>
      <c r="J22" s="37">
        <v>70</v>
      </c>
      <c r="K22" s="33">
        <v>0</v>
      </c>
      <c r="L22" s="30">
        <f t="shared" si="9"/>
        <v>70</v>
      </c>
      <c r="M22" s="35">
        <f t="shared" si="4"/>
        <v>6</v>
      </c>
      <c r="N22" s="39"/>
    </row>
    <row r="23" spans="1:14" ht="13.5" customHeight="1">
      <c r="A23" s="31" t="s">
        <v>24</v>
      </c>
      <c r="B23" s="32">
        <v>0</v>
      </c>
      <c r="C23" s="33">
        <v>0</v>
      </c>
      <c r="D23" s="34">
        <f t="shared" si="7"/>
        <v>0</v>
      </c>
      <c r="E23" s="32">
        <v>0</v>
      </c>
      <c r="F23" s="33">
        <v>0</v>
      </c>
      <c r="G23" s="27">
        <f t="shared" si="8"/>
        <v>0</v>
      </c>
      <c r="H23" s="35">
        <f t="shared" si="2"/>
        <v>0</v>
      </c>
      <c r="I23" s="36"/>
      <c r="J23" s="37">
        <v>0</v>
      </c>
      <c r="K23" s="33">
        <v>0</v>
      </c>
      <c r="L23" s="30">
        <f t="shared" si="9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896</v>
      </c>
      <c r="C24" s="33">
        <v>0</v>
      </c>
      <c r="D24" s="34">
        <f t="shared" si="7"/>
        <v>896</v>
      </c>
      <c r="E24" s="37">
        <v>1053</v>
      </c>
      <c r="F24" s="33">
        <v>0</v>
      </c>
      <c r="G24" s="27">
        <f t="shared" si="8"/>
        <v>1053</v>
      </c>
      <c r="H24" s="35">
        <f t="shared" si="2"/>
        <v>157</v>
      </c>
      <c r="I24" s="36">
        <f t="shared" si="5"/>
        <v>1.1752232142857142</v>
      </c>
      <c r="J24" s="37">
        <v>1096</v>
      </c>
      <c r="K24" s="33">
        <v>0</v>
      </c>
      <c r="L24" s="30">
        <f t="shared" si="9"/>
        <v>1096</v>
      </c>
      <c r="M24" s="35">
        <f t="shared" si="4"/>
        <v>43</v>
      </c>
      <c r="N24" s="39">
        <f t="shared" si="6"/>
        <v>1.0408357075023742</v>
      </c>
    </row>
    <row r="25" spans="1:14" ht="13.5" customHeight="1">
      <c r="A25" s="40" t="s">
        <v>26</v>
      </c>
      <c r="B25" s="32">
        <v>364</v>
      </c>
      <c r="C25" s="33">
        <v>0</v>
      </c>
      <c r="D25" s="34">
        <f t="shared" si="7"/>
        <v>364</v>
      </c>
      <c r="E25" s="32">
        <v>275</v>
      </c>
      <c r="F25" s="33">
        <v>0</v>
      </c>
      <c r="G25" s="27">
        <f t="shared" si="8"/>
        <v>275</v>
      </c>
      <c r="H25" s="35">
        <f t="shared" si="2"/>
        <v>-89</v>
      </c>
      <c r="I25" s="36">
        <f t="shared" si="5"/>
        <v>0.7554945054945055</v>
      </c>
      <c r="J25" s="57">
        <v>320</v>
      </c>
      <c r="K25" s="33">
        <v>0</v>
      </c>
      <c r="L25" s="30">
        <f t="shared" si="9"/>
        <v>320</v>
      </c>
      <c r="M25" s="35">
        <f t="shared" si="4"/>
        <v>45</v>
      </c>
      <c r="N25" s="39">
        <f t="shared" si="6"/>
        <v>1.1636363636363636</v>
      </c>
    </row>
    <row r="26" spans="1:14" ht="13.5" customHeight="1">
      <c r="A26" s="31" t="s">
        <v>27</v>
      </c>
      <c r="B26" s="32">
        <v>532</v>
      </c>
      <c r="C26" s="33">
        <v>0</v>
      </c>
      <c r="D26" s="34">
        <f t="shared" si="7"/>
        <v>532</v>
      </c>
      <c r="E26" s="32">
        <v>778</v>
      </c>
      <c r="F26" s="33">
        <v>0</v>
      </c>
      <c r="G26" s="27">
        <f t="shared" si="8"/>
        <v>778</v>
      </c>
      <c r="H26" s="35">
        <f t="shared" si="2"/>
        <v>246</v>
      </c>
      <c r="I26" s="36">
        <f t="shared" si="5"/>
        <v>1.462406015037594</v>
      </c>
      <c r="J26" s="57">
        <v>730</v>
      </c>
      <c r="K26" s="33">
        <v>0</v>
      </c>
      <c r="L26" s="30">
        <f t="shared" si="9"/>
        <v>730</v>
      </c>
      <c r="M26" s="35">
        <f t="shared" si="4"/>
        <v>-48</v>
      </c>
      <c r="N26" s="39">
        <f t="shared" si="6"/>
        <v>0.9383033419023136</v>
      </c>
    </row>
    <row r="27" spans="1:14" ht="13.5" customHeight="1">
      <c r="A27" s="58" t="s">
        <v>28</v>
      </c>
      <c r="B27" s="37">
        <v>6366</v>
      </c>
      <c r="C27" s="33">
        <v>0</v>
      </c>
      <c r="D27" s="34">
        <f t="shared" si="7"/>
        <v>6366</v>
      </c>
      <c r="E27" s="37">
        <v>7041</v>
      </c>
      <c r="F27" s="33">
        <v>0</v>
      </c>
      <c r="G27" s="27">
        <f t="shared" si="8"/>
        <v>7041</v>
      </c>
      <c r="H27" s="35">
        <f t="shared" si="2"/>
        <v>675</v>
      </c>
      <c r="I27" s="36">
        <f t="shared" si="5"/>
        <v>1.1060320452403394</v>
      </c>
      <c r="J27" s="37">
        <f>J28+J31</f>
        <v>7499</v>
      </c>
      <c r="K27" s="33">
        <v>0</v>
      </c>
      <c r="L27" s="30">
        <f t="shared" si="9"/>
        <v>7499</v>
      </c>
      <c r="M27" s="35">
        <f t="shared" si="4"/>
        <v>458</v>
      </c>
      <c r="N27" s="39">
        <f t="shared" si="6"/>
        <v>1.0650475784689675</v>
      </c>
    </row>
    <row r="28" spans="1:14" ht="13.5" customHeight="1">
      <c r="A28" s="40" t="s">
        <v>29</v>
      </c>
      <c r="B28" s="32">
        <v>4634</v>
      </c>
      <c r="C28" s="33">
        <v>0</v>
      </c>
      <c r="D28" s="34">
        <f t="shared" si="7"/>
        <v>4634</v>
      </c>
      <c r="E28" s="32">
        <v>5141</v>
      </c>
      <c r="F28" s="33">
        <v>0</v>
      </c>
      <c r="G28" s="27">
        <f t="shared" si="8"/>
        <v>5141</v>
      </c>
      <c r="H28" s="35">
        <f t="shared" si="2"/>
        <v>507</v>
      </c>
      <c r="I28" s="36">
        <f t="shared" si="5"/>
        <v>1.1094087181700474</v>
      </c>
      <c r="J28" s="57">
        <f>J29+J30</f>
        <v>5474</v>
      </c>
      <c r="K28" s="59">
        <v>0</v>
      </c>
      <c r="L28" s="30">
        <f t="shared" si="9"/>
        <v>5474</v>
      </c>
      <c r="M28" s="35">
        <f t="shared" si="4"/>
        <v>333</v>
      </c>
      <c r="N28" s="39">
        <f t="shared" si="6"/>
        <v>1.0647733903909746</v>
      </c>
    </row>
    <row r="29" spans="1:14" ht="13.5" customHeight="1">
      <c r="A29" s="58" t="s">
        <v>30</v>
      </c>
      <c r="B29" s="32">
        <v>4617</v>
      </c>
      <c r="C29" s="33">
        <v>0</v>
      </c>
      <c r="D29" s="34">
        <f t="shared" si="7"/>
        <v>4617</v>
      </c>
      <c r="E29" s="32">
        <v>5134</v>
      </c>
      <c r="F29" s="33">
        <v>0</v>
      </c>
      <c r="G29" s="27">
        <f t="shared" si="8"/>
        <v>5134</v>
      </c>
      <c r="H29" s="35">
        <f t="shared" si="2"/>
        <v>517</v>
      </c>
      <c r="I29" s="36">
        <f t="shared" si="5"/>
        <v>1.111977474550574</v>
      </c>
      <c r="J29" s="37">
        <f>5242+222</f>
        <v>5464</v>
      </c>
      <c r="K29" s="33">
        <v>0</v>
      </c>
      <c r="L29" s="30">
        <f t="shared" si="9"/>
        <v>5464</v>
      </c>
      <c r="M29" s="35">
        <f t="shared" si="4"/>
        <v>330</v>
      </c>
      <c r="N29" s="39">
        <f t="shared" si="6"/>
        <v>1.0642773665757694</v>
      </c>
    </row>
    <row r="30" spans="1:14" ht="13.5" customHeight="1">
      <c r="A30" s="40" t="s">
        <v>31</v>
      </c>
      <c r="B30" s="32">
        <v>17</v>
      </c>
      <c r="C30" s="33">
        <v>0</v>
      </c>
      <c r="D30" s="34">
        <f t="shared" si="7"/>
        <v>17</v>
      </c>
      <c r="E30" s="32">
        <v>7</v>
      </c>
      <c r="F30" s="33">
        <v>0</v>
      </c>
      <c r="G30" s="27">
        <f t="shared" si="8"/>
        <v>7</v>
      </c>
      <c r="H30" s="35">
        <f t="shared" si="2"/>
        <v>-10</v>
      </c>
      <c r="I30" s="36">
        <f t="shared" si="5"/>
        <v>0.4117647058823529</v>
      </c>
      <c r="J30" s="37">
        <v>10</v>
      </c>
      <c r="K30" s="33">
        <v>0</v>
      </c>
      <c r="L30" s="30">
        <f t="shared" si="9"/>
        <v>10</v>
      </c>
      <c r="M30" s="35">
        <f t="shared" si="4"/>
        <v>3</v>
      </c>
      <c r="N30" s="39">
        <f t="shared" si="6"/>
        <v>1.4285714285714286</v>
      </c>
    </row>
    <row r="31" spans="1:14" ht="13.5" customHeight="1">
      <c r="A31" s="40" t="s">
        <v>32</v>
      </c>
      <c r="B31" s="32">
        <v>1732</v>
      </c>
      <c r="C31" s="33">
        <v>0</v>
      </c>
      <c r="D31" s="34">
        <f t="shared" si="7"/>
        <v>1732</v>
      </c>
      <c r="E31" s="32">
        <v>1899</v>
      </c>
      <c r="F31" s="33">
        <v>0</v>
      </c>
      <c r="G31" s="27">
        <f t="shared" si="8"/>
        <v>1899</v>
      </c>
      <c r="H31" s="35">
        <f t="shared" si="2"/>
        <v>167</v>
      </c>
      <c r="I31" s="36">
        <f t="shared" si="5"/>
        <v>1.096420323325635</v>
      </c>
      <c r="J31" s="37">
        <f>1943+82</f>
        <v>2025</v>
      </c>
      <c r="K31" s="33">
        <v>0</v>
      </c>
      <c r="L31" s="30">
        <f t="shared" si="9"/>
        <v>2025</v>
      </c>
      <c r="M31" s="35">
        <f t="shared" si="4"/>
        <v>126</v>
      </c>
      <c r="N31" s="39">
        <f t="shared" si="6"/>
        <v>1.066350710900474</v>
      </c>
    </row>
    <row r="32" spans="1:14" ht="13.5" customHeight="1">
      <c r="A32" s="58" t="s">
        <v>33</v>
      </c>
      <c r="B32" s="32">
        <v>0</v>
      </c>
      <c r="C32" s="33">
        <v>0</v>
      </c>
      <c r="D32" s="34">
        <f t="shared" si="7"/>
        <v>0</v>
      </c>
      <c r="E32" s="32">
        <v>0</v>
      </c>
      <c r="F32" s="33">
        <v>0</v>
      </c>
      <c r="G32" s="27">
        <f t="shared" si="8"/>
        <v>0</v>
      </c>
      <c r="H32" s="35">
        <f t="shared" si="2"/>
        <v>0</v>
      </c>
      <c r="I32" s="36"/>
      <c r="J32" s="37">
        <v>0</v>
      </c>
      <c r="K32" s="33">
        <v>0</v>
      </c>
      <c r="L32" s="30">
        <f t="shared" si="9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91</v>
      </c>
      <c r="C33" s="33">
        <v>0</v>
      </c>
      <c r="D33" s="34">
        <f t="shared" si="7"/>
        <v>91</v>
      </c>
      <c r="E33" s="32">
        <v>121</v>
      </c>
      <c r="F33" s="33">
        <v>0</v>
      </c>
      <c r="G33" s="27">
        <f t="shared" si="8"/>
        <v>121</v>
      </c>
      <c r="H33" s="35">
        <f t="shared" si="2"/>
        <v>30</v>
      </c>
      <c r="I33" s="36">
        <f t="shared" si="5"/>
        <v>1.3296703296703296</v>
      </c>
      <c r="J33" s="37">
        <v>130</v>
      </c>
      <c r="K33" s="33">
        <v>0</v>
      </c>
      <c r="L33" s="30">
        <f t="shared" si="9"/>
        <v>130</v>
      </c>
      <c r="M33" s="35">
        <f t="shared" si="4"/>
        <v>9</v>
      </c>
      <c r="N33" s="39">
        <f t="shared" si="6"/>
        <v>1.0743801652892562</v>
      </c>
    </row>
    <row r="34" spans="1:14" ht="13.5" customHeight="1">
      <c r="A34" s="40" t="s">
        <v>35</v>
      </c>
      <c r="B34" s="32">
        <v>320</v>
      </c>
      <c r="C34" s="33">
        <v>0</v>
      </c>
      <c r="D34" s="34">
        <f t="shared" si="7"/>
        <v>320</v>
      </c>
      <c r="E34" s="32">
        <v>529</v>
      </c>
      <c r="F34" s="33">
        <v>0</v>
      </c>
      <c r="G34" s="27">
        <f t="shared" si="8"/>
        <v>529</v>
      </c>
      <c r="H34" s="35">
        <f t="shared" si="2"/>
        <v>209</v>
      </c>
      <c r="I34" s="36">
        <f t="shared" si="5"/>
        <v>1.653125</v>
      </c>
      <c r="J34" s="57">
        <v>496</v>
      </c>
      <c r="K34" s="33">
        <v>0</v>
      </c>
      <c r="L34" s="30">
        <f t="shared" si="9"/>
        <v>496</v>
      </c>
      <c r="M34" s="35">
        <f t="shared" si="4"/>
        <v>-33</v>
      </c>
      <c r="N34" s="39">
        <f t="shared" si="6"/>
        <v>0.9376181474480151</v>
      </c>
    </row>
    <row r="35" spans="1:14" ht="22.5" customHeight="1">
      <c r="A35" s="40" t="s">
        <v>36</v>
      </c>
      <c r="B35" s="32">
        <v>320</v>
      </c>
      <c r="C35" s="33">
        <v>0</v>
      </c>
      <c r="D35" s="34">
        <f t="shared" si="7"/>
        <v>320</v>
      </c>
      <c r="E35" s="32">
        <v>529</v>
      </c>
      <c r="F35" s="33">
        <v>0</v>
      </c>
      <c r="G35" s="27">
        <f t="shared" si="8"/>
        <v>529</v>
      </c>
      <c r="H35" s="35">
        <f t="shared" si="2"/>
        <v>209</v>
      </c>
      <c r="I35" s="36">
        <f t="shared" si="5"/>
        <v>1.653125</v>
      </c>
      <c r="J35" s="57">
        <v>496</v>
      </c>
      <c r="K35" s="33">
        <v>0</v>
      </c>
      <c r="L35" s="30">
        <f t="shared" si="9"/>
        <v>496</v>
      </c>
      <c r="M35" s="35">
        <f t="shared" si="4"/>
        <v>-33</v>
      </c>
      <c r="N35" s="39">
        <f t="shared" si="6"/>
        <v>0.9376181474480151</v>
      </c>
    </row>
    <row r="36" spans="1:14" ht="13.5" customHeight="1" thickBot="1">
      <c r="A36" s="60" t="s">
        <v>37</v>
      </c>
      <c r="B36" s="41">
        <v>0</v>
      </c>
      <c r="C36" s="42">
        <v>0</v>
      </c>
      <c r="D36" s="34">
        <f t="shared" si="7"/>
        <v>0</v>
      </c>
      <c r="E36" s="41">
        <v>0</v>
      </c>
      <c r="F36" s="42">
        <v>0</v>
      </c>
      <c r="G36" s="27">
        <f t="shared" si="8"/>
        <v>0</v>
      </c>
      <c r="H36" s="43">
        <f t="shared" si="2"/>
        <v>0</v>
      </c>
      <c r="I36" s="44"/>
      <c r="J36" s="61">
        <v>0</v>
      </c>
      <c r="K36" s="42">
        <v>0</v>
      </c>
      <c r="L36" s="30">
        <f t="shared" si="9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0" ref="B37:G37">SUM(B19+B21+B22+B23+B24+B27+B32+B33+B34+B36)</f>
        <v>10719</v>
      </c>
      <c r="C37" s="48">
        <f t="shared" si="10"/>
        <v>0</v>
      </c>
      <c r="D37" s="49">
        <f t="shared" si="10"/>
        <v>10719</v>
      </c>
      <c r="E37" s="47">
        <f t="shared" si="10"/>
        <v>12084</v>
      </c>
      <c r="F37" s="48">
        <f t="shared" si="10"/>
        <v>0</v>
      </c>
      <c r="G37" s="49">
        <f t="shared" si="10"/>
        <v>12084</v>
      </c>
      <c r="H37" s="50">
        <f t="shared" si="2"/>
        <v>1365</v>
      </c>
      <c r="I37" s="51">
        <f t="shared" si="5"/>
        <v>1.1273439686537923</v>
      </c>
      <c r="J37" s="52">
        <f>SUM(J19+J21+J22+J23+J24+J27+J32+J33+J34+J36)</f>
        <v>12667</v>
      </c>
      <c r="K37" s="48">
        <f>SUM(K19+K21+K22+K23+K24+K27+K32+K33+K34+K36)</f>
        <v>0</v>
      </c>
      <c r="L37" s="49">
        <f>SUM(L19+L21+L22+L23+L24+L27+L32+L33+L34+L36)</f>
        <v>12667</v>
      </c>
      <c r="M37" s="50">
        <f t="shared" si="4"/>
        <v>583</v>
      </c>
      <c r="N37" s="53">
        <f t="shared" si="6"/>
        <v>1.0482456140350878</v>
      </c>
    </row>
    <row r="38" spans="1:14" ht="13.5" customHeight="1" thickBot="1">
      <c r="A38" s="46" t="s">
        <v>39</v>
      </c>
      <c r="B38" s="680">
        <f>+D18-D37</f>
        <v>27</v>
      </c>
      <c r="C38" s="681"/>
      <c r="D38" s="682"/>
      <c r="E38" s="680">
        <f>+G18-G37</f>
        <v>6</v>
      </c>
      <c r="F38" s="681"/>
      <c r="G38" s="682">
        <v>-50784</v>
      </c>
      <c r="H38" s="62">
        <f>+E38-B38</f>
        <v>-21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513</v>
      </c>
      <c r="B43" s="683"/>
      <c r="C43" s="66">
        <v>69</v>
      </c>
      <c r="D43" s="679" t="s">
        <v>514</v>
      </c>
      <c r="E43" s="657"/>
      <c r="F43" s="657"/>
      <c r="G43" s="67">
        <v>823</v>
      </c>
      <c r="H43" s="658" t="s">
        <v>515</v>
      </c>
      <c r="I43" s="659"/>
      <c r="J43" s="659"/>
      <c r="K43" s="659"/>
      <c r="L43" s="68">
        <v>280</v>
      </c>
      <c r="O43"/>
      <c r="P43"/>
    </row>
    <row r="44" spans="1:16" ht="12.75">
      <c r="A44" s="639" t="s">
        <v>171</v>
      </c>
      <c r="B44" s="646"/>
      <c r="C44" s="69">
        <v>165</v>
      </c>
      <c r="D44" s="679" t="s">
        <v>168</v>
      </c>
      <c r="E44" s="657"/>
      <c r="F44" s="657"/>
      <c r="G44" s="70">
        <v>150</v>
      </c>
      <c r="H44" s="658" t="s">
        <v>516</v>
      </c>
      <c r="I44" s="659"/>
      <c r="J44" s="659"/>
      <c r="K44" s="659"/>
      <c r="L44" s="68">
        <v>250</v>
      </c>
      <c r="O44"/>
      <c r="P44"/>
    </row>
    <row r="45" spans="1:16" ht="12.75">
      <c r="A45" s="639" t="s">
        <v>128</v>
      </c>
      <c r="B45" s="646"/>
      <c r="C45" s="69">
        <v>139</v>
      </c>
      <c r="D45" s="679"/>
      <c r="E45" s="657"/>
      <c r="F45" s="657"/>
      <c r="G45" s="70"/>
      <c r="H45" s="658"/>
      <c r="I45" s="659"/>
      <c r="J45" s="659"/>
      <c r="K45" s="659"/>
      <c r="L45" s="68"/>
      <c r="O45"/>
      <c r="P45"/>
    </row>
    <row r="46" spans="1:16" ht="12.75">
      <c r="A46" s="647"/>
      <c r="B46" s="674"/>
      <c r="C46" s="71"/>
      <c r="D46" s="647"/>
      <c r="E46" s="648"/>
      <c r="F46" s="674"/>
      <c r="G46" s="72"/>
      <c r="H46" s="643"/>
      <c r="I46" s="644"/>
      <c r="J46" s="644"/>
      <c r="K46" s="645"/>
      <c r="L46" s="68"/>
      <c r="O46"/>
      <c r="P46"/>
    </row>
    <row r="47" spans="1:16" ht="12.75">
      <c r="A47" s="647"/>
      <c r="B47" s="674"/>
      <c r="C47" s="71"/>
      <c r="D47" s="647"/>
      <c r="E47" s="648"/>
      <c r="F47" s="674"/>
      <c r="G47" s="72"/>
      <c r="H47" s="643"/>
      <c r="I47" s="644"/>
      <c r="J47" s="644"/>
      <c r="K47" s="645"/>
      <c r="L47" s="68"/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/>
      <c r="I48" s="644"/>
      <c r="J48" s="644"/>
      <c r="K48" s="645"/>
      <c r="L48" s="68"/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/>
      <c r="B50" s="635"/>
      <c r="C50" s="73">
        <f>SUM(C43:C49)</f>
        <v>373</v>
      </c>
      <c r="D50" s="660" t="s">
        <v>5</v>
      </c>
      <c r="E50" s="661"/>
      <c r="F50" s="661"/>
      <c r="G50" s="73">
        <f>SUM(G43:G44)</f>
        <v>973</v>
      </c>
      <c r="H50" s="637" t="s">
        <v>5</v>
      </c>
      <c r="I50" s="638"/>
      <c r="J50" s="638"/>
      <c r="K50" s="638"/>
      <c r="L50" s="73">
        <f>SUM(L43:L44)</f>
        <v>530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517</v>
      </c>
      <c r="B54" s="655"/>
      <c r="C54" s="66">
        <v>364</v>
      </c>
      <c r="D54" s="656" t="s">
        <v>518</v>
      </c>
      <c r="E54" s="657"/>
      <c r="F54" s="657"/>
      <c r="G54" s="76">
        <v>39</v>
      </c>
      <c r="H54" s="658" t="s">
        <v>519</v>
      </c>
      <c r="I54" s="659"/>
      <c r="J54" s="659"/>
      <c r="K54" s="659"/>
      <c r="L54" s="68">
        <v>150</v>
      </c>
      <c r="O54"/>
      <c r="P54"/>
    </row>
    <row r="55" spans="1:16" ht="13.5" customHeight="1">
      <c r="A55" s="639"/>
      <c r="B55" s="649"/>
      <c r="C55" s="69"/>
      <c r="D55" s="642" t="s">
        <v>520</v>
      </c>
      <c r="E55" s="646"/>
      <c r="F55" s="646"/>
      <c r="G55" s="77">
        <v>130</v>
      </c>
      <c r="H55" s="650" t="s">
        <v>520</v>
      </c>
      <c r="I55" s="651"/>
      <c r="J55" s="651"/>
      <c r="K55" s="651"/>
      <c r="L55" s="78">
        <v>120</v>
      </c>
      <c r="O55"/>
      <c r="P55"/>
    </row>
    <row r="56" spans="1:16" ht="13.5" customHeight="1">
      <c r="A56" s="639"/>
      <c r="B56" s="640"/>
      <c r="C56" s="69"/>
      <c r="D56" s="642" t="s">
        <v>521</v>
      </c>
      <c r="E56" s="646"/>
      <c r="F56" s="646"/>
      <c r="G56" s="77">
        <v>105</v>
      </c>
      <c r="H56" s="643" t="s">
        <v>521</v>
      </c>
      <c r="I56" s="644"/>
      <c r="J56" s="644"/>
      <c r="K56" s="645"/>
      <c r="L56" s="78">
        <v>50</v>
      </c>
      <c r="O56"/>
      <c r="P56"/>
    </row>
    <row r="57" spans="1:16" ht="13.5" customHeight="1">
      <c r="A57" s="639"/>
      <c r="B57" s="640"/>
      <c r="C57" s="69"/>
      <c r="D57" s="642"/>
      <c r="E57" s="646"/>
      <c r="F57" s="646"/>
      <c r="G57" s="77"/>
      <c r="H57" s="643"/>
      <c r="I57" s="644"/>
      <c r="J57" s="644"/>
      <c r="K57" s="645"/>
      <c r="L57" s="78"/>
      <c r="O57"/>
      <c r="P57"/>
    </row>
    <row r="58" spans="1:16" ht="13.5" customHeight="1">
      <c r="A58" s="647"/>
      <c r="B58" s="648"/>
      <c r="C58" s="71"/>
      <c r="D58" s="641"/>
      <c r="E58" s="641"/>
      <c r="F58" s="642"/>
      <c r="G58" s="178"/>
      <c r="H58" s="643"/>
      <c r="I58" s="644"/>
      <c r="J58" s="644"/>
      <c r="K58" s="645"/>
      <c r="L58" s="79"/>
      <c r="O58"/>
      <c r="P58"/>
    </row>
    <row r="59" spans="1:16" ht="13.5" customHeight="1">
      <c r="A59" s="639"/>
      <c r="B59" s="640"/>
      <c r="C59" s="71"/>
      <c r="D59" s="641"/>
      <c r="E59" s="641"/>
      <c r="F59" s="642"/>
      <c r="G59" s="178"/>
      <c r="H59" s="643"/>
      <c r="I59" s="644"/>
      <c r="J59" s="644"/>
      <c r="K59" s="645"/>
      <c r="L59" s="79"/>
      <c r="O59"/>
      <c r="P59"/>
    </row>
    <row r="60" spans="1:16" ht="13.5" customHeight="1">
      <c r="A60" s="639"/>
      <c r="B60" s="640"/>
      <c r="C60" s="69"/>
      <c r="D60" s="642"/>
      <c r="E60" s="646"/>
      <c r="F60" s="646"/>
      <c r="G60" s="77"/>
      <c r="H60" s="643"/>
      <c r="I60" s="644"/>
      <c r="J60" s="644"/>
      <c r="K60" s="645"/>
      <c r="L60" s="78"/>
      <c r="O60"/>
      <c r="P60"/>
    </row>
    <row r="61" spans="1:16" ht="13.5" thickBot="1">
      <c r="A61" s="627"/>
      <c r="B61" s="628"/>
      <c r="C61" s="80"/>
      <c r="D61" s="629"/>
      <c r="E61" s="630"/>
      <c r="F61" s="630"/>
      <c r="G61" s="81"/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73">
        <f>SUM(C54:C61)</f>
        <v>364</v>
      </c>
      <c r="D62" s="635" t="s">
        <v>5</v>
      </c>
      <c r="E62" s="636"/>
      <c r="F62" s="636"/>
      <c r="G62" s="83">
        <f>SUM(G54:G61)</f>
        <v>274</v>
      </c>
      <c r="H62" s="637" t="s">
        <v>5</v>
      </c>
      <c r="I62" s="638"/>
      <c r="J62" s="638"/>
      <c r="K62" s="638"/>
      <c r="L62" s="73">
        <f>SUM(L54:L61)</f>
        <v>320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57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84</v>
      </c>
      <c r="I67" s="580" t="s">
        <v>179</v>
      </c>
      <c r="J67" s="582"/>
      <c r="K67" s="582"/>
      <c r="L67" s="157">
        <v>98</v>
      </c>
      <c r="M67" s="84"/>
      <c r="N67" s="84"/>
    </row>
    <row r="68" spans="1:14" s="1" customFormat="1" ht="12.75">
      <c r="A68" s="158" t="s">
        <v>174</v>
      </c>
      <c r="B68" s="151">
        <v>22</v>
      </c>
      <c r="C68" s="583" t="s">
        <v>175</v>
      </c>
      <c r="D68" s="583"/>
      <c r="E68" s="159">
        <v>0</v>
      </c>
      <c r="F68" s="584" t="s">
        <v>177</v>
      </c>
      <c r="G68" s="585"/>
      <c r="H68" s="151">
        <v>5</v>
      </c>
      <c r="I68" s="583" t="s">
        <v>491</v>
      </c>
      <c r="J68" s="585"/>
      <c r="K68" s="585"/>
      <c r="L68" s="159">
        <v>0</v>
      </c>
      <c r="M68" s="84"/>
      <c r="N68" s="84"/>
    </row>
    <row r="69" spans="1:14" s="1" customFormat="1" ht="12.75">
      <c r="A69" s="158" t="s">
        <v>175</v>
      </c>
      <c r="B69" s="151">
        <v>5</v>
      </c>
      <c r="C69" s="583"/>
      <c r="D69" s="583"/>
      <c r="E69" s="159"/>
      <c r="F69" s="583" t="s">
        <v>175</v>
      </c>
      <c r="G69" s="583"/>
      <c r="H69" s="151">
        <v>9</v>
      </c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84</v>
      </c>
      <c r="C71" s="589" t="s">
        <v>5</v>
      </c>
      <c r="D71" s="589"/>
      <c r="E71" s="165">
        <f>SUM(E67:E70)</f>
        <v>0</v>
      </c>
      <c r="F71" s="590" t="s">
        <v>5</v>
      </c>
      <c r="G71" s="591"/>
      <c r="H71" s="161">
        <f>SUM(H67:H70)</f>
        <v>98</v>
      </c>
      <c r="I71" s="589" t="s">
        <v>5</v>
      </c>
      <c r="J71" s="591"/>
      <c r="K71" s="591"/>
      <c r="L71" s="165">
        <f>SUM(L67:L70)</f>
        <v>98</v>
      </c>
      <c r="M71" s="84"/>
      <c r="N71" s="84"/>
    </row>
    <row r="72" spans="1:14" s="1" customFormat="1" ht="13.5" thickBot="1">
      <c r="A72" s="181" t="s">
        <v>534</v>
      </c>
      <c r="B72" s="182">
        <f>B71-E71</f>
        <v>84</v>
      </c>
      <c r="C72" s="84"/>
      <c r="D72" s="84"/>
      <c r="E72" s="84"/>
      <c r="F72" s="592" t="s">
        <v>534</v>
      </c>
      <c r="G72" s="593"/>
      <c r="H72" s="183">
        <f>H71-L71</f>
        <v>0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601" t="s">
        <v>73</v>
      </c>
      <c r="B76" s="604" t="s">
        <v>495</v>
      </c>
      <c r="C76" s="607" t="s">
        <v>477</v>
      </c>
      <c r="D76" s="608"/>
      <c r="E76" s="608"/>
      <c r="F76" s="608"/>
      <c r="G76" s="608"/>
      <c r="H76" s="608"/>
      <c r="I76" s="609"/>
      <c r="J76" s="610" t="s">
        <v>496</v>
      </c>
      <c r="K76" s="7"/>
      <c r="L76" s="594" t="s">
        <v>48</v>
      </c>
      <c r="M76" s="595"/>
      <c r="N76" s="193">
        <v>2004</v>
      </c>
      <c r="O76" s="194">
        <v>2005</v>
      </c>
    </row>
    <row r="77" spans="1:15" s="1" customFormat="1" ht="12.75">
      <c r="A77" s="602"/>
      <c r="B77" s="605"/>
      <c r="C77" s="596" t="s">
        <v>76</v>
      </c>
      <c r="D77" s="598" t="s">
        <v>77</v>
      </c>
      <c r="E77" s="599"/>
      <c r="F77" s="599"/>
      <c r="G77" s="599"/>
      <c r="H77" s="599"/>
      <c r="I77" s="600"/>
      <c r="J77" s="611"/>
      <c r="K77" s="7"/>
      <c r="L77" s="197" t="s">
        <v>178</v>
      </c>
      <c r="M77" s="197"/>
      <c r="N77" s="192"/>
      <c r="O77" s="195"/>
    </row>
    <row r="78" spans="1:15" s="1" customFormat="1" ht="13.5" thickBot="1">
      <c r="A78" s="603"/>
      <c r="B78" s="606"/>
      <c r="C78" s="597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612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7222</v>
      </c>
      <c r="B79" s="117">
        <v>2455</v>
      </c>
      <c r="C79" s="170">
        <v>496</v>
      </c>
      <c r="D79" s="171">
        <v>136</v>
      </c>
      <c r="E79" s="171">
        <v>208</v>
      </c>
      <c r="F79" s="171">
        <v>152</v>
      </c>
      <c r="G79" s="171">
        <v>0</v>
      </c>
      <c r="H79" s="170">
        <v>0</v>
      </c>
      <c r="I79" s="184">
        <v>0</v>
      </c>
      <c r="J79" s="118">
        <f>SUM(A79-B79-C79)</f>
        <v>4271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618" t="s">
        <v>112</v>
      </c>
      <c r="B83" s="620" t="s">
        <v>482</v>
      </c>
      <c r="C83" s="622" t="s">
        <v>480</v>
      </c>
      <c r="D83" s="623"/>
      <c r="E83" s="623"/>
      <c r="F83" s="624"/>
      <c r="G83" s="625" t="s">
        <v>483</v>
      </c>
      <c r="H83" s="613" t="s">
        <v>78</v>
      </c>
      <c r="I83" s="615" t="s">
        <v>481</v>
      </c>
      <c r="J83" s="616"/>
      <c r="K83" s="616"/>
      <c r="L83" s="617"/>
    </row>
    <row r="84" spans="1:12" s="1" customFormat="1" ht="18.75" thickBot="1">
      <c r="A84" s="619"/>
      <c r="B84" s="621"/>
      <c r="C84" s="119" t="s">
        <v>81</v>
      </c>
      <c r="D84" s="120" t="s">
        <v>79</v>
      </c>
      <c r="E84" s="120" t="s">
        <v>80</v>
      </c>
      <c r="F84" s="121" t="s">
        <v>114</v>
      </c>
      <c r="G84" s="626"/>
      <c r="H84" s="614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687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831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16</v>
      </c>
      <c r="C86" s="130">
        <v>31</v>
      </c>
      <c r="D86" s="131">
        <v>5</v>
      </c>
      <c r="E86" s="131">
        <v>20</v>
      </c>
      <c r="F86" s="132">
        <v>16</v>
      </c>
      <c r="G86" s="133">
        <v>16</v>
      </c>
      <c r="H86" s="453">
        <f>+G86-F86</f>
        <v>0</v>
      </c>
      <c r="I86" s="130">
        <v>16</v>
      </c>
      <c r="J86" s="131">
        <v>1</v>
      </c>
      <c r="K86" s="131">
        <v>17</v>
      </c>
      <c r="L86" s="132">
        <f>I86+J86-K86</f>
        <v>0</v>
      </c>
    </row>
    <row r="87" spans="1:12" s="1" customFormat="1" ht="12.75">
      <c r="A87" s="128" t="s">
        <v>85</v>
      </c>
      <c r="B87" s="129">
        <v>84</v>
      </c>
      <c r="C87" s="130">
        <v>57</v>
      </c>
      <c r="D87" s="131">
        <v>27</v>
      </c>
      <c r="E87" s="131">
        <v>0</v>
      </c>
      <c r="F87" s="132">
        <v>84</v>
      </c>
      <c r="G87" s="133">
        <v>84</v>
      </c>
      <c r="H87" s="453">
        <f>+G87-F87</f>
        <v>0</v>
      </c>
      <c r="I87" s="130">
        <v>84</v>
      </c>
      <c r="J87" s="131">
        <v>14</v>
      </c>
      <c r="K87" s="131">
        <v>98</v>
      </c>
      <c r="L87" s="132">
        <f>I87+J87-K87</f>
        <v>0</v>
      </c>
    </row>
    <row r="88" spans="1:12" s="1" customFormat="1" ht="12.75">
      <c r="A88" s="128" t="s">
        <v>113</v>
      </c>
      <c r="B88" s="129">
        <v>160</v>
      </c>
      <c r="C88" s="130">
        <v>42</v>
      </c>
      <c r="D88" s="131">
        <v>1130</v>
      </c>
      <c r="E88" s="131">
        <v>1012</v>
      </c>
      <c r="F88" s="132">
        <v>160</v>
      </c>
      <c r="G88" s="133">
        <v>160</v>
      </c>
      <c r="H88" s="453">
        <f>+G88-F88</f>
        <v>0</v>
      </c>
      <c r="I88" s="461">
        <v>160</v>
      </c>
      <c r="J88" s="447">
        <v>594</v>
      </c>
      <c r="K88" s="447">
        <v>530</v>
      </c>
      <c r="L88" s="132">
        <f>I88+J88-K88</f>
        <v>224</v>
      </c>
    </row>
    <row r="89" spans="1:12" s="1" customFormat="1" ht="12.75">
      <c r="A89" s="128" t="s">
        <v>86</v>
      </c>
      <c r="B89" s="129">
        <v>427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571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4</v>
      </c>
      <c r="C90" s="136">
        <v>4</v>
      </c>
      <c r="D90" s="137">
        <v>103</v>
      </c>
      <c r="E90" s="137">
        <v>107</v>
      </c>
      <c r="F90" s="138">
        <v>0</v>
      </c>
      <c r="G90" s="139">
        <v>62</v>
      </c>
      <c r="H90" s="454">
        <f>+G90-F90</f>
        <v>62</v>
      </c>
      <c r="I90" s="136">
        <v>0</v>
      </c>
      <c r="J90" s="137">
        <v>109</v>
      </c>
      <c r="K90" s="137">
        <v>105</v>
      </c>
      <c r="L90" s="138">
        <f>I90+J90-K90</f>
        <v>4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>
        <v>0</v>
      </c>
      <c r="E95" s="131">
        <v>0</v>
      </c>
      <c r="F95" s="131">
        <v>0</v>
      </c>
      <c r="G95" s="129">
        <v>0</v>
      </c>
      <c r="H95" s="132">
        <f>SUM(C95:G95)</f>
        <v>0</v>
      </c>
      <c r="I95" s="89"/>
      <c r="J95" s="93">
        <v>2005</v>
      </c>
      <c r="K95" s="94">
        <v>5124</v>
      </c>
      <c r="L95" s="95">
        <v>5134</v>
      </c>
    </row>
    <row r="96" spans="1:12" ht="13.5" thickBot="1">
      <c r="A96" s="145" t="s">
        <v>95</v>
      </c>
      <c r="B96" s="135">
        <v>0</v>
      </c>
      <c r="C96" s="137">
        <v>0</v>
      </c>
      <c r="D96" s="137">
        <v>0</v>
      </c>
      <c r="E96" s="137">
        <v>0</v>
      </c>
      <c r="F96" s="137">
        <v>0</v>
      </c>
      <c r="G96" s="135">
        <v>0</v>
      </c>
      <c r="H96" s="138">
        <f>SUM(C96:G96)</f>
        <v>0</v>
      </c>
      <c r="I96" s="89"/>
      <c r="J96" s="96">
        <v>2006</v>
      </c>
      <c r="K96" s="97">
        <f>+L29</f>
        <v>5464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3.3</v>
      </c>
      <c r="C101" s="103">
        <v>3</v>
      </c>
      <c r="D101" s="103">
        <f>+C101-B101</f>
        <v>-0.2999999999999998</v>
      </c>
      <c r="E101" s="103">
        <v>3</v>
      </c>
      <c r="F101" s="103">
        <v>3</v>
      </c>
      <c r="G101" s="104">
        <f>+F101-E101</f>
        <v>0</v>
      </c>
      <c r="H101" s="105">
        <v>19026</v>
      </c>
      <c r="I101" s="106">
        <v>24382</v>
      </c>
      <c r="J101" s="107">
        <f>+I101-H101</f>
        <v>5356</v>
      </c>
    </row>
    <row r="102" spans="1:10" ht="12.75">
      <c r="A102" s="102" t="s">
        <v>98</v>
      </c>
      <c r="B102" s="103">
        <v>8.2</v>
      </c>
      <c r="C102" s="103">
        <v>7.5</v>
      </c>
      <c r="D102" s="103">
        <f aca="true" t="shared" si="11" ref="D102:D111">+C102-B102</f>
        <v>-0.6999999999999993</v>
      </c>
      <c r="E102" s="103">
        <v>8</v>
      </c>
      <c r="F102" s="103">
        <v>6</v>
      </c>
      <c r="G102" s="104">
        <f aca="true" t="shared" si="12" ref="G102:G111">+F102-E102</f>
        <v>-2</v>
      </c>
      <c r="H102" s="105">
        <v>14373</v>
      </c>
      <c r="I102" s="108">
        <v>15010</v>
      </c>
      <c r="J102" s="107">
        <f aca="true" t="shared" si="13" ref="J102:J111">+I102-H102</f>
        <v>637</v>
      </c>
    </row>
    <row r="103" spans="1:10" ht="12.75">
      <c r="A103" s="102" t="s">
        <v>60</v>
      </c>
      <c r="B103" s="103">
        <v>1</v>
      </c>
      <c r="C103" s="103">
        <v>1</v>
      </c>
      <c r="D103" s="103">
        <f t="shared" si="11"/>
        <v>0</v>
      </c>
      <c r="E103" s="103">
        <v>1</v>
      </c>
      <c r="F103" s="103">
        <v>1</v>
      </c>
      <c r="G103" s="104">
        <f t="shared" si="12"/>
        <v>0</v>
      </c>
      <c r="H103" s="105">
        <v>6618</v>
      </c>
      <c r="I103" s="108">
        <v>13927</v>
      </c>
      <c r="J103" s="107">
        <f t="shared" si="13"/>
        <v>7309</v>
      </c>
    </row>
    <row r="104" spans="1:10" ht="12.75">
      <c r="A104" s="102" t="s">
        <v>522</v>
      </c>
      <c r="B104" s="103">
        <v>0</v>
      </c>
      <c r="C104" s="103">
        <v>0.59</v>
      </c>
      <c r="D104" s="103">
        <f t="shared" si="11"/>
        <v>0.59</v>
      </c>
      <c r="E104" s="103">
        <v>0</v>
      </c>
      <c r="F104" s="103">
        <v>1</v>
      </c>
      <c r="G104" s="104">
        <f t="shared" si="12"/>
        <v>1</v>
      </c>
      <c r="H104" s="105">
        <v>0</v>
      </c>
      <c r="I104" s="108">
        <v>13485</v>
      </c>
      <c r="J104" s="107">
        <f t="shared" si="13"/>
        <v>13485</v>
      </c>
    </row>
    <row r="105" spans="1:10" ht="12.75">
      <c r="A105" s="102" t="s">
        <v>523</v>
      </c>
      <c r="B105" s="103">
        <v>0</v>
      </c>
      <c r="C105" s="103">
        <v>1.76</v>
      </c>
      <c r="D105" s="103">
        <f t="shared" si="11"/>
        <v>1.76</v>
      </c>
      <c r="E105" s="103">
        <v>0</v>
      </c>
      <c r="F105" s="103">
        <v>3</v>
      </c>
      <c r="G105" s="104">
        <f t="shared" si="12"/>
        <v>3</v>
      </c>
      <c r="H105" s="105">
        <v>0</v>
      </c>
      <c r="I105" s="108">
        <v>12676</v>
      </c>
      <c r="J105" s="107">
        <f t="shared" si="13"/>
        <v>12676</v>
      </c>
    </row>
    <row r="106" spans="1:10" ht="12.75">
      <c r="A106" s="102" t="s">
        <v>63</v>
      </c>
      <c r="B106" s="103">
        <v>0</v>
      </c>
      <c r="C106" s="103">
        <v>0</v>
      </c>
      <c r="D106" s="103">
        <f t="shared" si="11"/>
        <v>0</v>
      </c>
      <c r="E106" s="103">
        <v>0</v>
      </c>
      <c r="F106" s="103">
        <v>0</v>
      </c>
      <c r="G106" s="104">
        <f t="shared" si="12"/>
        <v>0</v>
      </c>
      <c r="H106" s="105">
        <v>0</v>
      </c>
      <c r="I106" s="108">
        <v>0</v>
      </c>
      <c r="J106" s="107">
        <f t="shared" si="13"/>
        <v>0</v>
      </c>
    </row>
    <row r="107" spans="1:10" ht="12.75">
      <c r="A107" s="102" t="s">
        <v>64</v>
      </c>
      <c r="B107" s="103">
        <v>0</v>
      </c>
      <c r="C107" s="103">
        <v>0</v>
      </c>
      <c r="D107" s="103">
        <f t="shared" si="11"/>
        <v>0</v>
      </c>
      <c r="E107" s="103">
        <v>0</v>
      </c>
      <c r="F107" s="103">
        <v>0</v>
      </c>
      <c r="G107" s="104">
        <f t="shared" si="12"/>
        <v>0</v>
      </c>
      <c r="H107" s="105">
        <v>0</v>
      </c>
      <c r="I107" s="108">
        <v>0</v>
      </c>
      <c r="J107" s="107">
        <f t="shared" si="13"/>
        <v>0</v>
      </c>
    </row>
    <row r="108" spans="1:10" ht="12.75">
      <c r="A108" s="102" t="s">
        <v>65</v>
      </c>
      <c r="B108" s="103">
        <v>8.9</v>
      </c>
      <c r="C108" s="103">
        <v>7.58</v>
      </c>
      <c r="D108" s="103">
        <f t="shared" si="11"/>
        <v>-1.3200000000000003</v>
      </c>
      <c r="E108" s="103">
        <v>8.75</v>
      </c>
      <c r="F108" s="103">
        <v>7.75</v>
      </c>
      <c r="G108" s="104">
        <f t="shared" si="12"/>
        <v>-1</v>
      </c>
      <c r="H108" s="105">
        <v>9266</v>
      </c>
      <c r="I108" s="108">
        <v>10068</v>
      </c>
      <c r="J108" s="107">
        <f t="shared" si="13"/>
        <v>802</v>
      </c>
    </row>
    <row r="109" spans="1:10" ht="12.75">
      <c r="A109" s="102" t="s">
        <v>66</v>
      </c>
      <c r="B109" s="103">
        <v>0.95</v>
      </c>
      <c r="C109" s="103">
        <v>1</v>
      </c>
      <c r="D109" s="103">
        <f t="shared" si="11"/>
        <v>0.050000000000000044</v>
      </c>
      <c r="E109" s="103">
        <v>1</v>
      </c>
      <c r="F109" s="103">
        <v>1</v>
      </c>
      <c r="G109" s="104">
        <f t="shared" si="12"/>
        <v>0</v>
      </c>
      <c r="H109" s="105">
        <v>9198</v>
      </c>
      <c r="I109" s="108">
        <v>12885</v>
      </c>
      <c r="J109" s="107">
        <f t="shared" si="13"/>
        <v>3687</v>
      </c>
    </row>
    <row r="110" spans="1:10" ht="12.75">
      <c r="A110" s="102" t="s">
        <v>67</v>
      </c>
      <c r="B110" s="103">
        <v>12.5</v>
      </c>
      <c r="C110" s="103">
        <v>12.7</v>
      </c>
      <c r="D110" s="103">
        <f t="shared" si="11"/>
        <v>0.1999999999999993</v>
      </c>
      <c r="E110" s="103">
        <v>13</v>
      </c>
      <c r="F110" s="103">
        <v>11.75</v>
      </c>
      <c r="G110" s="104">
        <f t="shared" si="12"/>
        <v>-1.25</v>
      </c>
      <c r="H110" s="105">
        <v>8544</v>
      </c>
      <c r="I110" s="108">
        <v>8925</v>
      </c>
      <c r="J110" s="107">
        <f t="shared" si="13"/>
        <v>381</v>
      </c>
    </row>
    <row r="111" spans="1:10" ht="13.5" thickBot="1">
      <c r="A111" s="109" t="s">
        <v>5</v>
      </c>
      <c r="B111" s="110">
        <v>34.85</v>
      </c>
      <c r="C111" s="110">
        <v>35.13</v>
      </c>
      <c r="D111" s="110">
        <f t="shared" si="11"/>
        <v>0.28000000000000114</v>
      </c>
      <c r="E111" s="110">
        <v>34.75</v>
      </c>
      <c r="F111" s="110">
        <v>34.5</v>
      </c>
      <c r="G111" s="111">
        <f t="shared" si="12"/>
        <v>-0.25</v>
      </c>
      <c r="H111" s="112">
        <v>11115</v>
      </c>
      <c r="I111" s="113">
        <v>12085</v>
      </c>
      <c r="J111" s="114">
        <f t="shared" si="13"/>
        <v>970</v>
      </c>
    </row>
    <row r="112" ht="13.5" thickBot="1"/>
    <row r="113" spans="1:16" ht="12.75">
      <c r="A113" s="706" t="s">
        <v>68</v>
      </c>
      <c r="B113" s="707"/>
      <c r="C113" s="708"/>
      <c r="D113" s="89"/>
      <c r="E113" s="706" t="s">
        <v>69</v>
      </c>
      <c r="F113" s="707"/>
      <c r="G113" s="708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709" t="s">
        <v>72</v>
      </c>
      <c r="G114" s="71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35</v>
      </c>
      <c r="C115" s="95">
        <v>35.15</v>
      </c>
      <c r="D115" s="89"/>
      <c r="E115" s="93">
        <v>2005</v>
      </c>
      <c r="F115" s="711">
        <v>69</v>
      </c>
      <c r="G115" s="624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34.5</v>
      </c>
      <c r="C116" s="98"/>
      <c r="D116" s="89"/>
      <c r="E116" s="96">
        <v>2006</v>
      </c>
      <c r="F116" s="704">
        <v>69</v>
      </c>
      <c r="G116" s="705"/>
      <c r="H116"/>
      <c r="I116"/>
      <c r="J116"/>
      <c r="K116"/>
      <c r="L116"/>
      <c r="M116"/>
      <c r="N116"/>
      <c r="O116"/>
      <c r="P116"/>
    </row>
  </sheetData>
  <mergeCells count="120">
    <mergeCell ref="F116:G116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A113:C113"/>
    <mergeCell ref="E113:G113"/>
    <mergeCell ref="A99:A100"/>
    <mergeCell ref="B99:D99"/>
    <mergeCell ref="H56:K56"/>
    <mergeCell ref="H55:K55"/>
    <mergeCell ref="A57:B57"/>
    <mergeCell ref="E99:G99"/>
    <mergeCell ref="H99:J99"/>
    <mergeCell ref="D57:F57"/>
    <mergeCell ref="H57:K57"/>
    <mergeCell ref="A58:B58"/>
    <mergeCell ref="D58:F58"/>
    <mergeCell ref="H58:K58"/>
    <mergeCell ref="L52:L53"/>
    <mergeCell ref="A54:B54"/>
    <mergeCell ref="D54:F54"/>
    <mergeCell ref="H54:K54"/>
    <mergeCell ref="A44:B44"/>
    <mergeCell ref="D44:F44"/>
    <mergeCell ref="H44:K44"/>
    <mergeCell ref="A52:B53"/>
    <mergeCell ref="C52:C53"/>
    <mergeCell ref="D52:F53"/>
    <mergeCell ref="G52:G53"/>
    <mergeCell ref="H52:K53"/>
    <mergeCell ref="A45:B45"/>
    <mergeCell ref="D45:F45"/>
    <mergeCell ref="H41:K42"/>
    <mergeCell ref="L41:L42"/>
    <mergeCell ref="A43:B43"/>
    <mergeCell ref="D43:F43"/>
    <mergeCell ref="H43:K43"/>
    <mergeCell ref="B39:D39"/>
    <mergeCell ref="E39:G39"/>
    <mergeCell ref="A41:B42"/>
    <mergeCell ref="C41:C42"/>
    <mergeCell ref="D41:F42"/>
    <mergeCell ref="G41:G42"/>
    <mergeCell ref="M2:N2"/>
    <mergeCell ref="B38:D38"/>
    <mergeCell ref="E38:G38"/>
    <mergeCell ref="J38:L38"/>
    <mergeCell ref="A3:A6"/>
    <mergeCell ref="B3:N3"/>
    <mergeCell ref="H4:I4"/>
    <mergeCell ref="M4:N4"/>
    <mergeCell ref="H45:K45"/>
    <mergeCell ref="F68:G68"/>
    <mergeCell ref="I68:K68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C69:D69"/>
    <mergeCell ref="F69:G69"/>
    <mergeCell ref="I69:K69"/>
    <mergeCell ref="A55:B55"/>
    <mergeCell ref="D55:F55"/>
    <mergeCell ref="A56:B56"/>
    <mergeCell ref="D56:F56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62:B62"/>
    <mergeCell ref="D62:F62"/>
    <mergeCell ref="H62:K62"/>
    <mergeCell ref="I70:K70"/>
    <mergeCell ref="C71:D71"/>
    <mergeCell ref="F71:G71"/>
    <mergeCell ref="I71:K71"/>
    <mergeCell ref="C70:D70"/>
    <mergeCell ref="F70:G70"/>
    <mergeCell ref="J93:L93"/>
    <mergeCell ref="A93:A94"/>
    <mergeCell ref="B93:B94"/>
    <mergeCell ref="C93:H93"/>
    <mergeCell ref="F115:G115"/>
    <mergeCell ref="F114:G114"/>
    <mergeCell ref="F72:G72"/>
    <mergeCell ref="A76:A78"/>
    <mergeCell ref="B76:B78"/>
    <mergeCell ref="C76:I76"/>
    <mergeCell ref="C77:C78"/>
    <mergeCell ref="D77:I77"/>
    <mergeCell ref="A83:A84"/>
    <mergeCell ref="B83:B84"/>
    <mergeCell ref="J76:J78"/>
    <mergeCell ref="C83:F83"/>
    <mergeCell ref="G83:G84"/>
    <mergeCell ref="H83:H84"/>
    <mergeCell ref="I83:L83"/>
    <mergeCell ref="L76:M76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2" r:id="rId1"/>
  <headerFooter alignWithMargins="0">
    <oddFooter>&amp;C&amp;P</oddFooter>
  </headerFooter>
  <rowBreaks count="1" manualBreakCount="1">
    <brk id="75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K90" sqref="K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33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16"/>
      <c r="N2" s="717"/>
    </row>
    <row r="3" spans="1:14" ht="24" customHeight="1" thickBot="1">
      <c r="A3" s="684" t="s">
        <v>0</v>
      </c>
      <c r="B3" s="686" t="s">
        <v>181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712"/>
      <c r="N3" s="71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2885</v>
      </c>
      <c r="C8" s="33"/>
      <c r="D8" s="434">
        <f>SUM(B8:C8)</f>
        <v>2885</v>
      </c>
      <c r="E8" s="37">
        <v>3077</v>
      </c>
      <c r="F8" s="33"/>
      <c r="G8" s="434">
        <f>SUM(E8:F8)</f>
        <v>3077</v>
      </c>
      <c r="H8" s="465">
        <f>+G8-D8</f>
        <v>192</v>
      </c>
      <c r="I8" s="36">
        <f>+G8/D8</f>
        <v>1.0665511265164644</v>
      </c>
      <c r="J8" s="37">
        <v>3130</v>
      </c>
      <c r="K8" s="33"/>
      <c r="L8" s="434">
        <f>SUM(J8:K8)</f>
        <v>3130</v>
      </c>
      <c r="M8" s="465">
        <f>+L8-G8</f>
        <v>53</v>
      </c>
      <c r="N8" s="39">
        <f>+L8/G8</f>
        <v>1.0172245693857653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/>
      <c r="C11" s="33"/>
      <c r="D11" s="434">
        <f t="shared" si="0"/>
        <v>0</v>
      </c>
      <c r="E11" s="37"/>
      <c r="F11" s="33"/>
      <c r="G11" s="434">
        <f t="shared" si="1"/>
        <v>0</v>
      </c>
      <c r="H11" s="465">
        <f t="shared" si="2"/>
        <v>0</v>
      </c>
      <c r="I11" s="36"/>
      <c r="J11" s="37"/>
      <c r="K11" s="33"/>
      <c r="L11" s="434">
        <f t="shared" si="3"/>
        <v>0</v>
      </c>
      <c r="M11" s="465">
        <f t="shared" si="4"/>
        <v>0</v>
      </c>
      <c r="N11" s="39"/>
    </row>
    <row r="12" spans="1:14" ht="13.5" customHeight="1">
      <c r="A12" s="510" t="s">
        <v>15</v>
      </c>
      <c r="B12" s="37"/>
      <c r="C12" s="33"/>
      <c r="D12" s="434">
        <f t="shared" si="0"/>
        <v>0</v>
      </c>
      <c r="E12" s="37"/>
      <c r="F12" s="33"/>
      <c r="G12" s="434">
        <f t="shared" si="1"/>
        <v>0</v>
      </c>
      <c r="H12" s="465">
        <f t="shared" si="2"/>
        <v>0</v>
      </c>
      <c r="I12" s="36"/>
      <c r="J12" s="37"/>
      <c r="K12" s="33"/>
      <c r="L12" s="434">
        <f t="shared" si="3"/>
        <v>0</v>
      </c>
      <c r="M12" s="465">
        <f t="shared" si="4"/>
        <v>0</v>
      </c>
      <c r="N12" s="39"/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3810</v>
      </c>
      <c r="C15" s="33"/>
      <c r="D15" s="434">
        <f t="shared" si="0"/>
        <v>3810</v>
      </c>
      <c r="E15" s="37">
        <v>4098</v>
      </c>
      <c r="F15" s="33"/>
      <c r="G15" s="434">
        <f t="shared" si="1"/>
        <v>4098</v>
      </c>
      <c r="H15" s="465">
        <f t="shared" si="2"/>
        <v>288</v>
      </c>
      <c r="I15" s="36">
        <f aca="true" t="shared" si="5" ref="I15:I37">+G15/D15</f>
        <v>1.0755905511811024</v>
      </c>
      <c r="J15" s="57">
        <f>SUM(J16:J17)</f>
        <v>4413</v>
      </c>
      <c r="K15" s="33"/>
      <c r="L15" s="434">
        <f t="shared" si="3"/>
        <v>4413</v>
      </c>
      <c r="M15" s="465">
        <f t="shared" si="4"/>
        <v>315</v>
      </c>
      <c r="N15" s="39">
        <f aca="true" t="shared" si="6" ref="N15:N37">+L15/G15</f>
        <v>1.0768667642752563</v>
      </c>
    </row>
    <row r="16" spans="1:14" ht="13.5" customHeight="1">
      <c r="A16" s="511" t="s">
        <v>476</v>
      </c>
      <c r="B16" s="37"/>
      <c r="C16" s="33"/>
      <c r="D16" s="434"/>
      <c r="E16" s="37">
        <v>3980</v>
      </c>
      <c r="F16" s="33"/>
      <c r="G16" s="434">
        <f t="shared" si="1"/>
        <v>3980</v>
      </c>
      <c r="H16" s="465"/>
      <c r="I16" s="36"/>
      <c r="J16" s="57">
        <f>4201</f>
        <v>4201</v>
      </c>
      <c r="K16" s="33"/>
      <c r="L16" s="434">
        <f t="shared" si="3"/>
        <v>4201</v>
      </c>
      <c r="M16" s="465">
        <f t="shared" si="4"/>
        <v>221</v>
      </c>
      <c r="N16" s="39">
        <f t="shared" si="6"/>
        <v>1.0555276381909549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118</v>
      </c>
      <c r="F17" s="431"/>
      <c r="G17" s="434">
        <f t="shared" si="1"/>
        <v>118</v>
      </c>
      <c r="H17" s="466"/>
      <c r="I17" s="472"/>
      <c r="J17" s="438">
        <v>212</v>
      </c>
      <c r="K17" s="431"/>
      <c r="L17" s="434">
        <f t="shared" si="3"/>
        <v>212</v>
      </c>
      <c r="M17" s="465">
        <f t="shared" si="4"/>
        <v>94</v>
      </c>
      <c r="N17" s="39">
        <f t="shared" si="6"/>
        <v>1.7966101694915255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6695</v>
      </c>
      <c r="C18" s="425">
        <f t="shared" si="7"/>
        <v>0</v>
      </c>
      <c r="D18" s="426">
        <f t="shared" si="7"/>
        <v>6695</v>
      </c>
      <c r="E18" s="424">
        <f t="shared" si="7"/>
        <v>7175</v>
      </c>
      <c r="F18" s="425">
        <f t="shared" si="7"/>
        <v>0</v>
      </c>
      <c r="G18" s="426">
        <f t="shared" si="7"/>
        <v>7175</v>
      </c>
      <c r="H18" s="369">
        <f t="shared" si="2"/>
        <v>480</v>
      </c>
      <c r="I18" s="63">
        <f t="shared" si="5"/>
        <v>1.071695294996266</v>
      </c>
      <c r="J18" s="437">
        <f>SUM(J7+J8+J9+J10+J11+J13+J15)</f>
        <v>7543</v>
      </c>
      <c r="K18" s="425">
        <f>SUM(K7+K8+K9+K10+K11+K13+K15)</f>
        <v>0</v>
      </c>
      <c r="L18" s="426">
        <f>SUM(L7+L8+L9+L10+L11+L13+L15)</f>
        <v>7543</v>
      </c>
      <c r="M18" s="369">
        <f t="shared" si="4"/>
        <v>368</v>
      </c>
      <c r="N18" s="370">
        <f t="shared" si="6"/>
        <v>1.0512891986062718</v>
      </c>
    </row>
    <row r="19" spans="1:14" ht="13.5" customHeight="1">
      <c r="A19" s="54" t="s">
        <v>20</v>
      </c>
      <c r="B19" s="25">
        <v>1423</v>
      </c>
      <c r="C19" s="26"/>
      <c r="D19" s="34">
        <f aca="true" t="shared" si="8" ref="D19:D36">SUM(B19:C19)</f>
        <v>1423</v>
      </c>
      <c r="E19" s="25">
        <v>1460</v>
      </c>
      <c r="F19" s="26"/>
      <c r="G19" s="27">
        <f>SUM(E19:F19)</f>
        <v>1460</v>
      </c>
      <c r="H19" s="28">
        <f t="shared" si="2"/>
        <v>37</v>
      </c>
      <c r="I19" s="55">
        <f t="shared" si="5"/>
        <v>1.0260014054813773</v>
      </c>
      <c r="J19" s="29">
        <v>1487</v>
      </c>
      <c r="K19" s="26"/>
      <c r="L19" s="30">
        <f>SUM(J19:K19)</f>
        <v>1487</v>
      </c>
      <c r="M19" s="28">
        <f t="shared" si="4"/>
        <v>27</v>
      </c>
      <c r="N19" s="56">
        <f t="shared" si="6"/>
        <v>1.0184931506849315</v>
      </c>
    </row>
    <row r="20" spans="1:14" ht="21" customHeight="1">
      <c r="A20" s="40" t="s">
        <v>21</v>
      </c>
      <c r="B20" s="25">
        <v>121</v>
      </c>
      <c r="C20" s="26"/>
      <c r="D20" s="34">
        <f t="shared" si="8"/>
        <v>121</v>
      </c>
      <c r="E20" s="25">
        <v>32</v>
      </c>
      <c r="F20" s="26"/>
      <c r="G20" s="27">
        <f aca="true" t="shared" si="9" ref="G20:G36">SUM(E20:F20)</f>
        <v>32</v>
      </c>
      <c r="H20" s="35">
        <f t="shared" si="2"/>
        <v>-89</v>
      </c>
      <c r="I20" s="36">
        <f t="shared" si="5"/>
        <v>0.2644628099173554</v>
      </c>
      <c r="J20" s="29">
        <v>100</v>
      </c>
      <c r="K20" s="26"/>
      <c r="L20" s="30">
        <f aca="true" t="shared" si="10" ref="L20:L36">SUM(J20:K20)</f>
        <v>100</v>
      </c>
      <c r="M20" s="35">
        <f t="shared" si="4"/>
        <v>68</v>
      </c>
      <c r="N20" s="39">
        <f t="shared" si="6"/>
        <v>3.125</v>
      </c>
    </row>
    <row r="21" spans="1:14" ht="13.5" customHeight="1">
      <c r="A21" s="31" t="s">
        <v>22</v>
      </c>
      <c r="B21" s="32">
        <v>701</v>
      </c>
      <c r="C21" s="33"/>
      <c r="D21" s="34">
        <f t="shared" si="8"/>
        <v>701</v>
      </c>
      <c r="E21" s="32">
        <v>552</v>
      </c>
      <c r="F21" s="33"/>
      <c r="G21" s="27">
        <f t="shared" si="9"/>
        <v>552</v>
      </c>
      <c r="H21" s="35">
        <f t="shared" si="2"/>
        <v>-149</v>
      </c>
      <c r="I21" s="36">
        <f t="shared" si="5"/>
        <v>0.7874465049928673</v>
      </c>
      <c r="J21" s="37">
        <v>606</v>
      </c>
      <c r="K21" s="33"/>
      <c r="L21" s="30">
        <f t="shared" si="10"/>
        <v>606</v>
      </c>
      <c r="M21" s="35">
        <f t="shared" si="4"/>
        <v>54</v>
      </c>
      <c r="N21" s="39">
        <f t="shared" si="6"/>
        <v>1.0978260869565217</v>
      </c>
    </row>
    <row r="22" spans="1:14" ht="13.5" customHeight="1">
      <c r="A22" s="40" t="s">
        <v>23</v>
      </c>
      <c r="B22" s="32"/>
      <c r="C22" s="33"/>
      <c r="D22" s="34">
        <f t="shared" si="8"/>
        <v>0</v>
      </c>
      <c r="E22" s="32"/>
      <c r="F22" s="33"/>
      <c r="G22" s="27">
        <f t="shared" si="9"/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575</v>
      </c>
      <c r="C24" s="33"/>
      <c r="D24" s="34">
        <f t="shared" si="8"/>
        <v>575</v>
      </c>
      <c r="E24" s="37">
        <v>843</v>
      </c>
      <c r="F24" s="33"/>
      <c r="G24" s="27">
        <f t="shared" si="9"/>
        <v>843</v>
      </c>
      <c r="H24" s="35">
        <f t="shared" si="2"/>
        <v>268</v>
      </c>
      <c r="I24" s="36">
        <f t="shared" si="5"/>
        <v>1.4660869565217391</v>
      </c>
      <c r="J24" s="37">
        <v>776</v>
      </c>
      <c r="K24" s="33"/>
      <c r="L24" s="30">
        <f t="shared" si="10"/>
        <v>776</v>
      </c>
      <c r="M24" s="35">
        <f t="shared" si="4"/>
        <v>-67</v>
      </c>
      <c r="N24" s="39">
        <f t="shared" si="6"/>
        <v>0.9205219454329775</v>
      </c>
    </row>
    <row r="25" spans="1:14" ht="13.5" customHeight="1">
      <c r="A25" s="40" t="s">
        <v>26</v>
      </c>
      <c r="B25" s="32">
        <v>158</v>
      </c>
      <c r="C25" s="33"/>
      <c r="D25" s="34">
        <f t="shared" si="8"/>
        <v>158</v>
      </c>
      <c r="E25" s="32">
        <v>526</v>
      </c>
      <c r="F25" s="33"/>
      <c r="G25" s="27">
        <f t="shared" si="9"/>
        <v>526</v>
      </c>
      <c r="H25" s="35">
        <f t="shared" si="2"/>
        <v>368</v>
      </c>
      <c r="I25" s="36">
        <f t="shared" si="5"/>
        <v>3.329113924050633</v>
      </c>
      <c r="J25" s="57">
        <v>414</v>
      </c>
      <c r="K25" s="33"/>
      <c r="L25" s="30">
        <f t="shared" si="10"/>
        <v>414</v>
      </c>
      <c r="M25" s="35">
        <f t="shared" si="4"/>
        <v>-112</v>
      </c>
      <c r="N25" s="39">
        <f t="shared" si="6"/>
        <v>0.7870722433460076</v>
      </c>
    </row>
    <row r="26" spans="1:14" ht="13.5" customHeight="1">
      <c r="A26" s="31" t="s">
        <v>27</v>
      </c>
      <c r="B26" s="32">
        <v>358</v>
      </c>
      <c r="C26" s="33"/>
      <c r="D26" s="34">
        <f t="shared" si="8"/>
        <v>358</v>
      </c>
      <c r="E26" s="32">
        <v>261</v>
      </c>
      <c r="F26" s="33"/>
      <c r="G26" s="27">
        <f t="shared" si="9"/>
        <v>261</v>
      </c>
      <c r="H26" s="35">
        <f t="shared" si="2"/>
        <v>-97</v>
      </c>
      <c r="I26" s="36">
        <f t="shared" si="5"/>
        <v>0.729050279329609</v>
      </c>
      <c r="J26" s="57">
        <v>330</v>
      </c>
      <c r="K26" s="33"/>
      <c r="L26" s="30">
        <f t="shared" si="10"/>
        <v>330</v>
      </c>
      <c r="M26" s="35">
        <f t="shared" si="4"/>
        <v>69</v>
      </c>
      <c r="N26" s="39">
        <f t="shared" si="6"/>
        <v>1.264367816091954</v>
      </c>
    </row>
    <row r="27" spans="1:14" ht="13.5" customHeight="1">
      <c r="A27" s="58" t="s">
        <v>28</v>
      </c>
      <c r="B27" s="37">
        <v>3638</v>
      </c>
      <c r="C27" s="33"/>
      <c r="D27" s="34">
        <f t="shared" si="8"/>
        <v>3638</v>
      </c>
      <c r="E27" s="37">
        <v>4012</v>
      </c>
      <c r="F27" s="33"/>
      <c r="G27" s="27">
        <f t="shared" si="9"/>
        <v>4012</v>
      </c>
      <c r="H27" s="35">
        <f t="shared" si="2"/>
        <v>374</v>
      </c>
      <c r="I27" s="36">
        <f t="shared" si="5"/>
        <v>1.102803738317757</v>
      </c>
      <c r="J27" s="37">
        <f>J28+J31</f>
        <v>4380</v>
      </c>
      <c r="K27" s="33"/>
      <c r="L27" s="30">
        <f t="shared" si="10"/>
        <v>4380</v>
      </c>
      <c r="M27" s="35">
        <f t="shared" si="4"/>
        <v>368</v>
      </c>
      <c r="N27" s="39">
        <f t="shared" si="6"/>
        <v>1.0917248255234298</v>
      </c>
    </row>
    <row r="28" spans="1:14" ht="13.5" customHeight="1">
      <c r="A28" s="40" t="s">
        <v>29</v>
      </c>
      <c r="B28" s="32">
        <v>2661</v>
      </c>
      <c r="C28" s="33"/>
      <c r="D28" s="34">
        <f t="shared" si="8"/>
        <v>2661</v>
      </c>
      <c r="E28" s="32">
        <v>2934</v>
      </c>
      <c r="F28" s="33"/>
      <c r="G28" s="27">
        <f t="shared" si="9"/>
        <v>2934</v>
      </c>
      <c r="H28" s="35">
        <f t="shared" si="2"/>
        <v>273</v>
      </c>
      <c r="I28" s="36">
        <f t="shared" si="5"/>
        <v>1.1025930101465615</v>
      </c>
      <c r="J28" s="57">
        <f>J29+J30</f>
        <v>3197</v>
      </c>
      <c r="K28" s="59"/>
      <c r="L28" s="30">
        <f t="shared" si="10"/>
        <v>3197</v>
      </c>
      <c r="M28" s="35">
        <f t="shared" si="4"/>
        <v>263</v>
      </c>
      <c r="N28" s="39">
        <f t="shared" si="6"/>
        <v>1.0896387184730743</v>
      </c>
    </row>
    <row r="29" spans="1:14" ht="13.5" customHeight="1">
      <c r="A29" s="58" t="s">
        <v>30</v>
      </c>
      <c r="B29" s="32">
        <v>2645</v>
      </c>
      <c r="C29" s="33"/>
      <c r="D29" s="34">
        <f t="shared" si="8"/>
        <v>2645</v>
      </c>
      <c r="E29" s="32">
        <v>2914</v>
      </c>
      <c r="F29" s="33"/>
      <c r="G29" s="27">
        <f t="shared" si="9"/>
        <v>2914</v>
      </c>
      <c r="H29" s="35">
        <f t="shared" si="2"/>
        <v>269</v>
      </c>
      <c r="I29" s="36">
        <f t="shared" si="5"/>
        <v>1.1017013232514177</v>
      </c>
      <c r="J29" s="37">
        <f>3022+155</f>
        <v>3177</v>
      </c>
      <c r="K29" s="33"/>
      <c r="L29" s="30">
        <f t="shared" si="10"/>
        <v>3177</v>
      </c>
      <c r="M29" s="35">
        <f t="shared" si="4"/>
        <v>263</v>
      </c>
      <c r="N29" s="39">
        <f t="shared" si="6"/>
        <v>1.0902539464653398</v>
      </c>
    </row>
    <row r="30" spans="1:14" ht="13.5" customHeight="1">
      <c r="A30" s="40" t="s">
        <v>31</v>
      </c>
      <c r="B30" s="32">
        <v>16</v>
      </c>
      <c r="C30" s="33"/>
      <c r="D30" s="34">
        <f t="shared" si="8"/>
        <v>16</v>
      </c>
      <c r="E30" s="32">
        <v>20</v>
      </c>
      <c r="F30" s="33"/>
      <c r="G30" s="27">
        <f t="shared" si="9"/>
        <v>20</v>
      </c>
      <c r="H30" s="35">
        <f t="shared" si="2"/>
        <v>4</v>
      </c>
      <c r="I30" s="36">
        <f t="shared" si="5"/>
        <v>1.25</v>
      </c>
      <c r="J30" s="37">
        <v>20</v>
      </c>
      <c r="K30" s="33"/>
      <c r="L30" s="30">
        <f t="shared" si="10"/>
        <v>20</v>
      </c>
      <c r="M30" s="35">
        <f t="shared" si="4"/>
        <v>0</v>
      </c>
      <c r="N30" s="39">
        <f t="shared" si="6"/>
        <v>1</v>
      </c>
    </row>
    <row r="31" spans="1:14" ht="13.5" customHeight="1">
      <c r="A31" s="40" t="s">
        <v>32</v>
      </c>
      <c r="B31" s="32">
        <v>977</v>
      </c>
      <c r="C31" s="33"/>
      <c r="D31" s="34">
        <f t="shared" si="8"/>
        <v>977</v>
      </c>
      <c r="E31" s="32">
        <v>1078</v>
      </c>
      <c r="F31" s="33"/>
      <c r="G31" s="27">
        <f t="shared" si="9"/>
        <v>1078</v>
      </c>
      <c r="H31" s="35">
        <f t="shared" si="2"/>
        <v>101</v>
      </c>
      <c r="I31" s="36">
        <f t="shared" si="5"/>
        <v>1.1033776867963152</v>
      </c>
      <c r="J31" s="37">
        <f>1126+57</f>
        <v>1183</v>
      </c>
      <c r="K31" s="33"/>
      <c r="L31" s="30">
        <f t="shared" si="10"/>
        <v>1183</v>
      </c>
      <c r="M31" s="35">
        <f t="shared" si="4"/>
        <v>105</v>
      </c>
      <c r="N31" s="39">
        <f t="shared" si="6"/>
        <v>1.0974025974025974</v>
      </c>
    </row>
    <row r="32" spans="1:14" ht="13.5" customHeight="1">
      <c r="A32" s="58" t="s">
        <v>33</v>
      </c>
      <c r="B32" s="32"/>
      <c r="C32" s="33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119</v>
      </c>
      <c r="C33" s="33"/>
      <c r="D33" s="34">
        <f t="shared" si="8"/>
        <v>119</v>
      </c>
      <c r="E33" s="32">
        <v>119</v>
      </c>
      <c r="F33" s="33"/>
      <c r="G33" s="27">
        <f t="shared" si="9"/>
        <v>119</v>
      </c>
      <c r="H33" s="35">
        <f t="shared" si="2"/>
        <v>0</v>
      </c>
      <c r="I33" s="36">
        <f t="shared" si="5"/>
        <v>1</v>
      </c>
      <c r="J33" s="37">
        <v>120</v>
      </c>
      <c r="K33" s="33"/>
      <c r="L33" s="30">
        <f t="shared" si="10"/>
        <v>120</v>
      </c>
      <c r="M33" s="35">
        <f t="shared" si="4"/>
        <v>1</v>
      </c>
      <c r="N33" s="39">
        <f t="shared" si="6"/>
        <v>1.0084033613445378</v>
      </c>
    </row>
    <row r="34" spans="1:14" ht="13.5" customHeight="1">
      <c r="A34" s="40" t="s">
        <v>35</v>
      </c>
      <c r="B34" s="32">
        <v>227</v>
      </c>
      <c r="C34" s="33"/>
      <c r="D34" s="34">
        <f t="shared" si="8"/>
        <v>227</v>
      </c>
      <c r="E34" s="32">
        <v>219</v>
      </c>
      <c r="F34" s="33"/>
      <c r="G34" s="27">
        <f t="shared" si="9"/>
        <v>219</v>
      </c>
      <c r="H34" s="35">
        <f t="shared" si="2"/>
        <v>-8</v>
      </c>
      <c r="I34" s="36">
        <f t="shared" si="5"/>
        <v>0.9647577092511013</v>
      </c>
      <c r="J34" s="57">
        <v>174</v>
      </c>
      <c r="K34" s="33"/>
      <c r="L34" s="30">
        <f t="shared" si="10"/>
        <v>174</v>
      </c>
      <c r="M34" s="35">
        <f t="shared" si="4"/>
        <v>-45</v>
      </c>
      <c r="N34" s="39">
        <f t="shared" si="6"/>
        <v>0.7945205479452054</v>
      </c>
    </row>
    <row r="35" spans="1:14" ht="22.5" customHeight="1">
      <c r="A35" s="40" t="s">
        <v>36</v>
      </c>
      <c r="B35" s="32">
        <v>227</v>
      </c>
      <c r="C35" s="33"/>
      <c r="D35" s="34">
        <f t="shared" si="8"/>
        <v>227</v>
      </c>
      <c r="E35" s="32">
        <v>219</v>
      </c>
      <c r="F35" s="33"/>
      <c r="G35" s="27">
        <f t="shared" si="9"/>
        <v>219</v>
      </c>
      <c r="H35" s="35">
        <f t="shared" si="2"/>
        <v>-8</v>
      </c>
      <c r="I35" s="36">
        <f t="shared" si="5"/>
        <v>0.9647577092511013</v>
      </c>
      <c r="J35" s="57">
        <v>174</v>
      </c>
      <c r="K35" s="33"/>
      <c r="L35" s="30">
        <f t="shared" si="10"/>
        <v>174</v>
      </c>
      <c r="M35" s="35">
        <f t="shared" si="4"/>
        <v>-45</v>
      </c>
      <c r="N35" s="39">
        <f t="shared" si="6"/>
        <v>0.7945205479452054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6683</v>
      </c>
      <c r="C37" s="48">
        <f t="shared" si="11"/>
        <v>0</v>
      </c>
      <c r="D37" s="49">
        <f t="shared" si="11"/>
        <v>6683</v>
      </c>
      <c r="E37" s="47">
        <f t="shared" si="11"/>
        <v>7205</v>
      </c>
      <c r="F37" s="48">
        <f t="shared" si="11"/>
        <v>0</v>
      </c>
      <c r="G37" s="49">
        <f t="shared" si="11"/>
        <v>7205</v>
      </c>
      <c r="H37" s="50">
        <f t="shared" si="2"/>
        <v>522</v>
      </c>
      <c r="I37" s="51">
        <f t="shared" si="5"/>
        <v>1.0781086338470747</v>
      </c>
      <c r="J37" s="52">
        <f>SUM(J19+J21+J22+J23+J24+J27+J32+J33+J34+J36)</f>
        <v>7543</v>
      </c>
      <c r="K37" s="48">
        <f>SUM(K19+K21+K22+K23+K24+K27+K32+K33+K34+K36)</f>
        <v>0</v>
      </c>
      <c r="L37" s="49">
        <f>SUM(L19+L21+L22+L23+L24+L27+L32+L33+L34+L36)</f>
        <v>7543</v>
      </c>
      <c r="M37" s="50">
        <f t="shared" si="4"/>
        <v>338</v>
      </c>
      <c r="N37" s="53">
        <f t="shared" si="6"/>
        <v>1.046911866759195</v>
      </c>
    </row>
    <row r="38" spans="1:14" ht="13.5" customHeight="1" thickBot="1">
      <c r="A38" s="46" t="s">
        <v>39</v>
      </c>
      <c r="B38" s="680">
        <f>+D18-D37</f>
        <v>12</v>
      </c>
      <c r="C38" s="681"/>
      <c r="D38" s="682"/>
      <c r="E38" s="680">
        <f>+G18-G37</f>
        <v>-30</v>
      </c>
      <c r="F38" s="681"/>
      <c r="G38" s="682">
        <v>-50784</v>
      </c>
      <c r="H38" s="62">
        <f>+E38-B38</f>
        <v>-42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749" t="s">
        <v>116</v>
      </c>
      <c r="B43" s="750"/>
      <c r="C43" s="324">
        <v>129</v>
      </c>
      <c r="D43" s="751" t="s">
        <v>455</v>
      </c>
      <c r="E43" s="752"/>
      <c r="F43" s="752"/>
      <c r="G43" s="325">
        <v>44</v>
      </c>
      <c r="H43" s="753" t="s">
        <v>456</v>
      </c>
      <c r="I43" s="754"/>
      <c r="J43" s="754"/>
      <c r="K43" s="754"/>
      <c r="L43" s="68">
        <v>90</v>
      </c>
      <c r="O43"/>
      <c r="P43"/>
    </row>
    <row r="44" spans="1:16" ht="12.75">
      <c r="A44" s="755" t="s">
        <v>457</v>
      </c>
      <c r="B44" s="756"/>
      <c r="C44" s="326">
        <v>68</v>
      </c>
      <c r="D44" s="751" t="s">
        <v>458</v>
      </c>
      <c r="E44" s="752"/>
      <c r="F44" s="752"/>
      <c r="G44" s="132">
        <v>789</v>
      </c>
      <c r="H44" s="753" t="s">
        <v>524</v>
      </c>
      <c r="I44" s="754"/>
      <c r="J44" s="754"/>
      <c r="K44" s="754"/>
      <c r="L44" s="68">
        <v>90</v>
      </c>
      <c r="O44"/>
      <c r="P44"/>
    </row>
    <row r="45" spans="1:16" ht="12.75">
      <c r="A45" s="755"/>
      <c r="B45" s="756"/>
      <c r="C45" s="326"/>
      <c r="D45" s="751"/>
      <c r="E45" s="752"/>
      <c r="F45" s="752"/>
      <c r="G45" s="132"/>
      <c r="H45" s="753"/>
      <c r="I45" s="754"/>
      <c r="J45" s="754"/>
      <c r="K45" s="754"/>
      <c r="L45" s="68"/>
      <c r="O45"/>
      <c r="P45"/>
    </row>
    <row r="46" spans="1:16" ht="12.75">
      <c r="A46" s="757"/>
      <c r="B46" s="758"/>
      <c r="C46" s="327"/>
      <c r="D46" s="757"/>
      <c r="E46" s="759"/>
      <c r="F46" s="758"/>
      <c r="G46" s="328"/>
      <c r="H46" s="760"/>
      <c r="I46" s="761"/>
      <c r="J46" s="761"/>
      <c r="K46" s="762"/>
      <c r="L46" s="68"/>
      <c r="O46"/>
      <c r="P46"/>
    </row>
    <row r="47" spans="1:16" ht="12.75">
      <c r="A47" s="647"/>
      <c r="B47" s="674"/>
      <c r="C47" s="71"/>
      <c r="D47" s="647"/>
      <c r="E47" s="648"/>
      <c r="F47" s="674"/>
      <c r="G47" s="72"/>
      <c r="H47" s="643"/>
      <c r="I47" s="644"/>
      <c r="J47" s="644"/>
      <c r="K47" s="645"/>
      <c r="L47" s="68"/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/>
      <c r="I48" s="644"/>
      <c r="J48" s="644"/>
      <c r="K48" s="645"/>
      <c r="L48" s="68"/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/>
      <c r="B50" s="635"/>
      <c r="C50" s="73">
        <f>SUM(C43:C49)</f>
        <v>197</v>
      </c>
      <c r="D50" s="660" t="s">
        <v>5</v>
      </c>
      <c r="E50" s="661"/>
      <c r="F50" s="661"/>
      <c r="G50" s="73">
        <f>SUM(G43:G44)</f>
        <v>833</v>
      </c>
      <c r="H50" s="637" t="s">
        <v>5</v>
      </c>
      <c r="I50" s="638"/>
      <c r="J50" s="638"/>
      <c r="K50" s="638"/>
      <c r="L50" s="73">
        <f>SUM(L43:L44)</f>
        <v>180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749" t="s">
        <v>459</v>
      </c>
      <c r="B54" s="763"/>
      <c r="C54" s="324">
        <v>70</v>
      </c>
      <c r="D54" s="764" t="s">
        <v>460</v>
      </c>
      <c r="E54" s="752"/>
      <c r="F54" s="752"/>
      <c r="G54" s="123">
        <v>80</v>
      </c>
      <c r="H54" s="753" t="s">
        <v>460</v>
      </c>
      <c r="I54" s="754"/>
      <c r="J54" s="754"/>
      <c r="K54" s="754"/>
      <c r="L54" s="68">
        <v>100</v>
      </c>
      <c r="O54"/>
      <c r="P54"/>
    </row>
    <row r="55" spans="1:16" ht="13.5" customHeight="1">
      <c r="A55" s="755" t="s">
        <v>460</v>
      </c>
      <c r="B55" s="765"/>
      <c r="C55" s="326">
        <v>45</v>
      </c>
      <c r="D55" s="766" t="s">
        <v>461</v>
      </c>
      <c r="E55" s="756"/>
      <c r="F55" s="756"/>
      <c r="G55" s="129">
        <v>140</v>
      </c>
      <c r="H55" s="767" t="s">
        <v>462</v>
      </c>
      <c r="I55" s="768"/>
      <c r="J55" s="768"/>
      <c r="K55" s="768"/>
      <c r="L55" s="78">
        <v>80</v>
      </c>
      <c r="O55"/>
      <c r="P55"/>
    </row>
    <row r="56" spans="1:16" ht="13.5" customHeight="1">
      <c r="A56" s="755" t="s">
        <v>463</v>
      </c>
      <c r="B56" s="769"/>
      <c r="C56" s="326">
        <v>43</v>
      </c>
      <c r="D56" s="766" t="s">
        <v>464</v>
      </c>
      <c r="E56" s="756"/>
      <c r="F56" s="756"/>
      <c r="G56" s="129">
        <v>70</v>
      </c>
      <c r="H56" s="760" t="s">
        <v>463</v>
      </c>
      <c r="I56" s="761"/>
      <c r="J56" s="761"/>
      <c r="K56" s="762"/>
      <c r="L56" s="78">
        <v>234</v>
      </c>
      <c r="O56"/>
      <c r="P56"/>
    </row>
    <row r="57" spans="1:16" ht="13.5" customHeight="1">
      <c r="A57" s="755"/>
      <c r="B57" s="769"/>
      <c r="C57" s="326"/>
      <c r="D57" s="766" t="s">
        <v>465</v>
      </c>
      <c r="E57" s="756"/>
      <c r="F57" s="756"/>
      <c r="G57" s="129">
        <v>236</v>
      </c>
      <c r="H57" s="760"/>
      <c r="I57" s="761"/>
      <c r="J57" s="761"/>
      <c r="K57" s="762"/>
      <c r="L57" s="78"/>
      <c r="O57"/>
      <c r="P57"/>
    </row>
    <row r="58" spans="1:16" ht="13.5" customHeight="1">
      <c r="A58" s="647"/>
      <c r="B58" s="648"/>
      <c r="C58" s="71"/>
      <c r="D58" s="641"/>
      <c r="E58" s="641"/>
      <c r="F58" s="642"/>
      <c r="G58" s="178"/>
      <c r="H58" s="643"/>
      <c r="I58" s="644"/>
      <c r="J58" s="644"/>
      <c r="K58" s="645"/>
      <c r="L58" s="79"/>
      <c r="O58"/>
      <c r="P58"/>
    </row>
    <row r="59" spans="1:16" ht="13.5" customHeight="1">
      <c r="A59" s="639"/>
      <c r="B59" s="640"/>
      <c r="C59" s="71"/>
      <c r="D59" s="641"/>
      <c r="E59" s="641"/>
      <c r="F59" s="642"/>
      <c r="G59" s="178"/>
      <c r="H59" s="643"/>
      <c r="I59" s="644"/>
      <c r="J59" s="644"/>
      <c r="K59" s="645"/>
      <c r="L59" s="79"/>
      <c r="O59"/>
      <c r="P59"/>
    </row>
    <row r="60" spans="1:16" ht="13.5" customHeight="1">
      <c r="A60" s="639"/>
      <c r="B60" s="640"/>
      <c r="C60" s="69"/>
      <c r="D60" s="642"/>
      <c r="E60" s="646"/>
      <c r="F60" s="646"/>
      <c r="G60" s="77"/>
      <c r="H60" s="643"/>
      <c r="I60" s="644"/>
      <c r="J60" s="644"/>
      <c r="K60" s="645"/>
      <c r="L60" s="78"/>
      <c r="O60"/>
      <c r="P60"/>
    </row>
    <row r="61" spans="1:16" ht="13.5" thickBot="1">
      <c r="A61" s="627"/>
      <c r="B61" s="628"/>
      <c r="C61" s="80"/>
      <c r="D61" s="629"/>
      <c r="E61" s="630"/>
      <c r="F61" s="630"/>
      <c r="G61" s="81"/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73">
        <f>SUM(C54:C61)</f>
        <v>158</v>
      </c>
      <c r="D62" s="635" t="s">
        <v>5</v>
      </c>
      <c r="E62" s="636"/>
      <c r="F62" s="636"/>
      <c r="G62" s="83">
        <f>SUM(G54:G61)</f>
        <v>526</v>
      </c>
      <c r="H62" s="637" t="s">
        <v>5</v>
      </c>
      <c r="I62" s="638"/>
      <c r="J62" s="638"/>
      <c r="K62" s="638"/>
      <c r="L62" s="73">
        <f>SUM(L54:L61)</f>
        <v>414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119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132</v>
      </c>
      <c r="I67" s="580" t="s">
        <v>179</v>
      </c>
      <c r="J67" s="582"/>
      <c r="K67" s="582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10</v>
      </c>
      <c r="C68" s="583"/>
      <c r="D68" s="583"/>
      <c r="E68" s="159"/>
      <c r="F68" s="584" t="s">
        <v>177</v>
      </c>
      <c r="G68" s="585"/>
      <c r="H68" s="151">
        <v>0</v>
      </c>
      <c r="I68" s="583" t="s">
        <v>525</v>
      </c>
      <c r="J68" s="585"/>
      <c r="K68" s="585"/>
      <c r="L68" s="159">
        <v>30</v>
      </c>
      <c r="M68" s="84"/>
      <c r="N68" s="84"/>
    </row>
    <row r="69" spans="1:14" s="1" customFormat="1" ht="12.75">
      <c r="A69" s="158" t="s">
        <v>175</v>
      </c>
      <c r="B69" s="151">
        <v>3</v>
      </c>
      <c r="C69" s="583"/>
      <c r="D69" s="583"/>
      <c r="E69" s="159"/>
      <c r="F69" s="583" t="s">
        <v>175</v>
      </c>
      <c r="G69" s="583"/>
      <c r="H69" s="151">
        <v>10</v>
      </c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132</v>
      </c>
      <c r="C71" s="589" t="s">
        <v>5</v>
      </c>
      <c r="D71" s="589"/>
      <c r="E71" s="165">
        <f>SUM(E67:E70)</f>
        <v>0</v>
      </c>
      <c r="F71" s="590" t="s">
        <v>5</v>
      </c>
      <c r="G71" s="591"/>
      <c r="H71" s="161">
        <f>SUM(H67:H70)</f>
        <v>142</v>
      </c>
      <c r="I71" s="589" t="s">
        <v>5</v>
      </c>
      <c r="J71" s="591"/>
      <c r="K71" s="591"/>
      <c r="L71" s="165">
        <f>SUM(L67:L70)</f>
        <v>30</v>
      </c>
      <c r="M71" s="84"/>
      <c r="N71" s="84"/>
    </row>
    <row r="72" spans="1:14" s="1" customFormat="1" ht="13.5" thickBot="1">
      <c r="A72" s="181" t="s">
        <v>534</v>
      </c>
      <c r="B72" s="182">
        <f>B71-E71</f>
        <v>132</v>
      </c>
      <c r="C72" s="84"/>
      <c r="D72" s="84"/>
      <c r="E72" s="84"/>
      <c r="F72" s="592" t="s">
        <v>534</v>
      </c>
      <c r="G72" s="593"/>
      <c r="H72" s="183">
        <f>H71-L71</f>
        <v>112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3.5" thickBot="1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6" ht="12.75">
      <c r="A75" s="601" t="s">
        <v>73</v>
      </c>
      <c r="B75" s="604" t="s">
        <v>74</v>
      </c>
      <c r="C75" s="607" t="s">
        <v>477</v>
      </c>
      <c r="D75" s="608"/>
      <c r="E75" s="608"/>
      <c r="F75" s="608"/>
      <c r="G75" s="608"/>
      <c r="H75" s="608"/>
      <c r="I75" s="609"/>
      <c r="J75" s="610" t="s">
        <v>75</v>
      </c>
      <c r="K75" s="175"/>
      <c r="L75" s="718" t="s">
        <v>48</v>
      </c>
      <c r="M75" s="719"/>
      <c r="N75" s="722">
        <v>2004</v>
      </c>
      <c r="O75" s="724">
        <v>2005</v>
      </c>
      <c r="P75"/>
    </row>
    <row r="76" spans="1:16" ht="13.5" thickBot="1">
      <c r="A76" s="602"/>
      <c r="B76" s="605"/>
      <c r="C76" s="596" t="s">
        <v>76</v>
      </c>
      <c r="D76" s="598" t="s">
        <v>77</v>
      </c>
      <c r="E76" s="599"/>
      <c r="F76" s="599"/>
      <c r="G76" s="599"/>
      <c r="H76" s="599"/>
      <c r="I76" s="600"/>
      <c r="J76" s="611"/>
      <c r="K76" s="176"/>
      <c r="L76" s="720"/>
      <c r="M76" s="721"/>
      <c r="N76" s="723"/>
      <c r="O76" s="725"/>
      <c r="P76"/>
    </row>
    <row r="77" spans="1:16" ht="13.5" thickBot="1">
      <c r="A77" s="603"/>
      <c r="B77" s="606"/>
      <c r="C77" s="597"/>
      <c r="D77" s="115">
        <v>1</v>
      </c>
      <c r="E77" s="115">
        <v>2</v>
      </c>
      <c r="F77" s="115">
        <v>3</v>
      </c>
      <c r="G77" s="115">
        <v>4</v>
      </c>
      <c r="H77" s="115">
        <v>5</v>
      </c>
      <c r="I77" s="172">
        <v>6</v>
      </c>
      <c r="J77" s="612"/>
      <c r="K77" s="177"/>
      <c r="L77" s="173" t="s">
        <v>49</v>
      </c>
      <c r="M77" s="174"/>
      <c r="N77" s="166">
        <v>0</v>
      </c>
      <c r="O77" s="167">
        <v>0</v>
      </c>
      <c r="P77"/>
    </row>
    <row r="78" spans="1:16" ht="13.5" thickBot="1">
      <c r="A78" s="116">
        <v>2614</v>
      </c>
      <c r="B78" s="117">
        <v>1352</v>
      </c>
      <c r="C78" s="170">
        <v>174</v>
      </c>
      <c r="D78" s="171">
        <v>83</v>
      </c>
      <c r="E78" s="171">
        <v>80</v>
      </c>
      <c r="F78" s="171">
        <v>11</v>
      </c>
      <c r="G78" s="171">
        <v>0</v>
      </c>
      <c r="H78" s="170">
        <v>0</v>
      </c>
      <c r="I78" s="185">
        <v>0</v>
      </c>
      <c r="J78" s="118">
        <f>SUM(A78-B78-C78)</f>
        <v>1088</v>
      </c>
      <c r="K78" s="177"/>
      <c r="L78" s="726" t="s">
        <v>50</v>
      </c>
      <c r="M78" s="727"/>
      <c r="N78" s="87">
        <v>0</v>
      </c>
      <c r="O78" s="88">
        <v>0</v>
      </c>
      <c r="P78"/>
    </row>
    <row r="79" spans="1:15" s="1" customFormat="1" ht="13.5" thickBot="1">
      <c r="A79" s="85"/>
      <c r="B79" s="86"/>
      <c r="C79" s="86"/>
      <c r="D79" s="86"/>
      <c r="E79" s="2"/>
      <c r="F79" s="4"/>
      <c r="G79" s="4"/>
      <c r="H79" s="85"/>
      <c r="I79" s="86"/>
      <c r="J79" s="86"/>
      <c r="K79" s="86"/>
      <c r="L79" s="728" t="s">
        <v>178</v>
      </c>
      <c r="M79" s="729"/>
      <c r="N79" s="168">
        <v>0</v>
      </c>
      <c r="O79" s="169">
        <v>0</v>
      </c>
    </row>
    <row r="80" spans="1:12" s="1" customFormat="1" ht="13.5" thickBot="1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618" t="s">
        <v>112</v>
      </c>
      <c r="B81" s="620" t="s">
        <v>482</v>
      </c>
      <c r="C81" s="622" t="s">
        <v>480</v>
      </c>
      <c r="D81" s="623"/>
      <c r="E81" s="623"/>
      <c r="F81" s="624"/>
      <c r="G81" s="625" t="s">
        <v>483</v>
      </c>
      <c r="H81" s="613" t="s">
        <v>78</v>
      </c>
      <c r="I81" s="615" t="s">
        <v>481</v>
      </c>
      <c r="J81" s="616"/>
      <c r="K81" s="616"/>
      <c r="L81" s="617"/>
    </row>
    <row r="82" spans="1:12" s="1" customFormat="1" ht="18.75" thickBot="1">
      <c r="A82" s="619"/>
      <c r="B82" s="621"/>
      <c r="C82" s="119" t="s">
        <v>81</v>
      </c>
      <c r="D82" s="120" t="s">
        <v>79</v>
      </c>
      <c r="E82" s="120" t="s">
        <v>80</v>
      </c>
      <c r="F82" s="121" t="s">
        <v>114</v>
      </c>
      <c r="G82" s="626"/>
      <c r="H82" s="614"/>
      <c r="I82" s="455" t="s">
        <v>484</v>
      </c>
      <c r="J82" s="456" t="s">
        <v>79</v>
      </c>
      <c r="K82" s="456" t="s">
        <v>80</v>
      </c>
      <c r="L82" s="457" t="s">
        <v>485</v>
      </c>
    </row>
    <row r="83" spans="1:12" s="1" customFormat="1" ht="12.75">
      <c r="A83" s="122" t="s">
        <v>82</v>
      </c>
      <c r="B83" s="123">
        <v>129</v>
      </c>
      <c r="C83" s="124" t="s">
        <v>83</v>
      </c>
      <c r="D83" s="125" t="s">
        <v>83</v>
      </c>
      <c r="E83" s="125" t="s">
        <v>83</v>
      </c>
      <c r="F83" s="126" t="s">
        <v>83</v>
      </c>
      <c r="G83" s="127">
        <v>256</v>
      </c>
      <c r="H83" s="452" t="s">
        <v>83</v>
      </c>
      <c r="I83" s="458" t="s">
        <v>83</v>
      </c>
      <c r="J83" s="459" t="s">
        <v>83</v>
      </c>
      <c r="K83" s="459" t="s">
        <v>83</v>
      </c>
      <c r="L83" s="460" t="s">
        <v>83</v>
      </c>
    </row>
    <row r="84" spans="1:12" s="1" customFormat="1" ht="12.75">
      <c r="A84" s="128" t="s">
        <v>84</v>
      </c>
      <c r="B84" s="129">
        <v>0</v>
      </c>
      <c r="C84" s="130">
        <v>13</v>
      </c>
      <c r="D84" s="131">
        <v>3</v>
      </c>
      <c r="E84" s="131">
        <v>0</v>
      </c>
      <c r="F84" s="132">
        <v>16</v>
      </c>
      <c r="G84" s="133">
        <v>0</v>
      </c>
      <c r="H84" s="453">
        <f>+G84-F84</f>
        <v>-16</v>
      </c>
      <c r="I84" s="130">
        <v>16</v>
      </c>
      <c r="J84" s="131">
        <v>0</v>
      </c>
      <c r="K84" s="131">
        <v>0</v>
      </c>
      <c r="L84" s="132">
        <f>I84+J84-K84</f>
        <v>16</v>
      </c>
    </row>
    <row r="85" spans="1:12" s="1" customFormat="1" ht="12.75">
      <c r="A85" s="128" t="s">
        <v>85</v>
      </c>
      <c r="B85" s="129">
        <v>0</v>
      </c>
      <c r="C85" s="130">
        <v>119</v>
      </c>
      <c r="D85" s="131">
        <v>13</v>
      </c>
      <c r="E85" s="131">
        <v>0</v>
      </c>
      <c r="F85" s="132">
        <v>132</v>
      </c>
      <c r="G85" s="133">
        <v>0</v>
      </c>
      <c r="H85" s="453">
        <f>+G85-F85</f>
        <v>-132</v>
      </c>
      <c r="I85" s="130">
        <v>132</v>
      </c>
      <c r="J85" s="131">
        <v>10</v>
      </c>
      <c r="K85" s="131">
        <v>30</v>
      </c>
      <c r="L85" s="132">
        <f>I85+J85-K85</f>
        <v>112</v>
      </c>
    </row>
    <row r="86" spans="1:12" s="1" customFormat="1" ht="12.75">
      <c r="A86" s="128" t="s">
        <v>113</v>
      </c>
      <c r="B86" s="129">
        <v>0</v>
      </c>
      <c r="C86" s="130">
        <v>21</v>
      </c>
      <c r="D86" s="131">
        <v>219</v>
      </c>
      <c r="E86" s="131">
        <v>44</v>
      </c>
      <c r="F86" s="132">
        <v>196</v>
      </c>
      <c r="G86" s="133">
        <v>0</v>
      </c>
      <c r="H86" s="453">
        <f>+G86-F86</f>
        <v>-196</v>
      </c>
      <c r="I86" s="461">
        <v>196</v>
      </c>
      <c r="J86" s="447">
        <v>174</v>
      </c>
      <c r="K86" s="447">
        <v>180</v>
      </c>
      <c r="L86" s="132">
        <f>I86+J86-K86</f>
        <v>190</v>
      </c>
    </row>
    <row r="87" spans="1:12" s="1" customFormat="1" ht="12.75">
      <c r="A87" s="128" t="s">
        <v>86</v>
      </c>
      <c r="B87" s="129">
        <v>129</v>
      </c>
      <c r="C87" s="146" t="s">
        <v>83</v>
      </c>
      <c r="D87" s="125" t="s">
        <v>83</v>
      </c>
      <c r="E87" s="147" t="s">
        <v>83</v>
      </c>
      <c r="F87" s="148" t="s">
        <v>83</v>
      </c>
      <c r="G87" s="133">
        <v>256</v>
      </c>
      <c r="H87" s="146" t="s">
        <v>83</v>
      </c>
      <c r="I87" s="124" t="s">
        <v>83</v>
      </c>
      <c r="J87" s="125" t="s">
        <v>83</v>
      </c>
      <c r="K87" s="125" t="s">
        <v>83</v>
      </c>
      <c r="L87" s="462">
        <v>0</v>
      </c>
    </row>
    <row r="88" spans="1:12" s="1" customFormat="1" ht="13.5" thickBot="1">
      <c r="A88" s="134" t="s">
        <v>87</v>
      </c>
      <c r="B88" s="135">
        <v>66</v>
      </c>
      <c r="C88" s="136">
        <v>66</v>
      </c>
      <c r="D88" s="137">
        <v>58</v>
      </c>
      <c r="E88" s="137">
        <v>23</v>
      </c>
      <c r="F88" s="138">
        <v>101</v>
      </c>
      <c r="G88" s="139">
        <v>100</v>
      </c>
      <c r="H88" s="454">
        <f>+G88-F88</f>
        <v>-1</v>
      </c>
      <c r="I88" s="136">
        <v>101</v>
      </c>
      <c r="J88" s="137">
        <v>63</v>
      </c>
      <c r="K88" s="137">
        <v>60</v>
      </c>
      <c r="L88" s="138">
        <f>I88+J88-K88</f>
        <v>104</v>
      </c>
    </row>
    <row r="89" spans="1:12" s="1" customFormat="1" ht="12.75">
      <c r="A89" s="85"/>
      <c r="B89" s="86"/>
      <c r="C89" s="86"/>
      <c r="D89" s="86"/>
      <c r="E89" s="2"/>
      <c r="F89" s="4"/>
      <c r="G89" s="4"/>
      <c r="H89" s="85"/>
      <c r="I89" s="86"/>
      <c r="J89" s="86"/>
      <c r="K89" s="86"/>
      <c r="L89" s="2"/>
    </row>
    <row r="90" spans="1:12" s="1" customFormat="1" ht="12.75">
      <c r="A90" s="85"/>
      <c r="B90" s="86"/>
      <c r="C90" s="86"/>
      <c r="D90" s="86"/>
      <c r="E90" s="2"/>
      <c r="F90" s="4"/>
      <c r="G90" s="4"/>
      <c r="H90" s="85"/>
      <c r="I90" s="86"/>
      <c r="J90" s="86"/>
      <c r="K90" s="86"/>
      <c r="L90" s="2"/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172</v>
      </c>
      <c r="C95" s="131">
        <v>0</v>
      </c>
      <c r="D95" s="131">
        <v>172</v>
      </c>
      <c r="E95" s="131"/>
      <c r="F95" s="131"/>
      <c r="G95" s="129"/>
      <c r="H95" s="132">
        <f>SUM(C95:G95)</f>
        <v>172</v>
      </c>
      <c r="I95" s="89"/>
      <c r="J95" s="93">
        <v>2005</v>
      </c>
      <c r="K95" s="94">
        <v>2894</v>
      </c>
      <c r="L95" s="95">
        <f>+G29</f>
        <v>2914</v>
      </c>
    </row>
    <row r="96" spans="1:12" ht="13.5" thickBot="1">
      <c r="A96" s="145" t="s">
        <v>95</v>
      </c>
      <c r="B96" s="135">
        <v>307</v>
      </c>
      <c r="C96" s="137">
        <v>0</v>
      </c>
      <c r="D96" s="137">
        <v>307</v>
      </c>
      <c r="E96" s="137"/>
      <c r="F96" s="137"/>
      <c r="G96" s="135"/>
      <c r="H96" s="138">
        <f>SUM(C96:G96)</f>
        <v>307</v>
      </c>
      <c r="I96" s="89"/>
      <c r="J96" s="96">
        <v>2006</v>
      </c>
      <c r="K96" s="97">
        <f>+L29</f>
        <v>3177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2.33</v>
      </c>
      <c r="C101" s="103">
        <v>2.6</v>
      </c>
      <c r="D101" s="103">
        <f>+C101-B101</f>
        <v>0.27</v>
      </c>
      <c r="E101" s="103">
        <v>2.3</v>
      </c>
      <c r="F101" s="103">
        <v>2.3</v>
      </c>
      <c r="G101" s="104">
        <f>+F101-E101</f>
        <v>0</v>
      </c>
      <c r="H101" s="105">
        <v>21050</v>
      </c>
      <c r="I101" s="106">
        <v>19906</v>
      </c>
      <c r="J101" s="107">
        <f>+I101-H101</f>
        <v>-1144</v>
      </c>
    </row>
    <row r="102" spans="1:10" ht="12.75">
      <c r="A102" s="102" t="s">
        <v>98</v>
      </c>
      <c r="B102" s="103">
        <v>4</v>
      </c>
      <c r="C102" s="103">
        <v>3</v>
      </c>
      <c r="D102" s="103">
        <f aca="true" t="shared" si="12" ref="D102:D111">+C102-B102</f>
        <v>-1</v>
      </c>
      <c r="E102" s="103">
        <v>4</v>
      </c>
      <c r="F102" s="103">
        <v>3</v>
      </c>
      <c r="G102" s="104">
        <f aca="true" t="shared" si="13" ref="G102:G111">+F102-E102</f>
        <v>-1</v>
      </c>
      <c r="H102" s="105">
        <v>15263</v>
      </c>
      <c r="I102" s="108">
        <v>15191</v>
      </c>
      <c r="J102" s="107">
        <f aca="true" t="shared" si="14" ref="J102:J111">+I102-H102</f>
        <v>-72</v>
      </c>
    </row>
    <row r="103" spans="1:10" ht="12.75">
      <c r="A103" s="102" t="s">
        <v>60</v>
      </c>
      <c r="B103" s="103"/>
      <c r="C103" s="103"/>
      <c r="D103" s="103">
        <f t="shared" si="12"/>
        <v>0</v>
      </c>
      <c r="E103" s="103"/>
      <c r="F103" s="103"/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61</v>
      </c>
      <c r="B104" s="103">
        <v>5</v>
      </c>
      <c r="C104" s="103">
        <v>6</v>
      </c>
      <c r="D104" s="103">
        <f t="shared" si="12"/>
        <v>1</v>
      </c>
      <c r="E104" s="103">
        <v>5</v>
      </c>
      <c r="F104" s="103">
        <v>6</v>
      </c>
      <c r="G104" s="104">
        <f t="shared" si="13"/>
        <v>1</v>
      </c>
      <c r="H104" s="105">
        <v>11436</v>
      </c>
      <c r="I104" s="108">
        <v>12255</v>
      </c>
      <c r="J104" s="107">
        <f t="shared" si="14"/>
        <v>819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64</v>
      </c>
      <c r="B107" s="103"/>
      <c r="C107" s="103"/>
      <c r="D107" s="103">
        <f t="shared" si="12"/>
        <v>0</v>
      </c>
      <c r="E107" s="103"/>
      <c r="F107" s="103"/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65</v>
      </c>
      <c r="B108" s="103"/>
      <c r="C108" s="103"/>
      <c r="D108" s="103">
        <f t="shared" si="12"/>
        <v>0</v>
      </c>
      <c r="E108" s="103"/>
      <c r="F108" s="103"/>
      <c r="G108" s="104">
        <f t="shared" si="13"/>
        <v>0</v>
      </c>
      <c r="H108" s="105"/>
      <c r="I108" s="108"/>
      <c r="J108" s="107">
        <f t="shared" si="14"/>
        <v>0</v>
      </c>
    </row>
    <row r="109" spans="1:10" ht="12.75">
      <c r="A109" s="102" t="s">
        <v>66</v>
      </c>
      <c r="B109" s="103">
        <v>1.2</v>
      </c>
      <c r="C109" s="103">
        <v>1.3</v>
      </c>
      <c r="D109" s="103">
        <f t="shared" si="12"/>
        <v>0.10000000000000009</v>
      </c>
      <c r="E109" s="103">
        <v>1</v>
      </c>
      <c r="F109" s="103">
        <v>1</v>
      </c>
      <c r="G109" s="104">
        <f t="shared" si="13"/>
        <v>0</v>
      </c>
      <c r="H109" s="105">
        <v>9196</v>
      </c>
      <c r="I109" s="108">
        <v>9297</v>
      </c>
      <c r="J109" s="107">
        <f t="shared" si="14"/>
        <v>101</v>
      </c>
    </row>
    <row r="110" spans="1:10" ht="12.75">
      <c r="A110" s="102" t="s">
        <v>67</v>
      </c>
      <c r="B110" s="103">
        <v>5</v>
      </c>
      <c r="C110" s="103">
        <v>5.5</v>
      </c>
      <c r="D110" s="103">
        <f t="shared" si="12"/>
        <v>0.5</v>
      </c>
      <c r="E110" s="103">
        <v>5</v>
      </c>
      <c r="F110" s="103">
        <v>5.5</v>
      </c>
      <c r="G110" s="104">
        <f t="shared" si="13"/>
        <v>0.5</v>
      </c>
      <c r="H110" s="105">
        <v>9062</v>
      </c>
      <c r="I110" s="108">
        <v>10880</v>
      </c>
      <c r="J110" s="107">
        <f t="shared" si="14"/>
        <v>1818</v>
      </c>
    </row>
    <row r="111" spans="1:10" ht="13.5" thickBot="1">
      <c r="A111" s="109" t="s">
        <v>5</v>
      </c>
      <c r="B111" s="110">
        <v>17.53</v>
      </c>
      <c r="C111" s="110">
        <v>18.4</v>
      </c>
      <c r="D111" s="110">
        <f t="shared" si="12"/>
        <v>0.8699999999999974</v>
      </c>
      <c r="E111" s="110">
        <v>17.3</v>
      </c>
      <c r="F111" s="110">
        <v>17.8</v>
      </c>
      <c r="G111" s="111">
        <f t="shared" si="13"/>
        <v>0.5</v>
      </c>
      <c r="H111" s="112">
        <v>12643</v>
      </c>
      <c r="I111" s="113">
        <v>14060</v>
      </c>
      <c r="J111" s="114">
        <f t="shared" si="14"/>
        <v>1417</v>
      </c>
    </row>
    <row r="112" ht="13.5" thickBot="1"/>
    <row r="113" spans="1:16" ht="12.75">
      <c r="A113" s="706" t="s">
        <v>68</v>
      </c>
      <c r="B113" s="707"/>
      <c r="C113" s="708"/>
      <c r="D113" s="89"/>
      <c r="E113" s="706" t="s">
        <v>69</v>
      </c>
      <c r="F113" s="707"/>
      <c r="G113" s="708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709" t="s">
        <v>72</v>
      </c>
      <c r="G114" s="71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19</v>
      </c>
      <c r="C115" s="95">
        <v>19</v>
      </c>
      <c r="D115" s="89"/>
      <c r="E115" s="93">
        <v>2005</v>
      </c>
      <c r="F115" s="711">
        <v>41</v>
      </c>
      <c r="G115" s="624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19</v>
      </c>
      <c r="C116" s="98"/>
      <c r="D116" s="89"/>
      <c r="E116" s="96">
        <v>2006</v>
      </c>
      <c r="F116" s="704">
        <v>41</v>
      </c>
      <c r="G116" s="705"/>
      <c r="H116"/>
      <c r="I116"/>
      <c r="J116"/>
      <c r="K116"/>
      <c r="L116"/>
      <c r="M116"/>
      <c r="N116"/>
      <c r="O116"/>
      <c r="P116"/>
    </row>
  </sheetData>
  <mergeCells count="124">
    <mergeCell ref="L78:M78"/>
    <mergeCell ref="L79:M79"/>
    <mergeCell ref="A81:A82"/>
    <mergeCell ref="B81:B82"/>
    <mergeCell ref="C81:F81"/>
    <mergeCell ref="G81:G82"/>
    <mergeCell ref="H81:H82"/>
    <mergeCell ref="I81:L81"/>
    <mergeCell ref="J75:J77"/>
    <mergeCell ref="L75:M76"/>
    <mergeCell ref="N75:N76"/>
    <mergeCell ref="O75:O76"/>
    <mergeCell ref="F72:G72"/>
    <mergeCell ref="A75:A77"/>
    <mergeCell ref="B75:B77"/>
    <mergeCell ref="C75:I75"/>
    <mergeCell ref="C76:C77"/>
    <mergeCell ref="D76:I76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C66:D66"/>
    <mergeCell ref="F66:G66"/>
    <mergeCell ref="I66:K66"/>
    <mergeCell ref="C67:D67"/>
    <mergeCell ref="F67:G67"/>
    <mergeCell ref="I67:K67"/>
    <mergeCell ref="A62:B62"/>
    <mergeCell ref="D62:F62"/>
    <mergeCell ref="H62:K62"/>
    <mergeCell ref="A65:E65"/>
    <mergeCell ref="F65:L65"/>
    <mergeCell ref="A60:B60"/>
    <mergeCell ref="D60:F60"/>
    <mergeCell ref="H60:K60"/>
    <mergeCell ref="A61:B61"/>
    <mergeCell ref="D61:F61"/>
    <mergeCell ref="H61:K61"/>
    <mergeCell ref="A58:B58"/>
    <mergeCell ref="D58:F58"/>
    <mergeCell ref="H58:K58"/>
    <mergeCell ref="A59:B59"/>
    <mergeCell ref="D59:F59"/>
    <mergeCell ref="H59:K59"/>
    <mergeCell ref="A56:B56"/>
    <mergeCell ref="D56:F56"/>
    <mergeCell ref="H56:K56"/>
    <mergeCell ref="A57:B57"/>
    <mergeCell ref="D57:F57"/>
    <mergeCell ref="H57:K57"/>
    <mergeCell ref="A54:B54"/>
    <mergeCell ref="D54:F54"/>
    <mergeCell ref="H54:K54"/>
    <mergeCell ref="A55:B55"/>
    <mergeCell ref="D55:F55"/>
    <mergeCell ref="H55:K55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3:A6"/>
    <mergeCell ref="B3:N3"/>
    <mergeCell ref="H4:I4"/>
    <mergeCell ref="M4:N4"/>
    <mergeCell ref="B38:D38"/>
    <mergeCell ref="E38:G38"/>
    <mergeCell ref="J38:L38"/>
    <mergeCell ref="B39:D39"/>
    <mergeCell ref="M2:N2"/>
    <mergeCell ref="H43:K43"/>
    <mergeCell ref="L52:L53"/>
    <mergeCell ref="E39:G39"/>
    <mergeCell ref="H41:K42"/>
    <mergeCell ref="L41:L42"/>
    <mergeCell ref="G41:G42"/>
    <mergeCell ref="A43:B43"/>
    <mergeCell ref="D43:F43"/>
    <mergeCell ref="A41:B42"/>
    <mergeCell ref="C41:C42"/>
    <mergeCell ref="D41:F42"/>
    <mergeCell ref="C93:H93"/>
    <mergeCell ref="J93:L93"/>
    <mergeCell ref="A99:A100"/>
    <mergeCell ref="B99:D99"/>
    <mergeCell ref="E99:G99"/>
    <mergeCell ref="H99:J99"/>
    <mergeCell ref="A93:A94"/>
    <mergeCell ref="B93:B94"/>
    <mergeCell ref="F116:G116"/>
    <mergeCell ref="A113:C113"/>
    <mergeCell ref="E113:G113"/>
    <mergeCell ref="F114:G114"/>
    <mergeCell ref="F115:G115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1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zoomScaleSheetLayoutView="100" workbookViewId="0" topLeftCell="A1">
      <selection activeCell="J86" sqref="J86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9.003906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46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16"/>
      <c r="N2" s="717"/>
    </row>
    <row r="3" spans="1:14" ht="24" customHeight="1" thickBot="1">
      <c r="A3" s="684" t="s">
        <v>0</v>
      </c>
      <c r="B3" s="686" t="s">
        <v>435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712"/>
      <c r="N3" s="71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>
        <v>0</v>
      </c>
      <c r="C7" s="428"/>
      <c r="D7" s="433">
        <f>SUM(B7:C7)</f>
        <v>0</v>
      </c>
      <c r="E7" s="427">
        <v>0</v>
      </c>
      <c r="F7" s="428"/>
      <c r="G7" s="433">
        <f>SUM(E7:F7)</f>
        <v>0</v>
      </c>
      <c r="H7" s="464">
        <f>+G7-D7</f>
        <v>0</v>
      </c>
      <c r="I7" s="471"/>
      <c r="J7" s="427">
        <v>0</v>
      </c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5266</v>
      </c>
      <c r="C8" s="33"/>
      <c r="D8" s="434">
        <f>SUM(B8:C8)</f>
        <v>5266</v>
      </c>
      <c r="E8" s="37">
        <v>5399</v>
      </c>
      <c r="F8" s="33"/>
      <c r="G8" s="434">
        <f>SUM(E8:F8)</f>
        <v>5399</v>
      </c>
      <c r="H8" s="465">
        <f>+G8-D8</f>
        <v>133</v>
      </c>
      <c r="I8" s="36">
        <f>+G8/D8</f>
        <v>1.025256361564755</v>
      </c>
      <c r="J8" s="37">
        <v>5628</v>
      </c>
      <c r="K8" s="33"/>
      <c r="L8" s="434">
        <f>SUM(J8:K8)</f>
        <v>5628</v>
      </c>
      <c r="M8" s="465">
        <f>+L8-G8</f>
        <v>229</v>
      </c>
      <c r="N8" s="39">
        <f>+L8/G8</f>
        <v>1.0424152620855713</v>
      </c>
    </row>
    <row r="9" spans="1:14" ht="13.5" customHeight="1">
      <c r="A9" s="509" t="s">
        <v>12</v>
      </c>
      <c r="B9" s="37">
        <v>0</v>
      </c>
      <c r="C9" s="33"/>
      <c r="D9" s="434">
        <f aca="true" t="shared" si="0" ref="D9:D15">SUM(B9:C9)</f>
        <v>0</v>
      </c>
      <c r="E9" s="37">
        <v>0</v>
      </c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>
        <v>0</v>
      </c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>
        <v>0</v>
      </c>
      <c r="C10" s="33"/>
      <c r="D10" s="434">
        <f t="shared" si="0"/>
        <v>0</v>
      </c>
      <c r="E10" s="37">
        <v>0</v>
      </c>
      <c r="F10" s="33"/>
      <c r="G10" s="434">
        <f t="shared" si="1"/>
        <v>0</v>
      </c>
      <c r="H10" s="465">
        <f t="shared" si="2"/>
        <v>0</v>
      </c>
      <c r="I10" s="36"/>
      <c r="J10" s="37">
        <v>0</v>
      </c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100</v>
      </c>
      <c r="C11" s="33"/>
      <c r="D11" s="434">
        <f t="shared" si="0"/>
        <v>100</v>
      </c>
      <c r="E11" s="37">
        <v>141</v>
      </c>
      <c r="F11" s="33"/>
      <c r="G11" s="434">
        <f t="shared" si="1"/>
        <v>141</v>
      </c>
      <c r="H11" s="465">
        <f t="shared" si="2"/>
        <v>41</v>
      </c>
      <c r="I11" s="36">
        <f aca="true" t="shared" si="5" ref="I11:I37">+G11/D11</f>
        <v>1.41</v>
      </c>
      <c r="J11" s="37">
        <v>150</v>
      </c>
      <c r="K11" s="33"/>
      <c r="L11" s="434">
        <f t="shared" si="3"/>
        <v>150</v>
      </c>
      <c r="M11" s="465">
        <f t="shared" si="4"/>
        <v>9</v>
      </c>
      <c r="N11" s="39">
        <f aca="true" t="shared" si="6" ref="N11:N37">+L11/G11</f>
        <v>1.0638297872340425</v>
      </c>
    </row>
    <row r="12" spans="1:14" ht="13.5" customHeight="1">
      <c r="A12" s="510" t="s">
        <v>15</v>
      </c>
      <c r="B12" s="37">
        <v>72</v>
      </c>
      <c r="C12" s="33"/>
      <c r="D12" s="434">
        <f t="shared" si="0"/>
        <v>72</v>
      </c>
      <c r="E12" s="37">
        <v>0</v>
      </c>
      <c r="F12" s="33"/>
      <c r="G12" s="434">
        <f t="shared" si="1"/>
        <v>0</v>
      </c>
      <c r="H12" s="465">
        <f t="shared" si="2"/>
        <v>-72</v>
      </c>
      <c r="I12" s="36">
        <f t="shared" si="5"/>
        <v>0</v>
      </c>
      <c r="J12" s="37">
        <v>0</v>
      </c>
      <c r="K12" s="33"/>
      <c r="L12" s="434">
        <f t="shared" si="3"/>
        <v>0</v>
      </c>
      <c r="M12" s="465">
        <f t="shared" si="4"/>
        <v>0</v>
      </c>
      <c r="N12" s="39"/>
    </row>
    <row r="13" spans="1:14" ht="13.5" customHeight="1">
      <c r="A13" s="510" t="s">
        <v>16</v>
      </c>
      <c r="B13" s="37">
        <v>8</v>
      </c>
      <c r="C13" s="33"/>
      <c r="D13" s="434">
        <f t="shared" si="0"/>
        <v>8</v>
      </c>
      <c r="E13" s="37">
        <v>0</v>
      </c>
      <c r="F13" s="33"/>
      <c r="G13" s="434">
        <f t="shared" si="1"/>
        <v>0</v>
      </c>
      <c r="H13" s="465">
        <f t="shared" si="2"/>
        <v>-8</v>
      </c>
      <c r="I13" s="36">
        <f t="shared" si="5"/>
        <v>0</v>
      </c>
      <c r="J13" s="37">
        <v>0</v>
      </c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>
        <v>0</v>
      </c>
      <c r="C14" s="33"/>
      <c r="D14" s="434">
        <f t="shared" si="0"/>
        <v>0</v>
      </c>
      <c r="E14" s="37">
        <v>0</v>
      </c>
      <c r="F14" s="33"/>
      <c r="G14" s="434">
        <f t="shared" si="1"/>
        <v>0</v>
      </c>
      <c r="H14" s="465">
        <f t="shared" si="2"/>
        <v>0</v>
      </c>
      <c r="I14" s="36"/>
      <c r="J14" s="37">
        <v>0</v>
      </c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6499</v>
      </c>
      <c r="C15" s="33"/>
      <c r="D15" s="434">
        <f t="shared" si="0"/>
        <v>6499</v>
      </c>
      <c r="E15" s="37">
        <v>7251</v>
      </c>
      <c r="F15" s="33"/>
      <c r="G15" s="434">
        <f t="shared" si="1"/>
        <v>7251</v>
      </c>
      <c r="H15" s="465">
        <f t="shared" si="2"/>
        <v>752</v>
      </c>
      <c r="I15" s="36">
        <f t="shared" si="5"/>
        <v>1.1157101092475765</v>
      </c>
      <c r="J15" s="57">
        <f>SUM(J16:J17)</f>
        <v>7537</v>
      </c>
      <c r="K15" s="33"/>
      <c r="L15" s="434">
        <f t="shared" si="3"/>
        <v>7537</v>
      </c>
      <c r="M15" s="465">
        <f t="shared" si="4"/>
        <v>286</v>
      </c>
      <c r="N15" s="39">
        <f t="shared" si="6"/>
        <v>1.0394428354709695</v>
      </c>
    </row>
    <row r="16" spans="1:14" ht="13.5" customHeight="1">
      <c r="A16" s="511" t="s">
        <v>476</v>
      </c>
      <c r="B16" s="37"/>
      <c r="C16" s="33"/>
      <c r="D16" s="434"/>
      <c r="E16" s="37">
        <v>6670</v>
      </c>
      <c r="F16" s="33"/>
      <c r="G16" s="434">
        <f t="shared" si="1"/>
        <v>6670</v>
      </c>
      <c r="H16" s="465">
        <f t="shared" si="2"/>
        <v>6670</v>
      </c>
      <c r="I16" s="36"/>
      <c r="J16" s="57">
        <f>7220</f>
        <v>7220</v>
      </c>
      <c r="K16" s="33"/>
      <c r="L16" s="434">
        <f t="shared" si="3"/>
        <v>7220</v>
      </c>
      <c r="M16" s="465">
        <f t="shared" si="4"/>
        <v>550</v>
      </c>
      <c r="N16" s="39">
        <f t="shared" si="6"/>
        <v>1.0824587706146926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581</v>
      </c>
      <c r="F17" s="431"/>
      <c r="G17" s="434">
        <f t="shared" si="1"/>
        <v>581</v>
      </c>
      <c r="H17" s="465">
        <f t="shared" si="2"/>
        <v>581</v>
      </c>
      <c r="I17" s="36"/>
      <c r="J17" s="438">
        <v>317</v>
      </c>
      <c r="K17" s="431"/>
      <c r="L17" s="434">
        <f t="shared" si="3"/>
        <v>317</v>
      </c>
      <c r="M17" s="465">
        <f t="shared" si="4"/>
        <v>-264</v>
      </c>
      <c r="N17" s="39">
        <f t="shared" si="6"/>
        <v>0.5456110154905336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11873</v>
      </c>
      <c r="C18" s="425">
        <f t="shared" si="7"/>
        <v>0</v>
      </c>
      <c r="D18" s="426">
        <f t="shared" si="7"/>
        <v>11873</v>
      </c>
      <c r="E18" s="424">
        <f t="shared" si="7"/>
        <v>12791</v>
      </c>
      <c r="F18" s="425">
        <f t="shared" si="7"/>
        <v>0</v>
      </c>
      <c r="G18" s="426">
        <f t="shared" si="7"/>
        <v>12791</v>
      </c>
      <c r="H18" s="369">
        <f t="shared" si="2"/>
        <v>918</v>
      </c>
      <c r="I18" s="63">
        <f t="shared" si="5"/>
        <v>1.0773182851848733</v>
      </c>
      <c r="J18" s="437">
        <f>SUM(J7+J8+J9+J10+J11+J13+J15)</f>
        <v>13315</v>
      </c>
      <c r="K18" s="425">
        <f>SUM(K7+K8+K9+K10+K11+K13+K15)</f>
        <v>0</v>
      </c>
      <c r="L18" s="426">
        <f>SUM(L7+L8+L9+L10+L11+L13+L15)</f>
        <v>13315</v>
      </c>
      <c r="M18" s="369">
        <f t="shared" si="4"/>
        <v>524</v>
      </c>
      <c r="N18" s="370">
        <f t="shared" si="6"/>
        <v>1.0409663044328044</v>
      </c>
    </row>
    <row r="19" spans="1:14" ht="13.5" customHeight="1">
      <c r="A19" s="54" t="s">
        <v>20</v>
      </c>
      <c r="B19" s="25">
        <v>3193</v>
      </c>
      <c r="C19" s="26"/>
      <c r="D19" s="34">
        <f aca="true" t="shared" si="8" ref="D19:D36">SUM(B19:C19)</f>
        <v>3193</v>
      </c>
      <c r="E19" s="25">
        <v>2633</v>
      </c>
      <c r="F19" s="26"/>
      <c r="G19" s="27">
        <f>SUM(E19:F19)</f>
        <v>2633</v>
      </c>
      <c r="H19" s="28">
        <f t="shared" si="2"/>
        <v>-560</v>
      </c>
      <c r="I19" s="55">
        <f t="shared" si="5"/>
        <v>0.8246163482618227</v>
      </c>
      <c r="J19" s="29">
        <v>2631</v>
      </c>
      <c r="K19" s="26"/>
      <c r="L19" s="30">
        <f>SUM(J19:K19)</f>
        <v>2631</v>
      </c>
      <c r="M19" s="28">
        <f t="shared" si="4"/>
        <v>-2</v>
      </c>
      <c r="N19" s="56">
        <f t="shared" si="6"/>
        <v>0.9992404101785036</v>
      </c>
    </row>
    <row r="20" spans="1:14" ht="21" customHeight="1">
      <c r="A20" s="40" t="s">
        <v>21</v>
      </c>
      <c r="B20" s="25">
        <v>1175</v>
      </c>
      <c r="C20" s="26"/>
      <c r="D20" s="34">
        <f t="shared" si="8"/>
        <v>1175</v>
      </c>
      <c r="E20" s="25">
        <v>727</v>
      </c>
      <c r="F20" s="26"/>
      <c r="G20" s="27">
        <f aca="true" t="shared" si="9" ref="G20:G36">SUM(E20:F20)</f>
        <v>727</v>
      </c>
      <c r="H20" s="35">
        <f t="shared" si="2"/>
        <v>-448</v>
      </c>
      <c r="I20" s="36">
        <f t="shared" si="5"/>
        <v>0.6187234042553191</v>
      </c>
      <c r="J20" s="29">
        <v>400</v>
      </c>
      <c r="K20" s="26"/>
      <c r="L20" s="30">
        <f aca="true" t="shared" si="10" ref="L20:L36">SUM(J20:K20)</f>
        <v>400</v>
      </c>
      <c r="M20" s="35">
        <f t="shared" si="4"/>
        <v>-327</v>
      </c>
      <c r="N20" s="39">
        <f t="shared" si="6"/>
        <v>0.5502063273727648</v>
      </c>
    </row>
    <row r="21" spans="1:14" ht="13.5" customHeight="1">
      <c r="A21" s="31" t="s">
        <v>22</v>
      </c>
      <c r="B21" s="32">
        <v>609</v>
      </c>
      <c r="C21" s="33"/>
      <c r="D21" s="34">
        <f t="shared" si="8"/>
        <v>609</v>
      </c>
      <c r="E21" s="32">
        <v>1095</v>
      </c>
      <c r="F21" s="33"/>
      <c r="G21" s="27">
        <f t="shared" si="9"/>
        <v>1095</v>
      </c>
      <c r="H21" s="35">
        <f t="shared" si="2"/>
        <v>486</v>
      </c>
      <c r="I21" s="36">
        <f t="shared" si="5"/>
        <v>1.7980295566502462</v>
      </c>
      <c r="J21" s="37">
        <v>1350</v>
      </c>
      <c r="K21" s="33"/>
      <c r="L21" s="30">
        <f t="shared" si="10"/>
        <v>1350</v>
      </c>
      <c r="M21" s="35">
        <f t="shared" si="4"/>
        <v>255</v>
      </c>
      <c r="N21" s="39">
        <f t="shared" si="6"/>
        <v>1.2328767123287672</v>
      </c>
    </row>
    <row r="22" spans="1:14" ht="13.5" customHeight="1">
      <c r="A22" s="40" t="s">
        <v>23</v>
      </c>
      <c r="B22" s="32">
        <v>36</v>
      </c>
      <c r="C22" s="33"/>
      <c r="D22" s="34">
        <f t="shared" si="8"/>
        <v>36</v>
      </c>
      <c r="E22" s="32">
        <v>72</v>
      </c>
      <c r="F22" s="33"/>
      <c r="G22" s="27">
        <f t="shared" si="9"/>
        <v>72</v>
      </c>
      <c r="H22" s="35">
        <f t="shared" si="2"/>
        <v>36</v>
      </c>
      <c r="I22" s="36"/>
      <c r="J22" s="37">
        <v>60</v>
      </c>
      <c r="K22" s="33"/>
      <c r="L22" s="30">
        <f t="shared" si="10"/>
        <v>60</v>
      </c>
      <c r="M22" s="35">
        <f t="shared" si="4"/>
        <v>-12</v>
      </c>
      <c r="N22" s="39"/>
    </row>
    <row r="23" spans="1:14" ht="13.5" customHeight="1">
      <c r="A23" s="31" t="s">
        <v>24</v>
      </c>
      <c r="B23" s="32">
        <v>0</v>
      </c>
      <c r="C23" s="33"/>
      <c r="D23" s="34">
        <f t="shared" si="8"/>
        <v>0</v>
      </c>
      <c r="E23" s="32">
        <v>0</v>
      </c>
      <c r="F23" s="33"/>
      <c r="G23" s="27">
        <f t="shared" si="9"/>
        <v>0</v>
      </c>
      <c r="H23" s="35">
        <f t="shared" si="2"/>
        <v>0</v>
      </c>
      <c r="I23" s="36"/>
      <c r="J23" s="37">
        <v>0</v>
      </c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1121</v>
      </c>
      <c r="C24" s="33"/>
      <c r="D24" s="34">
        <f t="shared" si="8"/>
        <v>1121</v>
      </c>
      <c r="E24" s="37">
        <v>1075</v>
      </c>
      <c r="F24" s="33"/>
      <c r="G24" s="27">
        <f t="shared" si="9"/>
        <v>1075</v>
      </c>
      <c r="H24" s="35">
        <f t="shared" si="2"/>
        <v>-46</v>
      </c>
      <c r="I24" s="36">
        <f t="shared" si="5"/>
        <v>0.9589652096342551</v>
      </c>
      <c r="J24" s="37">
        <v>1000</v>
      </c>
      <c r="K24" s="33"/>
      <c r="L24" s="30">
        <f t="shared" si="10"/>
        <v>1000</v>
      </c>
      <c r="M24" s="35">
        <f t="shared" si="4"/>
        <v>-75</v>
      </c>
      <c r="N24" s="39">
        <f t="shared" si="6"/>
        <v>0.9302325581395349</v>
      </c>
    </row>
    <row r="25" spans="1:14" ht="13.5" customHeight="1">
      <c r="A25" s="40" t="s">
        <v>26</v>
      </c>
      <c r="B25" s="32">
        <v>645</v>
      </c>
      <c r="C25" s="33"/>
      <c r="D25" s="34">
        <f t="shared" si="8"/>
        <v>645</v>
      </c>
      <c r="E25" s="32">
        <v>695</v>
      </c>
      <c r="F25" s="33"/>
      <c r="G25" s="27">
        <f t="shared" si="9"/>
        <v>695</v>
      </c>
      <c r="H25" s="35">
        <f t="shared" si="2"/>
        <v>50</v>
      </c>
      <c r="I25" s="36">
        <f t="shared" si="5"/>
        <v>1.0775193798449612</v>
      </c>
      <c r="J25" s="57">
        <v>600</v>
      </c>
      <c r="K25" s="33"/>
      <c r="L25" s="30">
        <f t="shared" si="10"/>
        <v>600</v>
      </c>
      <c r="M25" s="35">
        <f t="shared" si="4"/>
        <v>-95</v>
      </c>
      <c r="N25" s="39">
        <f t="shared" si="6"/>
        <v>0.8633093525179856</v>
      </c>
    </row>
    <row r="26" spans="1:14" ht="13.5" customHeight="1">
      <c r="A26" s="31" t="s">
        <v>27</v>
      </c>
      <c r="B26" s="32">
        <v>451</v>
      </c>
      <c r="C26" s="33"/>
      <c r="D26" s="34">
        <f t="shared" si="8"/>
        <v>451</v>
      </c>
      <c r="E26" s="32">
        <v>376</v>
      </c>
      <c r="F26" s="33"/>
      <c r="G26" s="27">
        <f t="shared" si="9"/>
        <v>376</v>
      </c>
      <c r="H26" s="35">
        <f t="shared" si="2"/>
        <v>-75</v>
      </c>
      <c r="I26" s="36">
        <f t="shared" si="5"/>
        <v>0.8337028824833703</v>
      </c>
      <c r="J26" s="57">
        <v>450</v>
      </c>
      <c r="K26" s="33"/>
      <c r="L26" s="30">
        <f t="shared" si="10"/>
        <v>450</v>
      </c>
      <c r="M26" s="35">
        <f t="shared" si="4"/>
        <v>74</v>
      </c>
      <c r="N26" s="39">
        <f t="shared" si="6"/>
        <v>1.196808510638298</v>
      </c>
    </row>
    <row r="27" spans="1:14" ht="13.5" customHeight="1">
      <c r="A27" s="58" t="s">
        <v>28</v>
      </c>
      <c r="B27" s="37">
        <v>6307</v>
      </c>
      <c r="C27" s="33"/>
      <c r="D27" s="34">
        <f t="shared" si="8"/>
        <v>6307</v>
      </c>
      <c r="E27" s="37">
        <v>6898</v>
      </c>
      <c r="F27" s="33"/>
      <c r="G27" s="27">
        <f t="shared" si="9"/>
        <v>6898</v>
      </c>
      <c r="H27" s="35">
        <f t="shared" si="2"/>
        <v>591</v>
      </c>
      <c r="I27" s="36">
        <f t="shared" si="5"/>
        <v>1.0937054066909784</v>
      </c>
      <c r="J27" s="37">
        <f>J28+J31</f>
        <v>7440</v>
      </c>
      <c r="K27" s="33"/>
      <c r="L27" s="30">
        <f t="shared" si="10"/>
        <v>7440</v>
      </c>
      <c r="M27" s="35">
        <f t="shared" si="4"/>
        <v>542</v>
      </c>
      <c r="N27" s="39">
        <f t="shared" si="6"/>
        <v>1.0785734995650913</v>
      </c>
    </row>
    <row r="28" spans="1:14" ht="13.5" customHeight="1">
      <c r="A28" s="40" t="s">
        <v>29</v>
      </c>
      <c r="B28" s="32">
        <v>4608</v>
      </c>
      <c r="C28" s="33"/>
      <c r="D28" s="34">
        <f t="shared" si="8"/>
        <v>4608</v>
      </c>
      <c r="E28" s="32">
        <v>5044</v>
      </c>
      <c r="F28" s="33"/>
      <c r="G28" s="27">
        <f t="shared" si="9"/>
        <v>5044</v>
      </c>
      <c r="H28" s="35">
        <f t="shared" si="2"/>
        <v>436</v>
      </c>
      <c r="I28" s="36">
        <f t="shared" si="5"/>
        <v>1.0946180555555556</v>
      </c>
      <c r="J28" s="57">
        <f>J29+J30</f>
        <v>5430</v>
      </c>
      <c r="K28" s="59"/>
      <c r="L28" s="30">
        <f t="shared" si="10"/>
        <v>5430</v>
      </c>
      <c r="M28" s="35">
        <f t="shared" si="4"/>
        <v>386</v>
      </c>
      <c r="N28" s="39">
        <f t="shared" si="6"/>
        <v>1.0765265662172878</v>
      </c>
    </row>
    <row r="29" spans="1:14" ht="13.5" customHeight="1">
      <c r="A29" s="58" t="s">
        <v>30</v>
      </c>
      <c r="B29" s="32">
        <v>4586</v>
      </c>
      <c r="C29" s="33"/>
      <c r="D29" s="34">
        <f t="shared" si="8"/>
        <v>4586</v>
      </c>
      <c r="E29" s="32">
        <v>5015</v>
      </c>
      <c r="F29" s="33"/>
      <c r="G29" s="27">
        <f t="shared" si="9"/>
        <v>5015</v>
      </c>
      <c r="H29" s="35">
        <f t="shared" si="2"/>
        <v>429</v>
      </c>
      <c r="I29" s="36">
        <f t="shared" si="5"/>
        <v>1.093545573484518</v>
      </c>
      <c r="J29" s="37">
        <f>5159+231</f>
        <v>5390</v>
      </c>
      <c r="K29" s="33"/>
      <c r="L29" s="30">
        <f t="shared" si="10"/>
        <v>5390</v>
      </c>
      <c r="M29" s="35">
        <f t="shared" si="4"/>
        <v>375</v>
      </c>
      <c r="N29" s="39">
        <f t="shared" si="6"/>
        <v>1.074775672981057</v>
      </c>
    </row>
    <row r="30" spans="1:14" ht="13.5" customHeight="1">
      <c r="A30" s="40" t="s">
        <v>31</v>
      </c>
      <c r="B30" s="32">
        <v>22</v>
      </c>
      <c r="C30" s="33"/>
      <c r="D30" s="34">
        <f t="shared" si="8"/>
        <v>22</v>
      </c>
      <c r="E30" s="32">
        <v>29</v>
      </c>
      <c r="F30" s="33"/>
      <c r="G30" s="27">
        <f t="shared" si="9"/>
        <v>29</v>
      </c>
      <c r="H30" s="35">
        <f t="shared" si="2"/>
        <v>7</v>
      </c>
      <c r="I30" s="36">
        <f t="shared" si="5"/>
        <v>1.3181818181818181</v>
      </c>
      <c r="J30" s="37">
        <v>40</v>
      </c>
      <c r="K30" s="33"/>
      <c r="L30" s="30">
        <f t="shared" si="10"/>
        <v>40</v>
      </c>
      <c r="M30" s="35">
        <f t="shared" si="4"/>
        <v>11</v>
      </c>
      <c r="N30" s="39">
        <f t="shared" si="6"/>
        <v>1.3793103448275863</v>
      </c>
    </row>
    <row r="31" spans="1:14" ht="13.5" customHeight="1">
      <c r="A31" s="40" t="s">
        <v>32</v>
      </c>
      <c r="B31" s="32">
        <v>1698</v>
      </c>
      <c r="C31" s="33"/>
      <c r="D31" s="34">
        <f t="shared" si="8"/>
        <v>1698</v>
      </c>
      <c r="E31" s="32">
        <v>1854</v>
      </c>
      <c r="F31" s="33"/>
      <c r="G31" s="27">
        <f t="shared" si="9"/>
        <v>1854</v>
      </c>
      <c r="H31" s="35">
        <f t="shared" si="2"/>
        <v>156</v>
      </c>
      <c r="I31" s="36">
        <f t="shared" si="5"/>
        <v>1.0918727915194346</v>
      </c>
      <c r="J31" s="37">
        <f>1924+86</f>
        <v>2010</v>
      </c>
      <c r="K31" s="33"/>
      <c r="L31" s="30">
        <f t="shared" si="10"/>
        <v>2010</v>
      </c>
      <c r="M31" s="35">
        <f t="shared" si="4"/>
        <v>156</v>
      </c>
      <c r="N31" s="39">
        <f t="shared" si="6"/>
        <v>1.0841423948220066</v>
      </c>
    </row>
    <row r="32" spans="1:14" ht="13.5" customHeight="1">
      <c r="A32" s="58" t="s">
        <v>33</v>
      </c>
      <c r="B32" s="32">
        <v>0</v>
      </c>
      <c r="C32" s="33"/>
      <c r="D32" s="34">
        <f t="shared" si="8"/>
        <v>0</v>
      </c>
      <c r="E32" s="32">
        <v>0</v>
      </c>
      <c r="F32" s="33"/>
      <c r="G32" s="27">
        <f t="shared" si="9"/>
        <v>0</v>
      </c>
      <c r="H32" s="35">
        <f t="shared" si="2"/>
        <v>0</v>
      </c>
      <c r="I32" s="36"/>
      <c r="J32" s="37">
        <v>0</v>
      </c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229</v>
      </c>
      <c r="C33" s="33"/>
      <c r="D33" s="34">
        <f t="shared" si="8"/>
        <v>229</v>
      </c>
      <c r="E33" s="32">
        <v>276</v>
      </c>
      <c r="F33" s="33"/>
      <c r="G33" s="27">
        <f t="shared" si="9"/>
        <v>276</v>
      </c>
      <c r="H33" s="35">
        <f t="shared" si="2"/>
        <v>47</v>
      </c>
      <c r="I33" s="36">
        <f t="shared" si="5"/>
        <v>1.205240174672489</v>
      </c>
      <c r="J33" s="37">
        <v>300</v>
      </c>
      <c r="K33" s="33"/>
      <c r="L33" s="30">
        <f t="shared" si="10"/>
        <v>300</v>
      </c>
      <c r="M33" s="35">
        <f t="shared" si="4"/>
        <v>24</v>
      </c>
      <c r="N33" s="39">
        <f t="shared" si="6"/>
        <v>1.0869565217391304</v>
      </c>
    </row>
    <row r="34" spans="1:14" ht="13.5" customHeight="1">
      <c r="A34" s="40" t="s">
        <v>35</v>
      </c>
      <c r="B34" s="32">
        <v>348</v>
      </c>
      <c r="C34" s="33"/>
      <c r="D34" s="34">
        <f t="shared" si="8"/>
        <v>348</v>
      </c>
      <c r="E34" s="32">
        <v>507</v>
      </c>
      <c r="F34" s="33"/>
      <c r="G34" s="27">
        <f t="shared" si="9"/>
        <v>507</v>
      </c>
      <c r="H34" s="35">
        <f t="shared" si="2"/>
        <v>159</v>
      </c>
      <c r="I34" s="36">
        <f t="shared" si="5"/>
        <v>1.456896551724138</v>
      </c>
      <c r="J34" s="57">
        <v>534</v>
      </c>
      <c r="K34" s="33"/>
      <c r="L34" s="30">
        <f t="shared" si="10"/>
        <v>534</v>
      </c>
      <c r="M34" s="35">
        <f t="shared" si="4"/>
        <v>27</v>
      </c>
      <c r="N34" s="39">
        <f t="shared" si="6"/>
        <v>1.0532544378698225</v>
      </c>
    </row>
    <row r="35" spans="1:14" ht="22.5" customHeight="1">
      <c r="A35" s="40" t="s">
        <v>36</v>
      </c>
      <c r="B35" s="32">
        <v>348</v>
      </c>
      <c r="C35" s="33"/>
      <c r="D35" s="34">
        <f t="shared" si="8"/>
        <v>348</v>
      </c>
      <c r="E35" s="32">
        <v>507</v>
      </c>
      <c r="F35" s="33"/>
      <c r="G35" s="27">
        <f t="shared" si="9"/>
        <v>507</v>
      </c>
      <c r="H35" s="35">
        <f t="shared" si="2"/>
        <v>159</v>
      </c>
      <c r="I35" s="36">
        <f t="shared" si="5"/>
        <v>1.456896551724138</v>
      </c>
      <c r="J35" s="57">
        <v>534</v>
      </c>
      <c r="K35" s="33"/>
      <c r="L35" s="30">
        <f t="shared" si="10"/>
        <v>534</v>
      </c>
      <c r="M35" s="35">
        <f t="shared" si="4"/>
        <v>27</v>
      </c>
      <c r="N35" s="39">
        <f t="shared" si="6"/>
        <v>1.0532544378698225</v>
      </c>
    </row>
    <row r="36" spans="1:14" ht="13.5" customHeight="1" thickBot="1">
      <c r="A36" s="60" t="s">
        <v>37</v>
      </c>
      <c r="B36" s="41">
        <v>0</v>
      </c>
      <c r="C36" s="42"/>
      <c r="D36" s="34">
        <f t="shared" si="8"/>
        <v>0</v>
      </c>
      <c r="E36" s="41">
        <v>0</v>
      </c>
      <c r="F36" s="42"/>
      <c r="G36" s="27">
        <f t="shared" si="9"/>
        <v>0</v>
      </c>
      <c r="H36" s="43">
        <f t="shared" si="2"/>
        <v>0</v>
      </c>
      <c r="I36" s="44"/>
      <c r="J36" s="61">
        <v>0</v>
      </c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11843</v>
      </c>
      <c r="C37" s="48">
        <f t="shared" si="11"/>
        <v>0</v>
      </c>
      <c r="D37" s="49">
        <f t="shared" si="11"/>
        <v>11843</v>
      </c>
      <c r="E37" s="47">
        <f t="shared" si="11"/>
        <v>12556</v>
      </c>
      <c r="F37" s="48">
        <f t="shared" si="11"/>
        <v>0</v>
      </c>
      <c r="G37" s="49">
        <f t="shared" si="11"/>
        <v>12556</v>
      </c>
      <c r="H37" s="50">
        <f t="shared" si="2"/>
        <v>713</v>
      </c>
      <c r="I37" s="51">
        <f t="shared" si="5"/>
        <v>1.0602043401165244</v>
      </c>
      <c r="J37" s="52">
        <f>SUM(J19+J21+J22+J23+J24+J27+J32+J33+J34+J36)</f>
        <v>13315</v>
      </c>
      <c r="K37" s="48">
        <f>SUM(K19+K21+K22+K23+K24+K27+K32+K33+K34+K36)</f>
        <v>0</v>
      </c>
      <c r="L37" s="49">
        <f>SUM(L19+L21+L22+L23+L24+L27+L32+L33+L34+L36)</f>
        <v>13315</v>
      </c>
      <c r="M37" s="50">
        <f t="shared" si="4"/>
        <v>759</v>
      </c>
      <c r="N37" s="53">
        <f t="shared" si="6"/>
        <v>1.0604491876393756</v>
      </c>
    </row>
    <row r="38" spans="1:14" ht="13.5" customHeight="1" thickBot="1">
      <c r="A38" s="46" t="s">
        <v>39</v>
      </c>
      <c r="B38" s="680">
        <f>+D18-D37</f>
        <v>30</v>
      </c>
      <c r="C38" s="681"/>
      <c r="D38" s="682"/>
      <c r="E38" s="680">
        <f>+G18-G37</f>
        <v>235</v>
      </c>
      <c r="F38" s="681"/>
      <c r="G38" s="682">
        <v>-50784</v>
      </c>
      <c r="H38" s="62">
        <f>+E38-B38</f>
        <v>205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296</v>
      </c>
      <c r="B43" s="683"/>
      <c r="C43" s="66">
        <v>130</v>
      </c>
      <c r="D43" s="679" t="s">
        <v>297</v>
      </c>
      <c r="E43" s="657"/>
      <c r="F43" s="657"/>
      <c r="G43" s="67">
        <v>496</v>
      </c>
      <c r="H43" s="658" t="s">
        <v>298</v>
      </c>
      <c r="I43" s="659"/>
      <c r="J43" s="659"/>
      <c r="K43" s="659"/>
      <c r="L43" s="68">
        <v>300</v>
      </c>
      <c r="O43"/>
      <c r="P43"/>
    </row>
    <row r="44" spans="1:16" ht="12.75">
      <c r="A44" s="639" t="s">
        <v>299</v>
      </c>
      <c r="B44" s="646"/>
      <c r="C44" s="69">
        <v>49</v>
      </c>
      <c r="D44" s="679" t="s">
        <v>96</v>
      </c>
      <c r="E44" s="657"/>
      <c r="F44" s="657"/>
      <c r="G44" s="70">
        <v>34</v>
      </c>
      <c r="H44" s="658" t="s">
        <v>300</v>
      </c>
      <c r="I44" s="659"/>
      <c r="J44" s="659"/>
      <c r="K44" s="659"/>
      <c r="L44" s="68">
        <v>170</v>
      </c>
      <c r="O44"/>
      <c r="P44"/>
    </row>
    <row r="45" spans="1:16" ht="12.75">
      <c r="A45" s="639" t="s">
        <v>301</v>
      </c>
      <c r="B45" s="646"/>
      <c r="C45" s="69">
        <v>392</v>
      </c>
      <c r="D45" s="679"/>
      <c r="E45" s="657"/>
      <c r="F45" s="657"/>
      <c r="G45" s="70"/>
      <c r="H45" s="658" t="s">
        <v>96</v>
      </c>
      <c r="I45" s="659"/>
      <c r="J45" s="659"/>
      <c r="K45" s="659"/>
      <c r="L45" s="68">
        <v>91</v>
      </c>
      <c r="O45"/>
      <c r="P45"/>
    </row>
    <row r="46" spans="1:16" ht="12.75">
      <c r="A46" s="647"/>
      <c r="B46" s="674"/>
      <c r="C46" s="71"/>
      <c r="D46" s="647"/>
      <c r="E46" s="648"/>
      <c r="F46" s="674"/>
      <c r="G46" s="72"/>
      <c r="H46" s="643" t="s">
        <v>532</v>
      </c>
      <c r="I46" s="644"/>
      <c r="J46" s="644"/>
      <c r="K46" s="645"/>
      <c r="L46" s="68">
        <v>80</v>
      </c>
      <c r="O46"/>
      <c r="P46"/>
    </row>
    <row r="47" spans="1:16" ht="12.75">
      <c r="A47" s="647"/>
      <c r="B47" s="674"/>
      <c r="C47" s="71"/>
      <c r="D47" s="647"/>
      <c r="E47" s="648"/>
      <c r="F47" s="674"/>
      <c r="G47" s="72"/>
      <c r="H47" s="643"/>
      <c r="I47" s="644"/>
      <c r="J47" s="644"/>
      <c r="K47" s="645"/>
      <c r="L47" s="68"/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/>
      <c r="I48" s="644"/>
      <c r="J48" s="644"/>
      <c r="K48" s="645"/>
      <c r="L48" s="68"/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/>
      <c r="B50" s="635"/>
      <c r="C50" s="73">
        <f>SUM(C43:C49)</f>
        <v>571</v>
      </c>
      <c r="D50" s="660" t="s">
        <v>5</v>
      </c>
      <c r="E50" s="661"/>
      <c r="F50" s="661"/>
      <c r="G50" s="73">
        <f>SUM(G43:G44)</f>
        <v>530</v>
      </c>
      <c r="H50" s="637" t="s">
        <v>5</v>
      </c>
      <c r="I50" s="638"/>
      <c r="J50" s="638"/>
      <c r="K50" s="638"/>
      <c r="L50" s="73">
        <f>SUM(L43:L49)</f>
        <v>641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302</v>
      </c>
      <c r="B54" s="655"/>
      <c r="C54" s="66">
        <v>125</v>
      </c>
      <c r="D54" s="656" t="s">
        <v>242</v>
      </c>
      <c r="E54" s="657"/>
      <c r="F54" s="657"/>
      <c r="G54" s="76">
        <v>197</v>
      </c>
      <c r="H54" s="658" t="s">
        <v>303</v>
      </c>
      <c r="I54" s="659"/>
      <c r="J54" s="659"/>
      <c r="K54" s="659"/>
      <c r="L54" s="68">
        <v>200</v>
      </c>
      <c r="O54"/>
      <c r="P54"/>
    </row>
    <row r="55" spans="1:16" ht="13.5" customHeight="1">
      <c r="A55" s="639" t="s">
        <v>304</v>
      </c>
      <c r="B55" s="649"/>
      <c r="C55" s="69">
        <v>367</v>
      </c>
      <c r="D55" s="642" t="s">
        <v>305</v>
      </c>
      <c r="E55" s="646"/>
      <c r="F55" s="646"/>
      <c r="G55" s="77">
        <v>346</v>
      </c>
      <c r="H55" s="650" t="s">
        <v>306</v>
      </c>
      <c r="I55" s="651"/>
      <c r="J55" s="651"/>
      <c r="K55" s="651"/>
      <c r="L55" s="78">
        <v>100</v>
      </c>
      <c r="O55"/>
      <c r="P55"/>
    </row>
    <row r="56" spans="1:16" ht="13.5" customHeight="1">
      <c r="A56" s="639" t="s">
        <v>307</v>
      </c>
      <c r="B56" s="640"/>
      <c r="C56" s="69">
        <v>67</v>
      </c>
      <c r="D56" s="642" t="s">
        <v>308</v>
      </c>
      <c r="E56" s="646"/>
      <c r="F56" s="646"/>
      <c r="G56" s="77">
        <v>152</v>
      </c>
      <c r="H56" s="643" t="s">
        <v>308</v>
      </c>
      <c r="I56" s="644"/>
      <c r="J56" s="644"/>
      <c r="K56" s="645"/>
      <c r="L56" s="78">
        <v>150</v>
      </c>
      <c r="O56"/>
      <c r="P56"/>
    </row>
    <row r="57" spans="1:16" ht="13.5" customHeight="1">
      <c r="A57" s="639" t="s">
        <v>309</v>
      </c>
      <c r="B57" s="640"/>
      <c r="C57" s="69">
        <v>86</v>
      </c>
      <c r="D57" s="642"/>
      <c r="E57" s="646"/>
      <c r="F57" s="646"/>
      <c r="G57" s="77"/>
      <c r="H57" s="643" t="s">
        <v>310</v>
      </c>
      <c r="I57" s="644"/>
      <c r="J57" s="644"/>
      <c r="K57" s="645"/>
      <c r="L57" s="78">
        <v>150</v>
      </c>
      <c r="O57"/>
      <c r="P57"/>
    </row>
    <row r="58" spans="1:16" ht="13.5" customHeight="1">
      <c r="A58" s="647"/>
      <c r="B58" s="648"/>
      <c r="C58" s="71"/>
      <c r="D58" s="641"/>
      <c r="E58" s="641"/>
      <c r="F58" s="642"/>
      <c r="G58" s="178"/>
      <c r="H58" s="643"/>
      <c r="I58" s="644"/>
      <c r="J58" s="644"/>
      <c r="K58" s="645"/>
      <c r="L58" s="79"/>
      <c r="O58"/>
      <c r="P58"/>
    </row>
    <row r="59" spans="1:16" ht="13.5" customHeight="1">
      <c r="A59" s="639"/>
      <c r="B59" s="640"/>
      <c r="C59" s="71"/>
      <c r="D59" s="641"/>
      <c r="E59" s="641"/>
      <c r="F59" s="642"/>
      <c r="G59" s="178"/>
      <c r="H59" s="643"/>
      <c r="I59" s="644"/>
      <c r="J59" s="644"/>
      <c r="K59" s="645"/>
      <c r="L59" s="79"/>
      <c r="O59"/>
      <c r="P59"/>
    </row>
    <row r="60" spans="1:16" ht="13.5" customHeight="1">
      <c r="A60" s="639"/>
      <c r="B60" s="640"/>
      <c r="C60" s="69"/>
      <c r="D60" s="642"/>
      <c r="E60" s="646"/>
      <c r="F60" s="646"/>
      <c r="G60" s="77"/>
      <c r="H60" s="643"/>
      <c r="I60" s="644"/>
      <c r="J60" s="644"/>
      <c r="K60" s="645"/>
      <c r="L60" s="78"/>
      <c r="O60"/>
      <c r="P60"/>
    </row>
    <row r="61" spans="1:16" ht="13.5" thickBot="1">
      <c r="A61" s="627"/>
      <c r="B61" s="628"/>
      <c r="C61" s="80"/>
      <c r="D61" s="629"/>
      <c r="E61" s="630"/>
      <c r="F61" s="630"/>
      <c r="G61" s="81"/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73">
        <f>SUM(C54:C61)</f>
        <v>645</v>
      </c>
      <c r="D62" s="635" t="s">
        <v>5</v>
      </c>
      <c r="E62" s="636"/>
      <c r="F62" s="636"/>
      <c r="G62" s="83">
        <f>SUM(G54:G61)</f>
        <v>695</v>
      </c>
      <c r="H62" s="637" t="s">
        <v>5</v>
      </c>
      <c r="I62" s="638"/>
      <c r="J62" s="638"/>
      <c r="K62" s="638"/>
      <c r="L62" s="73">
        <f>SUM(L54:L61)</f>
        <v>600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93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126</v>
      </c>
      <c r="I67" s="580" t="s">
        <v>179</v>
      </c>
      <c r="J67" s="582"/>
      <c r="K67" s="582"/>
      <c r="L67" s="157">
        <v>80</v>
      </c>
      <c r="M67" s="84"/>
      <c r="N67" s="84"/>
    </row>
    <row r="68" spans="1:14" s="1" customFormat="1" ht="12.75">
      <c r="A68" s="158" t="s">
        <v>174</v>
      </c>
      <c r="B68" s="151">
        <v>24</v>
      </c>
      <c r="C68" s="583"/>
      <c r="D68" s="583"/>
      <c r="E68" s="159"/>
      <c r="F68" s="584" t="s">
        <v>177</v>
      </c>
      <c r="G68" s="585"/>
      <c r="H68" s="151">
        <v>188</v>
      </c>
      <c r="I68" s="583"/>
      <c r="J68" s="585"/>
      <c r="K68" s="585"/>
      <c r="L68" s="159"/>
      <c r="M68" s="84"/>
      <c r="N68" s="84"/>
    </row>
    <row r="69" spans="1:14" s="1" customFormat="1" ht="12.75">
      <c r="A69" s="158" t="s">
        <v>175</v>
      </c>
      <c r="B69" s="151">
        <v>9</v>
      </c>
      <c r="C69" s="583"/>
      <c r="D69" s="583"/>
      <c r="E69" s="159"/>
      <c r="F69" s="583" t="s">
        <v>175</v>
      </c>
      <c r="G69" s="583"/>
      <c r="H69" s="151">
        <v>0</v>
      </c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126</v>
      </c>
      <c r="C71" s="589" t="s">
        <v>5</v>
      </c>
      <c r="D71" s="589"/>
      <c r="E71" s="165">
        <f>SUM(E67:E70)</f>
        <v>0</v>
      </c>
      <c r="F71" s="590" t="s">
        <v>5</v>
      </c>
      <c r="G71" s="591"/>
      <c r="H71" s="161">
        <f>SUM(H67:H70)</f>
        <v>314</v>
      </c>
      <c r="I71" s="589" t="s">
        <v>5</v>
      </c>
      <c r="J71" s="591"/>
      <c r="K71" s="591"/>
      <c r="L71" s="165">
        <f>SUM(L67:L70)</f>
        <v>80</v>
      </c>
      <c r="M71" s="84"/>
      <c r="N71" s="84"/>
    </row>
    <row r="72" spans="1:14" s="1" customFormat="1" ht="13.5" thickBot="1">
      <c r="A72" s="181" t="s">
        <v>534</v>
      </c>
      <c r="B72" s="182">
        <f>B71-E71</f>
        <v>126</v>
      </c>
      <c r="C72" s="84"/>
      <c r="D72" s="84"/>
      <c r="E72" s="84"/>
      <c r="F72" s="592" t="s">
        <v>534</v>
      </c>
      <c r="G72" s="593"/>
      <c r="H72" s="183">
        <f>H71-L71</f>
        <v>234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3.5" thickBot="1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6" ht="12.75">
      <c r="A75" s="601" t="s">
        <v>73</v>
      </c>
      <c r="B75" s="604" t="s">
        <v>74</v>
      </c>
      <c r="C75" s="607" t="s">
        <v>477</v>
      </c>
      <c r="D75" s="608"/>
      <c r="E75" s="608"/>
      <c r="F75" s="608"/>
      <c r="G75" s="608"/>
      <c r="H75" s="608"/>
      <c r="I75" s="609"/>
      <c r="J75" s="610" t="s">
        <v>75</v>
      </c>
      <c r="K75" s="175"/>
      <c r="L75" s="718" t="s">
        <v>48</v>
      </c>
      <c r="M75" s="719"/>
      <c r="N75" s="722">
        <v>2004</v>
      </c>
      <c r="O75" s="724">
        <v>2005</v>
      </c>
      <c r="P75"/>
    </row>
    <row r="76" spans="1:16" ht="13.5" thickBot="1">
      <c r="A76" s="602"/>
      <c r="B76" s="605"/>
      <c r="C76" s="596" t="s">
        <v>76</v>
      </c>
      <c r="D76" s="598" t="s">
        <v>77</v>
      </c>
      <c r="E76" s="599"/>
      <c r="F76" s="599"/>
      <c r="G76" s="599"/>
      <c r="H76" s="599"/>
      <c r="I76" s="600"/>
      <c r="J76" s="611"/>
      <c r="K76" s="176"/>
      <c r="L76" s="720"/>
      <c r="M76" s="721"/>
      <c r="N76" s="723"/>
      <c r="O76" s="725"/>
      <c r="P76"/>
    </row>
    <row r="77" spans="1:16" ht="13.5" thickBot="1">
      <c r="A77" s="603"/>
      <c r="B77" s="606"/>
      <c r="C77" s="597"/>
      <c r="D77" s="115">
        <v>1</v>
      </c>
      <c r="E77" s="115">
        <v>2</v>
      </c>
      <c r="F77" s="115">
        <v>3</v>
      </c>
      <c r="G77" s="115">
        <v>4</v>
      </c>
      <c r="H77" s="115">
        <v>5</v>
      </c>
      <c r="I77" s="172">
        <v>6</v>
      </c>
      <c r="J77" s="612"/>
      <c r="K77" s="177"/>
      <c r="L77" s="173" t="s">
        <v>49</v>
      </c>
      <c r="M77" s="174"/>
      <c r="N77" s="166">
        <v>0</v>
      </c>
      <c r="O77" s="167">
        <v>0</v>
      </c>
      <c r="P77"/>
    </row>
    <row r="78" spans="1:16" ht="13.5" thickBot="1">
      <c r="A78" s="116">
        <v>14105</v>
      </c>
      <c r="B78" s="117">
        <v>3629</v>
      </c>
      <c r="C78" s="170">
        <f>SUM(D78:I78)</f>
        <v>534</v>
      </c>
      <c r="D78" s="171">
        <v>105</v>
      </c>
      <c r="E78" s="171">
        <v>329</v>
      </c>
      <c r="F78" s="171">
        <v>9</v>
      </c>
      <c r="G78" s="171">
        <v>0</v>
      </c>
      <c r="H78" s="170">
        <v>91</v>
      </c>
      <c r="I78" s="185">
        <v>0</v>
      </c>
      <c r="J78" s="118">
        <f>SUM(A78-B78-C78)</f>
        <v>9942</v>
      </c>
      <c r="K78" s="177"/>
      <c r="L78" s="726" t="s">
        <v>50</v>
      </c>
      <c r="M78" s="727"/>
      <c r="N78" s="87">
        <v>0</v>
      </c>
      <c r="O78" s="88">
        <v>0</v>
      </c>
      <c r="P78"/>
    </row>
    <row r="79" spans="1:15" s="1" customFormat="1" ht="13.5" thickBot="1">
      <c r="A79" s="85"/>
      <c r="B79" s="86"/>
      <c r="C79" s="86"/>
      <c r="D79" s="86"/>
      <c r="E79" s="2"/>
      <c r="F79" s="4"/>
      <c r="G79" s="4"/>
      <c r="H79" s="85"/>
      <c r="I79" s="86"/>
      <c r="J79" s="86"/>
      <c r="K79" s="86"/>
      <c r="L79" s="728" t="s">
        <v>178</v>
      </c>
      <c r="M79" s="729"/>
      <c r="N79" s="168">
        <v>0</v>
      </c>
      <c r="O79" s="169">
        <v>0</v>
      </c>
    </row>
    <row r="80" spans="1:12" s="1" customFormat="1" ht="13.5" thickBot="1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618" t="s">
        <v>112</v>
      </c>
      <c r="B81" s="620" t="s">
        <v>482</v>
      </c>
      <c r="C81" s="622" t="s">
        <v>480</v>
      </c>
      <c r="D81" s="623"/>
      <c r="E81" s="623"/>
      <c r="F81" s="624"/>
      <c r="G81" s="625" t="s">
        <v>483</v>
      </c>
      <c r="H81" s="613" t="s">
        <v>78</v>
      </c>
      <c r="I81" s="615" t="s">
        <v>481</v>
      </c>
      <c r="J81" s="616"/>
      <c r="K81" s="616"/>
      <c r="L81" s="617"/>
    </row>
    <row r="82" spans="1:12" s="1" customFormat="1" ht="18.75" thickBot="1">
      <c r="A82" s="619"/>
      <c r="B82" s="621"/>
      <c r="C82" s="119" t="s">
        <v>81</v>
      </c>
      <c r="D82" s="120" t="s">
        <v>79</v>
      </c>
      <c r="E82" s="120" t="s">
        <v>80</v>
      </c>
      <c r="F82" s="121" t="s">
        <v>114</v>
      </c>
      <c r="G82" s="626"/>
      <c r="H82" s="614"/>
      <c r="I82" s="455" t="s">
        <v>484</v>
      </c>
      <c r="J82" s="456" t="s">
        <v>79</v>
      </c>
      <c r="K82" s="456" t="s">
        <v>80</v>
      </c>
      <c r="L82" s="457" t="s">
        <v>485</v>
      </c>
    </row>
    <row r="83" spans="1:12" s="1" customFormat="1" ht="12.75">
      <c r="A83" s="122" t="s">
        <v>82</v>
      </c>
      <c r="B83" s="123">
        <v>595</v>
      </c>
      <c r="C83" s="124" t="s">
        <v>83</v>
      </c>
      <c r="D83" s="125" t="s">
        <v>83</v>
      </c>
      <c r="E83" s="125" t="s">
        <v>83</v>
      </c>
      <c r="F83" s="126" t="s">
        <v>83</v>
      </c>
      <c r="G83" s="127">
        <v>785</v>
      </c>
      <c r="H83" s="453">
        <f>B83-G83</f>
        <v>-190</v>
      </c>
      <c r="I83" s="458" t="s">
        <v>83</v>
      </c>
      <c r="J83" s="459" t="s">
        <v>83</v>
      </c>
      <c r="K83" s="459" t="s">
        <v>83</v>
      </c>
      <c r="L83" s="460" t="s">
        <v>83</v>
      </c>
    </row>
    <row r="84" spans="1:12" s="1" customFormat="1" ht="12.75">
      <c r="A84" s="128" t="s">
        <v>84</v>
      </c>
      <c r="B84" s="129">
        <v>0</v>
      </c>
      <c r="C84" s="130">
        <v>36.59</v>
      </c>
      <c r="D84" s="131">
        <v>6</v>
      </c>
      <c r="E84" s="131">
        <v>0</v>
      </c>
      <c r="F84" s="132">
        <v>43</v>
      </c>
      <c r="G84" s="133">
        <v>0</v>
      </c>
      <c r="H84" s="453">
        <f>+G84-F84</f>
        <v>-43</v>
      </c>
      <c r="I84" s="130">
        <v>43</v>
      </c>
      <c r="J84" s="131">
        <v>47</v>
      </c>
      <c r="K84" s="131">
        <v>0</v>
      </c>
      <c r="L84" s="132">
        <f>I84+J84-K84</f>
        <v>90</v>
      </c>
    </row>
    <row r="85" spans="1:12" s="1" customFormat="1" ht="12.75">
      <c r="A85" s="128" t="s">
        <v>85</v>
      </c>
      <c r="B85" s="129">
        <v>0</v>
      </c>
      <c r="C85" s="130">
        <v>92.83</v>
      </c>
      <c r="D85" s="131">
        <v>33</v>
      </c>
      <c r="E85" s="131">
        <v>0</v>
      </c>
      <c r="F85" s="132">
        <v>126.44</v>
      </c>
      <c r="G85" s="133">
        <v>0</v>
      </c>
      <c r="H85" s="453">
        <f>+G85-F85</f>
        <v>-126.44</v>
      </c>
      <c r="I85" s="130">
        <v>126</v>
      </c>
      <c r="J85" s="131">
        <v>188</v>
      </c>
      <c r="K85" s="131">
        <v>80</v>
      </c>
      <c r="L85" s="132">
        <f>I85+J85-K85</f>
        <v>234</v>
      </c>
    </row>
    <row r="86" spans="1:12" s="1" customFormat="1" ht="12.75">
      <c r="A86" s="128" t="s">
        <v>113</v>
      </c>
      <c r="B86" s="129">
        <v>0</v>
      </c>
      <c r="C86" s="130">
        <v>49.56</v>
      </c>
      <c r="D86" s="131">
        <v>507</v>
      </c>
      <c r="E86" s="131">
        <v>530</v>
      </c>
      <c r="F86" s="132">
        <v>26.84</v>
      </c>
      <c r="G86" s="133">
        <v>0</v>
      </c>
      <c r="H86" s="453">
        <f>+G86-F86</f>
        <v>-26.84</v>
      </c>
      <c r="I86" s="461">
        <v>27</v>
      </c>
      <c r="J86" s="447">
        <f>534+80</f>
        <v>614</v>
      </c>
      <c r="K86" s="447">
        <f>561+80</f>
        <v>641</v>
      </c>
      <c r="L86" s="132">
        <f>I86+J86-K86</f>
        <v>0</v>
      </c>
    </row>
    <row r="87" spans="1:12" s="1" customFormat="1" ht="12.75">
      <c r="A87" s="128" t="s">
        <v>86</v>
      </c>
      <c r="B87" s="129">
        <v>595</v>
      </c>
      <c r="C87" s="146" t="s">
        <v>83</v>
      </c>
      <c r="D87" s="125" t="s">
        <v>83</v>
      </c>
      <c r="E87" s="147" t="s">
        <v>83</v>
      </c>
      <c r="F87" s="148" t="s">
        <v>83</v>
      </c>
      <c r="G87" s="133">
        <v>785</v>
      </c>
      <c r="H87" s="453">
        <f>B87-G87</f>
        <v>-190</v>
      </c>
      <c r="I87" s="124" t="s">
        <v>83</v>
      </c>
      <c r="J87" s="125" t="s">
        <v>83</v>
      </c>
      <c r="K87" s="125" t="s">
        <v>83</v>
      </c>
      <c r="L87" s="462">
        <v>0</v>
      </c>
    </row>
    <row r="88" spans="1:12" s="1" customFormat="1" ht="13.5" thickBot="1">
      <c r="A88" s="134" t="s">
        <v>87</v>
      </c>
      <c r="B88" s="135">
        <v>111.41</v>
      </c>
      <c r="C88" s="136">
        <v>153.68</v>
      </c>
      <c r="D88" s="137">
        <v>100</v>
      </c>
      <c r="E88" s="137">
        <v>110</v>
      </c>
      <c r="F88" s="138">
        <v>144</v>
      </c>
      <c r="G88" s="139">
        <v>102</v>
      </c>
      <c r="H88" s="454">
        <f>+G88-F88</f>
        <v>-42</v>
      </c>
      <c r="I88" s="136">
        <v>144</v>
      </c>
      <c r="J88" s="137">
        <v>107</v>
      </c>
      <c r="K88" s="137">
        <v>117</v>
      </c>
      <c r="L88" s="138">
        <f>I88+J88-K88</f>
        <v>134</v>
      </c>
    </row>
    <row r="89" spans="1:12" s="1" customFormat="1" ht="12.75">
      <c r="A89" s="85"/>
      <c r="B89" s="86"/>
      <c r="C89" s="86"/>
      <c r="D89" s="86"/>
      <c r="E89" s="2"/>
      <c r="F89" s="4"/>
      <c r="G89" s="4"/>
      <c r="H89" s="85"/>
      <c r="I89" s="86"/>
      <c r="J89" s="86"/>
      <c r="K89" s="86"/>
      <c r="L89" s="2"/>
    </row>
    <row r="90" ht="13.5" thickBot="1"/>
    <row r="91" spans="1:12" ht="12.75">
      <c r="A91" s="690" t="s">
        <v>205</v>
      </c>
      <c r="B91" s="666" t="s">
        <v>5</v>
      </c>
      <c r="C91" s="666" t="s">
        <v>88</v>
      </c>
      <c r="D91" s="693"/>
      <c r="E91" s="693"/>
      <c r="F91" s="693"/>
      <c r="G91" s="693"/>
      <c r="H91" s="694"/>
      <c r="I91" s="89"/>
      <c r="J91" s="695" t="s">
        <v>51</v>
      </c>
      <c r="K91" s="663"/>
      <c r="L91" s="696"/>
    </row>
    <row r="92" spans="1:12" ht="13.5" thickBot="1">
      <c r="A92" s="691"/>
      <c r="B92" s="692"/>
      <c r="C92" s="140" t="s">
        <v>89</v>
      </c>
      <c r="D92" s="141" t="s">
        <v>90</v>
      </c>
      <c r="E92" s="141" t="s">
        <v>91</v>
      </c>
      <c r="F92" s="141" t="s">
        <v>92</v>
      </c>
      <c r="G92" s="142" t="s">
        <v>93</v>
      </c>
      <c r="H92" s="143" t="s">
        <v>76</v>
      </c>
      <c r="I92" s="89"/>
      <c r="J92" s="90"/>
      <c r="K92" s="91" t="s">
        <v>52</v>
      </c>
      <c r="L92" s="92" t="s">
        <v>53</v>
      </c>
    </row>
    <row r="93" spans="1:12" ht="12.75">
      <c r="A93" s="144" t="s">
        <v>94</v>
      </c>
      <c r="B93" s="129">
        <v>0</v>
      </c>
      <c r="C93" s="131">
        <v>0</v>
      </c>
      <c r="D93" s="131"/>
      <c r="E93" s="131"/>
      <c r="F93" s="131"/>
      <c r="G93" s="129"/>
      <c r="H93" s="132">
        <f>SUM(C93:G93)</f>
        <v>0</v>
      </c>
      <c r="I93" s="89"/>
      <c r="J93" s="93">
        <v>2005</v>
      </c>
      <c r="K93" s="94">
        <v>5049</v>
      </c>
      <c r="L93" s="95">
        <f>G29</f>
        <v>5015</v>
      </c>
    </row>
    <row r="94" spans="1:12" ht="13.5" thickBot="1">
      <c r="A94" s="145" t="s">
        <v>95</v>
      </c>
      <c r="B94" s="135">
        <v>0</v>
      </c>
      <c r="C94" s="137">
        <v>0</v>
      </c>
      <c r="D94" s="137"/>
      <c r="E94" s="137"/>
      <c r="F94" s="137"/>
      <c r="G94" s="135"/>
      <c r="H94" s="138">
        <f>SUM(C94:G94)</f>
        <v>0</v>
      </c>
      <c r="I94" s="89"/>
      <c r="J94" s="96">
        <v>2006</v>
      </c>
      <c r="K94" s="97">
        <f>L29</f>
        <v>5390</v>
      </c>
      <c r="L94" s="98"/>
    </row>
    <row r="95" ht="12.75" customHeight="1"/>
    <row r="96" ht="13.5" thickBot="1"/>
    <row r="97" spans="1:10" ht="21" customHeight="1">
      <c r="A97" s="697" t="s">
        <v>54</v>
      </c>
      <c r="B97" s="699" t="s">
        <v>55</v>
      </c>
      <c r="C97" s="700"/>
      <c r="D97" s="701"/>
      <c r="E97" s="699" t="s">
        <v>206</v>
      </c>
      <c r="F97" s="700"/>
      <c r="G97" s="702"/>
      <c r="H97" s="703" t="s">
        <v>56</v>
      </c>
      <c r="I97" s="700"/>
      <c r="J97" s="702"/>
    </row>
    <row r="98" spans="1:10" ht="12.75">
      <c r="A98" s="698"/>
      <c r="B98" s="99">
        <v>2004</v>
      </c>
      <c r="C98" s="99">
        <v>2005</v>
      </c>
      <c r="D98" s="99" t="s">
        <v>57</v>
      </c>
      <c r="E98" s="99">
        <v>2004</v>
      </c>
      <c r="F98" s="99">
        <v>2005</v>
      </c>
      <c r="G98" s="100" t="s">
        <v>57</v>
      </c>
      <c r="H98" s="101">
        <v>2004</v>
      </c>
      <c r="I98" s="99">
        <v>2005</v>
      </c>
      <c r="J98" s="100" t="s">
        <v>57</v>
      </c>
    </row>
    <row r="99" spans="1:10" ht="18.75">
      <c r="A99" s="102" t="s">
        <v>58</v>
      </c>
      <c r="B99" s="103">
        <v>3</v>
      </c>
      <c r="C99" s="103">
        <v>3</v>
      </c>
      <c r="D99" s="103">
        <f>+C99-B99</f>
        <v>0</v>
      </c>
      <c r="E99" s="103">
        <v>3</v>
      </c>
      <c r="F99" s="103">
        <v>3</v>
      </c>
      <c r="G99" s="104">
        <f>+F99-E99</f>
        <v>0</v>
      </c>
      <c r="H99" s="105">
        <v>19916</v>
      </c>
      <c r="I99" s="106">
        <v>21724</v>
      </c>
      <c r="J99" s="107">
        <f>+I99-H99</f>
        <v>1808</v>
      </c>
    </row>
    <row r="100" spans="1:10" ht="12.75">
      <c r="A100" s="102" t="s">
        <v>98</v>
      </c>
      <c r="B100" s="103">
        <v>6.7</v>
      </c>
      <c r="C100" s="103">
        <v>7.1</v>
      </c>
      <c r="D100" s="103">
        <f aca="true" t="shared" si="12" ref="D100:D109">+C100-B100</f>
        <v>0.39999999999999947</v>
      </c>
      <c r="E100" s="103">
        <v>6.7</v>
      </c>
      <c r="F100" s="103">
        <v>7.1</v>
      </c>
      <c r="G100" s="104">
        <f aca="true" t="shared" si="13" ref="G100:G109">+F100-E100</f>
        <v>0.39999999999999947</v>
      </c>
      <c r="H100" s="105">
        <v>16731</v>
      </c>
      <c r="I100" s="108">
        <v>16835</v>
      </c>
      <c r="J100" s="107">
        <f aca="true" t="shared" si="14" ref="J100:J109">+I100-H100</f>
        <v>104</v>
      </c>
    </row>
    <row r="101" spans="1:10" ht="12.75">
      <c r="A101" s="102" t="s">
        <v>60</v>
      </c>
      <c r="B101" s="103">
        <v>1</v>
      </c>
      <c r="C101" s="103">
        <v>1</v>
      </c>
      <c r="D101" s="103">
        <f t="shared" si="12"/>
        <v>0</v>
      </c>
      <c r="E101" s="103">
        <v>1</v>
      </c>
      <c r="F101" s="103">
        <v>1</v>
      </c>
      <c r="G101" s="104">
        <f t="shared" si="13"/>
        <v>0</v>
      </c>
      <c r="H101" s="105">
        <v>13437</v>
      </c>
      <c r="I101" s="108">
        <v>15140</v>
      </c>
      <c r="J101" s="107">
        <f t="shared" si="14"/>
        <v>1703</v>
      </c>
    </row>
    <row r="102" spans="1:10" ht="12.75">
      <c r="A102" s="102" t="s">
        <v>61</v>
      </c>
      <c r="B102" s="103">
        <v>0</v>
      </c>
      <c r="C102" s="103">
        <v>0</v>
      </c>
      <c r="D102" s="103">
        <f t="shared" si="12"/>
        <v>0</v>
      </c>
      <c r="E102" s="103">
        <v>0</v>
      </c>
      <c r="F102" s="103">
        <v>0</v>
      </c>
      <c r="G102" s="104">
        <f t="shared" si="13"/>
        <v>0</v>
      </c>
      <c r="H102" s="105">
        <v>0</v>
      </c>
      <c r="I102" s="108">
        <v>0</v>
      </c>
      <c r="J102" s="107">
        <f t="shared" si="14"/>
        <v>0</v>
      </c>
    </row>
    <row r="103" spans="1:10" ht="12.75">
      <c r="A103" s="102" t="s">
        <v>99</v>
      </c>
      <c r="B103" s="103">
        <v>0</v>
      </c>
      <c r="C103" s="103">
        <v>0</v>
      </c>
      <c r="D103" s="103">
        <f t="shared" si="12"/>
        <v>0</v>
      </c>
      <c r="E103" s="103">
        <v>0</v>
      </c>
      <c r="F103" s="103">
        <v>0</v>
      </c>
      <c r="G103" s="104">
        <f t="shared" si="13"/>
        <v>0</v>
      </c>
      <c r="H103" s="105">
        <v>0</v>
      </c>
      <c r="I103" s="108">
        <v>0</v>
      </c>
      <c r="J103" s="107">
        <f t="shared" si="14"/>
        <v>0</v>
      </c>
    </row>
    <row r="104" spans="1:10" ht="12.75">
      <c r="A104" s="102" t="s">
        <v>63</v>
      </c>
      <c r="B104" s="103">
        <v>0</v>
      </c>
      <c r="C104" s="103">
        <v>0</v>
      </c>
      <c r="D104" s="103">
        <f t="shared" si="12"/>
        <v>0</v>
      </c>
      <c r="E104" s="103">
        <v>0</v>
      </c>
      <c r="F104" s="103">
        <v>0</v>
      </c>
      <c r="G104" s="104">
        <f t="shared" si="13"/>
        <v>0</v>
      </c>
      <c r="H104" s="105">
        <v>0</v>
      </c>
      <c r="I104" s="108">
        <v>0</v>
      </c>
      <c r="J104" s="107">
        <f t="shared" si="14"/>
        <v>0</v>
      </c>
    </row>
    <row r="105" spans="1:10" ht="12.75">
      <c r="A105" s="102" t="s">
        <v>64</v>
      </c>
      <c r="B105" s="103">
        <v>0</v>
      </c>
      <c r="C105" s="103">
        <v>0</v>
      </c>
      <c r="D105" s="103">
        <f t="shared" si="12"/>
        <v>0</v>
      </c>
      <c r="E105" s="103">
        <v>0</v>
      </c>
      <c r="F105" s="103">
        <v>0</v>
      </c>
      <c r="G105" s="104">
        <f t="shared" si="13"/>
        <v>0</v>
      </c>
      <c r="H105" s="105">
        <v>0</v>
      </c>
      <c r="I105" s="108">
        <v>0</v>
      </c>
      <c r="J105" s="107">
        <f t="shared" si="14"/>
        <v>0</v>
      </c>
    </row>
    <row r="106" spans="1:10" ht="12.75">
      <c r="A106" s="102" t="s">
        <v>65</v>
      </c>
      <c r="B106" s="103">
        <v>6.7</v>
      </c>
      <c r="C106" s="103">
        <v>6.7</v>
      </c>
      <c r="D106" s="103">
        <f t="shared" si="12"/>
        <v>0</v>
      </c>
      <c r="E106" s="103">
        <v>6.7</v>
      </c>
      <c r="F106" s="103">
        <v>6.7</v>
      </c>
      <c r="G106" s="104">
        <f t="shared" si="13"/>
        <v>0</v>
      </c>
      <c r="H106" s="105">
        <v>11416</v>
      </c>
      <c r="I106" s="108">
        <v>12066</v>
      </c>
      <c r="J106" s="107">
        <f t="shared" si="14"/>
        <v>650</v>
      </c>
    </row>
    <row r="107" spans="1:10" ht="12.75">
      <c r="A107" s="102" t="s">
        <v>66</v>
      </c>
      <c r="B107" s="103">
        <v>1</v>
      </c>
      <c r="C107" s="103">
        <v>1</v>
      </c>
      <c r="D107" s="103">
        <f t="shared" si="12"/>
        <v>0</v>
      </c>
      <c r="E107" s="103">
        <v>1</v>
      </c>
      <c r="F107" s="103">
        <v>1</v>
      </c>
      <c r="G107" s="104">
        <f t="shared" si="13"/>
        <v>0</v>
      </c>
      <c r="H107" s="105">
        <v>15085</v>
      </c>
      <c r="I107" s="108">
        <v>15766</v>
      </c>
      <c r="J107" s="107">
        <f t="shared" si="14"/>
        <v>681</v>
      </c>
    </row>
    <row r="108" spans="1:10" ht="12.75">
      <c r="A108" s="102" t="s">
        <v>67</v>
      </c>
      <c r="B108" s="103">
        <v>9.4</v>
      </c>
      <c r="C108" s="103">
        <v>10.3</v>
      </c>
      <c r="D108" s="103">
        <f t="shared" si="12"/>
        <v>0.9000000000000004</v>
      </c>
      <c r="E108" s="103">
        <v>9.4</v>
      </c>
      <c r="F108" s="103">
        <v>10.3</v>
      </c>
      <c r="G108" s="104">
        <f t="shared" si="13"/>
        <v>0.9000000000000004</v>
      </c>
      <c r="H108" s="105">
        <v>10838</v>
      </c>
      <c r="I108" s="108">
        <v>11599</v>
      </c>
      <c r="J108" s="107">
        <f t="shared" si="14"/>
        <v>761</v>
      </c>
    </row>
    <row r="109" spans="1:10" ht="13.5" thickBot="1">
      <c r="A109" s="109" t="s">
        <v>5</v>
      </c>
      <c r="B109" s="110">
        <v>27.8</v>
      </c>
      <c r="C109" s="110">
        <v>29.1</v>
      </c>
      <c r="D109" s="110">
        <f t="shared" si="12"/>
        <v>1.3000000000000007</v>
      </c>
      <c r="E109" s="110">
        <v>27.8</v>
      </c>
      <c r="F109" s="110">
        <v>29.1</v>
      </c>
      <c r="G109" s="111">
        <f t="shared" si="13"/>
        <v>1.3000000000000007</v>
      </c>
      <c r="H109" s="112">
        <v>13646</v>
      </c>
      <c r="I109" s="113">
        <v>14348</v>
      </c>
      <c r="J109" s="114">
        <f t="shared" si="14"/>
        <v>702</v>
      </c>
    </row>
    <row r="110" ht="13.5" thickBot="1"/>
    <row r="111" spans="1:16" ht="12.75">
      <c r="A111" s="706" t="s">
        <v>68</v>
      </c>
      <c r="B111" s="707"/>
      <c r="C111" s="708"/>
      <c r="D111" s="89"/>
      <c r="E111" s="706" t="s">
        <v>69</v>
      </c>
      <c r="F111" s="707"/>
      <c r="G111" s="708"/>
      <c r="H111"/>
      <c r="I111"/>
      <c r="J111"/>
      <c r="K111"/>
      <c r="L111"/>
      <c r="M111"/>
      <c r="N111"/>
      <c r="O111"/>
      <c r="P111"/>
    </row>
    <row r="112" spans="1:16" ht="13.5" thickBot="1">
      <c r="A112" s="90" t="s">
        <v>70</v>
      </c>
      <c r="B112" s="91" t="s">
        <v>71</v>
      </c>
      <c r="C112" s="92" t="s">
        <v>53</v>
      </c>
      <c r="D112" s="89"/>
      <c r="E112" s="90"/>
      <c r="F112" s="709" t="s">
        <v>72</v>
      </c>
      <c r="G112" s="710"/>
      <c r="H112"/>
      <c r="I112"/>
      <c r="J112"/>
      <c r="K112"/>
      <c r="L112"/>
      <c r="M112"/>
      <c r="N112"/>
      <c r="O112"/>
      <c r="P112"/>
    </row>
    <row r="113" spans="1:16" ht="12.75">
      <c r="A113" s="93">
        <v>2005</v>
      </c>
      <c r="B113" s="94">
        <v>30</v>
      </c>
      <c r="C113" s="95">
        <v>29.8</v>
      </c>
      <c r="D113" s="89"/>
      <c r="E113" s="93">
        <v>2005</v>
      </c>
      <c r="F113" s="711">
        <v>68</v>
      </c>
      <c r="G113" s="624"/>
      <c r="H113"/>
      <c r="I113"/>
      <c r="J113"/>
      <c r="K113"/>
      <c r="L113"/>
      <c r="M113"/>
      <c r="N113"/>
      <c r="O113"/>
      <c r="P113"/>
    </row>
    <row r="114" spans="1:16" ht="13.5" thickBot="1">
      <c r="A114" s="96">
        <v>2006</v>
      </c>
      <c r="B114" s="97">
        <v>30</v>
      </c>
      <c r="C114" s="98"/>
      <c r="D114" s="89"/>
      <c r="E114" s="96">
        <v>2006</v>
      </c>
      <c r="F114" s="704">
        <v>68</v>
      </c>
      <c r="G114" s="705"/>
      <c r="H114"/>
      <c r="I114"/>
      <c r="J114"/>
      <c r="K114"/>
      <c r="L114"/>
      <c r="M114"/>
      <c r="N114"/>
      <c r="O114"/>
      <c r="P114"/>
    </row>
  </sheetData>
  <mergeCells count="124">
    <mergeCell ref="F112:G112"/>
    <mergeCell ref="F113:G113"/>
    <mergeCell ref="E97:G97"/>
    <mergeCell ref="H97:J97"/>
    <mergeCell ref="A111:C111"/>
    <mergeCell ref="E111:G111"/>
    <mergeCell ref="A91:A92"/>
    <mergeCell ref="B91:B92"/>
    <mergeCell ref="C91:H91"/>
    <mergeCell ref="A97:A98"/>
    <mergeCell ref="B97:D97"/>
    <mergeCell ref="J91:L91"/>
    <mergeCell ref="M2:N2"/>
    <mergeCell ref="H41:K42"/>
    <mergeCell ref="L41:L42"/>
    <mergeCell ref="L52:L53"/>
    <mergeCell ref="J75:J77"/>
    <mergeCell ref="L75:M76"/>
    <mergeCell ref="N75:N76"/>
    <mergeCell ref="A3:A6"/>
    <mergeCell ref="B3:N3"/>
    <mergeCell ref="H4:I4"/>
    <mergeCell ref="M4:N4"/>
    <mergeCell ref="B38:D38"/>
    <mergeCell ref="E38:G38"/>
    <mergeCell ref="J38:L38"/>
    <mergeCell ref="B39:D39"/>
    <mergeCell ref="E39:G39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H62:K62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62:B62"/>
    <mergeCell ref="D62:F62"/>
    <mergeCell ref="F114:G114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A75:A77"/>
    <mergeCell ref="B75:B77"/>
    <mergeCell ref="C75:I75"/>
    <mergeCell ref="C76:C77"/>
    <mergeCell ref="D76:I76"/>
    <mergeCell ref="O75:O76"/>
    <mergeCell ref="L78:M78"/>
    <mergeCell ref="L79:M79"/>
    <mergeCell ref="A81:A82"/>
    <mergeCell ref="B81:B82"/>
    <mergeCell ref="C81:F81"/>
    <mergeCell ref="G81:G82"/>
    <mergeCell ref="H81:H82"/>
    <mergeCell ref="I81:L81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3" r:id="rId1"/>
  <headerFooter alignWithMargins="0">
    <oddFooter>&amp;C&amp;P</oddFooter>
  </headerFooter>
  <rowBreaks count="1" manualBreakCount="1">
    <brk id="74" max="1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P119"/>
  <sheetViews>
    <sheetView view="pageBreakPreview" zoomScaleSheetLayoutView="100" workbookViewId="0" topLeftCell="A1">
      <selection activeCell="K90" sqref="K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1.5" customHeight="1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16"/>
      <c r="N2" s="716"/>
    </row>
    <row r="3" spans="1:14" ht="24" customHeight="1" thickBot="1">
      <c r="A3" s="827" t="s">
        <v>0</v>
      </c>
      <c r="B3" s="686" t="s">
        <v>436</v>
      </c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30"/>
      <c r="N3" s="831"/>
    </row>
    <row r="4" spans="1:14" ht="12.75" customHeight="1">
      <c r="A4" s="828"/>
      <c r="B4" s="338" t="s">
        <v>1</v>
      </c>
      <c r="C4" s="339"/>
      <c r="D4" s="340"/>
      <c r="E4" s="341" t="s">
        <v>182</v>
      </c>
      <c r="F4" s="339"/>
      <c r="G4" s="340"/>
      <c r="H4" s="615" t="s">
        <v>2</v>
      </c>
      <c r="I4" s="689"/>
      <c r="J4" s="339" t="s">
        <v>183</v>
      </c>
      <c r="K4" s="342"/>
      <c r="L4" s="340"/>
      <c r="M4" s="615" t="s">
        <v>184</v>
      </c>
      <c r="N4" s="832"/>
    </row>
    <row r="5" spans="1:14" ht="12.75" customHeight="1">
      <c r="A5" s="828"/>
      <c r="B5" s="343" t="s">
        <v>3</v>
      </c>
      <c r="C5" s="344" t="s">
        <v>4</v>
      </c>
      <c r="D5" s="345" t="s">
        <v>5</v>
      </c>
      <c r="E5" s="346" t="s">
        <v>3</v>
      </c>
      <c r="F5" s="344" t="s">
        <v>4</v>
      </c>
      <c r="G5" s="345" t="s">
        <v>5</v>
      </c>
      <c r="H5" s="347" t="s">
        <v>5</v>
      </c>
      <c r="I5" s="347" t="s">
        <v>6</v>
      </c>
      <c r="J5" s="348" t="s">
        <v>3</v>
      </c>
      <c r="K5" s="349" t="s">
        <v>4</v>
      </c>
      <c r="L5" s="345" t="s">
        <v>5</v>
      </c>
      <c r="M5" s="347" t="s">
        <v>5</v>
      </c>
      <c r="N5" s="350" t="s">
        <v>6</v>
      </c>
    </row>
    <row r="6" spans="1:14" ht="13.5" customHeight="1" thickBot="1">
      <c r="A6" s="828"/>
      <c r="B6" s="343" t="s">
        <v>7</v>
      </c>
      <c r="C6" s="344" t="s">
        <v>7</v>
      </c>
      <c r="D6" s="345"/>
      <c r="E6" s="505" t="s">
        <v>7</v>
      </c>
      <c r="F6" s="344" t="s">
        <v>7</v>
      </c>
      <c r="G6" s="345"/>
      <c r="H6" s="440" t="s">
        <v>8</v>
      </c>
      <c r="I6" s="347" t="s">
        <v>9</v>
      </c>
      <c r="J6" s="348" t="s">
        <v>7</v>
      </c>
      <c r="K6" s="349" t="s">
        <v>7</v>
      </c>
      <c r="L6" s="345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 aca="true" t="shared" si="0" ref="D7:D15">SUM(B7:C7)</f>
        <v>0</v>
      </c>
      <c r="E7" s="427"/>
      <c r="F7" s="428"/>
      <c r="G7" s="433">
        <f aca="true" t="shared" si="1" ref="G7:G17">SUM(E7:F7)</f>
        <v>0</v>
      </c>
      <c r="H7" s="464">
        <f aca="true" t="shared" si="2" ref="H7:H37">+G7-D7</f>
        <v>0</v>
      </c>
      <c r="I7" s="471"/>
      <c r="J7" s="427"/>
      <c r="K7" s="428"/>
      <c r="L7" s="433">
        <f aca="true" t="shared" si="3" ref="L7:L17">SUM(J7:K7)</f>
        <v>0</v>
      </c>
      <c r="M7" s="464">
        <f aca="true" t="shared" si="4" ref="M7:M37">+L7-G7</f>
        <v>0</v>
      </c>
      <c r="N7" s="441"/>
    </row>
    <row r="8" spans="1:14" ht="13.5" customHeight="1">
      <c r="A8" s="509" t="s">
        <v>11</v>
      </c>
      <c r="B8" s="37">
        <v>8047</v>
      </c>
      <c r="C8" s="33"/>
      <c r="D8" s="434">
        <f t="shared" si="0"/>
        <v>8047</v>
      </c>
      <c r="E8" s="37">
        <v>8277</v>
      </c>
      <c r="F8" s="33"/>
      <c r="G8" s="434">
        <f t="shared" si="1"/>
        <v>8277</v>
      </c>
      <c r="H8" s="465">
        <f t="shared" si="2"/>
        <v>230</v>
      </c>
      <c r="I8" s="36">
        <f aca="true" t="shared" si="5" ref="I8:I21">+G8/D8</f>
        <v>1.0285820802783645</v>
      </c>
      <c r="J8" s="37">
        <v>8430</v>
      </c>
      <c r="K8" s="33"/>
      <c r="L8" s="434">
        <f t="shared" si="3"/>
        <v>8430</v>
      </c>
      <c r="M8" s="465">
        <f t="shared" si="4"/>
        <v>153</v>
      </c>
      <c r="N8" s="39">
        <f aca="true" t="shared" si="6" ref="N8:N21">+L8/G8</f>
        <v>1.0184849583182312</v>
      </c>
    </row>
    <row r="9" spans="1:14" ht="13.5" customHeight="1">
      <c r="A9" s="509" t="s">
        <v>12</v>
      </c>
      <c r="B9" s="37"/>
      <c r="C9" s="33"/>
      <c r="D9" s="434">
        <f t="shared" si="0"/>
        <v>0</v>
      </c>
      <c r="E9" s="37"/>
      <c r="F9" s="33"/>
      <c r="G9" s="434">
        <f t="shared" si="1"/>
        <v>0</v>
      </c>
      <c r="H9" s="465">
        <f t="shared" si="2"/>
        <v>0</v>
      </c>
      <c r="I9" s="36"/>
      <c r="J9" s="37"/>
      <c r="K9" s="33"/>
      <c r="L9" s="434">
        <f t="shared" si="3"/>
        <v>0</v>
      </c>
      <c r="M9" s="465">
        <f t="shared" si="4"/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5</v>
      </c>
      <c r="C11" s="33"/>
      <c r="D11" s="434">
        <f t="shared" si="0"/>
        <v>5</v>
      </c>
      <c r="E11" s="37">
        <v>17</v>
      </c>
      <c r="F11" s="33"/>
      <c r="G11" s="434">
        <f t="shared" si="1"/>
        <v>17</v>
      </c>
      <c r="H11" s="465">
        <f t="shared" si="2"/>
        <v>12</v>
      </c>
      <c r="I11" s="36">
        <f t="shared" si="5"/>
        <v>3.4</v>
      </c>
      <c r="J11" s="37">
        <v>6</v>
      </c>
      <c r="K11" s="33"/>
      <c r="L11" s="434">
        <f t="shared" si="3"/>
        <v>6</v>
      </c>
      <c r="M11" s="465">
        <f t="shared" si="4"/>
        <v>-11</v>
      </c>
      <c r="N11" s="39">
        <f t="shared" si="6"/>
        <v>0.35294117647058826</v>
      </c>
    </row>
    <row r="12" spans="1:14" ht="13.5" customHeight="1">
      <c r="A12" s="510" t="s">
        <v>15</v>
      </c>
      <c r="B12" s="37"/>
      <c r="C12" s="33"/>
      <c r="D12" s="434">
        <f t="shared" si="0"/>
        <v>0</v>
      </c>
      <c r="E12" s="37"/>
      <c r="F12" s="33"/>
      <c r="G12" s="434">
        <f t="shared" si="1"/>
        <v>0</v>
      </c>
      <c r="H12" s="465">
        <f t="shared" si="2"/>
        <v>0</v>
      </c>
      <c r="I12" s="36"/>
      <c r="J12" s="37"/>
      <c r="K12" s="33"/>
      <c r="L12" s="434">
        <f t="shared" si="3"/>
        <v>0</v>
      </c>
      <c r="M12" s="465">
        <f t="shared" si="4"/>
        <v>0</v>
      </c>
      <c r="N12" s="39"/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12850</v>
      </c>
      <c r="C15" s="33"/>
      <c r="D15" s="434">
        <f t="shared" si="0"/>
        <v>12850</v>
      </c>
      <c r="E15" s="37">
        <v>13440</v>
      </c>
      <c r="F15" s="33"/>
      <c r="G15" s="434">
        <f t="shared" si="1"/>
        <v>13440</v>
      </c>
      <c r="H15" s="465">
        <f t="shared" si="2"/>
        <v>590</v>
      </c>
      <c r="I15" s="36">
        <f t="shared" si="5"/>
        <v>1.0459143968871596</v>
      </c>
      <c r="J15" s="37">
        <f>SUM(J16:J17)</f>
        <v>14542</v>
      </c>
      <c r="K15" s="33"/>
      <c r="L15" s="434">
        <f t="shared" si="3"/>
        <v>14542</v>
      </c>
      <c r="M15" s="465">
        <f t="shared" si="4"/>
        <v>1102</v>
      </c>
      <c r="N15" s="39">
        <f t="shared" si="6"/>
        <v>1.0819940476190477</v>
      </c>
    </row>
    <row r="16" spans="1:14" ht="13.5" customHeight="1">
      <c r="A16" s="511" t="s">
        <v>476</v>
      </c>
      <c r="B16" s="37"/>
      <c r="C16" s="33"/>
      <c r="D16" s="434"/>
      <c r="E16" s="37">
        <v>12818</v>
      </c>
      <c r="F16" s="33"/>
      <c r="G16" s="434">
        <f t="shared" si="1"/>
        <v>12818</v>
      </c>
      <c r="H16" s="465"/>
      <c r="I16" s="36"/>
      <c r="J16" s="37">
        <f>13673</f>
        <v>13673</v>
      </c>
      <c r="K16" s="33"/>
      <c r="L16" s="434">
        <f t="shared" si="3"/>
        <v>13673</v>
      </c>
      <c r="M16" s="465">
        <f t="shared" si="4"/>
        <v>855</v>
      </c>
      <c r="N16" s="39">
        <f t="shared" si="6"/>
        <v>1.0667030738024652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622</v>
      </c>
      <c r="F17" s="431"/>
      <c r="G17" s="434">
        <f t="shared" si="1"/>
        <v>622</v>
      </c>
      <c r="H17" s="466"/>
      <c r="I17" s="472"/>
      <c r="J17" s="430">
        <v>869</v>
      </c>
      <c r="K17" s="431"/>
      <c r="L17" s="434">
        <f t="shared" si="3"/>
        <v>869</v>
      </c>
      <c r="M17" s="465">
        <f t="shared" si="4"/>
        <v>247</v>
      </c>
      <c r="N17" s="39">
        <f t="shared" si="6"/>
        <v>1.3971061093247588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20902</v>
      </c>
      <c r="C18" s="425">
        <f t="shared" si="7"/>
        <v>0</v>
      </c>
      <c r="D18" s="426">
        <f t="shared" si="7"/>
        <v>20902</v>
      </c>
      <c r="E18" s="506">
        <f t="shared" si="7"/>
        <v>21734</v>
      </c>
      <c r="F18" s="425">
        <f t="shared" si="7"/>
        <v>0</v>
      </c>
      <c r="G18" s="426">
        <f t="shared" si="7"/>
        <v>21734</v>
      </c>
      <c r="H18" s="368">
        <f t="shared" si="2"/>
        <v>832</v>
      </c>
      <c r="I18" s="63">
        <f t="shared" si="5"/>
        <v>1.0398048033680987</v>
      </c>
      <c r="J18" s="437">
        <f>SUM(J7+J8+J9+J10+J11+J13+J15)</f>
        <v>22978</v>
      </c>
      <c r="K18" s="506">
        <f>SUM(K7+K8+K9+K10+K11+K13+K15)</f>
        <v>0</v>
      </c>
      <c r="L18" s="426">
        <f>SUM(L7+L8+L9+L10+L11+L13+L15)</f>
        <v>22978</v>
      </c>
      <c r="M18" s="368">
        <f t="shared" si="4"/>
        <v>1244</v>
      </c>
      <c r="N18" s="370">
        <f t="shared" si="6"/>
        <v>1.0572375080519003</v>
      </c>
    </row>
    <row r="19" spans="1:14" ht="13.5" customHeight="1">
      <c r="A19" s="24" t="s">
        <v>20</v>
      </c>
      <c r="B19" s="25">
        <v>4049</v>
      </c>
      <c r="C19" s="26"/>
      <c r="D19" s="34">
        <f aca="true" t="shared" si="8" ref="D19:D36">SUM(B19:C19)</f>
        <v>4049</v>
      </c>
      <c r="E19" s="351">
        <v>4462</v>
      </c>
      <c r="F19" s="26"/>
      <c r="G19" s="27">
        <f aca="true" t="shared" si="9" ref="G19:G36">SUM(E19:F19)</f>
        <v>4462</v>
      </c>
      <c r="H19" s="354">
        <f t="shared" si="2"/>
        <v>413</v>
      </c>
      <c r="I19" s="55">
        <f t="shared" si="5"/>
        <v>1.1020004939491232</v>
      </c>
      <c r="J19" s="29">
        <v>4181</v>
      </c>
      <c r="K19" s="353"/>
      <c r="L19" s="27">
        <f aca="true" t="shared" si="10" ref="L19:L33">SUM(J19:K19)</f>
        <v>4181</v>
      </c>
      <c r="M19" s="354">
        <f t="shared" si="4"/>
        <v>-281</v>
      </c>
      <c r="N19" s="56">
        <f t="shared" si="6"/>
        <v>0.9370237561631556</v>
      </c>
    </row>
    <row r="20" spans="1:14" ht="21" customHeight="1">
      <c r="A20" s="355" t="s">
        <v>21</v>
      </c>
      <c r="B20" s="25">
        <v>458</v>
      </c>
      <c r="C20" s="26"/>
      <c r="D20" s="27">
        <f t="shared" si="8"/>
        <v>458</v>
      </c>
      <c r="E20" s="351">
        <v>952</v>
      </c>
      <c r="F20" s="26"/>
      <c r="G20" s="27">
        <f t="shared" si="9"/>
        <v>952</v>
      </c>
      <c r="H20" s="354">
        <f t="shared" si="2"/>
        <v>494</v>
      </c>
      <c r="I20" s="55">
        <f t="shared" si="5"/>
        <v>2.078602620087336</v>
      </c>
      <c r="J20" s="29">
        <v>75</v>
      </c>
      <c r="K20" s="353"/>
      <c r="L20" s="27">
        <f t="shared" si="10"/>
        <v>75</v>
      </c>
      <c r="M20" s="354">
        <f t="shared" si="4"/>
        <v>-877</v>
      </c>
      <c r="N20" s="56">
        <f t="shared" si="6"/>
        <v>0.07878151260504201</v>
      </c>
    </row>
    <row r="21" spans="1:14" ht="13.5" customHeight="1">
      <c r="A21" s="24" t="s">
        <v>22</v>
      </c>
      <c r="B21" s="25">
        <v>1652</v>
      </c>
      <c r="C21" s="26"/>
      <c r="D21" s="27">
        <f t="shared" si="8"/>
        <v>1652</v>
      </c>
      <c r="E21" s="351">
        <v>1389</v>
      </c>
      <c r="F21" s="26"/>
      <c r="G21" s="27">
        <f t="shared" si="9"/>
        <v>1389</v>
      </c>
      <c r="H21" s="354">
        <f t="shared" si="2"/>
        <v>-263</v>
      </c>
      <c r="I21" s="55">
        <f t="shared" si="5"/>
        <v>0.8407990314769975</v>
      </c>
      <c r="J21" s="29">
        <v>1650</v>
      </c>
      <c r="K21" s="353"/>
      <c r="L21" s="27">
        <f t="shared" si="10"/>
        <v>1650</v>
      </c>
      <c r="M21" s="354">
        <f t="shared" si="4"/>
        <v>261</v>
      </c>
      <c r="N21" s="56">
        <f t="shared" si="6"/>
        <v>1.187904967602592</v>
      </c>
    </row>
    <row r="22" spans="1:14" ht="13.5" customHeight="1">
      <c r="A22" s="355" t="s">
        <v>23</v>
      </c>
      <c r="B22" s="25"/>
      <c r="C22" s="26"/>
      <c r="D22" s="27">
        <f t="shared" si="8"/>
        <v>0</v>
      </c>
      <c r="E22" s="351"/>
      <c r="F22" s="26"/>
      <c r="G22" s="27">
        <f t="shared" si="9"/>
        <v>0</v>
      </c>
      <c r="H22" s="354">
        <f t="shared" si="2"/>
        <v>0</v>
      </c>
      <c r="I22" s="55"/>
      <c r="J22" s="29"/>
      <c r="K22" s="353"/>
      <c r="L22" s="27">
        <f t="shared" si="10"/>
        <v>0</v>
      </c>
      <c r="M22" s="354">
        <f t="shared" si="4"/>
        <v>0</v>
      </c>
      <c r="N22" s="56"/>
    </row>
    <row r="23" spans="1:14" ht="13.5" customHeight="1">
      <c r="A23" s="24" t="s">
        <v>24</v>
      </c>
      <c r="B23" s="25"/>
      <c r="C23" s="26"/>
      <c r="D23" s="27">
        <f t="shared" si="8"/>
        <v>0</v>
      </c>
      <c r="E23" s="351"/>
      <c r="F23" s="26"/>
      <c r="G23" s="27">
        <f t="shared" si="9"/>
        <v>0</v>
      </c>
      <c r="H23" s="354">
        <f t="shared" si="2"/>
        <v>0</v>
      </c>
      <c r="I23" s="55"/>
      <c r="J23" s="29"/>
      <c r="K23" s="353"/>
      <c r="L23" s="27">
        <f t="shared" si="10"/>
        <v>0</v>
      </c>
      <c r="M23" s="354">
        <f t="shared" si="4"/>
        <v>0</v>
      </c>
      <c r="N23" s="56"/>
    </row>
    <row r="24" spans="1:14" ht="13.5" customHeight="1">
      <c r="A24" s="24" t="s">
        <v>25</v>
      </c>
      <c r="B24" s="29">
        <v>967</v>
      </c>
      <c r="C24" s="353"/>
      <c r="D24" s="27">
        <f t="shared" si="8"/>
        <v>967</v>
      </c>
      <c r="E24" s="353">
        <v>881</v>
      </c>
      <c r="F24" s="353"/>
      <c r="G24" s="27">
        <f t="shared" si="9"/>
        <v>881</v>
      </c>
      <c r="H24" s="354">
        <f t="shared" si="2"/>
        <v>-86</v>
      </c>
      <c r="I24" s="55">
        <f aca="true" t="shared" si="11" ref="I24:I37">+G24/D24</f>
        <v>0.9110651499482937</v>
      </c>
      <c r="J24" s="29">
        <v>766</v>
      </c>
      <c r="K24" s="353"/>
      <c r="L24" s="27">
        <f t="shared" si="10"/>
        <v>766</v>
      </c>
      <c r="M24" s="354">
        <f t="shared" si="4"/>
        <v>-115</v>
      </c>
      <c r="N24" s="56">
        <f aca="true" t="shared" si="12" ref="N24:N37">+L24/G24</f>
        <v>0.8694665153234961</v>
      </c>
    </row>
    <row r="25" spans="1:14" ht="13.5" customHeight="1">
      <c r="A25" s="355" t="s">
        <v>26</v>
      </c>
      <c r="B25" s="25">
        <v>407</v>
      </c>
      <c r="C25" s="26"/>
      <c r="D25" s="27">
        <f t="shared" si="8"/>
        <v>407</v>
      </c>
      <c r="E25" s="351">
        <v>354</v>
      </c>
      <c r="F25" s="26"/>
      <c r="G25" s="27">
        <f t="shared" si="9"/>
        <v>354</v>
      </c>
      <c r="H25" s="354">
        <f t="shared" si="2"/>
        <v>-53</v>
      </c>
      <c r="I25" s="55">
        <f t="shared" si="11"/>
        <v>0.8697788697788698</v>
      </c>
      <c r="J25" s="29">
        <v>256</v>
      </c>
      <c r="K25" s="353"/>
      <c r="L25" s="27">
        <f t="shared" si="10"/>
        <v>256</v>
      </c>
      <c r="M25" s="354">
        <f t="shared" si="4"/>
        <v>-98</v>
      </c>
      <c r="N25" s="56">
        <f t="shared" si="12"/>
        <v>0.7231638418079096</v>
      </c>
    </row>
    <row r="26" spans="1:14" ht="13.5" customHeight="1">
      <c r="A26" s="24" t="s">
        <v>27</v>
      </c>
      <c r="B26" s="25">
        <v>560</v>
      </c>
      <c r="C26" s="26"/>
      <c r="D26" s="27">
        <f t="shared" si="8"/>
        <v>560</v>
      </c>
      <c r="E26" s="351">
        <v>527</v>
      </c>
      <c r="F26" s="26"/>
      <c r="G26" s="27">
        <f t="shared" si="9"/>
        <v>527</v>
      </c>
      <c r="H26" s="354">
        <f t="shared" si="2"/>
        <v>-33</v>
      </c>
      <c r="I26" s="55">
        <f t="shared" si="11"/>
        <v>0.9410714285714286</v>
      </c>
      <c r="J26" s="29">
        <v>510</v>
      </c>
      <c r="K26" s="353"/>
      <c r="L26" s="27">
        <f t="shared" si="10"/>
        <v>510</v>
      </c>
      <c r="M26" s="354">
        <f t="shared" si="4"/>
        <v>-17</v>
      </c>
      <c r="N26" s="56">
        <f t="shared" si="12"/>
        <v>0.967741935483871</v>
      </c>
    </row>
    <row r="27" spans="1:14" ht="13.5" customHeight="1">
      <c r="A27" s="366" t="s">
        <v>28</v>
      </c>
      <c r="B27" s="29">
        <v>13401</v>
      </c>
      <c r="C27" s="353"/>
      <c r="D27" s="27">
        <f t="shared" si="8"/>
        <v>13401</v>
      </c>
      <c r="E27" s="353">
        <v>14179</v>
      </c>
      <c r="F27" s="353"/>
      <c r="G27" s="27">
        <f t="shared" si="9"/>
        <v>14179</v>
      </c>
      <c r="H27" s="354">
        <f t="shared" si="2"/>
        <v>778</v>
      </c>
      <c r="I27" s="55">
        <f t="shared" si="11"/>
        <v>1.0580553690023133</v>
      </c>
      <c r="J27" s="29">
        <f>J28+J31</f>
        <v>15547</v>
      </c>
      <c r="K27" s="353"/>
      <c r="L27" s="27">
        <f t="shared" si="10"/>
        <v>15547</v>
      </c>
      <c r="M27" s="354">
        <f t="shared" si="4"/>
        <v>1368</v>
      </c>
      <c r="N27" s="56">
        <f t="shared" si="12"/>
        <v>1.0964807109105015</v>
      </c>
    </row>
    <row r="28" spans="1:14" ht="13.5" customHeight="1">
      <c r="A28" s="355" t="s">
        <v>29</v>
      </c>
      <c r="B28" s="25">
        <v>9649</v>
      </c>
      <c r="C28" s="26"/>
      <c r="D28" s="27">
        <f t="shared" si="8"/>
        <v>9649</v>
      </c>
      <c r="E28" s="351">
        <v>10360</v>
      </c>
      <c r="F28" s="26"/>
      <c r="G28" s="27">
        <f t="shared" si="9"/>
        <v>10360</v>
      </c>
      <c r="H28" s="354">
        <f t="shared" si="2"/>
        <v>711</v>
      </c>
      <c r="I28" s="55">
        <f t="shared" si="11"/>
        <v>1.0736863923722666</v>
      </c>
      <c r="J28" s="29">
        <f>J29+J30</f>
        <v>11348</v>
      </c>
      <c r="K28" s="353"/>
      <c r="L28" s="27">
        <f t="shared" si="10"/>
        <v>11348</v>
      </c>
      <c r="M28" s="354">
        <f t="shared" si="4"/>
        <v>988</v>
      </c>
      <c r="N28" s="56">
        <f t="shared" si="12"/>
        <v>1.0953667953667954</v>
      </c>
    </row>
    <row r="29" spans="1:14" ht="13.5" customHeight="1">
      <c r="A29" s="366" t="s">
        <v>30</v>
      </c>
      <c r="B29" s="25">
        <v>9563</v>
      </c>
      <c r="C29" s="26"/>
      <c r="D29" s="27">
        <f t="shared" si="8"/>
        <v>9563</v>
      </c>
      <c r="E29" s="351">
        <v>10323</v>
      </c>
      <c r="F29" s="26"/>
      <c r="G29" s="27">
        <f t="shared" si="9"/>
        <v>10323</v>
      </c>
      <c r="H29" s="354">
        <f t="shared" si="2"/>
        <v>760</v>
      </c>
      <c r="I29" s="55">
        <f t="shared" si="11"/>
        <v>1.079472968733661</v>
      </c>
      <c r="J29" s="29">
        <f>10674+634</f>
        <v>11308</v>
      </c>
      <c r="K29" s="353"/>
      <c r="L29" s="27">
        <f t="shared" si="10"/>
        <v>11308</v>
      </c>
      <c r="M29" s="354">
        <f t="shared" si="4"/>
        <v>985</v>
      </c>
      <c r="N29" s="56">
        <f t="shared" si="12"/>
        <v>1.095417998643805</v>
      </c>
    </row>
    <row r="30" spans="1:14" ht="13.5" customHeight="1">
      <c r="A30" s="355" t="s">
        <v>31</v>
      </c>
      <c r="B30" s="25">
        <v>86</v>
      </c>
      <c r="C30" s="26"/>
      <c r="D30" s="27">
        <f t="shared" si="8"/>
        <v>86</v>
      </c>
      <c r="E30" s="351">
        <v>37</v>
      </c>
      <c r="F30" s="26"/>
      <c r="G30" s="27">
        <f t="shared" si="9"/>
        <v>37</v>
      </c>
      <c r="H30" s="354">
        <f t="shared" si="2"/>
        <v>-49</v>
      </c>
      <c r="I30" s="55">
        <f t="shared" si="11"/>
        <v>0.43023255813953487</v>
      </c>
      <c r="J30" s="29">
        <v>40</v>
      </c>
      <c r="K30" s="353"/>
      <c r="L30" s="27">
        <f t="shared" si="10"/>
        <v>40</v>
      </c>
      <c r="M30" s="354">
        <f t="shared" si="4"/>
        <v>3</v>
      </c>
      <c r="N30" s="56">
        <f t="shared" si="12"/>
        <v>1.0810810810810811</v>
      </c>
    </row>
    <row r="31" spans="1:14" ht="13.5" customHeight="1">
      <c r="A31" s="355" t="s">
        <v>32</v>
      </c>
      <c r="B31" s="25">
        <v>3753</v>
      </c>
      <c r="C31" s="26"/>
      <c r="D31" s="27">
        <f t="shared" si="8"/>
        <v>3753</v>
      </c>
      <c r="E31" s="351">
        <v>3820</v>
      </c>
      <c r="F31" s="26"/>
      <c r="G31" s="27">
        <f t="shared" si="9"/>
        <v>3820</v>
      </c>
      <c r="H31" s="354">
        <f t="shared" si="2"/>
        <v>67</v>
      </c>
      <c r="I31" s="55">
        <f t="shared" si="11"/>
        <v>1.0178523847588596</v>
      </c>
      <c r="J31" s="29">
        <f>3964+235</f>
        <v>4199</v>
      </c>
      <c r="K31" s="353"/>
      <c r="L31" s="27">
        <f t="shared" si="10"/>
        <v>4199</v>
      </c>
      <c r="M31" s="354">
        <f t="shared" si="4"/>
        <v>379</v>
      </c>
      <c r="N31" s="56">
        <f t="shared" si="12"/>
        <v>1.0992146596858638</v>
      </c>
    </row>
    <row r="32" spans="1:14" ht="13.5" customHeight="1">
      <c r="A32" s="366" t="s">
        <v>33</v>
      </c>
      <c r="B32" s="25"/>
      <c r="C32" s="26"/>
      <c r="D32" s="27">
        <f t="shared" si="8"/>
        <v>0</v>
      </c>
      <c r="E32" s="351"/>
      <c r="F32" s="26"/>
      <c r="G32" s="27">
        <f t="shared" si="9"/>
        <v>0</v>
      </c>
      <c r="H32" s="354">
        <f t="shared" si="2"/>
        <v>0</v>
      </c>
      <c r="I32" s="55"/>
      <c r="J32" s="29"/>
      <c r="K32" s="353"/>
      <c r="L32" s="27">
        <f t="shared" si="10"/>
        <v>0</v>
      </c>
      <c r="M32" s="354">
        <f t="shared" si="4"/>
        <v>0</v>
      </c>
      <c r="N32" s="56"/>
    </row>
    <row r="33" spans="1:14" ht="13.5" customHeight="1">
      <c r="A33" s="366" t="s">
        <v>34</v>
      </c>
      <c r="B33" s="25">
        <v>136</v>
      </c>
      <c r="C33" s="26"/>
      <c r="D33" s="27">
        <f t="shared" si="8"/>
        <v>136</v>
      </c>
      <c r="E33" s="351">
        <v>175</v>
      </c>
      <c r="F33" s="26"/>
      <c r="G33" s="27">
        <f t="shared" si="9"/>
        <v>175</v>
      </c>
      <c r="H33" s="354">
        <f t="shared" si="2"/>
        <v>39</v>
      </c>
      <c r="I33" s="55">
        <f t="shared" si="11"/>
        <v>1.286764705882353</v>
      </c>
      <c r="J33" s="29">
        <v>200</v>
      </c>
      <c r="K33" s="353"/>
      <c r="L33" s="27">
        <f t="shared" si="10"/>
        <v>200</v>
      </c>
      <c r="M33" s="354">
        <f t="shared" si="4"/>
        <v>25</v>
      </c>
      <c r="N33" s="56">
        <f t="shared" si="12"/>
        <v>1.1428571428571428</v>
      </c>
    </row>
    <row r="34" spans="1:14" ht="13.5" customHeight="1">
      <c r="A34" s="355" t="s">
        <v>35</v>
      </c>
      <c r="B34" s="25">
        <v>575</v>
      </c>
      <c r="C34" s="26"/>
      <c r="D34" s="27">
        <f t="shared" si="8"/>
        <v>575</v>
      </c>
      <c r="E34" s="351">
        <v>648</v>
      </c>
      <c r="F34" s="26"/>
      <c r="G34" s="27">
        <f t="shared" si="9"/>
        <v>648</v>
      </c>
      <c r="H34" s="354">
        <f t="shared" si="2"/>
        <v>73</v>
      </c>
      <c r="I34" s="55">
        <f t="shared" si="11"/>
        <v>1.1269565217391304</v>
      </c>
      <c r="J34" s="29">
        <v>634</v>
      </c>
      <c r="K34" s="353"/>
      <c r="L34" s="27">
        <v>634</v>
      </c>
      <c r="M34" s="354">
        <f t="shared" si="4"/>
        <v>-14</v>
      </c>
      <c r="N34" s="56">
        <f t="shared" si="12"/>
        <v>0.9783950617283951</v>
      </c>
    </row>
    <row r="35" spans="1:14" ht="22.5" customHeight="1">
      <c r="A35" s="355" t="s">
        <v>36</v>
      </c>
      <c r="B35" s="25">
        <v>575</v>
      </c>
      <c r="C35" s="26"/>
      <c r="D35" s="27">
        <f t="shared" si="8"/>
        <v>575</v>
      </c>
      <c r="E35" s="351">
        <v>648</v>
      </c>
      <c r="F35" s="26"/>
      <c r="G35" s="27">
        <f t="shared" si="9"/>
        <v>648</v>
      </c>
      <c r="H35" s="354">
        <f t="shared" si="2"/>
        <v>73</v>
      </c>
      <c r="I35" s="55">
        <f t="shared" si="11"/>
        <v>1.1269565217391304</v>
      </c>
      <c r="J35" s="29">
        <v>634</v>
      </c>
      <c r="K35" s="353"/>
      <c r="L35" s="27">
        <f>SUM(J35:K35)</f>
        <v>634</v>
      </c>
      <c r="M35" s="354">
        <f t="shared" si="4"/>
        <v>-14</v>
      </c>
      <c r="N35" s="56">
        <f t="shared" si="12"/>
        <v>0.9783950617283951</v>
      </c>
    </row>
    <row r="36" spans="1:14" ht="13.5" customHeight="1" thickBot="1">
      <c r="A36" s="367" t="s">
        <v>37</v>
      </c>
      <c r="B36" s="356">
        <v>0</v>
      </c>
      <c r="C36" s="357"/>
      <c r="D36" s="27">
        <f t="shared" si="8"/>
        <v>0</v>
      </c>
      <c r="E36" s="358">
        <v>0</v>
      </c>
      <c r="F36" s="357"/>
      <c r="G36" s="27">
        <f t="shared" si="9"/>
        <v>0</v>
      </c>
      <c r="H36" s="359">
        <f t="shared" si="2"/>
        <v>0</v>
      </c>
      <c r="I36" s="360"/>
      <c r="J36" s="361">
        <v>0</v>
      </c>
      <c r="K36" s="362"/>
      <c r="L36" s="27">
        <f>SUM(J36:K36)</f>
        <v>0</v>
      </c>
      <c r="M36" s="359">
        <f t="shared" si="4"/>
        <v>0</v>
      </c>
      <c r="N36" s="363"/>
    </row>
    <row r="37" spans="1:14" ht="13.5" customHeight="1" thickBot="1">
      <c r="A37" s="364" t="s">
        <v>38</v>
      </c>
      <c r="B37" s="47">
        <f aca="true" t="shared" si="13" ref="B37:G37">SUM(B19+B21+B22+B23+B24+B27+B32+B33+B34+B36)</f>
        <v>20780</v>
      </c>
      <c r="C37" s="48">
        <f t="shared" si="13"/>
        <v>0</v>
      </c>
      <c r="D37" s="49">
        <f t="shared" si="13"/>
        <v>20780</v>
      </c>
      <c r="E37" s="365">
        <f t="shared" si="13"/>
        <v>21734</v>
      </c>
      <c r="F37" s="48">
        <f t="shared" si="13"/>
        <v>0</v>
      </c>
      <c r="G37" s="49">
        <f t="shared" si="13"/>
        <v>21734</v>
      </c>
      <c r="H37" s="62">
        <f t="shared" si="2"/>
        <v>954</v>
      </c>
      <c r="I37" s="51">
        <f t="shared" si="11"/>
        <v>1.0459095283926854</v>
      </c>
      <c r="J37" s="52">
        <f>SUM(J19+J21+J22+J23+J24+J27+J32+J33+J34+J36)</f>
        <v>22978</v>
      </c>
      <c r="K37" s="365">
        <f>SUM(K19+K21+K22+K23+K24+K27+K32+K33+K34+K36)</f>
        <v>0</v>
      </c>
      <c r="L37" s="49">
        <f>SUM(L19+L21+L22+L23+L24+L27+L32+L33+L34+L36)</f>
        <v>22978</v>
      </c>
      <c r="M37" s="62">
        <f t="shared" si="4"/>
        <v>1244</v>
      </c>
      <c r="N37" s="53">
        <f t="shared" si="12"/>
        <v>1.0572375080519003</v>
      </c>
    </row>
    <row r="38" spans="1:14" ht="13.5" customHeight="1" thickBot="1">
      <c r="A38" s="364" t="s">
        <v>39</v>
      </c>
      <c r="B38" s="680">
        <f>+D18-D37</f>
        <v>122</v>
      </c>
      <c r="C38" s="823"/>
      <c r="D38" s="824"/>
      <c r="E38" s="825">
        <f>+G18-G37</f>
        <v>0</v>
      </c>
      <c r="F38" s="823"/>
      <c r="G38" s="824"/>
      <c r="H38" s="368">
        <f>+E38-B38</f>
        <v>-122</v>
      </c>
      <c r="I38" s="63"/>
      <c r="J38" s="680">
        <f>+L18-L37</f>
        <v>0</v>
      </c>
      <c r="K38" s="823"/>
      <c r="L38" s="826"/>
      <c r="M38" s="369"/>
      <c r="N38" s="370"/>
    </row>
    <row r="39" spans="1:16" ht="20.25" customHeight="1" thickBot="1">
      <c r="A39" s="371" t="s">
        <v>40</v>
      </c>
      <c r="B39" s="680">
        <v>0</v>
      </c>
      <c r="C39" s="823"/>
      <c r="D39" s="824"/>
      <c r="E39" s="825">
        <v>0</v>
      </c>
      <c r="F39" s="823"/>
      <c r="G39" s="824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809"/>
      <c r="C41" s="652" t="s">
        <v>41</v>
      </c>
      <c r="D41" s="662" t="s">
        <v>185</v>
      </c>
      <c r="E41" s="665"/>
      <c r="F41" s="809"/>
      <c r="G41" s="652" t="s">
        <v>41</v>
      </c>
      <c r="H41" s="668" t="s">
        <v>186</v>
      </c>
      <c r="I41" s="815"/>
      <c r="J41" s="815"/>
      <c r="K41" s="816"/>
      <c r="L41" s="652" t="s">
        <v>41</v>
      </c>
      <c r="O41"/>
      <c r="P41"/>
    </row>
    <row r="42" spans="1:16" ht="13.5" thickBot="1">
      <c r="A42" s="810"/>
      <c r="B42" s="811"/>
      <c r="C42" s="812"/>
      <c r="D42" s="822"/>
      <c r="E42" s="813"/>
      <c r="F42" s="814"/>
      <c r="G42" s="812"/>
      <c r="H42" s="817"/>
      <c r="I42" s="818"/>
      <c r="J42" s="818"/>
      <c r="K42" s="819"/>
      <c r="L42" s="812"/>
      <c r="O42"/>
      <c r="P42"/>
    </row>
    <row r="43" spans="1:16" ht="12.75">
      <c r="A43" s="800" t="s">
        <v>373</v>
      </c>
      <c r="B43" s="820"/>
      <c r="C43" s="373">
        <v>380</v>
      </c>
      <c r="D43" s="821" t="s">
        <v>374</v>
      </c>
      <c r="E43" s="802"/>
      <c r="F43" s="803"/>
      <c r="G43" s="373">
        <v>79</v>
      </c>
      <c r="H43" s="804" t="s">
        <v>375</v>
      </c>
      <c r="I43" s="805"/>
      <c r="J43" s="805"/>
      <c r="K43" s="806"/>
      <c r="L43" s="375">
        <v>150</v>
      </c>
      <c r="O43"/>
      <c r="P43"/>
    </row>
    <row r="44" spans="1:16" ht="12.75">
      <c r="A44" s="791" t="s">
        <v>376</v>
      </c>
      <c r="B44" s="792"/>
      <c r="C44" s="373">
        <v>280</v>
      </c>
      <c r="D44" s="791" t="s">
        <v>377</v>
      </c>
      <c r="E44" s="793"/>
      <c r="F44" s="792"/>
      <c r="G44" s="373">
        <v>200</v>
      </c>
      <c r="H44" s="643" t="s">
        <v>126</v>
      </c>
      <c r="I44" s="795"/>
      <c r="J44" s="795"/>
      <c r="K44" s="807"/>
      <c r="L44" s="375">
        <v>60</v>
      </c>
      <c r="O44"/>
      <c r="P44"/>
    </row>
    <row r="45" spans="1:16" ht="12.75">
      <c r="A45" s="791" t="s">
        <v>378</v>
      </c>
      <c r="B45" s="792"/>
      <c r="C45" s="373">
        <v>302</v>
      </c>
      <c r="D45" s="791" t="s">
        <v>378</v>
      </c>
      <c r="E45" s="793"/>
      <c r="F45" s="792"/>
      <c r="G45" s="373">
        <v>302</v>
      </c>
      <c r="H45" s="643" t="s">
        <v>379</v>
      </c>
      <c r="I45" s="795"/>
      <c r="J45" s="795"/>
      <c r="K45" s="807"/>
      <c r="L45" s="375">
        <v>63</v>
      </c>
      <c r="O45"/>
      <c r="P45"/>
    </row>
    <row r="46" spans="1:16" ht="12.75">
      <c r="A46" s="791"/>
      <c r="B46" s="794"/>
      <c r="C46" s="376"/>
      <c r="D46" s="791"/>
      <c r="E46" s="793"/>
      <c r="F46" s="794"/>
      <c r="G46" s="376"/>
      <c r="H46" s="643" t="s">
        <v>378</v>
      </c>
      <c r="I46" s="795"/>
      <c r="J46" s="795"/>
      <c r="K46" s="796"/>
      <c r="L46" s="375">
        <v>306</v>
      </c>
      <c r="O46"/>
      <c r="P46"/>
    </row>
    <row r="47" spans="1:16" ht="12.75">
      <c r="A47" s="791"/>
      <c r="B47" s="794"/>
      <c r="C47" s="378"/>
      <c r="D47" s="791"/>
      <c r="E47" s="793"/>
      <c r="F47" s="794"/>
      <c r="G47" s="378"/>
      <c r="H47" s="643"/>
      <c r="I47" s="795"/>
      <c r="J47" s="795"/>
      <c r="K47" s="796"/>
      <c r="L47" s="375"/>
      <c r="O47"/>
      <c r="P47"/>
    </row>
    <row r="48" spans="1:16" ht="12.75">
      <c r="A48" s="791"/>
      <c r="B48" s="794"/>
      <c r="C48" s="378"/>
      <c r="D48" s="791"/>
      <c r="E48" s="793"/>
      <c r="F48" s="794"/>
      <c r="G48" s="378"/>
      <c r="H48" s="643"/>
      <c r="I48" s="795"/>
      <c r="J48" s="795"/>
      <c r="K48" s="796"/>
      <c r="L48" s="375"/>
      <c r="O48"/>
      <c r="P48"/>
    </row>
    <row r="49" spans="1:16" ht="13.5" thickBot="1">
      <c r="A49" s="785"/>
      <c r="B49" s="786"/>
      <c r="C49" s="378"/>
      <c r="D49" s="785"/>
      <c r="E49" s="787"/>
      <c r="F49" s="786"/>
      <c r="G49" s="378"/>
      <c r="H49" s="788"/>
      <c r="I49" s="789"/>
      <c r="J49" s="789"/>
      <c r="K49" s="790"/>
      <c r="L49" s="375"/>
      <c r="O49"/>
      <c r="P49"/>
    </row>
    <row r="50" spans="1:16" ht="13.5" thickBot="1">
      <c r="A50" s="633"/>
      <c r="B50" s="808"/>
      <c r="C50" s="379">
        <f>SUM(C43:C49)</f>
        <v>962</v>
      </c>
      <c r="D50" s="633"/>
      <c r="E50" s="634"/>
      <c r="F50" s="635"/>
      <c r="G50" s="379">
        <v>581</v>
      </c>
      <c r="H50" s="797" t="s">
        <v>5</v>
      </c>
      <c r="I50" s="798"/>
      <c r="J50" s="798"/>
      <c r="K50" s="799"/>
      <c r="L50" s="379">
        <f>SUM(L43:L49)</f>
        <v>579</v>
      </c>
      <c r="M50" s="74"/>
      <c r="N50" s="74"/>
      <c r="O50"/>
      <c r="P50"/>
    </row>
    <row r="51" spans="1:16" s="1" customFormat="1" ht="13.5" customHeight="1" thickBot="1">
      <c r="A51" s="380"/>
      <c r="B51" s="381"/>
      <c r="C51" s="381"/>
      <c r="D51" s="381"/>
      <c r="E51" s="381"/>
      <c r="F51" s="381"/>
      <c r="G51" s="381"/>
      <c r="H51" s="8"/>
      <c r="I51" s="7"/>
      <c r="J51" s="7"/>
      <c r="K51" s="7"/>
      <c r="L51" s="7"/>
      <c r="M51" s="7"/>
      <c r="N51" s="7"/>
      <c r="O51" s="7"/>
      <c r="P51" s="7"/>
    </row>
    <row r="52" spans="1:16" ht="12.75">
      <c r="A52" s="662" t="s">
        <v>192</v>
      </c>
      <c r="B52" s="809"/>
      <c r="C52" s="652" t="s">
        <v>41</v>
      </c>
      <c r="D52" s="665" t="s">
        <v>193</v>
      </c>
      <c r="E52" s="665"/>
      <c r="F52" s="809"/>
      <c r="G52" s="652" t="s">
        <v>41</v>
      </c>
      <c r="H52" s="668" t="s">
        <v>194</v>
      </c>
      <c r="I52" s="815"/>
      <c r="J52" s="815"/>
      <c r="K52" s="816"/>
      <c r="L52" s="652" t="s">
        <v>41</v>
      </c>
      <c r="O52"/>
      <c r="P52"/>
    </row>
    <row r="53" spans="1:16" ht="13.5" thickBot="1">
      <c r="A53" s="810"/>
      <c r="B53" s="811"/>
      <c r="C53" s="812"/>
      <c r="D53" s="813"/>
      <c r="E53" s="813"/>
      <c r="F53" s="814"/>
      <c r="G53" s="812"/>
      <c r="H53" s="817"/>
      <c r="I53" s="818"/>
      <c r="J53" s="818"/>
      <c r="K53" s="819"/>
      <c r="L53" s="812"/>
      <c r="O53"/>
      <c r="P53"/>
    </row>
    <row r="54" spans="1:16" ht="12.75">
      <c r="A54" s="800" t="s">
        <v>538</v>
      </c>
      <c r="B54" s="801"/>
      <c r="C54" s="67">
        <v>120</v>
      </c>
      <c r="D54" s="802" t="s">
        <v>543</v>
      </c>
      <c r="E54" s="802"/>
      <c r="F54" s="803"/>
      <c r="G54" s="374">
        <v>97</v>
      </c>
      <c r="H54" s="804" t="s">
        <v>547</v>
      </c>
      <c r="I54" s="805"/>
      <c r="J54" s="805"/>
      <c r="K54" s="806"/>
      <c r="L54" s="375">
        <v>20</v>
      </c>
      <c r="O54"/>
      <c r="P54"/>
    </row>
    <row r="55" spans="1:16" ht="13.5" customHeight="1">
      <c r="A55" s="791" t="s">
        <v>539</v>
      </c>
      <c r="B55" s="792"/>
      <c r="C55" s="67">
        <v>66</v>
      </c>
      <c r="D55" s="793" t="s">
        <v>544</v>
      </c>
      <c r="E55" s="793"/>
      <c r="F55" s="792"/>
      <c r="G55" s="374">
        <v>24</v>
      </c>
      <c r="H55" s="643" t="s">
        <v>548</v>
      </c>
      <c r="I55" s="795"/>
      <c r="J55" s="795"/>
      <c r="K55" s="807"/>
      <c r="L55" s="375">
        <v>40</v>
      </c>
      <c r="O55"/>
      <c r="P55"/>
    </row>
    <row r="56" spans="1:16" ht="13.5" customHeight="1">
      <c r="A56" s="791" t="s">
        <v>540</v>
      </c>
      <c r="B56" s="792"/>
      <c r="C56" s="67">
        <v>16</v>
      </c>
      <c r="D56" s="793" t="s">
        <v>545</v>
      </c>
      <c r="E56" s="793"/>
      <c r="F56" s="792"/>
      <c r="G56" s="374">
        <v>34</v>
      </c>
      <c r="H56" s="643" t="s">
        <v>549</v>
      </c>
      <c r="I56" s="795"/>
      <c r="J56" s="795"/>
      <c r="K56" s="796"/>
      <c r="L56" s="375">
        <v>20</v>
      </c>
      <c r="O56"/>
      <c r="P56"/>
    </row>
    <row r="57" spans="1:16" ht="13.5" customHeight="1">
      <c r="A57" s="791" t="s">
        <v>541</v>
      </c>
      <c r="B57" s="792"/>
      <c r="C57" s="67">
        <v>36</v>
      </c>
      <c r="D57" s="793" t="s">
        <v>470</v>
      </c>
      <c r="E57" s="793"/>
      <c r="F57" s="792"/>
      <c r="G57" s="374">
        <v>23</v>
      </c>
      <c r="H57" s="643" t="s">
        <v>550</v>
      </c>
      <c r="I57" s="795"/>
      <c r="J57" s="795"/>
      <c r="K57" s="796"/>
      <c r="L57" s="375">
        <v>25</v>
      </c>
      <c r="O57"/>
      <c r="P57"/>
    </row>
    <row r="58" spans="1:16" ht="13.5" customHeight="1">
      <c r="A58" s="791" t="s">
        <v>542</v>
      </c>
      <c r="B58" s="792"/>
      <c r="C58" s="382">
        <v>13</v>
      </c>
      <c r="D58" s="793" t="s">
        <v>546</v>
      </c>
      <c r="E58" s="793"/>
      <c r="F58" s="794"/>
      <c r="G58" s="372">
        <v>11</v>
      </c>
      <c r="H58" s="643" t="s">
        <v>471</v>
      </c>
      <c r="I58" s="795"/>
      <c r="J58" s="795"/>
      <c r="K58" s="796"/>
      <c r="L58" s="383">
        <v>151</v>
      </c>
      <c r="O58"/>
      <c r="P58"/>
    </row>
    <row r="59" spans="1:16" ht="13.5" customHeight="1">
      <c r="A59" s="791" t="s">
        <v>472</v>
      </c>
      <c r="B59" s="792"/>
      <c r="C59" s="72">
        <v>156</v>
      </c>
      <c r="D59" s="793" t="s">
        <v>473</v>
      </c>
      <c r="E59" s="793"/>
      <c r="F59" s="794"/>
      <c r="G59" s="384">
        <v>165</v>
      </c>
      <c r="H59" s="643"/>
      <c r="I59" s="795"/>
      <c r="J59" s="795"/>
      <c r="K59" s="796"/>
      <c r="L59" s="385"/>
      <c r="O59"/>
      <c r="P59"/>
    </row>
    <row r="60" spans="1:16" ht="13.5" customHeight="1">
      <c r="A60" s="791"/>
      <c r="B60" s="792"/>
      <c r="C60" s="70"/>
      <c r="D60" s="793"/>
      <c r="E60" s="793"/>
      <c r="F60" s="792"/>
      <c r="G60" s="377"/>
      <c r="H60" s="643"/>
      <c r="I60" s="795"/>
      <c r="J60" s="795"/>
      <c r="K60" s="796"/>
      <c r="L60" s="386"/>
      <c r="O60"/>
      <c r="P60"/>
    </row>
    <row r="61" spans="1:16" ht="13.5" thickBot="1">
      <c r="A61" s="785"/>
      <c r="B61" s="786"/>
      <c r="C61" s="382"/>
      <c r="D61" s="787"/>
      <c r="E61" s="787"/>
      <c r="F61" s="786"/>
      <c r="G61" s="372"/>
      <c r="H61" s="788"/>
      <c r="I61" s="789"/>
      <c r="J61" s="789"/>
      <c r="K61" s="790"/>
      <c r="L61" s="383"/>
      <c r="O61"/>
      <c r="P61"/>
    </row>
    <row r="62" spans="1:16" ht="13.5" thickBot="1">
      <c r="A62" s="633" t="s">
        <v>5</v>
      </c>
      <c r="B62" s="635"/>
      <c r="C62" s="73">
        <f>SUM(C54:C61)</f>
        <v>407</v>
      </c>
      <c r="D62" s="634" t="s">
        <v>5</v>
      </c>
      <c r="E62" s="634"/>
      <c r="F62" s="635"/>
      <c r="G62" s="323">
        <f>SUM(G54:G61)</f>
        <v>354</v>
      </c>
      <c r="H62" s="797" t="s">
        <v>5</v>
      </c>
      <c r="I62" s="798"/>
      <c r="J62" s="798"/>
      <c r="K62" s="799"/>
      <c r="L62" s="379">
        <f>SUM(L54:L61)</f>
        <v>256</v>
      </c>
      <c r="M62" s="74"/>
      <c r="N62" s="74"/>
      <c r="O62"/>
      <c r="P62"/>
    </row>
    <row r="63" spans="1:16" s="1" customFormat="1" ht="12.75">
      <c r="A63" s="387"/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/>
      <c r="P63"/>
    </row>
    <row r="64" spans="1:16" s="1" customFormat="1" ht="13.5" thickBot="1">
      <c r="A64" s="387"/>
      <c r="B64" s="387"/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/>
      <c r="P6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21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119</v>
      </c>
      <c r="I67" s="580" t="s">
        <v>179</v>
      </c>
      <c r="J67" s="582"/>
      <c r="K67" s="582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98</v>
      </c>
      <c r="C68" s="583"/>
      <c r="D68" s="583"/>
      <c r="E68" s="159"/>
      <c r="F68" s="584" t="s">
        <v>177</v>
      </c>
      <c r="G68" s="585"/>
      <c r="H68" s="151">
        <v>0</v>
      </c>
      <c r="I68" s="583"/>
      <c r="J68" s="585"/>
      <c r="K68" s="585"/>
      <c r="L68" s="159"/>
      <c r="M68" s="84"/>
      <c r="N68" s="84"/>
    </row>
    <row r="69" spans="1:14" s="1" customFormat="1" ht="12.75">
      <c r="A69" s="158" t="s">
        <v>175</v>
      </c>
      <c r="B69" s="151">
        <v>0</v>
      </c>
      <c r="C69" s="583"/>
      <c r="D69" s="583"/>
      <c r="E69" s="159"/>
      <c r="F69" s="583" t="s">
        <v>175</v>
      </c>
      <c r="G69" s="583"/>
      <c r="H69" s="151">
        <v>0</v>
      </c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119</v>
      </c>
      <c r="C71" s="589" t="s">
        <v>5</v>
      </c>
      <c r="D71" s="589"/>
      <c r="E71" s="165">
        <f>SUM(E67:E70)</f>
        <v>0</v>
      </c>
      <c r="F71" s="590" t="s">
        <v>5</v>
      </c>
      <c r="G71" s="591"/>
      <c r="H71" s="161">
        <f>SUM(H67:H70)</f>
        <v>119</v>
      </c>
      <c r="I71" s="589" t="s">
        <v>5</v>
      </c>
      <c r="J71" s="591"/>
      <c r="K71" s="591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119</v>
      </c>
      <c r="C72" s="84"/>
      <c r="D72" s="84"/>
      <c r="E72" s="84"/>
      <c r="F72" s="592" t="s">
        <v>534</v>
      </c>
      <c r="G72" s="593"/>
      <c r="H72" s="183">
        <f>H71-L71</f>
        <v>119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3.5" thickBot="1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6" ht="12.75">
      <c r="A75" s="601" t="s">
        <v>73</v>
      </c>
      <c r="B75" s="604" t="s">
        <v>74</v>
      </c>
      <c r="C75" s="607" t="s">
        <v>477</v>
      </c>
      <c r="D75" s="608"/>
      <c r="E75" s="608"/>
      <c r="F75" s="608"/>
      <c r="G75" s="608"/>
      <c r="H75" s="608"/>
      <c r="I75" s="609"/>
      <c r="J75" s="610" t="s">
        <v>75</v>
      </c>
      <c r="K75" s="175"/>
      <c r="L75" s="718" t="s">
        <v>48</v>
      </c>
      <c r="M75" s="719"/>
      <c r="N75" s="722">
        <v>2004</v>
      </c>
      <c r="O75" s="724">
        <v>2005</v>
      </c>
      <c r="P75"/>
    </row>
    <row r="76" spans="1:16" ht="13.5" thickBot="1">
      <c r="A76" s="602"/>
      <c r="B76" s="605"/>
      <c r="C76" s="596" t="s">
        <v>76</v>
      </c>
      <c r="D76" s="598" t="s">
        <v>77</v>
      </c>
      <c r="E76" s="599"/>
      <c r="F76" s="599"/>
      <c r="G76" s="599"/>
      <c r="H76" s="599"/>
      <c r="I76" s="600"/>
      <c r="J76" s="611"/>
      <c r="K76" s="176"/>
      <c r="L76" s="720"/>
      <c r="M76" s="721"/>
      <c r="N76" s="723"/>
      <c r="O76" s="725"/>
      <c r="P76"/>
    </row>
    <row r="77" spans="1:16" ht="13.5" thickBot="1">
      <c r="A77" s="603"/>
      <c r="B77" s="606"/>
      <c r="C77" s="597"/>
      <c r="D77" s="115">
        <v>1</v>
      </c>
      <c r="E77" s="115">
        <v>2</v>
      </c>
      <c r="F77" s="115">
        <v>3</v>
      </c>
      <c r="G77" s="115">
        <v>4</v>
      </c>
      <c r="H77" s="115">
        <v>5</v>
      </c>
      <c r="I77" s="172">
        <v>6</v>
      </c>
      <c r="J77" s="612"/>
      <c r="K77" s="177"/>
      <c r="L77" s="173" t="s">
        <v>49</v>
      </c>
      <c r="M77" s="174"/>
      <c r="N77" s="166">
        <v>0</v>
      </c>
      <c r="O77" s="167">
        <v>0</v>
      </c>
      <c r="P77"/>
    </row>
    <row r="78" spans="1:16" ht="13.5" thickBot="1">
      <c r="A78" s="116">
        <v>34366</v>
      </c>
      <c r="B78" s="117">
        <v>4133</v>
      </c>
      <c r="C78" s="170">
        <v>634</v>
      </c>
      <c r="D78" s="171">
        <v>130</v>
      </c>
      <c r="E78" s="171">
        <v>194</v>
      </c>
      <c r="F78" s="171">
        <v>4</v>
      </c>
      <c r="G78" s="171">
        <v>0</v>
      </c>
      <c r="H78" s="170">
        <v>306</v>
      </c>
      <c r="I78" s="185">
        <v>0</v>
      </c>
      <c r="J78" s="118">
        <f>SUM(A78-B78-C78)</f>
        <v>29599</v>
      </c>
      <c r="K78" s="177"/>
      <c r="L78" s="726" t="s">
        <v>50</v>
      </c>
      <c r="M78" s="727"/>
      <c r="N78" s="87">
        <v>0</v>
      </c>
      <c r="O78" s="88">
        <v>0</v>
      </c>
      <c r="P78"/>
    </row>
    <row r="79" spans="1:15" s="1" customFormat="1" ht="13.5" thickBot="1">
      <c r="A79" s="85"/>
      <c r="B79" s="86"/>
      <c r="C79" s="86"/>
      <c r="D79" s="86"/>
      <c r="E79" s="2"/>
      <c r="F79" s="4"/>
      <c r="G79" s="4"/>
      <c r="H79" s="85"/>
      <c r="I79" s="86"/>
      <c r="J79" s="86"/>
      <c r="K79" s="86"/>
      <c r="L79" s="728" t="s">
        <v>178</v>
      </c>
      <c r="M79" s="729"/>
      <c r="N79" s="168">
        <v>0</v>
      </c>
      <c r="O79" s="169">
        <v>0</v>
      </c>
    </row>
    <row r="80" spans="1:12" s="1" customFormat="1" ht="13.5" thickBot="1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618" t="s">
        <v>112</v>
      </c>
      <c r="B81" s="620" t="s">
        <v>482</v>
      </c>
      <c r="C81" s="622" t="s">
        <v>480</v>
      </c>
      <c r="D81" s="623"/>
      <c r="E81" s="623"/>
      <c r="F81" s="624"/>
      <c r="G81" s="625" t="s">
        <v>483</v>
      </c>
      <c r="H81" s="613" t="s">
        <v>78</v>
      </c>
      <c r="I81" s="615" t="s">
        <v>481</v>
      </c>
      <c r="J81" s="616"/>
      <c r="K81" s="616"/>
      <c r="L81" s="617"/>
    </row>
    <row r="82" spans="1:12" s="1" customFormat="1" ht="18.75" thickBot="1">
      <c r="A82" s="619"/>
      <c r="B82" s="621"/>
      <c r="C82" s="119" t="s">
        <v>81</v>
      </c>
      <c r="D82" s="120" t="s">
        <v>79</v>
      </c>
      <c r="E82" s="120" t="s">
        <v>80</v>
      </c>
      <c r="F82" s="121" t="s">
        <v>114</v>
      </c>
      <c r="G82" s="626"/>
      <c r="H82" s="614"/>
      <c r="I82" s="455" t="s">
        <v>484</v>
      </c>
      <c r="J82" s="456" t="s">
        <v>79</v>
      </c>
      <c r="K82" s="456" t="s">
        <v>80</v>
      </c>
      <c r="L82" s="457" t="s">
        <v>485</v>
      </c>
    </row>
    <row r="83" spans="1:12" s="1" customFormat="1" ht="12.75">
      <c r="A83" s="122" t="s">
        <v>82</v>
      </c>
      <c r="B83" s="123">
        <v>1860.48</v>
      </c>
      <c r="C83" s="124" t="s">
        <v>83</v>
      </c>
      <c r="D83" s="125" t="s">
        <v>83</v>
      </c>
      <c r="E83" s="125" t="s">
        <v>83</v>
      </c>
      <c r="F83" s="126" t="s">
        <v>83</v>
      </c>
      <c r="G83" s="127">
        <v>1732.48</v>
      </c>
      <c r="H83" s="452" t="s">
        <v>83</v>
      </c>
      <c r="I83" s="458" t="s">
        <v>83</v>
      </c>
      <c r="J83" s="459" t="s">
        <v>83</v>
      </c>
      <c r="K83" s="459" t="s">
        <v>83</v>
      </c>
      <c r="L83" s="460" t="s">
        <v>83</v>
      </c>
    </row>
    <row r="84" spans="1:12" s="1" customFormat="1" ht="12.75">
      <c r="A84" s="128" t="s">
        <v>84</v>
      </c>
      <c r="B84" s="129">
        <v>0</v>
      </c>
      <c r="C84" s="130">
        <v>0</v>
      </c>
      <c r="D84" s="131">
        <v>24</v>
      </c>
      <c r="E84" s="131">
        <v>0</v>
      </c>
      <c r="F84" s="132">
        <v>24</v>
      </c>
      <c r="G84" s="133">
        <v>24.3</v>
      </c>
      <c r="H84" s="453">
        <f>+G84-F84</f>
        <v>0.3000000000000007</v>
      </c>
      <c r="I84" s="130">
        <v>24</v>
      </c>
      <c r="J84" s="131">
        <v>0</v>
      </c>
      <c r="K84" s="131">
        <v>0</v>
      </c>
      <c r="L84" s="132">
        <f>I84+J84-K84</f>
        <v>24</v>
      </c>
    </row>
    <row r="85" spans="1:12" s="1" customFormat="1" ht="12.75">
      <c r="A85" s="128" t="s">
        <v>85</v>
      </c>
      <c r="B85" s="129">
        <v>0</v>
      </c>
      <c r="C85" s="130">
        <v>21</v>
      </c>
      <c r="D85" s="131">
        <v>98</v>
      </c>
      <c r="E85" s="131">
        <v>0</v>
      </c>
      <c r="F85" s="132">
        <v>119</v>
      </c>
      <c r="G85" s="133">
        <v>0</v>
      </c>
      <c r="H85" s="453">
        <f>+G85-F85</f>
        <v>-119</v>
      </c>
      <c r="I85" s="130">
        <v>119</v>
      </c>
      <c r="J85" s="131">
        <v>0</v>
      </c>
      <c r="K85" s="131">
        <v>0</v>
      </c>
      <c r="L85" s="132">
        <f>I85+J85-K85</f>
        <v>119</v>
      </c>
    </row>
    <row r="86" spans="1:12" s="1" customFormat="1" ht="12.75">
      <c r="A86" s="128" t="s">
        <v>113</v>
      </c>
      <c r="B86" s="129">
        <v>1.96</v>
      </c>
      <c r="C86" s="130">
        <v>2</v>
      </c>
      <c r="D86" s="131">
        <v>648</v>
      </c>
      <c r="E86" s="131">
        <v>580</v>
      </c>
      <c r="F86" s="132">
        <v>70</v>
      </c>
      <c r="G86" s="133">
        <v>70.08</v>
      </c>
      <c r="H86" s="453">
        <f>+G86-F86</f>
        <v>0.0799999999999983</v>
      </c>
      <c r="I86" s="461">
        <v>70</v>
      </c>
      <c r="J86" s="447">
        <v>634</v>
      </c>
      <c r="K86" s="447">
        <v>579</v>
      </c>
      <c r="L86" s="132">
        <f>I86+J86-K86</f>
        <v>125</v>
      </c>
    </row>
    <row r="87" spans="1:12" s="1" customFormat="1" ht="12.75">
      <c r="A87" s="128" t="s">
        <v>86</v>
      </c>
      <c r="B87" s="129">
        <v>1858.52</v>
      </c>
      <c r="C87" s="146" t="s">
        <v>83</v>
      </c>
      <c r="D87" s="125" t="s">
        <v>83</v>
      </c>
      <c r="E87" s="147" t="s">
        <v>83</v>
      </c>
      <c r="F87" s="148" t="s">
        <v>83</v>
      </c>
      <c r="G87" s="133">
        <v>1638.1</v>
      </c>
      <c r="H87" s="146" t="s">
        <v>83</v>
      </c>
      <c r="I87" s="124" t="s">
        <v>83</v>
      </c>
      <c r="J87" s="125" t="s">
        <v>83</v>
      </c>
      <c r="K87" s="125" t="s">
        <v>83</v>
      </c>
      <c r="L87" s="462">
        <v>0</v>
      </c>
    </row>
    <row r="88" spans="1:12" s="1" customFormat="1" ht="13.5" thickBot="1">
      <c r="A88" s="134" t="s">
        <v>87</v>
      </c>
      <c r="B88" s="135">
        <v>119.77</v>
      </c>
      <c r="C88" s="136">
        <v>259</v>
      </c>
      <c r="D88" s="137">
        <v>206</v>
      </c>
      <c r="E88" s="137">
        <v>170</v>
      </c>
      <c r="F88" s="138">
        <v>295</v>
      </c>
      <c r="G88" s="139">
        <v>148.49</v>
      </c>
      <c r="H88" s="454">
        <f>+G88-F88</f>
        <v>-146.51</v>
      </c>
      <c r="I88" s="136">
        <v>295</v>
      </c>
      <c r="J88" s="137">
        <v>226</v>
      </c>
      <c r="K88" s="137">
        <v>178</v>
      </c>
      <c r="L88" s="138">
        <f>I88+J88-K88</f>
        <v>343</v>
      </c>
    </row>
    <row r="89" spans="1:16" s="1" customFormat="1" ht="12.75">
      <c r="A89" s="388"/>
      <c r="B89" s="389"/>
      <c r="C89" s="389"/>
      <c r="D89" s="389"/>
      <c r="E89" s="390"/>
      <c r="F89" s="337"/>
      <c r="G89" s="337"/>
      <c r="H89" s="388"/>
      <c r="I89" s="389"/>
      <c r="J89" s="389"/>
      <c r="K89" s="389"/>
      <c r="L89" s="390"/>
      <c r="M89"/>
      <c r="N89"/>
      <c r="O89"/>
      <c r="P89"/>
    </row>
    <row r="90" spans="1:16" s="1" customFormat="1" ht="12.75">
      <c r="A90" s="388"/>
      <c r="B90" s="389"/>
      <c r="C90" s="389"/>
      <c r="D90" s="389"/>
      <c r="E90" s="390"/>
      <c r="F90" s="337"/>
      <c r="G90" s="337"/>
      <c r="H90" s="388"/>
      <c r="I90" s="389"/>
      <c r="J90" s="389"/>
      <c r="K90" s="389"/>
      <c r="L90" s="390"/>
      <c r="M90"/>
      <c r="N90"/>
      <c r="O90"/>
      <c r="P90"/>
    </row>
    <row r="91" spans="1:16" s="1" customFormat="1" ht="12.75">
      <c r="A91" s="388"/>
      <c r="B91" s="389"/>
      <c r="C91" s="389"/>
      <c r="D91" s="389"/>
      <c r="E91" s="390"/>
      <c r="F91" s="337"/>
      <c r="G91" s="337"/>
      <c r="H91" s="388"/>
      <c r="I91" s="389"/>
      <c r="J91" s="389"/>
      <c r="K91" s="389"/>
      <c r="L91" s="390"/>
      <c r="M91"/>
      <c r="N91"/>
      <c r="O91"/>
      <c r="P91"/>
    </row>
    <row r="92" ht="13.5" thickBot="1"/>
    <row r="93" spans="1:12" ht="12.75">
      <c r="A93" s="690" t="s">
        <v>205</v>
      </c>
      <c r="B93" s="783" t="s">
        <v>5</v>
      </c>
      <c r="C93" s="777" t="s">
        <v>88</v>
      </c>
      <c r="D93" s="772"/>
      <c r="E93" s="772"/>
      <c r="F93" s="772"/>
      <c r="G93" s="772"/>
      <c r="H93" s="773"/>
      <c r="I93" s="391"/>
      <c r="J93" s="706" t="s">
        <v>51</v>
      </c>
      <c r="K93" s="772"/>
      <c r="L93" s="773"/>
    </row>
    <row r="94" spans="1:12" ht="13.5" thickBot="1">
      <c r="A94" s="782"/>
      <c r="B94" s="784"/>
      <c r="C94" s="140" t="s">
        <v>89</v>
      </c>
      <c r="D94" s="392" t="s">
        <v>90</v>
      </c>
      <c r="E94" s="392" t="s">
        <v>91</v>
      </c>
      <c r="F94" s="392" t="s">
        <v>92</v>
      </c>
      <c r="G94" s="393" t="s">
        <v>93</v>
      </c>
      <c r="H94" s="143" t="s">
        <v>76</v>
      </c>
      <c r="I94" s="391"/>
      <c r="J94" s="90"/>
      <c r="K94" s="394" t="s">
        <v>52</v>
      </c>
      <c r="L94" s="395" t="s">
        <v>53</v>
      </c>
    </row>
    <row r="95" spans="1:12" ht="12.75">
      <c r="A95" s="396" t="s">
        <v>94</v>
      </c>
      <c r="B95" s="397">
        <v>0</v>
      </c>
      <c r="C95" s="398">
        <v>0</v>
      </c>
      <c r="D95" s="399"/>
      <c r="E95" s="399"/>
      <c r="F95" s="399"/>
      <c r="G95" s="397"/>
      <c r="H95" s="325">
        <f>SUM(C95:G95)</f>
        <v>0</v>
      </c>
      <c r="I95" s="391"/>
      <c r="J95" s="93">
        <v>2005</v>
      </c>
      <c r="K95" s="397">
        <v>10323</v>
      </c>
      <c r="L95" s="325">
        <f>+G29</f>
        <v>10323</v>
      </c>
    </row>
    <row r="96" spans="1:12" ht="13.5" thickBot="1">
      <c r="A96" s="400" t="s">
        <v>95</v>
      </c>
      <c r="B96" s="401">
        <v>0</v>
      </c>
      <c r="C96" s="402">
        <v>0</v>
      </c>
      <c r="D96" s="403"/>
      <c r="E96" s="403"/>
      <c r="F96" s="403"/>
      <c r="G96" s="401"/>
      <c r="H96" s="404">
        <f>SUM(C96:G96)</f>
        <v>0</v>
      </c>
      <c r="I96" s="391"/>
      <c r="J96" s="405">
        <v>2006</v>
      </c>
      <c r="K96" s="401">
        <f>+L29</f>
        <v>11308</v>
      </c>
      <c r="L96" s="404"/>
    </row>
    <row r="97" ht="12.75" customHeight="1"/>
    <row r="98" ht="13.5" thickBot="1"/>
    <row r="99" spans="1:10" ht="33.75" customHeight="1">
      <c r="A99" s="690" t="s">
        <v>54</v>
      </c>
      <c r="B99" s="699" t="s">
        <v>55</v>
      </c>
      <c r="C99" s="700"/>
      <c r="D99" s="778"/>
      <c r="E99" s="779" t="s">
        <v>206</v>
      </c>
      <c r="F99" s="700"/>
      <c r="G99" s="780"/>
      <c r="H99" s="781" t="s">
        <v>56</v>
      </c>
      <c r="I99" s="700"/>
      <c r="J99" s="780"/>
    </row>
    <row r="100" spans="1:10" ht="12.75">
      <c r="A100" s="691"/>
      <c r="B100" s="406">
        <v>2004</v>
      </c>
      <c r="C100" s="406">
        <v>2005</v>
      </c>
      <c r="D100" s="406" t="s">
        <v>57</v>
      </c>
      <c r="E100" s="406">
        <v>2004</v>
      </c>
      <c r="F100" s="406">
        <v>2005</v>
      </c>
      <c r="G100" s="407" t="s">
        <v>57</v>
      </c>
      <c r="H100" s="406">
        <v>2004</v>
      </c>
      <c r="I100" s="406">
        <v>2005</v>
      </c>
      <c r="J100" s="407" t="s">
        <v>57</v>
      </c>
    </row>
    <row r="101" spans="1:10" ht="18.75">
      <c r="A101" s="408" t="s">
        <v>58</v>
      </c>
      <c r="B101" s="409">
        <v>2</v>
      </c>
      <c r="C101" s="409">
        <v>2</v>
      </c>
      <c r="D101" s="409">
        <f aca="true" t="shared" si="14" ref="D101:D111">+C101-B101</f>
        <v>0</v>
      </c>
      <c r="E101" s="409">
        <v>2</v>
      </c>
      <c r="F101" s="409">
        <v>2</v>
      </c>
      <c r="G101" s="410">
        <f>+F101-E101</f>
        <v>0</v>
      </c>
      <c r="H101" s="411">
        <v>24969</v>
      </c>
      <c r="I101" s="411">
        <v>26064</v>
      </c>
      <c r="J101" s="412">
        <f aca="true" t="shared" si="15" ref="J101:J111">+I101-H101</f>
        <v>1095</v>
      </c>
    </row>
    <row r="102" spans="1:10" ht="12.75">
      <c r="A102" s="408" t="s">
        <v>98</v>
      </c>
      <c r="B102" s="409">
        <v>21.6</v>
      </c>
      <c r="C102" s="409">
        <v>18.27</v>
      </c>
      <c r="D102" s="409">
        <f t="shared" si="14"/>
        <v>-3.330000000000002</v>
      </c>
      <c r="E102" s="409">
        <v>19.69</v>
      </c>
      <c r="F102" s="409">
        <v>17.69</v>
      </c>
      <c r="G102" s="410">
        <f>+F102-E102</f>
        <v>-2</v>
      </c>
      <c r="H102" s="411">
        <v>17921</v>
      </c>
      <c r="I102" s="411">
        <v>19897</v>
      </c>
      <c r="J102" s="412">
        <f t="shared" si="15"/>
        <v>1976</v>
      </c>
    </row>
    <row r="103" spans="1:10" ht="12.75">
      <c r="A103" s="408" t="s">
        <v>380</v>
      </c>
      <c r="B103" s="409"/>
      <c r="C103" s="409">
        <v>3.92</v>
      </c>
      <c r="D103" s="409">
        <f t="shared" si="14"/>
        <v>3.92</v>
      </c>
      <c r="E103" s="409">
        <v>4</v>
      </c>
      <c r="F103" s="409">
        <v>5</v>
      </c>
      <c r="G103" s="410">
        <f>+F103-E103</f>
        <v>1</v>
      </c>
      <c r="H103" s="411"/>
      <c r="I103" s="411">
        <v>12985</v>
      </c>
      <c r="J103" s="412">
        <f t="shared" si="15"/>
        <v>12985</v>
      </c>
    </row>
    <row r="104" spans="1:10" ht="12.75">
      <c r="A104" s="408" t="s">
        <v>61</v>
      </c>
      <c r="B104" s="409">
        <v>12.08</v>
      </c>
      <c r="C104" s="409">
        <v>10.58</v>
      </c>
      <c r="D104" s="409">
        <f t="shared" si="14"/>
        <v>-1.5</v>
      </c>
      <c r="E104" s="409">
        <v>10</v>
      </c>
      <c r="F104" s="409">
        <v>10</v>
      </c>
      <c r="G104" s="410">
        <f>+F104-E104</f>
        <v>0</v>
      </c>
      <c r="H104" s="411">
        <v>13110</v>
      </c>
      <c r="I104" s="411">
        <v>15434</v>
      </c>
      <c r="J104" s="412">
        <f t="shared" si="15"/>
        <v>2324</v>
      </c>
    </row>
    <row r="105" spans="1:10" ht="12.75">
      <c r="A105" s="408" t="s">
        <v>99</v>
      </c>
      <c r="B105" s="409">
        <v>0.1</v>
      </c>
      <c r="C105" s="409">
        <v>0.05</v>
      </c>
      <c r="D105" s="409">
        <f t="shared" si="14"/>
        <v>-0.05</v>
      </c>
      <c r="E105" s="409">
        <v>0.1</v>
      </c>
      <c r="F105" s="409">
        <v>0</v>
      </c>
      <c r="G105" s="410">
        <v>0</v>
      </c>
      <c r="H105" s="411">
        <v>2192</v>
      </c>
      <c r="I105" s="411">
        <v>2729</v>
      </c>
      <c r="J105" s="412">
        <f t="shared" si="15"/>
        <v>537</v>
      </c>
    </row>
    <row r="106" spans="1:10" ht="12.75">
      <c r="A106" s="408" t="s">
        <v>63</v>
      </c>
      <c r="B106" s="409"/>
      <c r="C106" s="409"/>
      <c r="D106" s="409">
        <f t="shared" si="14"/>
        <v>0</v>
      </c>
      <c r="E106" s="409"/>
      <c r="F106" s="409"/>
      <c r="G106" s="410">
        <f aca="true" t="shared" si="16" ref="G106:G111">+F106-E106</f>
        <v>0</v>
      </c>
      <c r="H106" s="411"/>
      <c r="I106" s="411"/>
      <c r="J106" s="412">
        <f t="shared" si="15"/>
        <v>0</v>
      </c>
    </row>
    <row r="107" spans="1:10" ht="12.75">
      <c r="A107" s="408" t="s">
        <v>64</v>
      </c>
      <c r="B107" s="409"/>
      <c r="C107" s="409"/>
      <c r="D107" s="409">
        <f t="shared" si="14"/>
        <v>0</v>
      </c>
      <c r="E107" s="409"/>
      <c r="F107" s="409"/>
      <c r="G107" s="410">
        <f t="shared" si="16"/>
        <v>0</v>
      </c>
      <c r="H107" s="411"/>
      <c r="I107" s="411"/>
      <c r="J107" s="412">
        <f t="shared" si="15"/>
        <v>0</v>
      </c>
    </row>
    <row r="108" spans="1:10" ht="12.75">
      <c r="A108" s="408" t="s">
        <v>65</v>
      </c>
      <c r="B108" s="409"/>
      <c r="C108" s="409"/>
      <c r="D108" s="409">
        <f t="shared" si="14"/>
        <v>0</v>
      </c>
      <c r="E108" s="409"/>
      <c r="F108" s="409"/>
      <c r="G108" s="410">
        <f t="shared" si="16"/>
        <v>0</v>
      </c>
      <c r="H108" s="411"/>
      <c r="I108" s="411"/>
      <c r="J108" s="412">
        <f t="shared" si="15"/>
        <v>0</v>
      </c>
    </row>
    <row r="109" spans="1:10" ht="12.75">
      <c r="A109" s="408" t="s">
        <v>66</v>
      </c>
      <c r="B109" s="409">
        <v>1</v>
      </c>
      <c r="C109" s="409">
        <v>1</v>
      </c>
      <c r="D109" s="409">
        <f t="shared" si="14"/>
        <v>0</v>
      </c>
      <c r="E109" s="409">
        <v>1</v>
      </c>
      <c r="F109" s="409">
        <v>1</v>
      </c>
      <c r="G109" s="410">
        <f t="shared" si="16"/>
        <v>0</v>
      </c>
      <c r="H109" s="411">
        <v>20530</v>
      </c>
      <c r="I109" s="411">
        <v>23566</v>
      </c>
      <c r="J109" s="412">
        <f t="shared" si="15"/>
        <v>3036</v>
      </c>
    </row>
    <row r="110" spans="1:10" ht="12.75">
      <c r="A110" s="408" t="s">
        <v>67</v>
      </c>
      <c r="B110" s="409">
        <v>18.04</v>
      </c>
      <c r="C110" s="409">
        <v>20.9</v>
      </c>
      <c r="D110" s="409">
        <f t="shared" si="14"/>
        <v>2.8599999999999994</v>
      </c>
      <c r="E110" s="409">
        <v>21.25</v>
      </c>
      <c r="F110" s="409">
        <v>23</v>
      </c>
      <c r="G110" s="410">
        <f t="shared" si="16"/>
        <v>1.75</v>
      </c>
      <c r="H110" s="411">
        <v>9971</v>
      </c>
      <c r="I110" s="411">
        <v>10834</v>
      </c>
      <c r="J110" s="412">
        <f t="shared" si="15"/>
        <v>863</v>
      </c>
    </row>
    <row r="111" spans="1:10" ht="13.5" thickBot="1">
      <c r="A111" s="413" t="s">
        <v>5</v>
      </c>
      <c r="B111" s="414">
        <v>54.82</v>
      </c>
      <c r="C111" s="414">
        <v>56.72</v>
      </c>
      <c r="D111" s="414">
        <f t="shared" si="14"/>
        <v>1.8999999999999986</v>
      </c>
      <c r="E111" s="414">
        <v>58.04</v>
      </c>
      <c r="F111" s="414">
        <v>58.69</v>
      </c>
      <c r="G111" s="415">
        <f t="shared" si="16"/>
        <v>0.6499999999999986</v>
      </c>
      <c r="H111" s="416">
        <v>14555</v>
      </c>
      <c r="I111" s="416">
        <v>15140</v>
      </c>
      <c r="J111" s="417">
        <f t="shared" si="15"/>
        <v>585</v>
      </c>
    </row>
    <row r="112" ht="13.5" thickBot="1"/>
    <row r="113" spans="1:16" ht="12.75">
      <c r="A113" s="706" t="s">
        <v>68</v>
      </c>
      <c r="B113" s="772"/>
      <c r="C113" s="773"/>
      <c r="D113" s="391"/>
      <c r="E113" s="706" t="s">
        <v>69</v>
      </c>
      <c r="F113" s="772"/>
      <c r="G113" s="773"/>
      <c r="H113"/>
      <c r="I113"/>
      <c r="J113"/>
      <c r="K113"/>
      <c r="L113"/>
      <c r="M113"/>
      <c r="N113"/>
      <c r="O113"/>
      <c r="P113"/>
    </row>
    <row r="114" spans="1:16" ht="13.5" thickBot="1">
      <c r="A114" s="418" t="s">
        <v>70</v>
      </c>
      <c r="B114" s="419" t="s">
        <v>71</v>
      </c>
      <c r="C114" s="420" t="s">
        <v>53</v>
      </c>
      <c r="D114" s="391"/>
      <c r="E114" s="418"/>
      <c r="F114" s="709" t="s">
        <v>72</v>
      </c>
      <c r="G114" s="774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397">
        <v>59</v>
      </c>
      <c r="C115" s="325">
        <v>59</v>
      </c>
      <c r="D115" s="391"/>
      <c r="E115" s="93">
        <v>2005</v>
      </c>
      <c r="F115" s="775">
        <v>119</v>
      </c>
      <c r="G115" s="776"/>
      <c r="H115"/>
      <c r="I115"/>
      <c r="J115"/>
      <c r="K115"/>
      <c r="L115"/>
      <c r="M115"/>
      <c r="N115"/>
      <c r="O115"/>
      <c r="P115"/>
    </row>
    <row r="116" spans="1:16" ht="13.5" thickBot="1">
      <c r="A116" s="405">
        <v>2006</v>
      </c>
      <c r="B116" s="401">
        <v>59</v>
      </c>
      <c r="C116" s="404"/>
      <c r="D116" s="391"/>
      <c r="E116" s="405">
        <v>2006</v>
      </c>
      <c r="F116" s="770">
        <v>119</v>
      </c>
      <c r="G116" s="771"/>
      <c r="H116"/>
      <c r="I116"/>
      <c r="J116"/>
      <c r="K116"/>
      <c r="L116"/>
      <c r="M116"/>
      <c r="N116"/>
      <c r="O116"/>
      <c r="P116"/>
    </row>
    <row r="119" ht="12.75">
      <c r="A119" s="191"/>
    </row>
  </sheetData>
  <mergeCells count="124">
    <mergeCell ref="L79:M79"/>
    <mergeCell ref="A81:A82"/>
    <mergeCell ref="B81:B82"/>
    <mergeCell ref="C81:F81"/>
    <mergeCell ref="G81:G82"/>
    <mergeCell ref="H81:H82"/>
    <mergeCell ref="I81:L81"/>
    <mergeCell ref="O75:O76"/>
    <mergeCell ref="C76:C77"/>
    <mergeCell ref="D76:I76"/>
    <mergeCell ref="L78:M78"/>
    <mergeCell ref="A75:A77"/>
    <mergeCell ref="B75:B77"/>
    <mergeCell ref="C75:I75"/>
    <mergeCell ref="J75:J77"/>
    <mergeCell ref="C71:D71"/>
    <mergeCell ref="F71:G71"/>
    <mergeCell ref="I71:K71"/>
    <mergeCell ref="F72:G72"/>
    <mergeCell ref="C69:D69"/>
    <mergeCell ref="F69:G69"/>
    <mergeCell ref="I69:K69"/>
    <mergeCell ref="C70:D70"/>
    <mergeCell ref="F70:G70"/>
    <mergeCell ref="I70:K70"/>
    <mergeCell ref="C67:D67"/>
    <mergeCell ref="F67:G67"/>
    <mergeCell ref="I67:K67"/>
    <mergeCell ref="C68:D68"/>
    <mergeCell ref="F68:G68"/>
    <mergeCell ref="I68:K68"/>
    <mergeCell ref="A65:E65"/>
    <mergeCell ref="F65:L65"/>
    <mergeCell ref="C66:D66"/>
    <mergeCell ref="F66:G66"/>
    <mergeCell ref="I66:K66"/>
    <mergeCell ref="M2:N2"/>
    <mergeCell ref="N75:N76"/>
    <mergeCell ref="H41:K42"/>
    <mergeCell ref="L41:L42"/>
    <mergeCell ref="L52:L53"/>
    <mergeCell ref="L75:M76"/>
    <mergeCell ref="A3:A6"/>
    <mergeCell ref="B3:N3"/>
    <mergeCell ref="H4:I4"/>
    <mergeCell ref="M4:N4"/>
    <mergeCell ref="B38:D38"/>
    <mergeCell ref="E38:G38"/>
    <mergeCell ref="J38:L38"/>
    <mergeCell ref="B39:D39"/>
    <mergeCell ref="E39:G39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H62:K62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62:B62"/>
    <mergeCell ref="D62:F62"/>
    <mergeCell ref="C93:H93"/>
    <mergeCell ref="J93:L93"/>
    <mergeCell ref="A99:A100"/>
    <mergeCell ref="B99:D99"/>
    <mergeCell ref="E99:G99"/>
    <mergeCell ref="H99:J99"/>
    <mergeCell ref="A93:A94"/>
    <mergeCell ref="B93:B94"/>
    <mergeCell ref="F116:G116"/>
    <mergeCell ref="A113:C113"/>
    <mergeCell ref="E113:G113"/>
    <mergeCell ref="F114:G114"/>
    <mergeCell ref="F115:G115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5" r:id="rId1"/>
  <headerFooter alignWithMargins="0">
    <oddFooter>&amp;C&amp;P</oddFooter>
  </headerFooter>
  <rowBreaks count="1" manualBreakCount="1">
    <brk id="7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L90" sqref="L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84" t="s">
        <v>0</v>
      </c>
      <c r="B3" s="686" t="s">
        <v>422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59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5533</v>
      </c>
      <c r="C8" s="33">
        <v>627</v>
      </c>
      <c r="D8" s="434">
        <f>SUM(B8:C8)</f>
        <v>6160</v>
      </c>
      <c r="E8" s="37">
        <v>5814</v>
      </c>
      <c r="F8" s="33">
        <v>481</v>
      </c>
      <c r="G8" s="434">
        <f>SUM(E8:F8)</f>
        <v>6295</v>
      </c>
      <c r="H8" s="465">
        <f>+G8-D8</f>
        <v>135</v>
      </c>
      <c r="I8" s="36">
        <f>+G8/D8</f>
        <v>1.0219155844155845</v>
      </c>
      <c r="J8" s="37">
        <v>5930</v>
      </c>
      <c r="K8" s="33">
        <v>430</v>
      </c>
      <c r="L8" s="434">
        <f>SUM(J8:K8)</f>
        <v>6360</v>
      </c>
      <c r="M8" s="465">
        <f>+L8-G8</f>
        <v>65</v>
      </c>
      <c r="N8" s="39">
        <f>+L8/G8</f>
        <v>1.0103256552819697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>
        <v>13</v>
      </c>
      <c r="F10" s="33"/>
      <c r="G10" s="434">
        <f t="shared" si="1"/>
        <v>13</v>
      </c>
      <c r="H10" s="465">
        <f t="shared" si="2"/>
        <v>13</v>
      </c>
      <c r="I10" s="36"/>
      <c r="J10" s="37"/>
      <c r="K10" s="33"/>
      <c r="L10" s="434">
        <f t="shared" si="3"/>
        <v>0</v>
      </c>
      <c r="M10" s="465">
        <f t="shared" si="4"/>
        <v>-13</v>
      </c>
      <c r="N10" s="39">
        <f aca="true" t="shared" si="5" ref="N10:N37">+L10/G10</f>
        <v>0</v>
      </c>
    </row>
    <row r="11" spans="1:14" ht="13.5" customHeight="1">
      <c r="A11" s="509" t="s">
        <v>14</v>
      </c>
      <c r="B11" s="37">
        <v>66</v>
      </c>
      <c r="C11" s="33"/>
      <c r="D11" s="434">
        <f t="shared" si="0"/>
        <v>66</v>
      </c>
      <c r="E11" s="37">
        <v>47</v>
      </c>
      <c r="F11" s="33">
        <v>194</v>
      </c>
      <c r="G11" s="434">
        <f t="shared" si="1"/>
        <v>241</v>
      </c>
      <c r="H11" s="465">
        <f t="shared" si="2"/>
        <v>175</v>
      </c>
      <c r="I11" s="36">
        <f aca="true" t="shared" si="6" ref="I11:I37">+G11/D11</f>
        <v>3.6515151515151514</v>
      </c>
      <c r="J11" s="37">
        <v>50</v>
      </c>
      <c r="K11" s="33">
        <v>194</v>
      </c>
      <c r="L11" s="434">
        <f t="shared" si="3"/>
        <v>244</v>
      </c>
      <c r="M11" s="465">
        <f t="shared" si="4"/>
        <v>3</v>
      </c>
      <c r="N11" s="39">
        <f t="shared" si="5"/>
        <v>1.012448132780083</v>
      </c>
    </row>
    <row r="12" spans="1:14" ht="13.5" customHeight="1">
      <c r="A12" s="510" t="s">
        <v>15</v>
      </c>
      <c r="B12" s="37">
        <v>10</v>
      </c>
      <c r="C12" s="33"/>
      <c r="D12" s="434">
        <f t="shared" si="0"/>
        <v>10</v>
      </c>
      <c r="E12" s="37">
        <v>2</v>
      </c>
      <c r="F12" s="33"/>
      <c r="G12" s="434">
        <f t="shared" si="1"/>
        <v>2</v>
      </c>
      <c r="H12" s="465">
        <f t="shared" si="2"/>
        <v>-8</v>
      </c>
      <c r="I12" s="36">
        <f t="shared" si="6"/>
        <v>0.2</v>
      </c>
      <c r="J12" s="37"/>
      <c r="K12" s="33"/>
      <c r="L12" s="434">
        <f t="shared" si="3"/>
        <v>0</v>
      </c>
      <c r="M12" s="465">
        <f t="shared" si="4"/>
        <v>-2</v>
      </c>
      <c r="N12" s="39">
        <f t="shared" si="5"/>
        <v>0</v>
      </c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10610</v>
      </c>
      <c r="C15" s="33"/>
      <c r="D15" s="434">
        <f t="shared" si="0"/>
        <v>10610</v>
      </c>
      <c r="E15" s="37">
        <v>10966</v>
      </c>
      <c r="F15" s="33"/>
      <c r="G15" s="434">
        <f t="shared" si="1"/>
        <v>10966</v>
      </c>
      <c r="H15" s="465">
        <f t="shared" si="2"/>
        <v>356</v>
      </c>
      <c r="I15" s="36">
        <f t="shared" si="6"/>
        <v>1.0335532516493873</v>
      </c>
      <c r="J15" s="57">
        <f>SUM(J16:J17)</f>
        <v>12002</v>
      </c>
      <c r="K15" s="33"/>
      <c r="L15" s="434">
        <f t="shared" si="3"/>
        <v>12002</v>
      </c>
      <c r="M15" s="465">
        <f t="shared" si="4"/>
        <v>1036</v>
      </c>
      <c r="N15" s="39">
        <f t="shared" si="5"/>
        <v>1.094473828196243</v>
      </c>
    </row>
    <row r="16" spans="1:14" ht="13.5" customHeight="1">
      <c r="A16" s="511" t="s">
        <v>476</v>
      </c>
      <c r="B16" s="37"/>
      <c r="C16" s="33"/>
      <c r="D16" s="434"/>
      <c r="E16" s="37">
        <v>10700</v>
      </c>
      <c r="F16" s="33"/>
      <c r="G16" s="434">
        <f t="shared" si="1"/>
        <v>10700</v>
      </c>
      <c r="H16" s="465">
        <f t="shared" si="2"/>
        <v>10700</v>
      </c>
      <c r="I16" s="36"/>
      <c r="J16" s="57">
        <f>11342</f>
        <v>11342</v>
      </c>
      <c r="K16" s="33"/>
      <c r="L16" s="434">
        <f t="shared" si="3"/>
        <v>11342</v>
      </c>
      <c r="M16" s="465">
        <f t="shared" si="4"/>
        <v>642</v>
      </c>
      <c r="N16" s="39">
        <f t="shared" si="5"/>
        <v>1.06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266</v>
      </c>
      <c r="F17" s="431"/>
      <c r="G17" s="434">
        <f t="shared" si="1"/>
        <v>266</v>
      </c>
      <c r="H17" s="465">
        <f t="shared" si="2"/>
        <v>266</v>
      </c>
      <c r="I17" s="472"/>
      <c r="J17" s="438">
        <v>660</v>
      </c>
      <c r="K17" s="431"/>
      <c r="L17" s="434">
        <f t="shared" si="3"/>
        <v>660</v>
      </c>
      <c r="M17" s="465">
        <f t="shared" si="4"/>
        <v>394</v>
      </c>
      <c r="N17" s="39">
        <f t="shared" si="5"/>
        <v>2.481203007518797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16209</v>
      </c>
      <c r="C18" s="425">
        <f t="shared" si="7"/>
        <v>627</v>
      </c>
      <c r="D18" s="426">
        <f t="shared" si="7"/>
        <v>16836</v>
      </c>
      <c r="E18" s="424">
        <f t="shared" si="7"/>
        <v>16840</v>
      </c>
      <c r="F18" s="425">
        <f t="shared" si="7"/>
        <v>675</v>
      </c>
      <c r="G18" s="426">
        <f t="shared" si="7"/>
        <v>17515</v>
      </c>
      <c r="H18" s="369">
        <f t="shared" si="2"/>
        <v>679</v>
      </c>
      <c r="I18" s="63">
        <f t="shared" si="6"/>
        <v>1.0403302447137088</v>
      </c>
      <c r="J18" s="437">
        <f>SUM(J7+J8+J9+J10+J11+J13+J15)</f>
        <v>17982</v>
      </c>
      <c r="K18" s="425">
        <f>SUM(K7+K8+K9+K10+K11+K13+K15)</f>
        <v>624</v>
      </c>
      <c r="L18" s="426">
        <f>SUM(L7+L8+L9+L10+L11+L13+L15)</f>
        <v>18606</v>
      </c>
      <c r="M18" s="369">
        <f t="shared" si="4"/>
        <v>1091</v>
      </c>
      <c r="N18" s="370">
        <f t="shared" si="5"/>
        <v>1.0622894661718527</v>
      </c>
    </row>
    <row r="19" spans="1:14" ht="13.5" customHeight="1">
      <c r="A19" s="54" t="s">
        <v>20</v>
      </c>
      <c r="B19" s="25">
        <v>522</v>
      </c>
      <c r="C19" s="26"/>
      <c r="D19" s="34">
        <f aca="true" t="shared" si="8" ref="D19:D36">SUM(B19:C19)</f>
        <v>522</v>
      </c>
      <c r="E19" s="25">
        <v>1239</v>
      </c>
      <c r="F19" s="26">
        <v>0</v>
      </c>
      <c r="G19" s="27">
        <f>SUM(E19:F19)</f>
        <v>1239</v>
      </c>
      <c r="H19" s="28">
        <f t="shared" si="2"/>
        <v>717</v>
      </c>
      <c r="I19" s="55">
        <f t="shared" si="6"/>
        <v>2.3735632183908044</v>
      </c>
      <c r="J19" s="29">
        <v>1241</v>
      </c>
      <c r="K19" s="26">
        <v>3</v>
      </c>
      <c r="L19" s="30">
        <f>K19+J19</f>
        <v>1244</v>
      </c>
      <c r="M19" s="28">
        <f t="shared" si="4"/>
        <v>5</v>
      </c>
      <c r="N19" s="56">
        <f t="shared" si="5"/>
        <v>1.0040355125100888</v>
      </c>
    </row>
    <row r="20" spans="1:14" ht="21" customHeight="1">
      <c r="A20" s="40" t="s">
        <v>21</v>
      </c>
      <c r="B20" s="25"/>
      <c r="C20" s="26"/>
      <c r="D20" s="34">
        <f t="shared" si="8"/>
        <v>0</v>
      </c>
      <c r="E20" s="25">
        <v>683</v>
      </c>
      <c r="F20" s="26"/>
      <c r="G20" s="27">
        <f aca="true" t="shared" si="9" ref="G20:G36">SUM(E20:F20)</f>
        <v>683</v>
      </c>
      <c r="H20" s="35">
        <f t="shared" si="2"/>
        <v>683</v>
      </c>
      <c r="I20" s="36"/>
      <c r="J20" s="29">
        <v>600</v>
      </c>
      <c r="K20" s="26"/>
      <c r="L20" s="30">
        <f aca="true" t="shared" si="10" ref="L20:L36">SUM(J20:K20)</f>
        <v>600</v>
      </c>
      <c r="M20" s="35">
        <f t="shared" si="4"/>
        <v>-83</v>
      </c>
      <c r="N20" s="39">
        <f t="shared" si="5"/>
        <v>0.8784773060029283</v>
      </c>
    </row>
    <row r="21" spans="1:14" ht="13.5" customHeight="1">
      <c r="A21" s="31" t="s">
        <v>22</v>
      </c>
      <c r="B21" s="32">
        <v>950</v>
      </c>
      <c r="C21" s="33">
        <v>271</v>
      </c>
      <c r="D21" s="34">
        <f t="shared" si="8"/>
        <v>1221</v>
      </c>
      <c r="E21" s="32">
        <v>991</v>
      </c>
      <c r="F21" s="33">
        <v>256</v>
      </c>
      <c r="G21" s="27">
        <f t="shared" si="9"/>
        <v>1247</v>
      </c>
      <c r="H21" s="35">
        <f t="shared" si="2"/>
        <v>26</v>
      </c>
      <c r="I21" s="36">
        <f t="shared" si="6"/>
        <v>1.0212940212940214</v>
      </c>
      <c r="J21" s="37">
        <v>1105</v>
      </c>
      <c r="K21" s="33">
        <v>315</v>
      </c>
      <c r="L21" s="30">
        <v>1420</v>
      </c>
      <c r="M21" s="35">
        <f t="shared" si="4"/>
        <v>173</v>
      </c>
      <c r="N21" s="39">
        <f t="shared" si="5"/>
        <v>1.1387329591018445</v>
      </c>
    </row>
    <row r="22" spans="1:14" ht="13.5" customHeight="1">
      <c r="A22" s="40" t="s">
        <v>23</v>
      </c>
      <c r="B22" s="32"/>
      <c r="C22" s="33"/>
      <c r="D22" s="34">
        <f t="shared" si="8"/>
        <v>0</v>
      </c>
      <c r="E22" s="32"/>
      <c r="F22" s="33"/>
      <c r="G22" s="27">
        <f t="shared" si="9"/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2659</v>
      </c>
      <c r="C24" s="33">
        <v>26</v>
      </c>
      <c r="D24" s="34">
        <f t="shared" si="8"/>
        <v>2685</v>
      </c>
      <c r="E24" s="37">
        <v>1793</v>
      </c>
      <c r="F24" s="33">
        <v>121</v>
      </c>
      <c r="G24" s="27">
        <f t="shared" si="9"/>
        <v>1914</v>
      </c>
      <c r="H24" s="35">
        <f t="shared" si="2"/>
        <v>-771</v>
      </c>
      <c r="I24" s="36">
        <f t="shared" si="6"/>
        <v>0.7128491620111732</v>
      </c>
      <c r="J24" s="37">
        <f>J25+J26</f>
        <v>1746</v>
      </c>
      <c r="K24" s="33">
        <v>190</v>
      </c>
      <c r="L24" s="30">
        <f>J24+K24</f>
        <v>1936</v>
      </c>
      <c r="M24" s="35">
        <f t="shared" si="4"/>
        <v>22</v>
      </c>
      <c r="N24" s="39">
        <f t="shared" si="5"/>
        <v>1.0114942528735633</v>
      </c>
    </row>
    <row r="25" spans="1:14" ht="13.5" customHeight="1">
      <c r="A25" s="40" t="s">
        <v>26</v>
      </c>
      <c r="B25" s="32">
        <v>2084</v>
      </c>
      <c r="C25" s="33">
        <v>21</v>
      </c>
      <c r="D25" s="34">
        <f t="shared" si="8"/>
        <v>2105</v>
      </c>
      <c r="E25" s="32">
        <v>1310</v>
      </c>
      <c r="F25" s="33">
        <v>95</v>
      </c>
      <c r="G25" s="27">
        <f t="shared" si="9"/>
        <v>1405</v>
      </c>
      <c r="H25" s="35">
        <f t="shared" si="2"/>
        <v>-700</v>
      </c>
      <c r="I25" s="36">
        <f t="shared" si="6"/>
        <v>0.667458432304038</v>
      </c>
      <c r="J25" s="57">
        <v>1196</v>
      </c>
      <c r="K25" s="33">
        <v>160</v>
      </c>
      <c r="L25" s="30">
        <f>SUM(J25:K25)</f>
        <v>1356</v>
      </c>
      <c r="M25" s="35">
        <f t="shared" si="4"/>
        <v>-49</v>
      </c>
      <c r="N25" s="39">
        <f t="shared" si="5"/>
        <v>0.9651245551601424</v>
      </c>
    </row>
    <row r="26" spans="1:14" ht="13.5" customHeight="1">
      <c r="A26" s="31" t="s">
        <v>27</v>
      </c>
      <c r="B26" s="32">
        <v>575</v>
      </c>
      <c r="C26" s="33">
        <v>5</v>
      </c>
      <c r="D26" s="34">
        <f t="shared" si="8"/>
        <v>580</v>
      </c>
      <c r="E26" s="32">
        <v>483</v>
      </c>
      <c r="F26" s="33">
        <v>26</v>
      </c>
      <c r="G26" s="27">
        <f t="shared" si="9"/>
        <v>509</v>
      </c>
      <c r="H26" s="35">
        <f t="shared" si="2"/>
        <v>-71</v>
      </c>
      <c r="I26" s="36">
        <f t="shared" si="6"/>
        <v>0.8775862068965518</v>
      </c>
      <c r="J26" s="57">
        <v>550</v>
      </c>
      <c r="K26" s="33">
        <v>30</v>
      </c>
      <c r="L26" s="30">
        <f t="shared" si="10"/>
        <v>580</v>
      </c>
      <c r="M26" s="35">
        <f t="shared" si="4"/>
        <v>71</v>
      </c>
      <c r="N26" s="39">
        <f t="shared" si="5"/>
        <v>1.1394891944990178</v>
      </c>
    </row>
    <row r="27" spans="1:14" ht="13.5" customHeight="1">
      <c r="A27" s="58" t="s">
        <v>28</v>
      </c>
      <c r="B27" s="37">
        <v>11338</v>
      </c>
      <c r="C27" s="33">
        <v>99</v>
      </c>
      <c r="D27" s="34">
        <f t="shared" si="8"/>
        <v>11437</v>
      </c>
      <c r="E27" s="37">
        <v>12023</v>
      </c>
      <c r="F27" s="33">
        <v>64</v>
      </c>
      <c r="G27" s="27">
        <f t="shared" si="9"/>
        <v>12087</v>
      </c>
      <c r="H27" s="35">
        <f t="shared" si="2"/>
        <v>650</v>
      </c>
      <c r="I27" s="36">
        <f t="shared" si="6"/>
        <v>1.0568330855993704</v>
      </c>
      <c r="J27" s="37">
        <f>J28+J31</f>
        <v>13070</v>
      </c>
      <c r="K27" s="33">
        <v>116</v>
      </c>
      <c r="L27" s="30">
        <f>J27+K27</f>
        <v>13186</v>
      </c>
      <c r="M27" s="35">
        <f t="shared" si="4"/>
        <v>1099</v>
      </c>
      <c r="N27" s="39">
        <f t="shared" si="5"/>
        <v>1.0909241333664268</v>
      </c>
    </row>
    <row r="28" spans="1:14" ht="13.5" customHeight="1">
      <c r="A28" s="40" t="s">
        <v>29</v>
      </c>
      <c r="B28" s="32">
        <v>5718</v>
      </c>
      <c r="C28" s="33">
        <v>72</v>
      </c>
      <c r="D28" s="34">
        <f t="shared" si="8"/>
        <v>5790</v>
      </c>
      <c r="E28" s="32">
        <v>6154</v>
      </c>
      <c r="F28" s="33">
        <v>47</v>
      </c>
      <c r="G28" s="27">
        <f t="shared" si="9"/>
        <v>6201</v>
      </c>
      <c r="H28" s="35">
        <f t="shared" si="2"/>
        <v>411</v>
      </c>
      <c r="I28" s="36">
        <f t="shared" si="6"/>
        <v>1.0709844559585493</v>
      </c>
      <c r="J28" s="57">
        <f>J29+J30</f>
        <v>6781</v>
      </c>
      <c r="K28" s="59">
        <v>85</v>
      </c>
      <c r="L28" s="30">
        <f>J28+K28</f>
        <v>6866</v>
      </c>
      <c r="M28" s="35">
        <f t="shared" si="4"/>
        <v>665</v>
      </c>
      <c r="N28" s="39">
        <f t="shared" si="5"/>
        <v>1.1072407676181262</v>
      </c>
    </row>
    <row r="29" spans="1:14" ht="13.5" customHeight="1">
      <c r="A29" s="58" t="s">
        <v>30</v>
      </c>
      <c r="B29" s="32">
        <v>5700</v>
      </c>
      <c r="C29" s="33">
        <v>72</v>
      </c>
      <c r="D29" s="34">
        <f t="shared" si="8"/>
        <v>5772</v>
      </c>
      <c r="E29" s="32">
        <v>6154</v>
      </c>
      <c r="F29" s="33">
        <v>47</v>
      </c>
      <c r="G29" s="27">
        <f t="shared" si="9"/>
        <v>6201</v>
      </c>
      <c r="H29" s="35">
        <f t="shared" si="2"/>
        <v>429</v>
      </c>
      <c r="I29" s="36">
        <f t="shared" si="6"/>
        <v>1.0743243243243243</v>
      </c>
      <c r="J29" s="37">
        <f>6299+482</f>
        <v>6781</v>
      </c>
      <c r="K29" s="33">
        <v>85</v>
      </c>
      <c r="L29" s="30">
        <f>J29+K29</f>
        <v>6866</v>
      </c>
      <c r="M29" s="35">
        <f t="shared" si="4"/>
        <v>665</v>
      </c>
      <c r="N29" s="39">
        <f t="shared" si="5"/>
        <v>1.1072407676181262</v>
      </c>
    </row>
    <row r="30" spans="1:14" ht="13.5" customHeight="1">
      <c r="A30" s="40" t="s">
        <v>31</v>
      </c>
      <c r="B30" s="32">
        <v>18</v>
      </c>
      <c r="C30" s="33"/>
      <c r="D30" s="34">
        <f t="shared" si="8"/>
        <v>18</v>
      </c>
      <c r="E30" s="32">
        <v>0</v>
      </c>
      <c r="F30" s="33"/>
      <c r="G30" s="27">
        <f t="shared" si="9"/>
        <v>0</v>
      </c>
      <c r="H30" s="35">
        <f t="shared" si="2"/>
        <v>-18</v>
      </c>
      <c r="I30" s="36">
        <f t="shared" si="6"/>
        <v>0</v>
      </c>
      <c r="J30" s="37"/>
      <c r="K30" s="33"/>
      <c r="L30" s="30">
        <f>J30+K30</f>
        <v>0</v>
      </c>
      <c r="M30" s="35">
        <f t="shared" si="4"/>
        <v>0</v>
      </c>
      <c r="N30" s="39"/>
    </row>
    <row r="31" spans="1:14" ht="13.5" customHeight="1">
      <c r="A31" s="40" t="s">
        <v>32</v>
      </c>
      <c r="B31" s="32">
        <v>5620</v>
      </c>
      <c r="C31" s="33">
        <v>27</v>
      </c>
      <c r="D31" s="34">
        <f t="shared" si="8"/>
        <v>5647</v>
      </c>
      <c r="E31" s="32">
        <v>5869</v>
      </c>
      <c r="F31" s="33">
        <v>17</v>
      </c>
      <c r="G31" s="27">
        <f t="shared" si="9"/>
        <v>5886</v>
      </c>
      <c r="H31" s="35">
        <f t="shared" si="2"/>
        <v>239</v>
      </c>
      <c r="I31" s="36">
        <f t="shared" si="6"/>
        <v>1.0423233575349744</v>
      </c>
      <c r="J31" s="37">
        <f>6111+178</f>
        <v>6289</v>
      </c>
      <c r="K31" s="33">
        <v>31</v>
      </c>
      <c r="L31" s="30">
        <f>J31+K31</f>
        <v>6320</v>
      </c>
      <c r="M31" s="35">
        <f t="shared" si="4"/>
        <v>434</v>
      </c>
      <c r="N31" s="39">
        <f t="shared" si="5"/>
        <v>1.073734284743459</v>
      </c>
    </row>
    <row r="32" spans="1:14" ht="13.5" customHeight="1">
      <c r="A32" s="58" t="s">
        <v>33</v>
      </c>
      <c r="B32" s="32">
        <v>1</v>
      </c>
      <c r="C32" s="33"/>
      <c r="D32" s="34">
        <f t="shared" si="8"/>
        <v>1</v>
      </c>
      <c r="E32" s="32">
        <v>2</v>
      </c>
      <c r="F32" s="33"/>
      <c r="G32" s="27">
        <f t="shared" si="9"/>
        <v>2</v>
      </c>
      <c r="H32" s="35">
        <f t="shared" si="2"/>
        <v>1</v>
      </c>
      <c r="I32" s="36">
        <f t="shared" si="6"/>
        <v>2</v>
      </c>
      <c r="J32" s="37">
        <v>2</v>
      </c>
      <c r="K32" s="33"/>
      <c r="L32" s="30">
        <f t="shared" si="10"/>
        <v>2</v>
      </c>
      <c r="M32" s="35">
        <f t="shared" si="4"/>
        <v>0</v>
      </c>
      <c r="N32" s="39">
        <f t="shared" si="5"/>
        <v>1</v>
      </c>
    </row>
    <row r="33" spans="1:14" ht="13.5" customHeight="1">
      <c r="A33" s="58" t="s">
        <v>34</v>
      </c>
      <c r="B33" s="32">
        <v>180</v>
      </c>
      <c r="C33" s="33"/>
      <c r="D33" s="34">
        <f t="shared" si="8"/>
        <v>180</v>
      </c>
      <c r="E33" s="32">
        <v>147</v>
      </c>
      <c r="F33" s="33"/>
      <c r="G33" s="27">
        <f t="shared" si="9"/>
        <v>147</v>
      </c>
      <c r="H33" s="35">
        <f t="shared" si="2"/>
        <v>-33</v>
      </c>
      <c r="I33" s="36">
        <f t="shared" si="6"/>
        <v>0.8166666666666667</v>
      </c>
      <c r="J33" s="37">
        <v>175</v>
      </c>
      <c r="K33" s="33"/>
      <c r="L33" s="30">
        <f t="shared" si="10"/>
        <v>175</v>
      </c>
      <c r="M33" s="35">
        <f t="shared" si="4"/>
        <v>28</v>
      </c>
      <c r="N33" s="39">
        <f t="shared" si="5"/>
        <v>1.1904761904761905</v>
      </c>
    </row>
    <row r="34" spans="1:14" ht="13.5" customHeight="1">
      <c r="A34" s="40" t="s">
        <v>35</v>
      </c>
      <c r="B34" s="32">
        <v>715</v>
      </c>
      <c r="C34" s="33"/>
      <c r="D34" s="34">
        <f t="shared" si="8"/>
        <v>715</v>
      </c>
      <c r="E34" s="32">
        <v>679</v>
      </c>
      <c r="F34" s="33"/>
      <c r="G34" s="27">
        <f t="shared" si="9"/>
        <v>679</v>
      </c>
      <c r="H34" s="35">
        <f t="shared" si="2"/>
        <v>-36</v>
      </c>
      <c r="I34" s="36">
        <f t="shared" si="6"/>
        <v>0.9496503496503497</v>
      </c>
      <c r="J34" s="57">
        <v>643</v>
      </c>
      <c r="K34" s="33"/>
      <c r="L34" s="30">
        <f t="shared" si="10"/>
        <v>643</v>
      </c>
      <c r="M34" s="35">
        <f t="shared" si="4"/>
        <v>-36</v>
      </c>
      <c r="N34" s="39">
        <f t="shared" si="5"/>
        <v>0.946980854197349</v>
      </c>
    </row>
    <row r="35" spans="1:14" ht="22.5" customHeight="1">
      <c r="A35" s="40" t="s">
        <v>36</v>
      </c>
      <c r="B35" s="32"/>
      <c r="C35" s="33"/>
      <c r="D35" s="34">
        <f t="shared" si="8"/>
        <v>0</v>
      </c>
      <c r="E35" s="32">
        <v>679</v>
      </c>
      <c r="F35" s="33"/>
      <c r="G35" s="27">
        <f t="shared" si="9"/>
        <v>679</v>
      </c>
      <c r="H35" s="35">
        <f t="shared" si="2"/>
        <v>679</v>
      </c>
      <c r="I35" s="36"/>
      <c r="J35" s="57">
        <v>643</v>
      </c>
      <c r="K35" s="33"/>
      <c r="L35" s="30">
        <f t="shared" si="10"/>
        <v>643</v>
      </c>
      <c r="M35" s="35">
        <f t="shared" si="4"/>
        <v>-36</v>
      </c>
      <c r="N35" s="39">
        <f t="shared" si="5"/>
        <v>0.946980854197349</v>
      </c>
    </row>
    <row r="36" spans="1:14" ht="13.5" customHeight="1" thickBot="1">
      <c r="A36" s="60" t="s">
        <v>37</v>
      </c>
      <c r="B36" s="41"/>
      <c r="C36" s="42">
        <v>17</v>
      </c>
      <c r="D36" s="34">
        <f t="shared" si="8"/>
        <v>17</v>
      </c>
      <c r="E36" s="41"/>
      <c r="F36" s="42"/>
      <c r="G36" s="27">
        <f t="shared" si="9"/>
        <v>0</v>
      </c>
      <c r="H36" s="43">
        <f t="shared" si="2"/>
        <v>-17</v>
      </c>
      <c r="I36" s="44">
        <f t="shared" si="6"/>
        <v>0</v>
      </c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16365</v>
      </c>
      <c r="C37" s="48">
        <f t="shared" si="11"/>
        <v>413</v>
      </c>
      <c r="D37" s="49">
        <f t="shared" si="11"/>
        <v>16778</v>
      </c>
      <c r="E37" s="47">
        <f t="shared" si="11"/>
        <v>16874</v>
      </c>
      <c r="F37" s="48">
        <f t="shared" si="11"/>
        <v>441</v>
      </c>
      <c r="G37" s="49">
        <f t="shared" si="11"/>
        <v>17315</v>
      </c>
      <c r="H37" s="50">
        <f t="shared" si="2"/>
        <v>537</v>
      </c>
      <c r="I37" s="51">
        <f t="shared" si="6"/>
        <v>1.0320061985933962</v>
      </c>
      <c r="J37" s="52">
        <f>SUM(J19+J21+J22+J23+J24+J27+J32+J33+J34+J36)</f>
        <v>17982</v>
      </c>
      <c r="K37" s="48">
        <f>SUM(K19+K21+K22+K23+K24+K27+K32+K33+K34+K36)</f>
        <v>624</v>
      </c>
      <c r="L37" s="49">
        <f>SUM(L19+L21+L22+L23+L24+L27+L32+L33+L34+L36)</f>
        <v>18606</v>
      </c>
      <c r="M37" s="50">
        <f t="shared" si="4"/>
        <v>1291</v>
      </c>
      <c r="N37" s="53">
        <f t="shared" si="5"/>
        <v>1.0745596303782847</v>
      </c>
    </row>
    <row r="38" spans="1:14" ht="13.5" customHeight="1" thickBot="1">
      <c r="A38" s="46" t="s">
        <v>39</v>
      </c>
      <c r="B38" s="680">
        <f>+D18-D37</f>
        <v>58</v>
      </c>
      <c r="C38" s="681"/>
      <c r="D38" s="682"/>
      <c r="E38" s="680">
        <f>+G18-G37</f>
        <v>200</v>
      </c>
      <c r="F38" s="681"/>
      <c r="G38" s="682">
        <v>-50784</v>
      </c>
      <c r="H38" s="62">
        <f>+E38-B38</f>
        <v>142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311</v>
      </c>
      <c r="B43" s="683"/>
      <c r="C43" s="66">
        <v>296</v>
      </c>
      <c r="D43" s="679" t="s">
        <v>312</v>
      </c>
      <c r="E43" s="657"/>
      <c r="F43" s="657"/>
      <c r="G43" s="67">
        <v>181</v>
      </c>
      <c r="H43" s="658" t="s">
        <v>313</v>
      </c>
      <c r="I43" s="659"/>
      <c r="J43" s="659"/>
      <c r="K43" s="659"/>
      <c r="L43" s="68">
        <v>150</v>
      </c>
      <c r="O43"/>
      <c r="P43"/>
    </row>
    <row r="44" spans="1:16" ht="12.75">
      <c r="A44" s="639" t="s">
        <v>108</v>
      </c>
      <c r="B44" s="646"/>
      <c r="C44" s="69">
        <v>367</v>
      </c>
      <c r="D44" s="679" t="s">
        <v>314</v>
      </c>
      <c r="E44" s="657"/>
      <c r="F44" s="657"/>
      <c r="G44" s="70">
        <v>48</v>
      </c>
      <c r="H44" s="658" t="s">
        <v>107</v>
      </c>
      <c r="I44" s="659"/>
      <c r="J44" s="659"/>
      <c r="K44" s="659"/>
      <c r="L44" s="68">
        <v>300</v>
      </c>
      <c r="O44"/>
      <c r="P44"/>
    </row>
    <row r="45" spans="1:16" ht="12.75">
      <c r="A45" s="639" t="s">
        <v>315</v>
      </c>
      <c r="B45" s="646"/>
      <c r="C45" s="69">
        <v>494</v>
      </c>
      <c r="D45" s="679" t="s">
        <v>316</v>
      </c>
      <c r="E45" s="657"/>
      <c r="F45" s="657"/>
      <c r="G45" s="70">
        <v>189</v>
      </c>
      <c r="H45" s="658" t="s">
        <v>317</v>
      </c>
      <c r="I45" s="659"/>
      <c r="J45" s="659"/>
      <c r="K45" s="659"/>
      <c r="L45" s="68">
        <v>600</v>
      </c>
      <c r="O45"/>
      <c r="P45"/>
    </row>
    <row r="46" spans="1:16" ht="12.75">
      <c r="A46" s="647"/>
      <c r="B46" s="674"/>
      <c r="C46" s="71"/>
      <c r="D46" s="647"/>
      <c r="E46" s="648"/>
      <c r="F46" s="674"/>
      <c r="G46" s="72"/>
      <c r="H46" s="643" t="s">
        <v>318</v>
      </c>
      <c r="I46" s="644"/>
      <c r="J46" s="644"/>
      <c r="K46" s="645"/>
      <c r="L46" s="68">
        <v>471</v>
      </c>
      <c r="O46"/>
      <c r="P46"/>
    </row>
    <row r="47" spans="1:16" ht="12.75">
      <c r="A47" s="647"/>
      <c r="B47" s="674"/>
      <c r="C47" s="71"/>
      <c r="D47" s="647"/>
      <c r="E47" s="648"/>
      <c r="F47" s="674"/>
      <c r="G47" s="72"/>
      <c r="H47" s="643"/>
      <c r="I47" s="644"/>
      <c r="J47" s="644"/>
      <c r="K47" s="645"/>
      <c r="L47" s="68"/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/>
      <c r="I48" s="644"/>
      <c r="J48" s="644"/>
      <c r="K48" s="645"/>
      <c r="L48" s="68"/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/>
      <c r="B50" s="635"/>
      <c r="C50" s="73">
        <f>SUM(C43:C49)</f>
        <v>1157</v>
      </c>
      <c r="D50" s="660" t="s">
        <v>5</v>
      </c>
      <c r="E50" s="661"/>
      <c r="F50" s="661"/>
      <c r="G50" s="73">
        <f>SUM(G43:G44)</f>
        <v>229</v>
      </c>
      <c r="H50" s="637" t="s">
        <v>5</v>
      </c>
      <c r="I50" s="638"/>
      <c r="J50" s="638"/>
      <c r="K50" s="638"/>
      <c r="L50" s="73">
        <f>SUM(L43:L46)</f>
        <v>1521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319</v>
      </c>
      <c r="B54" s="655"/>
      <c r="C54" s="66">
        <v>1068</v>
      </c>
      <c r="D54" s="656" t="s">
        <v>320</v>
      </c>
      <c r="E54" s="657"/>
      <c r="F54" s="657"/>
      <c r="G54" s="76">
        <v>345</v>
      </c>
      <c r="H54" s="658" t="s">
        <v>321</v>
      </c>
      <c r="I54" s="659"/>
      <c r="J54" s="659"/>
      <c r="K54" s="659"/>
      <c r="L54" s="68">
        <v>500</v>
      </c>
      <c r="O54"/>
      <c r="P54"/>
    </row>
    <row r="55" spans="1:16" ht="13.5" customHeight="1">
      <c r="A55" s="639" t="s">
        <v>322</v>
      </c>
      <c r="B55" s="649"/>
      <c r="C55" s="69">
        <v>427</v>
      </c>
      <c r="D55" s="642" t="s">
        <v>323</v>
      </c>
      <c r="E55" s="646"/>
      <c r="F55" s="646"/>
      <c r="G55" s="77">
        <v>100</v>
      </c>
      <c r="H55" s="650" t="s">
        <v>324</v>
      </c>
      <c r="I55" s="651"/>
      <c r="J55" s="651"/>
      <c r="K55" s="651"/>
      <c r="L55" s="78">
        <v>100</v>
      </c>
      <c r="O55"/>
      <c r="P55"/>
    </row>
    <row r="56" spans="1:16" ht="13.5" customHeight="1">
      <c r="A56" s="639" t="s">
        <v>325</v>
      </c>
      <c r="B56" s="640"/>
      <c r="C56" s="69">
        <v>278</v>
      </c>
      <c r="D56" s="642" t="s">
        <v>326</v>
      </c>
      <c r="E56" s="646"/>
      <c r="F56" s="646"/>
      <c r="G56" s="77">
        <v>86</v>
      </c>
      <c r="H56" s="643" t="s">
        <v>326</v>
      </c>
      <c r="I56" s="644"/>
      <c r="J56" s="644"/>
      <c r="K56" s="645"/>
      <c r="L56" s="78">
        <v>80</v>
      </c>
      <c r="O56"/>
      <c r="P56"/>
    </row>
    <row r="57" spans="1:16" ht="13.5" customHeight="1">
      <c r="A57" s="639" t="s">
        <v>109</v>
      </c>
      <c r="B57" s="640"/>
      <c r="C57" s="69">
        <v>128</v>
      </c>
      <c r="D57" s="642" t="s">
        <v>327</v>
      </c>
      <c r="E57" s="646"/>
      <c r="F57" s="646"/>
      <c r="G57" s="77">
        <v>179</v>
      </c>
      <c r="H57" s="643" t="s">
        <v>328</v>
      </c>
      <c r="I57" s="644"/>
      <c r="J57" s="644"/>
      <c r="K57" s="645"/>
      <c r="L57" s="78">
        <v>200</v>
      </c>
      <c r="O57"/>
      <c r="P57"/>
    </row>
    <row r="58" spans="1:16" ht="13.5" customHeight="1">
      <c r="A58" s="647" t="s">
        <v>324</v>
      </c>
      <c r="B58" s="648"/>
      <c r="C58" s="71">
        <v>86</v>
      </c>
      <c r="D58" s="641" t="s">
        <v>329</v>
      </c>
      <c r="E58" s="641"/>
      <c r="F58" s="642"/>
      <c r="G58" s="178">
        <v>178</v>
      </c>
      <c r="H58" s="643" t="s">
        <v>110</v>
      </c>
      <c r="I58" s="644"/>
      <c r="J58" s="644"/>
      <c r="K58" s="645"/>
      <c r="L58" s="79">
        <v>50</v>
      </c>
      <c r="O58"/>
      <c r="P58"/>
    </row>
    <row r="59" spans="1:16" ht="13.5" customHeight="1">
      <c r="A59" s="639" t="s">
        <v>110</v>
      </c>
      <c r="B59" s="640"/>
      <c r="C59" s="71">
        <v>42</v>
      </c>
      <c r="D59" s="641" t="s">
        <v>330</v>
      </c>
      <c r="E59" s="641"/>
      <c r="F59" s="642"/>
      <c r="G59" s="178">
        <v>161</v>
      </c>
      <c r="H59" s="643" t="s">
        <v>331</v>
      </c>
      <c r="I59" s="644"/>
      <c r="J59" s="644"/>
      <c r="K59" s="645"/>
      <c r="L59" s="79">
        <v>80</v>
      </c>
      <c r="O59"/>
      <c r="P59"/>
    </row>
    <row r="60" spans="1:16" ht="13.5" customHeight="1">
      <c r="A60" s="639" t="s">
        <v>169</v>
      </c>
      <c r="B60" s="640"/>
      <c r="C60" s="69">
        <v>76</v>
      </c>
      <c r="D60" s="642" t="s">
        <v>332</v>
      </c>
      <c r="E60" s="646"/>
      <c r="F60" s="646"/>
      <c r="G60" s="77">
        <v>302</v>
      </c>
      <c r="H60" s="643" t="s">
        <v>156</v>
      </c>
      <c r="I60" s="644"/>
      <c r="J60" s="644"/>
      <c r="K60" s="645"/>
      <c r="L60" s="78">
        <v>150</v>
      </c>
      <c r="O60"/>
      <c r="P60"/>
    </row>
    <row r="61" spans="1:16" ht="13.5" thickBot="1">
      <c r="A61" s="627"/>
      <c r="B61" s="628"/>
      <c r="C61" s="80"/>
      <c r="D61" s="629" t="s">
        <v>333</v>
      </c>
      <c r="E61" s="630"/>
      <c r="F61" s="630"/>
      <c r="G61" s="81">
        <v>54</v>
      </c>
      <c r="H61" s="631" t="s">
        <v>242</v>
      </c>
      <c r="I61" s="632"/>
      <c r="J61" s="632"/>
      <c r="K61" s="632"/>
      <c r="L61" s="82">
        <v>196</v>
      </c>
      <c r="O61"/>
      <c r="P61"/>
    </row>
    <row r="62" spans="1:16" ht="13.5" thickBot="1">
      <c r="A62" s="633" t="s">
        <v>5</v>
      </c>
      <c r="B62" s="634"/>
      <c r="C62" s="73">
        <f>SUM(C54:C61)</f>
        <v>2105</v>
      </c>
      <c r="D62" s="635" t="s">
        <v>5</v>
      </c>
      <c r="E62" s="636"/>
      <c r="F62" s="636"/>
      <c r="G62" s="83">
        <f>SUM(G54:G61)</f>
        <v>1405</v>
      </c>
      <c r="H62" s="637" t="s">
        <v>5</v>
      </c>
      <c r="I62" s="638"/>
      <c r="J62" s="638"/>
      <c r="K62" s="638"/>
      <c r="L62" s="73">
        <f>SUM(L54:L61)</f>
        <v>1356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410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458</v>
      </c>
      <c r="I67" s="580" t="s">
        <v>179</v>
      </c>
      <c r="J67" s="582"/>
      <c r="K67" s="582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47</v>
      </c>
      <c r="C68" s="583" t="s">
        <v>175</v>
      </c>
      <c r="D68" s="583"/>
      <c r="E68" s="159">
        <v>0</v>
      </c>
      <c r="F68" s="584" t="s">
        <v>177</v>
      </c>
      <c r="G68" s="585"/>
      <c r="H68" s="151">
        <v>83</v>
      </c>
      <c r="I68" s="583" t="s">
        <v>491</v>
      </c>
      <c r="J68" s="585"/>
      <c r="K68" s="585"/>
      <c r="L68" s="159">
        <v>0</v>
      </c>
      <c r="M68" s="84"/>
      <c r="N68" s="84"/>
    </row>
    <row r="69" spans="1:14" s="1" customFormat="1" ht="12.75">
      <c r="A69" s="158" t="s">
        <v>175</v>
      </c>
      <c r="B69" s="151">
        <v>3</v>
      </c>
      <c r="C69" s="583" t="s">
        <v>491</v>
      </c>
      <c r="D69" s="583"/>
      <c r="E69" s="159">
        <v>2</v>
      </c>
      <c r="F69" s="583" t="s">
        <v>175</v>
      </c>
      <c r="G69" s="583"/>
      <c r="H69" s="151"/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460</v>
      </c>
      <c r="C71" s="589" t="s">
        <v>5</v>
      </c>
      <c r="D71" s="589"/>
      <c r="E71" s="165">
        <f>SUM(E67:E70)</f>
        <v>2</v>
      </c>
      <c r="F71" s="590" t="s">
        <v>5</v>
      </c>
      <c r="G71" s="591"/>
      <c r="H71" s="161">
        <f>SUM(H67:H70)</f>
        <v>541</v>
      </c>
      <c r="I71" s="589" t="s">
        <v>5</v>
      </c>
      <c r="J71" s="591"/>
      <c r="K71" s="591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458</v>
      </c>
      <c r="C72" s="84"/>
      <c r="D72" s="84"/>
      <c r="E72" s="84"/>
      <c r="F72" s="592" t="s">
        <v>534</v>
      </c>
      <c r="G72" s="593"/>
      <c r="H72" s="183">
        <f>H71-L71</f>
        <v>541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601" t="s">
        <v>73</v>
      </c>
      <c r="B76" s="604" t="s">
        <v>495</v>
      </c>
      <c r="C76" s="607" t="s">
        <v>477</v>
      </c>
      <c r="D76" s="608"/>
      <c r="E76" s="608"/>
      <c r="F76" s="608"/>
      <c r="G76" s="608"/>
      <c r="H76" s="608"/>
      <c r="I76" s="609"/>
      <c r="J76" s="610" t="s">
        <v>496</v>
      </c>
      <c r="K76" s="7"/>
      <c r="L76" s="594" t="s">
        <v>48</v>
      </c>
      <c r="M76" s="595"/>
      <c r="N76" s="193">
        <v>2004</v>
      </c>
      <c r="O76" s="194">
        <v>2005</v>
      </c>
    </row>
    <row r="77" spans="1:15" s="1" customFormat="1" ht="12.75">
      <c r="A77" s="602"/>
      <c r="B77" s="605"/>
      <c r="C77" s="596" t="s">
        <v>76</v>
      </c>
      <c r="D77" s="598" t="s">
        <v>77</v>
      </c>
      <c r="E77" s="599"/>
      <c r="F77" s="599"/>
      <c r="G77" s="599"/>
      <c r="H77" s="599"/>
      <c r="I77" s="600"/>
      <c r="J77" s="611"/>
      <c r="K77" s="7"/>
      <c r="L77" s="197" t="s">
        <v>178</v>
      </c>
      <c r="M77" s="197"/>
      <c r="N77" s="192"/>
      <c r="O77" s="195"/>
    </row>
    <row r="78" spans="1:15" s="1" customFormat="1" ht="13.5" thickBot="1">
      <c r="A78" s="603"/>
      <c r="B78" s="606"/>
      <c r="C78" s="597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612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51778</v>
      </c>
      <c r="B79" s="117">
        <v>9304</v>
      </c>
      <c r="C79" s="170">
        <v>643</v>
      </c>
      <c r="D79" s="171">
        <v>0</v>
      </c>
      <c r="E79" s="171">
        <v>157</v>
      </c>
      <c r="F79" s="171">
        <v>15</v>
      </c>
      <c r="G79" s="171">
        <v>15</v>
      </c>
      <c r="H79" s="170">
        <v>456</v>
      </c>
      <c r="I79" s="184">
        <v>0</v>
      </c>
      <c r="J79" s="118">
        <f>SUM(A79-B79-C79)</f>
        <v>41831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618" t="s">
        <v>112</v>
      </c>
      <c r="B83" s="620" t="s">
        <v>482</v>
      </c>
      <c r="C83" s="622" t="s">
        <v>480</v>
      </c>
      <c r="D83" s="623"/>
      <c r="E83" s="623"/>
      <c r="F83" s="624"/>
      <c r="G83" s="625" t="s">
        <v>483</v>
      </c>
      <c r="H83" s="613" t="s">
        <v>78</v>
      </c>
      <c r="I83" s="615" t="s">
        <v>481</v>
      </c>
      <c r="J83" s="616"/>
      <c r="K83" s="616"/>
      <c r="L83" s="617"/>
    </row>
    <row r="84" spans="1:12" s="1" customFormat="1" ht="18.75" thickBot="1">
      <c r="A84" s="619"/>
      <c r="B84" s="621"/>
      <c r="C84" s="119" t="s">
        <v>81</v>
      </c>
      <c r="D84" s="120" t="s">
        <v>79</v>
      </c>
      <c r="E84" s="120" t="s">
        <v>80</v>
      </c>
      <c r="F84" s="121" t="s">
        <v>114</v>
      </c>
      <c r="G84" s="626"/>
      <c r="H84" s="614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5870.78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5786.38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40</v>
      </c>
      <c r="D86" s="131">
        <v>12</v>
      </c>
      <c r="E86" s="131">
        <v>0</v>
      </c>
      <c r="F86" s="132">
        <f>C86+D86-E86</f>
        <v>52</v>
      </c>
      <c r="G86" s="133">
        <v>51.78</v>
      </c>
      <c r="H86" s="453">
        <f>+G86-F86</f>
        <v>-0.21999999999999886</v>
      </c>
      <c r="I86" s="130">
        <v>52</v>
      </c>
      <c r="J86" s="131">
        <v>117</v>
      </c>
      <c r="K86" s="131">
        <v>0</v>
      </c>
      <c r="L86" s="132">
        <f>I86+J86-K86</f>
        <v>169</v>
      </c>
    </row>
    <row r="87" spans="1:12" s="1" customFormat="1" ht="12.75">
      <c r="A87" s="128" t="s">
        <v>85</v>
      </c>
      <c r="B87" s="129">
        <v>0</v>
      </c>
      <c r="C87" s="130">
        <v>410</v>
      </c>
      <c r="D87" s="131">
        <v>50</v>
      </c>
      <c r="E87" s="131">
        <v>2</v>
      </c>
      <c r="F87" s="132">
        <f>C87+D87-E87</f>
        <v>458</v>
      </c>
      <c r="G87" s="133">
        <v>458.43</v>
      </c>
      <c r="H87" s="453">
        <f>+G87-F87</f>
        <v>0.4300000000000068</v>
      </c>
      <c r="I87" s="130">
        <v>458</v>
      </c>
      <c r="J87" s="131">
        <v>83</v>
      </c>
      <c r="K87" s="131">
        <v>0</v>
      </c>
      <c r="L87" s="132">
        <f>I87+J87-K87</f>
        <v>541</v>
      </c>
    </row>
    <row r="88" spans="1:12" s="1" customFormat="1" ht="12.75">
      <c r="A88" s="128" t="s">
        <v>113</v>
      </c>
      <c r="B88" s="129">
        <v>0</v>
      </c>
      <c r="C88" s="130">
        <v>4118</v>
      </c>
      <c r="D88" s="131">
        <v>678</v>
      </c>
      <c r="E88" s="131">
        <v>897</v>
      </c>
      <c r="F88" s="132">
        <f>C88+D88-E88</f>
        <v>3899</v>
      </c>
      <c r="G88" s="133">
        <v>3899.01</v>
      </c>
      <c r="H88" s="453">
        <f>+G88-F88</f>
        <v>0.010000000000218279</v>
      </c>
      <c r="I88" s="461">
        <v>3899</v>
      </c>
      <c r="J88" s="447">
        <v>643</v>
      </c>
      <c r="K88" s="447">
        <v>1521</v>
      </c>
      <c r="L88" s="132">
        <f>I88+J88-K88</f>
        <v>3021</v>
      </c>
    </row>
    <row r="89" spans="1:12" s="1" customFormat="1" ht="12.75">
      <c r="A89" s="128" t="s">
        <v>86</v>
      </c>
      <c r="B89" s="129">
        <v>5870.78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1377.16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93.25</v>
      </c>
      <c r="C90" s="136">
        <v>103</v>
      </c>
      <c r="D90" s="137">
        <v>167</v>
      </c>
      <c r="E90" s="137">
        <v>173</v>
      </c>
      <c r="F90" s="138">
        <v>97</v>
      </c>
      <c r="G90" s="139">
        <v>88.72</v>
      </c>
      <c r="H90" s="454">
        <f>+G90-F90</f>
        <v>-8.280000000000001</v>
      </c>
      <c r="I90" s="136">
        <v>97</v>
      </c>
      <c r="J90" s="137">
        <v>137</v>
      </c>
      <c r="K90" s="137">
        <v>149</v>
      </c>
      <c r="L90" s="138">
        <f>I90+J90-K90</f>
        <v>85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/>
      <c r="E95" s="131"/>
      <c r="F95" s="131"/>
      <c r="G95" s="129"/>
      <c r="H95" s="132">
        <f>SUM(C95:G95)</f>
        <v>0</v>
      </c>
      <c r="I95" s="89"/>
      <c r="J95" s="93">
        <v>2005</v>
      </c>
      <c r="K95" s="94">
        <v>6202</v>
      </c>
      <c r="L95" s="95">
        <f>+G29</f>
        <v>6201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6866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3</v>
      </c>
      <c r="C101" s="103">
        <v>3</v>
      </c>
      <c r="D101" s="103">
        <f>+C101-B101</f>
        <v>0</v>
      </c>
      <c r="E101" s="103">
        <v>3</v>
      </c>
      <c r="F101" s="103">
        <v>3</v>
      </c>
      <c r="G101" s="104">
        <f>+F101-E101</f>
        <v>0</v>
      </c>
      <c r="H101" s="105">
        <v>18652</v>
      </c>
      <c r="I101" s="106">
        <v>20607</v>
      </c>
      <c r="J101" s="107">
        <f>+I101-H101</f>
        <v>1955</v>
      </c>
    </row>
    <row r="102" spans="1:10" ht="12.75">
      <c r="A102" s="102" t="s">
        <v>98</v>
      </c>
      <c r="B102" s="103">
        <v>10.2</v>
      </c>
      <c r="C102" s="103">
        <v>9</v>
      </c>
      <c r="D102" s="103">
        <f aca="true" t="shared" si="12" ref="D102:D111">+C102-B102</f>
        <v>-1.1999999999999993</v>
      </c>
      <c r="E102" s="103">
        <v>10</v>
      </c>
      <c r="F102" s="103">
        <v>9</v>
      </c>
      <c r="G102" s="104">
        <f aca="true" t="shared" si="13" ref="G102:G111">+F102-E102</f>
        <v>-1</v>
      </c>
      <c r="H102" s="105">
        <v>17832</v>
      </c>
      <c r="I102" s="108">
        <v>18513</v>
      </c>
      <c r="J102" s="107">
        <f aca="true" t="shared" si="14" ref="J102:J111">+I102-H102</f>
        <v>681</v>
      </c>
    </row>
    <row r="103" spans="1:10" ht="12.75">
      <c r="A103" s="102" t="s">
        <v>60</v>
      </c>
      <c r="B103" s="103"/>
      <c r="C103" s="103"/>
      <c r="D103" s="103">
        <f t="shared" si="12"/>
        <v>0</v>
      </c>
      <c r="E103" s="103"/>
      <c r="F103" s="103"/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61</v>
      </c>
      <c r="B104" s="103">
        <v>6.9</v>
      </c>
      <c r="C104" s="103">
        <v>8</v>
      </c>
      <c r="D104" s="103">
        <f t="shared" si="12"/>
        <v>1.0999999999999996</v>
      </c>
      <c r="E104" s="103">
        <v>8</v>
      </c>
      <c r="F104" s="103">
        <v>8</v>
      </c>
      <c r="G104" s="104">
        <f t="shared" si="13"/>
        <v>0</v>
      </c>
      <c r="H104" s="105">
        <v>13328</v>
      </c>
      <c r="I104" s="108">
        <v>13399</v>
      </c>
      <c r="J104" s="107">
        <f t="shared" si="14"/>
        <v>71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64</v>
      </c>
      <c r="B107" s="103"/>
      <c r="C107" s="103"/>
      <c r="D107" s="103">
        <f t="shared" si="12"/>
        <v>0</v>
      </c>
      <c r="E107" s="103"/>
      <c r="F107" s="103"/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65</v>
      </c>
      <c r="B108" s="103">
        <v>3.5</v>
      </c>
      <c r="C108" s="103">
        <v>4</v>
      </c>
      <c r="D108" s="103">
        <f t="shared" si="12"/>
        <v>0.5</v>
      </c>
      <c r="E108" s="103">
        <v>4</v>
      </c>
      <c r="F108" s="103">
        <v>4</v>
      </c>
      <c r="G108" s="104">
        <f t="shared" si="13"/>
        <v>0</v>
      </c>
      <c r="H108" s="105">
        <v>11963</v>
      </c>
      <c r="I108" s="108">
        <v>14470</v>
      </c>
      <c r="J108" s="107">
        <f t="shared" si="14"/>
        <v>2507</v>
      </c>
    </row>
    <row r="109" spans="1:10" ht="12.75">
      <c r="A109" s="102" t="s">
        <v>66</v>
      </c>
      <c r="B109" s="103">
        <v>1</v>
      </c>
      <c r="C109" s="103">
        <v>1</v>
      </c>
      <c r="D109" s="103">
        <f t="shared" si="12"/>
        <v>0</v>
      </c>
      <c r="E109" s="103">
        <v>1</v>
      </c>
      <c r="F109" s="103">
        <v>1</v>
      </c>
      <c r="G109" s="104">
        <f t="shared" si="13"/>
        <v>0</v>
      </c>
      <c r="H109" s="105">
        <v>19483</v>
      </c>
      <c r="I109" s="108">
        <v>21973</v>
      </c>
      <c r="J109" s="107">
        <f t="shared" si="14"/>
        <v>2490</v>
      </c>
    </row>
    <row r="110" spans="1:10" ht="12.75">
      <c r="A110" s="102" t="s">
        <v>67</v>
      </c>
      <c r="B110" s="103">
        <v>8</v>
      </c>
      <c r="C110" s="103">
        <v>8</v>
      </c>
      <c r="D110" s="103">
        <f t="shared" si="12"/>
        <v>0</v>
      </c>
      <c r="E110" s="103">
        <v>8</v>
      </c>
      <c r="F110" s="103">
        <v>8</v>
      </c>
      <c r="G110" s="104">
        <f t="shared" si="13"/>
        <v>0</v>
      </c>
      <c r="H110" s="105">
        <v>11638</v>
      </c>
      <c r="I110" s="108">
        <v>12083</v>
      </c>
      <c r="J110" s="107">
        <f t="shared" si="14"/>
        <v>445</v>
      </c>
    </row>
    <row r="111" spans="1:10" ht="13.5" thickBot="1">
      <c r="A111" s="109" t="s">
        <v>5</v>
      </c>
      <c r="B111" s="110">
        <v>32.6</v>
      </c>
      <c r="C111" s="110">
        <v>33</v>
      </c>
      <c r="D111" s="110">
        <f t="shared" si="12"/>
        <v>0.3999999999999986</v>
      </c>
      <c r="E111" s="110">
        <v>34</v>
      </c>
      <c r="F111" s="110">
        <v>33</v>
      </c>
      <c r="G111" s="111">
        <f t="shared" si="13"/>
        <v>-1</v>
      </c>
      <c r="H111" s="112">
        <v>14745</v>
      </c>
      <c r="I111" s="113">
        <v>15542</v>
      </c>
      <c r="J111" s="114">
        <f t="shared" si="14"/>
        <v>797</v>
      </c>
    </row>
    <row r="112" ht="13.5" thickBot="1"/>
    <row r="113" spans="1:16" ht="12.75">
      <c r="A113" s="706" t="s">
        <v>68</v>
      </c>
      <c r="B113" s="707"/>
      <c r="C113" s="708"/>
      <c r="D113" s="89"/>
      <c r="E113" s="706" t="s">
        <v>69</v>
      </c>
      <c r="F113" s="707"/>
      <c r="G113" s="708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709" t="s">
        <v>72</v>
      </c>
      <c r="G114" s="71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33</v>
      </c>
      <c r="C115" s="95">
        <v>33</v>
      </c>
      <c r="D115" s="89"/>
      <c r="E115" s="93">
        <v>2005</v>
      </c>
      <c r="F115" s="711">
        <v>80</v>
      </c>
      <c r="G115" s="624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33</v>
      </c>
      <c r="C116" s="98"/>
      <c r="D116" s="89"/>
      <c r="E116" s="96">
        <v>2006</v>
      </c>
      <c r="F116" s="704">
        <v>80</v>
      </c>
      <c r="G116" s="705"/>
      <c r="H116"/>
      <c r="I116"/>
      <c r="J116"/>
      <c r="K116"/>
      <c r="L116"/>
      <c r="M116"/>
      <c r="N116"/>
      <c r="O116"/>
      <c r="P116"/>
    </row>
  </sheetData>
  <mergeCells count="119">
    <mergeCell ref="H83:H84"/>
    <mergeCell ref="I83:L83"/>
    <mergeCell ref="A83:A84"/>
    <mergeCell ref="B83:B84"/>
    <mergeCell ref="C83:F83"/>
    <mergeCell ref="G83:G84"/>
    <mergeCell ref="F72:G72"/>
    <mergeCell ref="A76:A78"/>
    <mergeCell ref="B76:B78"/>
    <mergeCell ref="C76:I76"/>
    <mergeCell ref="C77:C78"/>
    <mergeCell ref="D77:I77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I66:K66"/>
    <mergeCell ref="C67:D67"/>
    <mergeCell ref="F67:G67"/>
    <mergeCell ref="I67:K67"/>
    <mergeCell ref="C66:D66"/>
    <mergeCell ref="F66:G66"/>
    <mergeCell ref="A3:A6"/>
    <mergeCell ref="B3:N3"/>
    <mergeCell ref="H4:I4"/>
    <mergeCell ref="M4:N4"/>
    <mergeCell ref="B38:D38"/>
    <mergeCell ref="E38:G38"/>
    <mergeCell ref="J38:L38"/>
    <mergeCell ref="B39:D39"/>
    <mergeCell ref="E39:G39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L52:L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H61:K61"/>
    <mergeCell ref="A62:B62"/>
    <mergeCell ref="D62:F62"/>
    <mergeCell ref="H62:K62"/>
    <mergeCell ref="A65:E65"/>
    <mergeCell ref="F65:L65"/>
    <mergeCell ref="A59:B59"/>
    <mergeCell ref="D59:F59"/>
    <mergeCell ref="H59:K59"/>
    <mergeCell ref="A60:B60"/>
    <mergeCell ref="D60:F60"/>
    <mergeCell ref="H60:K60"/>
    <mergeCell ref="A61:B61"/>
    <mergeCell ref="D61:F61"/>
    <mergeCell ref="J76:J78"/>
    <mergeCell ref="L76:M76"/>
    <mergeCell ref="A99:A100"/>
    <mergeCell ref="B99:D99"/>
    <mergeCell ref="E99:G99"/>
    <mergeCell ref="H99:J99"/>
    <mergeCell ref="A93:A94"/>
    <mergeCell ref="B93:B94"/>
    <mergeCell ref="C93:H93"/>
    <mergeCell ref="J93:L93"/>
    <mergeCell ref="F116:G116"/>
    <mergeCell ref="A113:C113"/>
    <mergeCell ref="E113:G113"/>
    <mergeCell ref="F114:G114"/>
    <mergeCell ref="F115:G115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L90" sqref="L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M2" s="497"/>
      <c r="N2" s="498"/>
    </row>
    <row r="3" spans="1:14" ht="24" customHeight="1" thickBot="1">
      <c r="A3" s="684" t="s">
        <v>0</v>
      </c>
      <c r="B3" s="686" t="s">
        <v>423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712"/>
      <c r="N3" s="71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90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6892</v>
      </c>
      <c r="C8" s="33"/>
      <c r="D8" s="434">
        <f>SUM(B8:C8)</f>
        <v>6892</v>
      </c>
      <c r="E8" s="37">
        <v>7098</v>
      </c>
      <c r="F8" s="33"/>
      <c r="G8" s="434">
        <f>SUM(E8:F8)</f>
        <v>7098</v>
      </c>
      <c r="H8" s="465">
        <f>+G8-D8</f>
        <v>206</v>
      </c>
      <c r="I8" s="36">
        <f>+G8/D8</f>
        <v>1.0298897272199652</v>
      </c>
      <c r="J8" s="37">
        <v>7230</v>
      </c>
      <c r="K8" s="33"/>
      <c r="L8" s="434">
        <f>SUM(J8:K8)</f>
        <v>7230</v>
      </c>
      <c r="M8" s="465">
        <f>+L8-G8</f>
        <v>132</v>
      </c>
      <c r="N8" s="39">
        <f>+L8/G8</f>
        <v>1.018596787827557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44</v>
      </c>
      <c r="C11" s="33"/>
      <c r="D11" s="434">
        <f t="shared" si="0"/>
        <v>44</v>
      </c>
      <c r="E11" s="37">
        <v>19</v>
      </c>
      <c r="F11" s="33"/>
      <c r="G11" s="434">
        <f t="shared" si="1"/>
        <v>19</v>
      </c>
      <c r="H11" s="465">
        <f t="shared" si="2"/>
        <v>-25</v>
      </c>
      <c r="I11" s="36">
        <f aca="true" t="shared" si="5" ref="I11:I37">+G11/D11</f>
        <v>0.4318181818181818</v>
      </c>
      <c r="J11" s="37"/>
      <c r="K11" s="33"/>
      <c r="L11" s="434">
        <f t="shared" si="3"/>
        <v>0</v>
      </c>
      <c r="M11" s="465">
        <f t="shared" si="4"/>
        <v>-19</v>
      </c>
      <c r="N11" s="39">
        <f aca="true" t="shared" si="6" ref="N11:N37">+L11/G11</f>
        <v>0</v>
      </c>
    </row>
    <row r="12" spans="1:14" ht="13.5" customHeight="1">
      <c r="A12" s="510" t="s">
        <v>15</v>
      </c>
      <c r="B12" s="37"/>
      <c r="C12" s="33"/>
      <c r="D12" s="434">
        <f t="shared" si="0"/>
        <v>0</v>
      </c>
      <c r="E12" s="37">
        <v>11</v>
      </c>
      <c r="F12" s="33"/>
      <c r="G12" s="434">
        <f t="shared" si="1"/>
        <v>11</v>
      </c>
      <c r="H12" s="465">
        <f t="shared" si="2"/>
        <v>11</v>
      </c>
      <c r="I12" s="36"/>
      <c r="J12" s="37"/>
      <c r="K12" s="33"/>
      <c r="L12" s="434">
        <f t="shared" si="3"/>
        <v>0</v>
      </c>
      <c r="M12" s="465">
        <f t="shared" si="4"/>
        <v>-11</v>
      </c>
      <c r="N12" s="39">
        <f t="shared" si="6"/>
        <v>0</v>
      </c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12802</v>
      </c>
      <c r="C15" s="33"/>
      <c r="D15" s="434">
        <f t="shared" si="0"/>
        <v>12802</v>
      </c>
      <c r="E15" s="37">
        <v>13722</v>
      </c>
      <c r="F15" s="33"/>
      <c r="G15" s="434">
        <f t="shared" si="1"/>
        <v>13722</v>
      </c>
      <c r="H15" s="465">
        <f t="shared" si="2"/>
        <v>920</v>
      </c>
      <c r="I15" s="36">
        <f t="shared" si="5"/>
        <v>1.0718637712857366</v>
      </c>
      <c r="J15" s="57">
        <f>SUM(J16:J17)</f>
        <v>14570</v>
      </c>
      <c r="K15" s="33"/>
      <c r="L15" s="434">
        <f t="shared" si="3"/>
        <v>14570</v>
      </c>
      <c r="M15" s="465">
        <f t="shared" si="4"/>
        <v>848</v>
      </c>
      <c r="N15" s="39">
        <f t="shared" si="6"/>
        <v>1.0617985716367877</v>
      </c>
    </row>
    <row r="16" spans="1:14" ht="13.5" customHeight="1">
      <c r="A16" s="511" t="s">
        <v>476</v>
      </c>
      <c r="B16" s="37"/>
      <c r="C16" s="33"/>
      <c r="D16" s="434"/>
      <c r="E16" s="37">
        <v>12992</v>
      </c>
      <c r="F16" s="33"/>
      <c r="G16" s="434">
        <f t="shared" si="1"/>
        <v>12992</v>
      </c>
      <c r="H16" s="465"/>
      <c r="I16" s="36"/>
      <c r="J16" s="57">
        <f>13801</f>
        <v>13801</v>
      </c>
      <c r="K16" s="33"/>
      <c r="L16" s="434">
        <f t="shared" si="3"/>
        <v>13801</v>
      </c>
      <c r="M16" s="465">
        <f t="shared" si="4"/>
        <v>809</v>
      </c>
      <c r="N16" s="39">
        <f t="shared" si="6"/>
        <v>1.0622690886699508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730</v>
      </c>
      <c r="F17" s="431"/>
      <c r="G17" s="434">
        <f t="shared" si="1"/>
        <v>730</v>
      </c>
      <c r="H17" s="466"/>
      <c r="I17" s="472"/>
      <c r="J17" s="438">
        <v>769</v>
      </c>
      <c r="K17" s="431"/>
      <c r="L17" s="434">
        <f t="shared" si="3"/>
        <v>769</v>
      </c>
      <c r="M17" s="466">
        <f t="shared" si="4"/>
        <v>39</v>
      </c>
      <c r="N17" s="442">
        <f t="shared" si="6"/>
        <v>1.0534246575342465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19738</v>
      </c>
      <c r="C18" s="425">
        <f t="shared" si="7"/>
        <v>0</v>
      </c>
      <c r="D18" s="426">
        <f t="shared" si="7"/>
        <v>19738</v>
      </c>
      <c r="E18" s="424">
        <f t="shared" si="7"/>
        <v>20839</v>
      </c>
      <c r="F18" s="425">
        <f t="shared" si="7"/>
        <v>0</v>
      </c>
      <c r="G18" s="426">
        <f t="shared" si="7"/>
        <v>20839</v>
      </c>
      <c r="H18" s="369">
        <f t="shared" si="2"/>
        <v>1101</v>
      </c>
      <c r="I18" s="63">
        <f t="shared" si="5"/>
        <v>1.0557807275306514</v>
      </c>
      <c r="J18" s="437">
        <f>SUM(J7+J8+J9+J10+J11+J13+J15)</f>
        <v>21800</v>
      </c>
      <c r="K18" s="425">
        <f>SUM(K7+K8+K9+K10+K11+K13+K15)</f>
        <v>0</v>
      </c>
      <c r="L18" s="426">
        <f>SUM(L7+L8+L9+L10+L11+L13+L15)</f>
        <v>21800</v>
      </c>
      <c r="M18" s="369">
        <f t="shared" si="4"/>
        <v>961</v>
      </c>
      <c r="N18" s="370">
        <f t="shared" si="6"/>
        <v>1.046115456595806</v>
      </c>
    </row>
    <row r="19" spans="1:14" ht="13.5" customHeight="1">
      <c r="A19" s="54" t="s">
        <v>20</v>
      </c>
      <c r="B19" s="25">
        <v>3478</v>
      </c>
      <c r="C19" s="26"/>
      <c r="D19" s="34">
        <f aca="true" t="shared" si="8" ref="D19:D36">SUM(B19:C19)</f>
        <v>3478</v>
      </c>
      <c r="E19" s="25">
        <v>3271</v>
      </c>
      <c r="F19" s="26"/>
      <c r="G19" s="27">
        <f>SUM(E19:F19)</f>
        <v>3271</v>
      </c>
      <c r="H19" s="28">
        <f t="shared" si="2"/>
        <v>-207</v>
      </c>
      <c r="I19" s="55">
        <f t="shared" si="5"/>
        <v>0.9404830362277171</v>
      </c>
      <c r="J19" s="29">
        <v>3355</v>
      </c>
      <c r="K19" s="26"/>
      <c r="L19" s="30">
        <f>SUM(J19:K19)</f>
        <v>3355</v>
      </c>
      <c r="M19" s="28">
        <f t="shared" si="4"/>
        <v>84</v>
      </c>
      <c r="N19" s="56">
        <f t="shared" si="6"/>
        <v>1.0256802201161723</v>
      </c>
    </row>
    <row r="20" spans="1:14" ht="21" customHeight="1">
      <c r="A20" s="40" t="s">
        <v>21</v>
      </c>
      <c r="B20" s="25">
        <v>316</v>
      </c>
      <c r="C20" s="26"/>
      <c r="D20" s="34">
        <f t="shared" si="8"/>
        <v>316</v>
      </c>
      <c r="E20" s="25">
        <v>270</v>
      </c>
      <c r="F20" s="26"/>
      <c r="G20" s="27">
        <f aca="true" t="shared" si="9" ref="G20:G36">SUM(E20:F20)</f>
        <v>270</v>
      </c>
      <c r="H20" s="35">
        <f t="shared" si="2"/>
        <v>-46</v>
      </c>
      <c r="I20" s="36">
        <f t="shared" si="5"/>
        <v>0.8544303797468354</v>
      </c>
      <c r="J20" s="29">
        <v>350</v>
      </c>
      <c r="K20" s="26"/>
      <c r="L20" s="30">
        <f aca="true" t="shared" si="10" ref="L20:L36">SUM(J20:K20)</f>
        <v>350</v>
      </c>
      <c r="M20" s="35">
        <f t="shared" si="4"/>
        <v>80</v>
      </c>
      <c r="N20" s="39">
        <f t="shared" si="6"/>
        <v>1.2962962962962963</v>
      </c>
    </row>
    <row r="21" spans="1:14" ht="13.5" customHeight="1">
      <c r="A21" s="31" t="s">
        <v>22</v>
      </c>
      <c r="B21" s="32">
        <v>1213</v>
      </c>
      <c r="C21" s="33"/>
      <c r="D21" s="34">
        <f t="shared" si="8"/>
        <v>1213</v>
      </c>
      <c r="E21" s="32">
        <v>1201</v>
      </c>
      <c r="F21" s="33"/>
      <c r="G21" s="27">
        <f t="shared" si="9"/>
        <v>1201</v>
      </c>
      <c r="H21" s="35">
        <f t="shared" si="2"/>
        <v>-12</v>
      </c>
      <c r="I21" s="36">
        <f t="shared" si="5"/>
        <v>0.9901071723000825</v>
      </c>
      <c r="J21" s="37">
        <v>1393</v>
      </c>
      <c r="K21" s="33"/>
      <c r="L21" s="30">
        <f t="shared" si="10"/>
        <v>1393</v>
      </c>
      <c r="M21" s="35">
        <f t="shared" si="4"/>
        <v>192</v>
      </c>
      <c r="N21" s="39">
        <f t="shared" si="6"/>
        <v>1.1598667776852623</v>
      </c>
    </row>
    <row r="22" spans="1:14" ht="13.5" customHeight="1">
      <c r="A22" s="40" t="s">
        <v>23</v>
      </c>
      <c r="B22" s="32">
        <v>16</v>
      </c>
      <c r="C22" s="33"/>
      <c r="D22" s="34">
        <f t="shared" si="8"/>
        <v>16</v>
      </c>
      <c r="E22" s="32">
        <v>26</v>
      </c>
      <c r="F22" s="33"/>
      <c r="G22" s="27">
        <f t="shared" si="9"/>
        <v>26</v>
      </c>
      <c r="H22" s="35">
        <f t="shared" si="2"/>
        <v>10</v>
      </c>
      <c r="I22" s="36"/>
      <c r="J22" s="37">
        <v>40</v>
      </c>
      <c r="K22" s="33"/>
      <c r="L22" s="30">
        <f t="shared" si="10"/>
        <v>40</v>
      </c>
      <c r="M22" s="35">
        <f t="shared" si="4"/>
        <v>14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886</v>
      </c>
      <c r="C24" s="33"/>
      <c r="D24" s="34">
        <f t="shared" si="8"/>
        <v>886</v>
      </c>
      <c r="E24" s="37">
        <v>1048</v>
      </c>
      <c r="F24" s="33"/>
      <c r="G24" s="27">
        <f t="shared" si="9"/>
        <v>1048</v>
      </c>
      <c r="H24" s="35">
        <f t="shared" si="2"/>
        <v>162</v>
      </c>
      <c r="I24" s="36">
        <f t="shared" si="5"/>
        <v>1.182844243792325</v>
      </c>
      <c r="J24" s="37">
        <v>1150</v>
      </c>
      <c r="K24" s="33"/>
      <c r="L24" s="30">
        <f t="shared" si="10"/>
        <v>1150</v>
      </c>
      <c r="M24" s="35">
        <f t="shared" si="4"/>
        <v>102</v>
      </c>
      <c r="N24" s="39">
        <f t="shared" si="6"/>
        <v>1.0973282442748091</v>
      </c>
    </row>
    <row r="25" spans="1:14" ht="13.5" customHeight="1">
      <c r="A25" s="40" t="s">
        <v>26</v>
      </c>
      <c r="B25" s="32">
        <v>309</v>
      </c>
      <c r="C25" s="33"/>
      <c r="D25" s="34">
        <f t="shared" si="8"/>
        <v>309</v>
      </c>
      <c r="E25" s="32">
        <v>237</v>
      </c>
      <c r="F25" s="33"/>
      <c r="G25" s="27">
        <f t="shared" si="9"/>
        <v>237</v>
      </c>
      <c r="H25" s="35">
        <f t="shared" si="2"/>
        <v>-72</v>
      </c>
      <c r="I25" s="36">
        <f t="shared" si="5"/>
        <v>0.7669902912621359</v>
      </c>
      <c r="J25" s="57">
        <v>300</v>
      </c>
      <c r="K25" s="33"/>
      <c r="L25" s="30">
        <f t="shared" si="10"/>
        <v>300</v>
      </c>
      <c r="M25" s="35">
        <f t="shared" si="4"/>
        <v>63</v>
      </c>
      <c r="N25" s="39">
        <f t="shared" si="6"/>
        <v>1.2658227848101267</v>
      </c>
    </row>
    <row r="26" spans="1:14" ht="13.5" customHeight="1">
      <c r="A26" s="31" t="s">
        <v>27</v>
      </c>
      <c r="B26" s="32">
        <v>568</v>
      </c>
      <c r="C26" s="33"/>
      <c r="D26" s="34">
        <f t="shared" si="8"/>
        <v>568</v>
      </c>
      <c r="E26" s="32">
        <v>797</v>
      </c>
      <c r="F26" s="33"/>
      <c r="G26" s="27">
        <f t="shared" si="9"/>
        <v>797</v>
      </c>
      <c r="H26" s="35">
        <f t="shared" si="2"/>
        <v>229</v>
      </c>
      <c r="I26" s="36">
        <f t="shared" si="5"/>
        <v>1.403169014084507</v>
      </c>
      <c r="J26" s="57">
        <v>825</v>
      </c>
      <c r="K26" s="33"/>
      <c r="L26" s="30">
        <f t="shared" si="10"/>
        <v>825</v>
      </c>
      <c r="M26" s="35">
        <f t="shared" si="4"/>
        <v>28</v>
      </c>
      <c r="N26" s="39">
        <f t="shared" si="6"/>
        <v>1.0351317440401506</v>
      </c>
    </row>
    <row r="27" spans="1:14" ht="13.5" customHeight="1">
      <c r="A27" s="58" t="s">
        <v>28</v>
      </c>
      <c r="B27" s="37">
        <v>13356</v>
      </c>
      <c r="C27" s="33"/>
      <c r="D27" s="34">
        <f t="shared" si="8"/>
        <v>13356</v>
      </c>
      <c r="E27" s="37">
        <v>14259</v>
      </c>
      <c r="F27" s="33"/>
      <c r="G27" s="27">
        <f t="shared" si="9"/>
        <v>14259</v>
      </c>
      <c r="H27" s="35">
        <f t="shared" si="2"/>
        <v>903</v>
      </c>
      <c r="I27" s="36">
        <f t="shared" si="5"/>
        <v>1.0676100628930818</v>
      </c>
      <c r="J27" s="37">
        <f>J28+J31</f>
        <v>15131</v>
      </c>
      <c r="K27" s="33"/>
      <c r="L27" s="30">
        <f t="shared" si="10"/>
        <v>15131</v>
      </c>
      <c r="M27" s="35">
        <f t="shared" si="4"/>
        <v>872</v>
      </c>
      <c r="N27" s="39">
        <f t="shared" si="6"/>
        <v>1.0611543586506769</v>
      </c>
    </row>
    <row r="28" spans="1:14" ht="13.5" customHeight="1">
      <c r="A28" s="40" t="s">
        <v>29</v>
      </c>
      <c r="B28" s="32">
        <v>9768</v>
      </c>
      <c r="C28" s="33"/>
      <c r="D28" s="34">
        <f t="shared" si="8"/>
        <v>9768</v>
      </c>
      <c r="E28" s="32">
        <v>10452</v>
      </c>
      <c r="F28" s="33"/>
      <c r="G28" s="27">
        <f t="shared" si="9"/>
        <v>10452</v>
      </c>
      <c r="H28" s="35">
        <f t="shared" si="2"/>
        <v>684</v>
      </c>
      <c r="I28" s="36">
        <f t="shared" si="5"/>
        <v>1.07002457002457</v>
      </c>
      <c r="J28" s="57">
        <f>J29+J30</f>
        <v>11044</v>
      </c>
      <c r="K28" s="59"/>
      <c r="L28" s="30">
        <f t="shared" si="10"/>
        <v>11044</v>
      </c>
      <c r="M28" s="35">
        <f t="shared" si="4"/>
        <v>592</v>
      </c>
      <c r="N28" s="39">
        <f t="shared" si="6"/>
        <v>1.0566398775354</v>
      </c>
    </row>
    <row r="29" spans="1:14" ht="13.5" customHeight="1">
      <c r="A29" s="58" t="s">
        <v>30</v>
      </c>
      <c r="B29" s="32">
        <v>9600</v>
      </c>
      <c r="C29" s="33"/>
      <c r="D29" s="34">
        <f t="shared" si="8"/>
        <v>9600</v>
      </c>
      <c r="E29" s="32">
        <v>10159</v>
      </c>
      <c r="F29" s="33"/>
      <c r="G29" s="27">
        <f t="shared" si="9"/>
        <v>10159</v>
      </c>
      <c r="H29" s="35">
        <f t="shared" si="2"/>
        <v>559</v>
      </c>
      <c r="I29" s="36">
        <f t="shared" si="5"/>
        <v>1.0582291666666668</v>
      </c>
      <c r="J29" s="37">
        <f>10248+561</f>
        <v>10809</v>
      </c>
      <c r="K29" s="33"/>
      <c r="L29" s="30">
        <f t="shared" si="10"/>
        <v>10809</v>
      </c>
      <c r="M29" s="35">
        <f t="shared" si="4"/>
        <v>650</v>
      </c>
      <c r="N29" s="39">
        <f t="shared" si="6"/>
        <v>1.063982675460183</v>
      </c>
    </row>
    <row r="30" spans="1:14" ht="13.5" customHeight="1">
      <c r="A30" s="40" t="s">
        <v>31</v>
      </c>
      <c r="B30" s="32">
        <v>168</v>
      </c>
      <c r="C30" s="33"/>
      <c r="D30" s="34">
        <f t="shared" si="8"/>
        <v>168</v>
      </c>
      <c r="E30" s="32">
        <v>293</v>
      </c>
      <c r="F30" s="33"/>
      <c r="G30" s="27">
        <f t="shared" si="9"/>
        <v>293</v>
      </c>
      <c r="H30" s="35">
        <f t="shared" si="2"/>
        <v>125</v>
      </c>
      <c r="I30" s="36">
        <f t="shared" si="5"/>
        <v>1.744047619047619</v>
      </c>
      <c r="J30" s="37">
        <v>235</v>
      </c>
      <c r="K30" s="33"/>
      <c r="L30" s="30">
        <f t="shared" si="10"/>
        <v>235</v>
      </c>
      <c r="M30" s="35">
        <f t="shared" si="4"/>
        <v>-58</v>
      </c>
      <c r="N30" s="39">
        <f t="shared" si="6"/>
        <v>0.8020477815699659</v>
      </c>
    </row>
    <row r="31" spans="1:14" ht="13.5" customHeight="1">
      <c r="A31" s="40" t="s">
        <v>32</v>
      </c>
      <c r="B31" s="32">
        <v>0.3588</v>
      </c>
      <c r="C31" s="33"/>
      <c r="D31" s="34">
        <f t="shared" si="8"/>
        <v>0.3588</v>
      </c>
      <c r="E31" s="32">
        <v>3807</v>
      </c>
      <c r="F31" s="33"/>
      <c r="G31" s="27">
        <f t="shared" si="9"/>
        <v>3807</v>
      </c>
      <c r="H31" s="35">
        <f t="shared" si="2"/>
        <v>3806.6412</v>
      </c>
      <c r="I31" s="36"/>
      <c r="J31" s="37">
        <f>3879+208</f>
        <v>4087</v>
      </c>
      <c r="K31" s="33"/>
      <c r="L31" s="30">
        <f t="shared" si="10"/>
        <v>4087</v>
      </c>
      <c r="M31" s="35">
        <f t="shared" si="4"/>
        <v>280</v>
      </c>
      <c r="N31" s="39">
        <f t="shared" si="6"/>
        <v>1.0735487260309955</v>
      </c>
    </row>
    <row r="32" spans="1:14" ht="13.5" customHeight="1">
      <c r="A32" s="58" t="s">
        <v>33</v>
      </c>
      <c r="B32" s="32"/>
      <c r="C32" s="33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196</v>
      </c>
      <c r="C33" s="33"/>
      <c r="D33" s="34">
        <f t="shared" si="8"/>
        <v>196</v>
      </c>
      <c r="E33" s="32">
        <v>154</v>
      </c>
      <c r="F33" s="33"/>
      <c r="G33" s="27">
        <f t="shared" si="9"/>
        <v>154</v>
      </c>
      <c r="H33" s="35">
        <f t="shared" si="2"/>
        <v>-42</v>
      </c>
      <c r="I33" s="36">
        <f t="shared" si="5"/>
        <v>0.7857142857142857</v>
      </c>
      <c r="J33" s="37">
        <v>165</v>
      </c>
      <c r="K33" s="33"/>
      <c r="L33" s="30">
        <f t="shared" si="10"/>
        <v>165</v>
      </c>
      <c r="M33" s="35">
        <f t="shared" si="4"/>
        <v>11</v>
      </c>
      <c r="N33" s="39">
        <f t="shared" si="6"/>
        <v>1.0714285714285714</v>
      </c>
    </row>
    <row r="34" spans="1:14" ht="13.5" customHeight="1">
      <c r="A34" s="40" t="s">
        <v>35</v>
      </c>
      <c r="B34" s="32">
        <v>574</v>
      </c>
      <c r="C34" s="33"/>
      <c r="D34" s="34">
        <f t="shared" si="8"/>
        <v>574</v>
      </c>
      <c r="E34" s="32">
        <v>803</v>
      </c>
      <c r="F34" s="33"/>
      <c r="G34" s="27">
        <f t="shared" si="9"/>
        <v>803</v>
      </c>
      <c r="H34" s="35">
        <f t="shared" si="2"/>
        <v>229</v>
      </c>
      <c r="I34" s="36">
        <f t="shared" si="5"/>
        <v>1.3989547038327526</v>
      </c>
      <c r="J34" s="57">
        <v>566</v>
      </c>
      <c r="K34" s="33"/>
      <c r="L34" s="30">
        <f t="shared" si="10"/>
        <v>566</v>
      </c>
      <c r="M34" s="35">
        <f t="shared" si="4"/>
        <v>-237</v>
      </c>
      <c r="N34" s="39">
        <f t="shared" si="6"/>
        <v>0.7048567870485679</v>
      </c>
    </row>
    <row r="35" spans="1:14" ht="22.5" customHeight="1">
      <c r="A35" s="40" t="s">
        <v>36</v>
      </c>
      <c r="B35" s="32">
        <v>574</v>
      </c>
      <c r="C35" s="33"/>
      <c r="D35" s="34">
        <f t="shared" si="8"/>
        <v>574</v>
      </c>
      <c r="E35" s="32">
        <v>803</v>
      </c>
      <c r="F35" s="33"/>
      <c r="G35" s="27">
        <f t="shared" si="9"/>
        <v>803</v>
      </c>
      <c r="H35" s="35">
        <f t="shared" si="2"/>
        <v>229</v>
      </c>
      <c r="I35" s="36">
        <f t="shared" si="5"/>
        <v>1.3989547038327526</v>
      </c>
      <c r="J35" s="57">
        <v>566</v>
      </c>
      <c r="K35" s="33"/>
      <c r="L35" s="30">
        <f t="shared" si="10"/>
        <v>566</v>
      </c>
      <c r="M35" s="35">
        <f t="shared" si="4"/>
        <v>-237</v>
      </c>
      <c r="N35" s="39">
        <f t="shared" si="6"/>
        <v>0.7048567870485679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19719</v>
      </c>
      <c r="C37" s="48">
        <f t="shared" si="11"/>
        <v>0</v>
      </c>
      <c r="D37" s="49">
        <f t="shared" si="11"/>
        <v>19719</v>
      </c>
      <c r="E37" s="47">
        <f t="shared" si="11"/>
        <v>20762</v>
      </c>
      <c r="F37" s="48">
        <f t="shared" si="11"/>
        <v>0</v>
      </c>
      <c r="G37" s="49">
        <f t="shared" si="11"/>
        <v>20762</v>
      </c>
      <c r="H37" s="50">
        <f t="shared" si="2"/>
        <v>1043</v>
      </c>
      <c r="I37" s="51">
        <f t="shared" si="5"/>
        <v>1.0528931487397941</v>
      </c>
      <c r="J37" s="52">
        <f>SUM(J19+J21+J22+J23+J24+J27+J32+J33+J34+J36)</f>
        <v>21800</v>
      </c>
      <c r="K37" s="48">
        <f>SUM(K19+K21+K22+K23+K24+K27+K32+K33+K34+K36)</f>
        <v>0</v>
      </c>
      <c r="L37" s="49">
        <f>SUM(L19+L21+L22+L23+L24+L27+L32+L33+L34+L36)</f>
        <v>21800</v>
      </c>
      <c r="M37" s="50">
        <f t="shared" si="4"/>
        <v>1038</v>
      </c>
      <c r="N37" s="53">
        <f t="shared" si="6"/>
        <v>1.0499951835083325</v>
      </c>
    </row>
    <row r="38" spans="1:14" ht="13.5" customHeight="1" thickBot="1">
      <c r="A38" s="46" t="s">
        <v>39</v>
      </c>
      <c r="B38" s="680">
        <f>+D18-D37</f>
        <v>19</v>
      </c>
      <c r="C38" s="681"/>
      <c r="D38" s="682"/>
      <c r="E38" s="680">
        <f>+G18-G37</f>
        <v>77</v>
      </c>
      <c r="F38" s="681"/>
      <c r="G38" s="682">
        <v>-50784</v>
      </c>
      <c r="H38" s="62">
        <f>+E38-B38</f>
        <v>58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214</v>
      </c>
      <c r="B43" s="683"/>
      <c r="C43" s="66">
        <v>223</v>
      </c>
      <c r="D43" s="679" t="s">
        <v>215</v>
      </c>
      <c r="E43" s="657"/>
      <c r="F43" s="657"/>
      <c r="G43" s="67">
        <v>95</v>
      </c>
      <c r="H43" s="658" t="s">
        <v>96</v>
      </c>
      <c r="I43" s="659"/>
      <c r="J43" s="659"/>
      <c r="K43" s="659"/>
      <c r="L43" s="68">
        <v>208</v>
      </c>
      <c r="O43"/>
      <c r="P43"/>
    </row>
    <row r="44" spans="1:16" ht="12.75">
      <c r="A44" s="639" t="s">
        <v>216</v>
      </c>
      <c r="B44" s="646"/>
      <c r="C44" s="69">
        <v>619</v>
      </c>
      <c r="D44" s="679" t="s">
        <v>217</v>
      </c>
      <c r="E44" s="657"/>
      <c r="F44" s="657"/>
      <c r="G44" s="70">
        <v>343</v>
      </c>
      <c r="H44" s="658"/>
      <c r="I44" s="659"/>
      <c r="J44" s="659"/>
      <c r="K44" s="659"/>
      <c r="L44" s="68"/>
      <c r="O44"/>
      <c r="P44"/>
    </row>
    <row r="45" spans="1:16" ht="12.75">
      <c r="A45" s="639" t="s">
        <v>128</v>
      </c>
      <c r="B45" s="646"/>
      <c r="C45" s="69">
        <v>79</v>
      </c>
      <c r="D45" s="679"/>
      <c r="E45" s="657"/>
      <c r="F45" s="657"/>
      <c r="G45" s="70"/>
      <c r="H45" s="658"/>
      <c r="I45" s="659"/>
      <c r="J45" s="659"/>
      <c r="K45" s="659"/>
      <c r="L45" s="68"/>
      <c r="O45"/>
      <c r="P45"/>
    </row>
    <row r="46" spans="1:16" ht="12.75">
      <c r="A46" s="647"/>
      <c r="B46" s="674"/>
      <c r="C46" s="71"/>
      <c r="D46" s="647"/>
      <c r="E46" s="648"/>
      <c r="F46" s="674"/>
      <c r="G46" s="72"/>
      <c r="H46" s="643"/>
      <c r="I46" s="644"/>
      <c r="J46" s="644"/>
      <c r="K46" s="645"/>
      <c r="L46" s="68"/>
      <c r="O46"/>
      <c r="P46"/>
    </row>
    <row r="47" spans="1:16" ht="12.75">
      <c r="A47" s="647"/>
      <c r="B47" s="674"/>
      <c r="C47" s="71"/>
      <c r="D47" s="647"/>
      <c r="E47" s="648"/>
      <c r="F47" s="674"/>
      <c r="G47" s="72"/>
      <c r="H47" s="643"/>
      <c r="I47" s="644"/>
      <c r="J47" s="644"/>
      <c r="K47" s="645"/>
      <c r="L47" s="68"/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/>
      <c r="I48" s="644"/>
      <c r="J48" s="644"/>
      <c r="K48" s="645"/>
      <c r="L48" s="68"/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/>
      <c r="B50" s="635"/>
      <c r="C50" s="73">
        <f>SUM(C43:C49)</f>
        <v>921</v>
      </c>
      <c r="D50" s="660" t="s">
        <v>5</v>
      </c>
      <c r="E50" s="661"/>
      <c r="F50" s="661"/>
      <c r="G50" s="73">
        <f>SUM(G43:G44)</f>
        <v>438</v>
      </c>
      <c r="H50" s="637" t="s">
        <v>5</v>
      </c>
      <c r="I50" s="638"/>
      <c r="J50" s="638"/>
      <c r="K50" s="638"/>
      <c r="L50" s="73">
        <f>SUM(L43:L49)</f>
        <v>208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218</v>
      </c>
      <c r="B54" s="655"/>
      <c r="C54" s="66">
        <v>90</v>
      </c>
      <c r="D54" s="656" t="s">
        <v>218</v>
      </c>
      <c r="E54" s="657"/>
      <c r="F54" s="657"/>
      <c r="G54" s="76">
        <v>84</v>
      </c>
      <c r="H54" s="658" t="s">
        <v>218</v>
      </c>
      <c r="I54" s="659"/>
      <c r="J54" s="659"/>
      <c r="K54" s="659"/>
      <c r="L54" s="68">
        <v>90</v>
      </c>
      <c r="O54"/>
      <c r="P54"/>
    </row>
    <row r="55" spans="1:16" ht="13.5" customHeight="1">
      <c r="A55" s="639" t="s">
        <v>219</v>
      </c>
      <c r="B55" s="649"/>
      <c r="C55" s="69">
        <v>219</v>
      </c>
      <c r="D55" s="642" t="s">
        <v>219</v>
      </c>
      <c r="E55" s="646"/>
      <c r="F55" s="646"/>
      <c r="G55" s="77">
        <v>153</v>
      </c>
      <c r="H55" s="650" t="s">
        <v>220</v>
      </c>
      <c r="I55" s="651"/>
      <c r="J55" s="651"/>
      <c r="K55" s="651"/>
      <c r="L55" s="78">
        <v>210</v>
      </c>
      <c r="O55"/>
      <c r="P55"/>
    </row>
    <row r="56" spans="1:16" ht="13.5" customHeight="1">
      <c r="A56" s="639"/>
      <c r="B56" s="640"/>
      <c r="C56" s="69"/>
      <c r="D56" s="642"/>
      <c r="E56" s="646"/>
      <c r="F56" s="646"/>
      <c r="G56" s="77"/>
      <c r="H56" s="643"/>
      <c r="I56" s="644"/>
      <c r="J56" s="644"/>
      <c r="K56" s="645"/>
      <c r="L56" s="78"/>
      <c r="O56"/>
      <c r="P56"/>
    </row>
    <row r="57" spans="1:16" ht="13.5" customHeight="1">
      <c r="A57" s="639"/>
      <c r="B57" s="640"/>
      <c r="C57" s="69"/>
      <c r="D57" s="642"/>
      <c r="E57" s="646"/>
      <c r="F57" s="646"/>
      <c r="G57" s="77"/>
      <c r="H57" s="643"/>
      <c r="I57" s="644"/>
      <c r="J57" s="644"/>
      <c r="K57" s="645"/>
      <c r="L57" s="78"/>
      <c r="O57"/>
      <c r="P57"/>
    </row>
    <row r="58" spans="1:16" ht="13.5" customHeight="1">
      <c r="A58" s="647"/>
      <c r="B58" s="648"/>
      <c r="C58" s="71"/>
      <c r="D58" s="641"/>
      <c r="E58" s="641"/>
      <c r="F58" s="642"/>
      <c r="G58" s="178"/>
      <c r="H58" s="643"/>
      <c r="I58" s="644"/>
      <c r="J58" s="644"/>
      <c r="K58" s="645"/>
      <c r="L58" s="79"/>
      <c r="O58"/>
      <c r="P58"/>
    </row>
    <row r="59" spans="1:16" ht="13.5" customHeight="1">
      <c r="A59" s="639"/>
      <c r="B59" s="640"/>
      <c r="C59" s="71"/>
      <c r="D59" s="641"/>
      <c r="E59" s="641"/>
      <c r="F59" s="642"/>
      <c r="G59" s="178"/>
      <c r="H59" s="643"/>
      <c r="I59" s="644"/>
      <c r="J59" s="644"/>
      <c r="K59" s="645"/>
      <c r="L59" s="79"/>
      <c r="O59"/>
      <c r="P59"/>
    </row>
    <row r="60" spans="1:16" ht="13.5" customHeight="1">
      <c r="A60" s="639"/>
      <c r="B60" s="640"/>
      <c r="C60" s="69"/>
      <c r="D60" s="642"/>
      <c r="E60" s="646"/>
      <c r="F60" s="646"/>
      <c r="G60" s="77"/>
      <c r="H60" s="643"/>
      <c r="I60" s="644"/>
      <c r="J60" s="644"/>
      <c r="K60" s="645"/>
      <c r="L60" s="78"/>
      <c r="O60"/>
      <c r="P60"/>
    </row>
    <row r="61" spans="1:16" ht="13.5" thickBot="1">
      <c r="A61" s="627"/>
      <c r="B61" s="628"/>
      <c r="C61" s="80"/>
      <c r="D61" s="629"/>
      <c r="E61" s="630"/>
      <c r="F61" s="630"/>
      <c r="G61" s="81"/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73">
        <f>SUM(C54:C61)</f>
        <v>309</v>
      </c>
      <c r="D62" s="635" t="s">
        <v>5</v>
      </c>
      <c r="E62" s="636"/>
      <c r="F62" s="636"/>
      <c r="G62" s="83">
        <f>SUM(G54:G61)</f>
        <v>237</v>
      </c>
      <c r="H62" s="637" t="s">
        <v>5</v>
      </c>
      <c r="I62" s="638"/>
      <c r="J62" s="638"/>
      <c r="K62" s="638"/>
      <c r="L62" s="73">
        <f>SUM(L54:L61)</f>
        <v>300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193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208</v>
      </c>
      <c r="I67" s="580" t="s">
        <v>179</v>
      </c>
      <c r="J67" s="582"/>
      <c r="K67" s="582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15</v>
      </c>
      <c r="C68" s="583" t="s">
        <v>175</v>
      </c>
      <c r="D68" s="583"/>
      <c r="E68" s="159">
        <v>0</v>
      </c>
      <c r="F68" s="584" t="s">
        <v>177</v>
      </c>
      <c r="G68" s="585"/>
      <c r="H68" s="151">
        <v>62</v>
      </c>
      <c r="I68" s="583"/>
      <c r="J68" s="585"/>
      <c r="K68" s="585"/>
      <c r="L68" s="159"/>
      <c r="M68" s="84"/>
      <c r="N68" s="84"/>
    </row>
    <row r="69" spans="1:14" s="1" customFormat="1" ht="12.75">
      <c r="A69" s="158" t="s">
        <v>175</v>
      </c>
      <c r="B69" s="151"/>
      <c r="C69" s="583"/>
      <c r="D69" s="583"/>
      <c r="E69" s="159"/>
      <c r="F69" s="583" t="s">
        <v>175</v>
      </c>
      <c r="G69" s="583"/>
      <c r="H69" s="151"/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208</v>
      </c>
      <c r="C71" s="589" t="s">
        <v>5</v>
      </c>
      <c r="D71" s="589"/>
      <c r="E71" s="165">
        <f>SUM(E67:E70)</f>
        <v>0</v>
      </c>
      <c r="F71" s="590" t="s">
        <v>5</v>
      </c>
      <c r="G71" s="591"/>
      <c r="H71" s="161">
        <f>SUM(H67:H70)</f>
        <v>270</v>
      </c>
      <c r="I71" s="589" t="s">
        <v>5</v>
      </c>
      <c r="J71" s="591"/>
      <c r="K71" s="591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208</v>
      </c>
      <c r="C72" s="84"/>
      <c r="D72" s="84"/>
      <c r="E72" s="84"/>
      <c r="F72" s="592" t="s">
        <v>534</v>
      </c>
      <c r="G72" s="593"/>
      <c r="H72" s="183">
        <f>H71-L71</f>
        <v>270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601" t="s">
        <v>73</v>
      </c>
      <c r="B76" s="604" t="s">
        <v>495</v>
      </c>
      <c r="C76" s="607" t="s">
        <v>477</v>
      </c>
      <c r="D76" s="608"/>
      <c r="E76" s="608"/>
      <c r="F76" s="608"/>
      <c r="G76" s="608"/>
      <c r="H76" s="608"/>
      <c r="I76" s="609"/>
      <c r="J76" s="610" t="s">
        <v>496</v>
      </c>
      <c r="K76" s="7"/>
      <c r="L76" s="594" t="s">
        <v>48</v>
      </c>
      <c r="M76" s="595"/>
      <c r="N76" s="193">
        <v>2004</v>
      </c>
      <c r="O76" s="194">
        <v>2005</v>
      </c>
    </row>
    <row r="77" spans="1:15" s="1" customFormat="1" ht="12.75">
      <c r="A77" s="602"/>
      <c r="B77" s="605"/>
      <c r="C77" s="596" t="s">
        <v>76</v>
      </c>
      <c r="D77" s="598" t="s">
        <v>77</v>
      </c>
      <c r="E77" s="599"/>
      <c r="F77" s="599"/>
      <c r="G77" s="599"/>
      <c r="H77" s="599"/>
      <c r="I77" s="600"/>
      <c r="J77" s="611"/>
      <c r="K77" s="7"/>
      <c r="L77" s="197" t="s">
        <v>178</v>
      </c>
      <c r="M77" s="197"/>
      <c r="N77" s="192"/>
      <c r="O77" s="195"/>
    </row>
    <row r="78" spans="1:15" s="1" customFormat="1" ht="13.5" thickBot="1">
      <c r="A78" s="603"/>
      <c r="B78" s="606"/>
      <c r="C78" s="597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612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25274</v>
      </c>
      <c r="B79" s="117">
        <v>7257</v>
      </c>
      <c r="C79" s="170">
        <v>566</v>
      </c>
      <c r="D79" s="171">
        <v>250</v>
      </c>
      <c r="E79" s="171">
        <v>93</v>
      </c>
      <c r="F79" s="171">
        <v>15</v>
      </c>
      <c r="G79" s="171">
        <v>100</v>
      </c>
      <c r="H79" s="170">
        <v>108</v>
      </c>
      <c r="I79" s="184">
        <v>0</v>
      </c>
      <c r="J79" s="118">
        <f>SUM(A79-B79-C79)</f>
        <v>17451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618" t="s">
        <v>112</v>
      </c>
      <c r="B83" s="620" t="s">
        <v>482</v>
      </c>
      <c r="C83" s="622" t="s">
        <v>480</v>
      </c>
      <c r="D83" s="623"/>
      <c r="E83" s="623"/>
      <c r="F83" s="624"/>
      <c r="G83" s="625" t="s">
        <v>483</v>
      </c>
      <c r="H83" s="613" t="s">
        <v>78</v>
      </c>
      <c r="I83" s="615" t="s">
        <v>481</v>
      </c>
      <c r="J83" s="616"/>
      <c r="K83" s="616"/>
      <c r="L83" s="617"/>
    </row>
    <row r="84" spans="1:12" s="1" customFormat="1" ht="18.75" thickBot="1">
      <c r="A84" s="619"/>
      <c r="B84" s="621"/>
      <c r="C84" s="119" t="s">
        <v>81</v>
      </c>
      <c r="D84" s="120" t="s">
        <v>79</v>
      </c>
      <c r="E84" s="120" t="s">
        <v>80</v>
      </c>
      <c r="F84" s="121" t="s">
        <v>114</v>
      </c>
      <c r="G84" s="626"/>
      <c r="H84" s="614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1592.24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2113.54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/>
      <c r="C86" s="130">
        <v>27</v>
      </c>
      <c r="D86" s="131">
        <v>4</v>
      </c>
      <c r="E86" s="131">
        <v>0</v>
      </c>
      <c r="F86" s="132">
        <f>C86+D86-E86</f>
        <v>31</v>
      </c>
      <c r="G86" s="133">
        <v>31.21</v>
      </c>
      <c r="H86" s="453">
        <f>+G86-F86</f>
        <v>0.21000000000000085</v>
      </c>
      <c r="I86" s="130">
        <v>31</v>
      </c>
      <c r="J86" s="131">
        <v>15</v>
      </c>
      <c r="K86" s="131">
        <v>0</v>
      </c>
      <c r="L86" s="132">
        <f>I86+J86-K86</f>
        <v>46</v>
      </c>
    </row>
    <row r="87" spans="1:12" s="1" customFormat="1" ht="12.75">
      <c r="A87" s="128" t="s">
        <v>85</v>
      </c>
      <c r="B87" s="129"/>
      <c r="C87" s="130">
        <v>193</v>
      </c>
      <c r="D87" s="131">
        <v>15</v>
      </c>
      <c r="E87" s="131">
        <v>0</v>
      </c>
      <c r="F87" s="132">
        <f>C87+D87-E87</f>
        <v>208</v>
      </c>
      <c r="G87" s="133">
        <v>208.2</v>
      </c>
      <c r="H87" s="453">
        <f>+G87-F87</f>
        <v>0.19999999999998863</v>
      </c>
      <c r="I87" s="130">
        <v>208</v>
      </c>
      <c r="J87" s="131">
        <v>62</v>
      </c>
      <c r="K87" s="131">
        <v>0</v>
      </c>
      <c r="L87" s="132">
        <f>I87+J87-K87</f>
        <v>270</v>
      </c>
    </row>
    <row r="88" spans="1:12" s="1" customFormat="1" ht="12.75">
      <c r="A88" s="128" t="s">
        <v>113</v>
      </c>
      <c r="B88" s="129"/>
      <c r="C88" s="130">
        <v>66</v>
      </c>
      <c r="D88" s="131">
        <v>803</v>
      </c>
      <c r="E88" s="131">
        <v>628</v>
      </c>
      <c r="F88" s="132">
        <f>C88+D88-E88</f>
        <v>241</v>
      </c>
      <c r="G88" s="133">
        <v>241.15</v>
      </c>
      <c r="H88" s="453">
        <f>+G88-F88</f>
        <v>0.15000000000000568</v>
      </c>
      <c r="I88" s="461">
        <v>241</v>
      </c>
      <c r="J88" s="447">
        <v>566</v>
      </c>
      <c r="K88" s="447">
        <v>208</v>
      </c>
      <c r="L88" s="132">
        <f>I88+J88-K88</f>
        <v>599</v>
      </c>
    </row>
    <row r="89" spans="1:12" s="1" customFormat="1" ht="12.75">
      <c r="A89" s="128" t="s">
        <v>86</v>
      </c>
      <c r="B89" s="129">
        <v>1592.24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1632.98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53.7</v>
      </c>
      <c r="C90" s="136">
        <v>81</v>
      </c>
      <c r="D90" s="137">
        <v>203</v>
      </c>
      <c r="E90" s="137">
        <v>171</v>
      </c>
      <c r="F90" s="138">
        <v>113</v>
      </c>
      <c r="G90" s="139">
        <v>72.64</v>
      </c>
      <c r="H90" s="454">
        <f>+G90-F90</f>
        <v>-40.36</v>
      </c>
      <c r="I90" s="136">
        <v>113</v>
      </c>
      <c r="J90" s="137">
        <v>216</v>
      </c>
      <c r="K90" s="137">
        <v>230</v>
      </c>
      <c r="L90" s="138">
        <f>I90+J90-K90</f>
        <v>99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0.88</v>
      </c>
      <c r="C95" s="131">
        <v>0</v>
      </c>
      <c r="D95" s="131">
        <v>1</v>
      </c>
      <c r="E95" s="131"/>
      <c r="F95" s="131"/>
      <c r="G95" s="129"/>
      <c r="H95" s="132">
        <f>SUM(C95:G95)</f>
        <v>1</v>
      </c>
      <c r="I95" s="89"/>
      <c r="J95" s="93">
        <v>2005</v>
      </c>
      <c r="K95" s="94">
        <f>L95</f>
        <v>10159</v>
      </c>
      <c r="L95" s="95">
        <f>+G29</f>
        <v>10159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10809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4.7</v>
      </c>
      <c r="C101" s="103">
        <v>4.7</v>
      </c>
      <c r="D101" s="103">
        <f>+C101-B101</f>
        <v>0</v>
      </c>
      <c r="E101" s="103">
        <v>4.7</v>
      </c>
      <c r="F101" s="103">
        <v>4.7</v>
      </c>
      <c r="G101" s="104">
        <f>+F101-E101</f>
        <v>0</v>
      </c>
      <c r="H101" s="105">
        <v>19380</v>
      </c>
      <c r="I101" s="106">
        <v>19915</v>
      </c>
      <c r="J101" s="107">
        <f>+I101-H101</f>
        <v>535</v>
      </c>
    </row>
    <row r="102" spans="1:10" ht="12.75">
      <c r="A102" s="102" t="s">
        <v>98</v>
      </c>
      <c r="B102" s="103">
        <v>6</v>
      </c>
      <c r="C102" s="103">
        <v>6</v>
      </c>
      <c r="D102" s="103">
        <f aca="true" t="shared" si="12" ref="D102:D111">+C102-B102</f>
        <v>0</v>
      </c>
      <c r="E102" s="103">
        <v>6</v>
      </c>
      <c r="F102" s="103">
        <v>6</v>
      </c>
      <c r="G102" s="104">
        <f aca="true" t="shared" si="13" ref="G102:G111">+F102-E102</f>
        <v>0</v>
      </c>
      <c r="H102" s="105">
        <v>14704</v>
      </c>
      <c r="I102" s="108">
        <v>16768</v>
      </c>
      <c r="J102" s="107">
        <f aca="true" t="shared" si="14" ref="J102:J111">+I102-H102</f>
        <v>2064</v>
      </c>
    </row>
    <row r="103" spans="1:10" ht="12.75">
      <c r="A103" s="102" t="s">
        <v>60</v>
      </c>
      <c r="B103" s="103"/>
      <c r="C103" s="103"/>
      <c r="D103" s="103">
        <f t="shared" si="12"/>
        <v>0</v>
      </c>
      <c r="E103" s="103"/>
      <c r="F103" s="103"/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61</v>
      </c>
      <c r="B104" s="103"/>
      <c r="C104" s="103"/>
      <c r="D104" s="103">
        <f t="shared" si="12"/>
        <v>0</v>
      </c>
      <c r="E104" s="103"/>
      <c r="F104" s="103"/>
      <c r="G104" s="104">
        <f t="shared" si="13"/>
        <v>0</v>
      </c>
      <c r="H104" s="105"/>
      <c r="I104" s="108"/>
      <c r="J104" s="107">
        <f t="shared" si="14"/>
        <v>0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>
        <v>18.9</v>
      </c>
      <c r="C106" s="103">
        <v>2.6</v>
      </c>
      <c r="D106" s="103">
        <f t="shared" si="12"/>
        <v>-16.299999999999997</v>
      </c>
      <c r="E106" s="103">
        <v>18.7</v>
      </c>
      <c r="F106" s="103">
        <v>1</v>
      </c>
      <c r="G106" s="104">
        <f t="shared" si="13"/>
        <v>-17.7</v>
      </c>
      <c r="H106" s="105">
        <v>15646</v>
      </c>
      <c r="I106" s="108">
        <v>17271</v>
      </c>
      <c r="J106" s="107">
        <f t="shared" si="14"/>
        <v>1625</v>
      </c>
    </row>
    <row r="107" spans="1:10" ht="12.75">
      <c r="A107" s="102" t="s">
        <v>64</v>
      </c>
      <c r="B107" s="103"/>
      <c r="C107" s="103"/>
      <c r="D107" s="103">
        <f t="shared" si="12"/>
        <v>0</v>
      </c>
      <c r="E107" s="103"/>
      <c r="F107" s="103"/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65</v>
      </c>
      <c r="B108" s="103">
        <v>17.5</v>
      </c>
      <c r="C108" s="103">
        <v>22.4</v>
      </c>
      <c r="D108" s="103">
        <f t="shared" si="12"/>
        <v>4.899999999999999</v>
      </c>
      <c r="E108" s="103">
        <v>17</v>
      </c>
      <c r="F108" s="103">
        <v>35.8</v>
      </c>
      <c r="G108" s="104">
        <f t="shared" si="13"/>
        <v>18.799999999999997</v>
      </c>
      <c r="H108" s="105">
        <v>10882</v>
      </c>
      <c r="I108" s="108">
        <v>13915</v>
      </c>
      <c r="J108" s="107">
        <f t="shared" si="14"/>
        <v>3033</v>
      </c>
    </row>
    <row r="109" spans="1:10" ht="12.75">
      <c r="A109" s="102" t="s">
        <v>66</v>
      </c>
      <c r="B109" s="103">
        <v>1</v>
      </c>
      <c r="C109" s="103">
        <v>1</v>
      </c>
      <c r="D109" s="103">
        <f t="shared" si="12"/>
        <v>0</v>
      </c>
      <c r="E109" s="103">
        <v>1</v>
      </c>
      <c r="F109" s="103">
        <v>1</v>
      </c>
      <c r="G109" s="104">
        <f t="shared" si="13"/>
        <v>0</v>
      </c>
      <c r="H109" s="105">
        <v>12992</v>
      </c>
      <c r="I109" s="108">
        <v>14490</v>
      </c>
      <c r="J109" s="107">
        <f t="shared" si="14"/>
        <v>1498</v>
      </c>
    </row>
    <row r="110" spans="1:10" ht="12.75">
      <c r="A110" s="102" t="s">
        <v>67</v>
      </c>
      <c r="B110" s="103">
        <v>11.5</v>
      </c>
      <c r="C110" s="103">
        <v>11.6</v>
      </c>
      <c r="D110" s="103">
        <f t="shared" si="12"/>
        <v>0.09999999999999964</v>
      </c>
      <c r="E110" s="103">
        <v>12</v>
      </c>
      <c r="F110" s="103">
        <v>12</v>
      </c>
      <c r="G110" s="104">
        <f t="shared" si="13"/>
        <v>0</v>
      </c>
      <c r="H110" s="105">
        <v>10604</v>
      </c>
      <c r="I110" s="108">
        <v>11088</v>
      </c>
      <c r="J110" s="107">
        <f t="shared" si="14"/>
        <v>484</v>
      </c>
    </row>
    <row r="111" spans="1:10" ht="13.5" thickBot="1">
      <c r="A111" s="109" t="s">
        <v>5</v>
      </c>
      <c r="B111" s="110">
        <v>59.6</v>
      </c>
      <c r="C111" s="110">
        <v>59.3</v>
      </c>
      <c r="D111" s="110">
        <f t="shared" si="12"/>
        <v>-0.30000000000000426</v>
      </c>
      <c r="E111" s="110">
        <v>59.4</v>
      </c>
      <c r="F111" s="110">
        <v>60.5</v>
      </c>
      <c r="G111" s="111">
        <f t="shared" si="13"/>
        <v>1.1000000000000014</v>
      </c>
      <c r="H111" s="112">
        <v>13428</v>
      </c>
      <c r="I111" s="113">
        <v>14283</v>
      </c>
      <c r="J111" s="114">
        <f t="shared" si="14"/>
        <v>855</v>
      </c>
    </row>
    <row r="112" ht="13.5" thickBot="1"/>
    <row r="113" spans="1:16" ht="12.75">
      <c r="A113" s="706" t="s">
        <v>68</v>
      </c>
      <c r="B113" s="707"/>
      <c r="C113" s="708"/>
      <c r="D113" s="89"/>
      <c r="E113" s="706" t="s">
        <v>69</v>
      </c>
      <c r="F113" s="707"/>
      <c r="G113" s="708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709" t="s">
        <v>72</v>
      </c>
      <c r="G114" s="71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60</v>
      </c>
      <c r="C115" s="95">
        <v>59.3</v>
      </c>
      <c r="D115" s="89"/>
      <c r="E115" s="93">
        <v>2005</v>
      </c>
      <c r="F115" s="711">
        <v>104</v>
      </c>
      <c r="G115" s="624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61</v>
      </c>
      <c r="C116" s="98"/>
      <c r="D116" s="89"/>
      <c r="E116" s="96">
        <v>2006</v>
      </c>
      <c r="F116" s="704">
        <v>104</v>
      </c>
      <c r="G116" s="705"/>
      <c r="H116"/>
      <c r="I116"/>
      <c r="J116"/>
      <c r="K116"/>
      <c r="L116"/>
      <c r="M116"/>
      <c r="N116"/>
      <c r="O116"/>
      <c r="P116"/>
    </row>
  </sheetData>
  <mergeCells count="119">
    <mergeCell ref="H43:K43"/>
    <mergeCell ref="H83:H84"/>
    <mergeCell ref="I83:L83"/>
    <mergeCell ref="A83:A84"/>
    <mergeCell ref="B83:B84"/>
    <mergeCell ref="C83:F83"/>
    <mergeCell ref="G83:G84"/>
    <mergeCell ref="F72:G72"/>
    <mergeCell ref="A76:A78"/>
    <mergeCell ref="B76:B78"/>
    <mergeCell ref="C76:I76"/>
    <mergeCell ref="C77:C78"/>
    <mergeCell ref="D77:I77"/>
    <mergeCell ref="C70:D70"/>
    <mergeCell ref="F70:G70"/>
    <mergeCell ref="I70:K70"/>
    <mergeCell ref="C71:D71"/>
    <mergeCell ref="F71:G71"/>
    <mergeCell ref="I71:K71"/>
    <mergeCell ref="J76:J78"/>
    <mergeCell ref="C68:D68"/>
    <mergeCell ref="F68:G68"/>
    <mergeCell ref="I68:K68"/>
    <mergeCell ref="C69:D69"/>
    <mergeCell ref="F69:G69"/>
    <mergeCell ref="I69:K69"/>
    <mergeCell ref="I66:K66"/>
    <mergeCell ref="C67:D67"/>
    <mergeCell ref="F67:G67"/>
    <mergeCell ref="I67:K67"/>
    <mergeCell ref="C66:D66"/>
    <mergeCell ref="F66:G66"/>
    <mergeCell ref="F116:G116"/>
    <mergeCell ref="A113:C113"/>
    <mergeCell ref="E113:G113"/>
    <mergeCell ref="F114:G114"/>
    <mergeCell ref="F115:G115"/>
    <mergeCell ref="A99:A100"/>
    <mergeCell ref="B99:D99"/>
    <mergeCell ref="E99:G99"/>
    <mergeCell ref="H99:J99"/>
    <mergeCell ref="A93:A94"/>
    <mergeCell ref="B93:B94"/>
    <mergeCell ref="C93:H93"/>
    <mergeCell ref="J93:L93"/>
    <mergeCell ref="L76:M76"/>
    <mergeCell ref="A3:A6"/>
    <mergeCell ref="B3:N3"/>
    <mergeCell ref="H4:I4"/>
    <mergeCell ref="M4:N4"/>
    <mergeCell ref="B38:D38"/>
    <mergeCell ref="E38:G38"/>
    <mergeCell ref="A65:E65"/>
    <mergeCell ref="F65:L65"/>
    <mergeCell ref="J38:L38"/>
    <mergeCell ref="B39:D39"/>
    <mergeCell ref="E39:G39"/>
    <mergeCell ref="H41:K42"/>
    <mergeCell ref="L41:L42"/>
    <mergeCell ref="G41:G42"/>
    <mergeCell ref="A43:B43"/>
    <mergeCell ref="D43:F43"/>
    <mergeCell ref="A41:B42"/>
    <mergeCell ref="C41:C42"/>
    <mergeCell ref="D41:F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L52:L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62:B62"/>
    <mergeCell ref="D62:F62"/>
    <mergeCell ref="H62:K62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L90" sqref="L90"/>
    </sheetView>
  </sheetViews>
  <sheetFormatPr defaultColWidth="9.00390625" defaultRowHeight="12.75"/>
  <cols>
    <col min="1" max="1" width="28.125" style="7" customWidth="1"/>
    <col min="2" max="2" width="9.75390625" style="8" customWidth="1"/>
    <col min="3" max="3" width="9.75390625" style="313" customWidth="1"/>
    <col min="4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463"/>
      <c r="B1" s="334"/>
      <c r="C1" s="334"/>
      <c r="D1" s="334"/>
      <c r="E1" s="334"/>
      <c r="F1" s="334"/>
      <c r="G1" s="334"/>
      <c r="H1" s="334" t="s">
        <v>492</v>
      </c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421"/>
      <c r="D2" s="12"/>
      <c r="E2" s="12"/>
      <c r="F2" s="12"/>
      <c r="G2" s="12"/>
      <c r="H2" s="12"/>
      <c r="L2" s="9"/>
      <c r="M2" s="716"/>
      <c r="N2" s="717"/>
    </row>
    <row r="3" spans="1:14" ht="24" customHeight="1" thickBot="1">
      <c r="A3" s="684" t="s">
        <v>0</v>
      </c>
      <c r="B3" s="686" t="s">
        <v>493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712"/>
      <c r="N3" s="713"/>
    </row>
    <row r="4" spans="1:14" ht="12.75">
      <c r="A4" s="685"/>
      <c r="B4" s="13" t="s">
        <v>1</v>
      </c>
      <c r="C4" s="298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299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473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75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29">
        <f>SUM(J7:K7)</f>
        <v>0</v>
      </c>
      <c r="M7" s="477">
        <f>+L7-G7</f>
        <v>0</v>
      </c>
      <c r="N7" s="441"/>
    </row>
    <row r="8" spans="1:14" ht="13.5" customHeight="1">
      <c r="A8" s="509" t="s">
        <v>11</v>
      </c>
      <c r="B8" s="37">
        <v>4834</v>
      </c>
      <c r="C8" s="301"/>
      <c r="D8" s="434">
        <f>SUM(B8:C8)</f>
        <v>4834</v>
      </c>
      <c r="E8" s="37">
        <v>5044</v>
      </c>
      <c r="F8" s="33"/>
      <c r="G8" s="434">
        <f>SUM(E8:F8)</f>
        <v>5044</v>
      </c>
      <c r="H8" s="465">
        <f>+G8-D8</f>
        <v>210</v>
      </c>
      <c r="I8" s="36">
        <f>+G8/D8</f>
        <v>1.043442283822921</v>
      </c>
      <c r="J8" s="37">
        <v>5180</v>
      </c>
      <c r="K8" s="33"/>
      <c r="L8" s="38">
        <f>SUM(J8:K8)</f>
        <v>5180</v>
      </c>
      <c r="M8" s="446">
        <f>+L8-G8</f>
        <v>136</v>
      </c>
      <c r="N8" s="39">
        <f>+L8/G8</f>
        <v>1.0269627279936557</v>
      </c>
    </row>
    <row r="9" spans="1:14" ht="13.5" customHeight="1">
      <c r="A9" s="509" t="s">
        <v>12</v>
      </c>
      <c r="B9" s="37"/>
      <c r="C9" s="301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38">
        <f aca="true" t="shared" si="3" ref="L9:L17">SUM(J9:K9)</f>
        <v>0</v>
      </c>
      <c r="M9" s="446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01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38">
        <f t="shared" si="3"/>
        <v>0</v>
      </c>
      <c r="M10" s="446">
        <f t="shared" si="4"/>
        <v>0</v>
      </c>
      <c r="N10" s="39"/>
    </row>
    <row r="11" spans="1:14" ht="13.5" customHeight="1">
      <c r="A11" s="509" t="s">
        <v>14</v>
      </c>
      <c r="B11" s="37">
        <v>7</v>
      </c>
      <c r="C11" s="301"/>
      <c r="D11" s="434">
        <f t="shared" si="0"/>
        <v>7</v>
      </c>
      <c r="E11" s="37">
        <v>3</v>
      </c>
      <c r="F11" s="33"/>
      <c r="G11" s="434">
        <f t="shared" si="1"/>
        <v>3</v>
      </c>
      <c r="H11" s="465">
        <f t="shared" si="2"/>
        <v>-4</v>
      </c>
      <c r="I11" s="36">
        <f aca="true" t="shared" si="5" ref="I11:I37">+G11/D11</f>
        <v>0.42857142857142855</v>
      </c>
      <c r="J11" s="37">
        <v>3</v>
      </c>
      <c r="K11" s="33"/>
      <c r="L11" s="38">
        <f t="shared" si="3"/>
        <v>3</v>
      </c>
      <c r="M11" s="446">
        <f t="shared" si="4"/>
        <v>0</v>
      </c>
      <c r="N11" s="39">
        <f aca="true" t="shared" si="6" ref="N11:N37">+L11/G11</f>
        <v>1</v>
      </c>
    </row>
    <row r="12" spans="1:14" ht="13.5" customHeight="1">
      <c r="A12" s="510" t="s">
        <v>15</v>
      </c>
      <c r="B12" s="37"/>
      <c r="C12" s="301"/>
      <c r="D12" s="434">
        <f t="shared" si="0"/>
        <v>0</v>
      </c>
      <c r="E12" s="37"/>
      <c r="F12" s="33"/>
      <c r="G12" s="434">
        <f t="shared" si="1"/>
        <v>0</v>
      </c>
      <c r="H12" s="465">
        <f t="shared" si="2"/>
        <v>0</v>
      </c>
      <c r="I12" s="36"/>
      <c r="J12" s="37"/>
      <c r="K12" s="33"/>
      <c r="L12" s="38">
        <f t="shared" si="3"/>
        <v>0</v>
      </c>
      <c r="M12" s="446">
        <f t="shared" si="4"/>
        <v>0</v>
      </c>
      <c r="N12" s="39"/>
    </row>
    <row r="13" spans="1:14" ht="13.5" customHeight="1">
      <c r="A13" s="510" t="s">
        <v>16</v>
      </c>
      <c r="B13" s="37"/>
      <c r="C13" s="301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38">
        <f t="shared" si="3"/>
        <v>0</v>
      </c>
      <c r="M13" s="446">
        <f t="shared" si="4"/>
        <v>0</v>
      </c>
      <c r="N13" s="39"/>
    </row>
    <row r="14" spans="1:14" ht="23.25" customHeight="1">
      <c r="A14" s="510" t="s">
        <v>17</v>
      </c>
      <c r="B14" s="37"/>
      <c r="C14" s="301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38">
        <f t="shared" si="3"/>
        <v>0</v>
      </c>
      <c r="M14" s="446">
        <f t="shared" si="4"/>
        <v>0</v>
      </c>
      <c r="N14" s="39"/>
    </row>
    <row r="15" spans="1:14" ht="13.5" customHeight="1">
      <c r="A15" s="509" t="s">
        <v>18</v>
      </c>
      <c r="B15" s="37">
        <v>12050</v>
      </c>
      <c r="C15" s="301"/>
      <c r="D15" s="434">
        <f t="shared" si="0"/>
        <v>12050</v>
      </c>
      <c r="E15" s="37">
        <v>12377</v>
      </c>
      <c r="F15" s="33"/>
      <c r="G15" s="434">
        <f t="shared" si="1"/>
        <v>12377</v>
      </c>
      <c r="H15" s="465">
        <f t="shared" si="2"/>
        <v>327</v>
      </c>
      <c r="I15" s="36">
        <f t="shared" si="5"/>
        <v>1.027136929460581</v>
      </c>
      <c r="J15" s="57">
        <f>SUM(J16:J17)</f>
        <v>13034</v>
      </c>
      <c r="K15" s="33"/>
      <c r="L15" s="38">
        <f t="shared" si="3"/>
        <v>13034</v>
      </c>
      <c r="M15" s="446">
        <f t="shared" si="4"/>
        <v>657</v>
      </c>
      <c r="N15" s="39">
        <f t="shared" si="6"/>
        <v>1.0530823301284642</v>
      </c>
    </row>
    <row r="16" spans="1:14" ht="13.5" customHeight="1">
      <c r="A16" s="511" t="s">
        <v>476</v>
      </c>
      <c r="B16" s="37"/>
      <c r="C16" s="301"/>
      <c r="D16" s="434"/>
      <c r="E16" s="37">
        <v>12100</v>
      </c>
      <c r="F16" s="33"/>
      <c r="G16" s="434">
        <f t="shared" si="1"/>
        <v>12100</v>
      </c>
      <c r="H16" s="465">
        <f t="shared" si="2"/>
        <v>12100</v>
      </c>
      <c r="I16" s="36"/>
      <c r="J16" s="57">
        <f>12691</f>
        <v>12691</v>
      </c>
      <c r="K16" s="33"/>
      <c r="L16" s="38">
        <f t="shared" si="3"/>
        <v>12691</v>
      </c>
      <c r="M16" s="446">
        <f t="shared" si="4"/>
        <v>591</v>
      </c>
      <c r="N16" s="39">
        <f t="shared" si="6"/>
        <v>1.0488429752066115</v>
      </c>
    </row>
    <row r="17" spans="1:14" ht="13.5" customHeight="1" thickBot="1">
      <c r="A17" s="512" t="s">
        <v>475</v>
      </c>
      <c r="B17" s="430"/>
      <c r="C17" s="476"/>
      <c r="D17" s="435"/>
      <c r="E17" s="430">
        <f>E15-E16</f>
        <v>277</v>
      </c>
      <c r="F17" s="431"/>
      <c r="G17" s="434">
        <f t="shared" si="1"/>
        <v>277</v>
      </c>
      <c r="H17" s="465">
        <f t="shared" si="2"/>
        <v>277</v>
      </c>
      <c r="I17" s="36"/>
      <c r="J17" s="438">
        <v>343</v>
      </c>
      <c r="K17" s="431"/>
      <c r="L17" s="38">
        <f t="shared" si="3"/>
        <v>343</v>
      </c>
      <c r="M17" s="446">
        <f t="shared" si="4"/>
        <v>66</v>
      </c>
      <c r="N17" s="39">
        <f t="shared" si="6"/>
        <v>1.2382671480144405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16891</v>
      </c>
      <c r="C18" s="474">
        <f t="shared" si="7"/>
        <v>0</v>
      </c>
      <c r="D18" s="426">
        <f t="shared" si="7"/>
        <v>16891</v>
      </c>
      <c r="E18" s="424">
        <f t="shared" si="7"/>
        <v>17424</v>
      </c>
      <c r="F18" s="425">
        <f t="shared" si="7"/>
        <v>0</v>
      </c>
      <c r="G18" s="426">
        <f t="shared" si="7"/>
        <v>17424</v>
      </c>
      <c r="H18" s="369">
        <f t="shared" si="2"/>
        <v>533</v>
      </c>
      <c r="I18" s="63">
        <f t="shared" si="5"/>
        <v>1.031555266118051</v>
      </c>
      <c r="J18" s="437">
        <f>SUM(J7+J8+J9+J10+J11+J13+J15)</f>
        <v>18217</v>
      </c>
      <c r="K18" s="425">
        <f>SUM(K7+K8+K9+K10+K11+K13+K15)</f>
        <v>0</v>
      </c>
      <c r="L18" s="426">
        <f>SUM(L7+L8+L9+L10+L11+L13+L15)</f>
        <v>18217</v>
      </c>
      <c r="M18" s="369">
        <f t="shared" si="4"/>
        <v>793</v>
      </c>
      <c r="N18" s="370">
        <f t="shared" si="6"/>
        <v>1.045511937557392</v>
      </c>
    </row>
    <row r="19" spans="1:14" ht="13.5" customHeight="1">
      <c r="A19" s="54" t="s">
        <v>20</v>
      </c>
      <c r="B19" s="25">
        <v>3382</v>
      </c>
      <c r="C19" s="300"/>
      <c r="D19" s="34">
        <f aca="true" t="shared" si="8" ref="D19:D36">SUM(B19:C19)</f>
        <v>3382</v>
      </c>
      <c r="E19" s="25">
        <v>3397</v>
      </c>
      <c r="F19" s="26"/>
      <c r="G19" s="27">
        <f>SUM(E19:F19)</f>
        <v>3397</v>
      </c>
      <c r="H19" s="28">
        <f t="shared" si="2"/>
        <v>15</v>
      </c>
      <c r="I19" s="55">
        <f t="shared" si="5"/>
        <v>1.004435245416913</v>
      </c>
      <c r="J19" s="29">
        <v>3488</v>
      </c>
      <c r="K19" s="26"/>
      <c r="L19" s="30">
        <f>SUM(J19:K19)</f>
        <v>3488</v>
      </c>
      <c r="M19" s="28">
        <f t="shared" si="4"/>
        <v>91</v>
      </c>
      <c r="N19" s="56">
        <f t="shared" si="6"/>
        <v>1.0267883426552842</v>
      </c>
    </row>
    <row r="20" spans="1:14" ht="21" customHeight="1">
      <c r="A20" s="40" t="s">
        <v>21</v>
      </c>
      <c r="B20" s="25">
        <v>687</v>
      </c>
      <c r="C20" s="300"/>
      <c r="D20" s="34">
        <f t="shared" si="8"/>
        <v>687</v>
      </c>
      <c r="E20" s="25">
        <v>664</v>
      </c>
      <c r="F20" s="26"/>
      <c r="G20" s="27">
        <f aca="true" t="shared" si="9" ref="G20:G36">SUM(E20:F20)</f>
        <v>664</v>
      </c>
      <c r="H20" s="35">
        <f t="shared" si="2"/>
        <v>-23</v>
      </c>
      <c r="I20" s="36">
        <f t="shared" si="5"/>
        <v>0.9665211062590975</v>
      </c>
      <c r="J20" s="29">
        <v>600</v>
      </c>
      <c r="K20" s="26"/>
      <c r="L20" s="30">
        <f aca="true" t="shared" si="10" ref="L20:L36">SUM(J20:K20)</f>
        <v>600</v>
      </c>
      <c r="M20" s="35">
        <f t="shared" si="4"/>
        <v>-64</v>
      </c>
      <c r="N20" s="39">
        <f t="shared" si="6"/>
        <v>0.9036144578313253</v>
      </c>
    </row>
    <row r="21" spans="1:14" ht="13.5" customHeight="1">
      <c r="A21" s="31" t="s">
        <v>22</v>
      </c>
      <c r="B21" s="32">
        <v>600</v>
      </c>
      <c r="C21" s="301"/>
      <c r="D21" s="34">
        <f t="shared" si="8"/>
        <v>600</v>
      </c>
      <c r="E21" s="32">
        <v>736</v>
      </c>
      <c r="F21" s="33"/>
      <c r="G21" s="27">
        <f t="shared" si="9"/>
        <v>736</v>
      </c>
      <c r="H21" s="35">
        <f t="shared" si="2"/>
        <v>136</v>
      </c>
      <c r="I21" s="36">
        <f t="shared" si="5"/>
        <v>1.2266666666666666</v>
      </c>
      <c r="J21" s="37">
        <v>820</v>
      </c>
      <c r="K21" s="33"/>
      <c r="L21" s="30">
        <f t="shared" si="10"/>
        <v>820</v>
      </c>
      <c r="M21" s="35">
        <f t="shared" si="4"/>
        <v>84</v>
      </c>
      <c r="N21" s="39">
        <f t="shared" si="6"/>
        <v>1.1141304347826086</v>
      </c>
    </row>
    <row r="22" spans="1:14" ht="13.5" customHeight="1">
      <c r="A22" s="40" t="s">
        <v>23</v>
      </c>
      <c r="B22" s="32"/>
      <c r="C22" s="301"/>
      <c r="D22" s="34">
        <f t="shared" si="8"/>
        <v>0</v>
      </c>
      <c r="E22" s="32"/>
      <c r="F22" s="33"/>
      <c r="G22" s="27">
        <f t="shared" si="9"/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01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2287</v>
      </c>
      <c r="C24" s="301"/>
      <c r="D24" s="34">
        <f t="shared" si="8"/>
        <v>2287</v>
      </c>
      <c r="E24" s="37">
        <v>2380</v>
      </c>
      <c r="F24" s="33"/>
      <c r="G24" s="27">
        <f t="shared" si="9"/>
        <v>2380</v>
      </c>
      <c r="H24" s="35">
        <f t="shared" si="2"/>
        <v>93</v>
      </c>
      <c r="I24" s="36">
        <f t="shared" si="5"/>
        <v>1.0406646261477919</v>
      </c>
      <c r="J24" s="37">
        <f>SUM(J25:J26)</f>
        <v>2364</v>
      </c>
      <c r="K24" s="33"/>
      <c r="L24" s="30">
        <f t="shared" si="10"/>
        <v>2364</v>
      </c>
      <c r="M24" s="35">
        <f t="shared" si="4"/>
        <v>-16</v>
      </c>
      <c r="N24" s="39">
        <f t="shared" si="6"/>
        <v>0.9932773109243698</v>
      </c>
    </row>
    <row r="25" spans="1:14" ht="13.5" customHeight="1">
      <c r="A25" s="40" t="s">
        <v>26</v>
      </c>
      <c r="B25" s="32">
        <v>1467</v>
      </c>
      <c r="C25" s="301"/>
      <c r="D25" s="34">
        <f t="shared" si="8"/>
        <v>1467</v>
      </c>
      <c r="E25" s="32">
        <v>1650</v>
      </c>
      <c r="F25" s="33"/>
      <c r="G25" s="27">
        <f t="shared" si="9"/>
        <v>1650</v>
      </c>
      <c r="H25" s="35">
        <f t="shared" si="2"/>
        <v>183</v>
      </c>
      <c r="I25" s="36">
        <f t="shared" si="5"/>
        <v>1.1247443762781186</v>
      </c>
      <c r="J25" s="57">
        <v>1564</v>
      </c>
      <c r="K25" s="33"/>
      <c r="L25" s="30">
        <f t="shared" si="10"/>
        <v>1564</v>
      </c>
      <c r="M25" s="35">
        <f t="shared" si="4"/>
        <v>-86</v>
      </c>
      <c r="N25" s="39">
        <f t="shared" si="6"/>
        <v>0.9478787878787879</v>
      </c>
    </row>
    <row r="26" spans="1:14" ht="13.5" customHeight="1">
      <c r="A26" s="31" t="s">
        <v>27</v>
      </c>
      <c r="B26" s="32">
        <v>820</v>
      </c>
      <c r="C26" s="301"/>
      <c r="D26" s="34">
        <f t="shared" si="8"/>
        <v>820</v>
      </c>
      <c r="E26" s="32">
        <v>730</v>
      </c>
      <c r="F26" s="33"/>
      <c r="G26" s="27">
        <f t="shared" si="9"/>
        <v>730</v>
      </c>
      <c r="H26" s="35">
        <f t="shared" si="2"/>
        <v>-90</v>
      </c>
      <c r="I26" s="36">
        <f t="shared" si="5"/>
        <v>0.8902439024390244</v>
      </c>
      <c r="J26" s="57">
        <v>800</v>
      </c>
      <c r="K26" s="33"/>
      <c r="L26" s="30">
        <f t="shared" si="10"/>
        <v>800</v>
      </c>
      <c r="M26" s="35">
        <f t="shared" si="4"/>
        <v>70</v>
      </c>
      <c r="N26" s="39">
        <f t="shared" si="6"/>
        <v>1.095890410958904</v>
      </c>
    </row>
    <row r="27" spans="1:14" ht="13.5" customHeight="1">
      <c r="A27" s="58" t="s">
        <v>28</v>
      </c>
      <c r="B27" s="37">
        <v>9933</v>
      </c>
      <c r="C27" s="301"/>
      <c r="D27" s="34">
        <f t="shared" si="8"/>
        <v>9933</v>
      </c>
      <c r="E27" s="37">
        <v>10518</v>
      </c>
      <c r="F27" s="33"/>
      <c r="G27" s="27">
        <f t="shared" si="9"/>
        <v>10518</v>
      </c>
      <c r="H27" s="35">
        <f t="shared" si="2"/>
        <v>585</v>
      </c>
      <c r="I27" s="36">
        <f t="shared" si="5"/>
        <v>1.0588945937783147</v>
      </c>
      <c r="J27" s="37">
        <f>J28+J31</f>
        <v>11150</v>
      </c>
      <c r="K27" s="33"/>
      <c r="L27" s="30">
        <f t="shared" si="10"/>
        <v>11150</v>
      </c>
      <c r="M27" s="35">
        <f t="shared" si="4"/>
        <v>632</v>
      </c>
      <c r="N27" s="39">
        <f t="shared" si="6"/>
        <v>1.0600874691005895</v>
      </c>
    </row>
    <row r="28" spans="1:14" ht="13.5" customHeight="1">
      <c r="A28" s="40" t="s">
        <v>29</v>
      </c>
      <c r="B28" s="32">
        <v>7278</v>
      </c>
      <c r="C28" s="301"/>
      <c r="D28" s="34">
        <f t="shared" si="8"/>
        <v>7278</v>
      </c>
      <c r="E28" s="32">
        <v>7692</v>
      </c>
      <c r="F28" s="33"/>
      <c r="G28" s="27">
        <f t="shared" si="9"/>
        <v>7692</v>
      </c>
      <c r="H28" s="35">
        <f t="shared" si="2"/>
        <v>414</v>
      </c>
      <c r="I28" s="36">
        <f t="shared" si="5"/>
        <v>1.056883759274526</v>
      </c>
      <c r="J28" s="57">
        <f>J29+J30</f>
        <v>8138</v>
      </c>
      <c r="K28" s="59"/>
      <c r="L28" s="30">
        <f t="shared" si="10"/>
        <v>8138</v>
      </c>
      <c r="M28" s="35">
        <f t="shared" si="4"/>
        <v>446</v>
      </c>
      <c r="N28" s="39">
        <f t="shared" si="6"/>
        <v>1.0579823192927718</v>
      </c>
    </row>
    <row r="29" spans="1:14" ht="13.5" customHeight="1">
      <c r="A29" s="58" t="s">
        <v>30</v>
      </c>
      <c r="B29" s="32">
        <v>7037</v>
      </c>
      <c r="C29" s="301"/>
      <c r="D29" s="34">
        <f t="shared" si="8"/>
        <v>7037</v>
      </c>
      <c r="E29" s="32">
        <v>7442</v>
      </c>
      <c r="F29" s="33"/>
      <c r="G29" s="27">
        <f t="shared" si="9"/>
        <v>7442</v>
      </c>
      <c r="H29" s="35">
        <f t="shared" si="2"/>
        <v>405</v>
      </c>
      <c r="I29" s="36">
        <f t="shared" si="5"/>
        <v>1.0575529344891288</v>
      </c>
      <c r="J29" s="37">
        <f>7638+250</f>
        <v>7888</v>
      </c>
      <c r="K29" s="33"/>
      <c r="L29" s="30">
        <f t="shared" si="10"/>
        <v>7888</v>
      </c>
      <c r="M29" s="35">
        <f t="shared" si="4"/>
        <v>446</v>
      </c>
      <c r="N29" s="39">
        <f t="shared" si="6"/>
        <v>1.0599301263101317</v>
      </c>
    </row>
    <row r="30" spans="1:14" ht="13.5" customHeight="1">
      <c r="A30" s="40" t="s">
        <v>31</v>
      </c>
      <c r="B30" s="32">
        <v>241</v>
      </c>
      <c r="C30" s="301"/>
      <c r="D30" s="34">
        <f t="shared" si="8"/>
        <v>241</v>
      </c>
      <c r="E30" s="32">
        <v>250</v>
      </c>
      <c r="F30" s="33"/>
      <c r="G30" s="27">
        <f t="shared" si="9"/>
        <v>250</v>
      </c>
      <c r="H30" s="35">
        <f t="shared" si="2"/>
        <v>9</v>
      </c>
      <c r="I30" s="36">
        <f t="shared" si="5"/>
        <v>1.037344398340249</v>
      </c>
      <c r="J30" s="37">
        <v>250</v>
      </c>
      <c r="K30" s="33"/>
      <c r="L30" s="30">
        <f t="shared" si="10"/>
        <v>250</v>
      </c>
      <c r="M30" s="35">
        <f t="shared" si="4"/>
        <v>0</v>
      </c>
      <c r="N30" s="39">
        <f t="shared" si="6"/>
        <v>1</v>
      </c>
    </row>
    <row r="31" spans="1:14" ht="13.5" customHeight="1">
      <c r="A31" s="40" t="s">
        <v>32</v>
      </c>
      <c r="B31" s="32">
        <v>2655</v>
      </c>
      <c r="C31" s="301"/>
      <c r="D31" s="34">
        <f t="shared" si="8"/>
        <v>2655</v>
      </c>
      <c r="E31" s="32">
        <v>2826</v>
      </c>
      <c r="F31" s="33"/>
      <c r="G31" s="27">
        <f t="shared" si="9"/>
        <v>2826</v>
      </c>
      <c r="H31" s="35">
        <f t="shared" si="2"/>
        <v>171</v>
      </c>
      <c r="I31" s="36">
        <f t="shared" si="5"/>
        <v>1.064406779661017</v>
      </c>
      <c r="J31" s="37">
        <f>2919+93</f>
        <v>3012</v>
      </c>
      <c r="K31" s="33"/>
      <c r="L31" s="30">
        <f t="shared" si="10"/>
        <v>3012</v>
      </c>
      <c r="M31" s="35">
        <f t="shared" si="4"/>
        <v>186</v>
      </c>
      <c r="N31" s="39">
        <f t="shared" si="6"/>
        <v>1.0658174097664543</v>
      </c>
    </row>
    <row r="32" spans="1:14" ht="13.5" customHeight="1">
      <c r="A32" s="58" t="s">
        <v>33</v>
      </c>
      <c r="B32" s="32"/>
      <c r="C32" s="301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109</v>
      </c>
      <c r="C33" s="301"/>
      <c r="D33" s="34">
        <f t="shared" si="8"/>
        <v>109</v>
      </c>
      <c r="E33" s="32">
        <v>47</v>
      </c>
      <c r="F33" s="33"/>
      <c r="G33" s="27">
        <f t="shared" si="9"/>
        <v>47</v>
      </c>
      <c r="H33" s="35">
        <f t="shared" si="2"/>
        <v>-62</v>
      </c>
      <c r="I33" s="36">
        <f t="shared" si="5"/>
        <v>0.43119266055045874</v>
      </c>
      <c r="J33" s="37">
        <v>25</v>
      </c>
      <c r="K33" s="33"/>
      <c r="L33" s="30">
        <f t="shared" si="10"/>
        <v>25</v>
      </c>
      <c r="M33" s="35">
        <f t="shared" si="4"/>
        <v>-22</v>
      </c>
      <c r="N33" s="39">
        <f t="shared" si="6"/>
        <v>0.5319148936170213</v>
      </c>
    </row>
    <row r="34" spans="1:14" ht="13.5" customHeight="1">
      <c r="A34" s="40" t="s">
        <v>35</v>
      </c>
      <c r="B34" s="32">
        <v>347</v>
      </c>
      <c r="C34" s="301"/>
      <c r="D34" s="34">
        <f t="shared" si="8"/>
        <v>347</v>
      </c>
      <c r="E34" s="32">
        <v>335</v>
      </c>
      <c r="F34" s="33"/>
      <c r="G34" s="27">
        <f t="shared" si="9"/>
        <v>335</v>
      </c>
      <c r="H34" s="35">
        <f t="shared" si="2"/>
        <v>-12</v>
      </c>
      <c r="I34" s="36">
        <f t="shared" si="5"/>
        <v>0.9654178674351584</v>
      </c>
      <c r="J34" s="57">
        <v>370</v>
      </c>
      <c r="K34" s="33"/>
      <c r="L34" s="30">
        <f t="shared" si="10"/>
        <v>370</v>
      </c>
      <c r="M34" s="35">
        <f t="shared" si="4"/>
        <v>35</v>
      </c>
      <c r="N34" s="39">
        <f t="shared" si="6"/>
        <v>1.1044776119402986</v>
      </c>
    </row>
    <row r="35" spans="1:14" ht="22.5" customHeight="1">
      <c r="A35" s="40" t="s">
        <v>36</v>
      </c>
      <c r="B35" s="32">
        <v>337</v>
      </c>
      <c r="C35" s="301"/>
      <c r="D35" s="34">
        <f t="shared" si="8"/>
        <v>337</v>
      </c>
      <c r="E35" s="32">
        <v>335</v>
      </c>
      <c r="F35" s="33"/>
      <c r="G35" s="27">
        <f t="shared" si="9"/>
        <v>335</v>
      </c>
      <c r="H35" s="35">
        <f t="shared" si="2"/>
        <v>-2</v>
      </c>
      <c r="I35" s="36">
        <f t="shared" si="5"/>
        <v>0.9940652818991098</v>
      </c>
      <c r="J35" s="57">
        <v>370</v>
      </c>
      <c r="K35" s="33"/>
      <c r="L35" s="30">
        <f t="shared" si="10"/>
        <v>370</v>
      </c>
      <c r="M35" s="35">
        <f t="shared" si="4"/>
        <v>35</v>
      </c>
      <c r="N35" s="39">
        <f t="shared" si="6"/>
        <v>1.1044776119402986</v>
      </c>
    </row>
    <row r="36" spans="1:14" ht="13.5" customHeight="1" thickBot="1">
      <c r="A36" s="60" t="s">
        <v>37</v>
      </c>
      <c r="B36" s="41"/>
      <c r="C36" s="30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16658</v>
      </c>
      <c r="C37" s="303">
        <f t="shared" si="11"/>
        <v>0</v>
      </c>
      <c r="D37" s="49">
        <f t="shared" si="11"/>
        <v>16658</v>
      </c>
      <c r="E37" s="47">
        <f t="shared" si="11"/>
        <v>17413</v>
      </c>
      <c r="F37" s="48">
        <f t="shared" si="11"/>
        <v>0</v>
      </c>
      <c r="G37" s="49">
        <f t="shared" si="11"/>
        <v>17413</v>
      </c>
      <c r="H37" s="50">
        <f t="shared" si="2"/>
        <v>755</v>
      </c>
      <c r="I37" s="51">
        <f t="shared" si="5"/>
        <v>1.0453235682554929</v>
      </c>
      <c r="J37" s="52">
        <f>SUM(J19+J21+J22+J23+J24+J27+J32+J33+J34+J36)</f>
        <v>18217</v>
      </c>
      <c r="K37" s="48">
        <f>SUM(K19+K21+K22+K23+K24+K27+K32+K33+K34+K36)</f>
        <v>0</v>
      </c>
      <c r="L37" s="49">
        <f>SUM(L19+L21+L22+L23+L24+L27+L32+L33+L34+L36)</f>
        <v>18217</v>
      </c>
      <c r="M37" s="50">
        <f t="shared" si="4"/>
        <v>804</v>
      </c>
      <c r="N37" s="53">
        <f t="shared" si="6"/>
        <v>1.046172399931086</v>
      </c>
    </row>
    <row r="38" spans="1:14" ht="13.5" customHeight="1" thickBot="1">
      <c r="A38" s="46" t="s">
        <v>39</v>
      </c>
      <c r="B38" s="680">
        <f>+D18-D37</f>
        <v>233</v>
      </c>
      <c r="C38" s="681"/>
      <c r="D38" s="682"/>
      <c r="E38" s="680">
        <f>+G18-G37</f>
        <v>11</v>
      </c>
      <c r="F38" s="681"/>
      <c r="G38" s="682">
        <v>-50784</v>
      </c>
      <c r="H38" s="62">
        <f>+E38-B38</f>
        <v>-222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304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714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715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164</v>
      </c>
      <c r="B43" s="683"/>
      <c r="C43" s="305">
        <v>94</v>
      </c>
      <c r="D43" s="679" t="s">
        <v>334</v>
      </c>
      <c r="E43" s="657"/>
      <c r="F43" s="657"/>
      <c r="G43" s="67">
        <v>340</v>
      </c>
      <c r="H43" s="658" t="s">
        <v>335</v>
      </c>
      <c r="I43" s="659"/>
      <c r="J43" s="659"/>
      <c r="K43" s="659"/>
      <c r="L43" s="68">
        <v>120</v>
      </c>
      <c r="O43"/>
      <c r="P43"/>
    </row>
    <row r="44" spans="1:16" ht="12.75">
      <c r="A44" s="639" t="s">
        <v>336</v>
      </c>
      <c r="B44" s="646"/>
      <c r="C44" s="306">
        <v>98</v>
      </c>
      <c r="D44" s="679" t="s">
        <v>337</v>
      </c>
      <c r="E44" s="657"/>
      <c r="F44" s="657"/>
      <c r="G44" s="70">
        <v>99</v>
      </c>
      <c r="H44" s="658" t="s">
        <v>338</v>
      </c>
      <c r="I44" s="659"/>
      <c r="J44" s="659"/>
      <c r="K44" s="659"/>
      <c r="L44" s="68">
        <v>85</v>
      </c>
      <c r="O44"/>
      <c r="P44"/>
    </row>
    <row r="45" spans="1:16" ht="12.75">
      <c r="A45" s="639" t="s">
        <v>339</v>
      </c>
      <c r="B45" s="646"/>
      <c r="C45" s="306">
        <v>142</v>
      </c>
      <c r="D45" s="679" t="s">
        <v>340</v>
      </c>
      <c r="E45" s="657"/>
      <c r="F45" s="657"/>
      <c r="G45" s="70">
        <v>78</v>
      </c>
      <c r="H45" s="658" t="s">
        <v>43</v>
      </c>
      <c r="I45" s="659"/>
      <c r="J45" s="659"/>
      <c r="K45" s="659"/>
      <c r="L45" s="68">
        <v>61</v>
      </c>
      <c r="O45"/>
      <c r="P45"/>
    </row>
    <row r="46" spans="1:16" ht="12.75">
      <c r="A46" s="647"/>
      <c r="B46" s="674"/>
      <c r="C46" s="307"/>
      <c r="D46" s="647"/>
      <c r="E46" s="648"/>
      <c r="F46" s="674"/>
      <c r="G46" s="72"/>
      <c r="H46" s="643"/>
      <c r="I46" s="644"/>
      <c r="J46" s="644"/>
      <c r="K46" s="645"/>
      <c r="L46" s="68"/>
      <c r="O46"/>
      <c r="P46"/>
    </row>
    <row r="47" spans="1:16" ht="12.75">
      <c r="A47" s="647"/>
      <c r="B47" s="674"/>
      <c r="C47" s="307"/>
      <c r="D47" s="647"/>
      <c r="E47" s="648"/>
      <c r="F47" s="674"/>
      <c r="G47" s="72"/>
      <c r="H47" s="643"/>
      <c r="I47" s="644"/>
      <c r="J47" s="644"/>
      <c r="K47" s="645"/>
      <c r="L47" s="68"/>
      <c r="O47"/>
      <c r="P47"/>
    </row>
    <row r="48" spans="1:16" ht="12.75">
      <c r="A48" s="647"/>
      <c r="B48" s="674"/>
      <c r="C48" s="307"/>
      <c r="D48" s="647"/>
      <c r="E48" s="648"/>
      <c r="F48" s="674"/>
      <c r="G48" s="72"/>
      <c r="H48" s="643"/>
      <c r="I48" s="644"/>
      <c r="J48" s="644"/>
      <c r="K48" s="645"/>
      <c r="L48" s="68"/>
      <c r="O48"/>
      <c r="P48"/>
    </row>
    <row r="49" spans="1:16" ht="13.5" thickBot="1">
      <c r="A49" s="675"/>
      <c r="B49" s="676"/>
      <c r="C49" s="307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/>
      <c r="B50" s="635"/>
      <c r="C50" s="308">
        <f>SUM(C43:C49)</f>
        <v>334</v>
      </c>
      <c r="D50" s="660" t="s">
        <v>5</v>
      </c>
      <c r="E50" s="661"/>
      <c r="F50" s="661"/>
      <c r="G50" s="73">
        <v>517</v>
      </c>
      <c r="H50" s="637" t="s">
        <v>5</v>
      </c>
      <c r="I50" s="638"/>
      <c r="J50" s="638"/>
      <c r="K50" s="638"/>
      <c r="L50" s="73">
        <f>SUM(L43:L45)</f>
        <v>266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309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714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715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341</v>
      </c>
      <c r="B54" s="655"/>
      <c r="C54" s="305">
        <v>500</v>
      </c>
      <c r="D54" s="656" t="s">
        <v>341</v>
      </c>
      <c r="E54" s="657"/>
      <c r="F54" s="657"/>
      <c r="G54" s="76">
        <v>285</v>
      </c>
      <c r="H54" s="658" t="s">
        <v>342</v>
      </c>
      <c r="I54" s="659"/>
      <c r="J54" s="659"/>
      <c r="K54" s="659"/>
      <c r="L54" s="68">
        <v>300</v>
      </c>
      <c r="O54"/>
      <c r="P54"/>
    </row>
    <row r="55" spans="1:16" ht="13.5" customHeight="1">
      <c r="A55" s="639" t="s">
        <v>106</v>
      </c>
      <c r="B55" s="649"/>
      <c r="C55" s="306">
        <v>500</v>
      </c>
      <c r="D55" s="642" t="s">
        <v>343</v>
      </c>
      <c r="E55" s="646"/>
      <c r="F55" s="646"/>
      <c r="G55" s="77">
        <v>400</v>
      </c>
      <c r="H55" s="650" t="s">
        <v>343</v>
      </c>
      <c r="I55" s="651"/>
      <c r="J55" s="651"/>
      <c r="K55" s="651"/>
      <c r="L55" s="78">
        <v>300</v>
      </c>
      <c r="O55"/>
      <c r="P55"/>
    </row>
    <row r="56" spans="1:16" ht="13.5" customHeight="1">
      <c r="A56" s="639" t="s">
        <v>344</v>
      </c>
      <c r="B56" s="640"/>
      <c r="C56" s="306">
        <v>467</v>
      </c>
      <c r="D56" s="642" t="s">
        <v>345</v>
      </c>
      <c r="E56" s="646"/>
      <c r="F56" s="646"/>
      <c r="G56" s="77">
        <v>250</v>
      </c>
      <c r="H56" s="643" t="s">
        <v>346</v>
      </c>
      <c r="I56" s="644"/>
      <c r="J56" s="644"/>
      <c r="K56" s="645"/>
      <c r="L56" s="78">
        <v>264</v>
      </c>
      <c r="O56"/>
      <c r="P56"/>
    </row>
    <row r="57" spans="1:16" ht="13.5" customHeight="1">
      <c r="A57" s="639"/>
      <c r="B57" s="640"/>
      <c r="C57" s="306"/>
      <c r="D57" s="642" t="s">
        <v>347</v>
      </c>
      <c r="E57" s="646"/>
      <c r="F57" s="646"/>
      <c r="G57" s="77">
        <v>170</v>
      </c>
      <c r="H57" s="643" t="s">
        <v>348</v>
      </c>
      <c r="I57" s="644"/>
      <c r="J57" s="644"/>
      <c r="K57" s="645"/>
      <c r="L57" s="78">
        <v>250</v>
      </c>
      <c r="O57"/>
      <c r="P57"/>
    </row>
    <row r="58" spans="1:16" ht="13.5" customHeight="1">
      <c r="A58" s="647"/>
      <c r="B58" s="648"/>
      <c r="C58" s="307"/>
      <c r="D58" s="641" t="s">
        <v>349</v>
      </c>
      <c r="E58" s="641"/>
      <c r="F58" s="642"/>
      <c r="G58" s="178">
        <v>300</v>
      </c>
      <c r="H58" s="643" t="s">
        <v>241</v>
      </c>
      <c r="I58" s="644"/>
      <c r="J58" s="644"/>
      <c r="K58" s="645"/>
      <c r="L58" s="79">
        <v>250</v>
      </c>
      <c r="O58"/>
      <c r="P58"/>
    </row>
    <row r="59" spans="1:16" ht="13.5" customHeight="1">
      <c r="A59" s="639"/>
      <c r="B59" s="640"/>
      <c r="C59" s="307"/>
      <c r="D59" s="641" t="s">
        <v>350</v>
      </c>
      <c r="E59" s="641"/>
      <c r="F59" s="642"/>
      <c r="G59" s="178">
        <v>245</v>
      </c>
      <c r="H59" s="643" t="s">
        <v>351</v>
      </c>
      <c r="I59" s="644"/>
      <c r="J59" s="644"/>
      <c r="K59" s="645"/>
      <c r="L59" s="79">
        <v>200</v>
      </c>
      <c r="O59"/>
      <c r="P59"/>
    </row>
    <row r="60" spans="1:16" ht="13.5" customHeight="1">
      <c r="A60" s="639"/>
      <c r="B60" s="640"/>
      <c r="C60" s="306"/>
      <c r="D60" s="642"/>
      <c r="E60" s="646"/>
      <c r="F60" s="646"/>
      <c r="G60" s="77"/>
      <c r="H60" s="643"/>
      <c r="I60" s="644"/>
      <c r="J60" s="644"/>
      <c r="K60" s="645"/>
      <c r="L60" s="78"/>
      <c r="O60"/>
      <c r="P60"/>
    </row>
    <row r="61" spans="1:16" ht="13.5" thickBot="1">
      <c r="A61" s="627"/>
      <c r="B61" s="628"/>
      <c r="C61" s="310"/>
      <c r="D61" s="629"/>
      <c r="E61" s="630"/>
      <c r="F61" s="630"/>
      <c r="G61" s="81"/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308">
        <f>SUM(C54:C61)</f>
        <v>1467</v>
      </c>
      <c r="D62" s="635" t="s">
        <v>5</v>
      </c>
      <c r="E62" s="636"/>
      <c r="F62" s="636"/>
      <c r="G62" s="83">
        <f>SUM(G54:G61)</f>
        <v>1650</v>
      </c>
      <c r="H62" s="637" t="s">
        <v>5</v>
      </c>
      <c r="I62" s="638"/>
      <c r="J62" s="638"/>
      <c r="K62" s="638"/>
      <c r="L62" s="73">
        <f>SUM(L54:L61)</f>
        <v>1564</v>
      </c>
      <c r="M62" s="74"/>
      <c r="N62" s="74"/>
      <c r="O62"/>
      <c r="P62"/>
    </row>
    <row r="63" spans="1:14" s="1" customFormat="1" ht="12.75">
      <c r="A63" s="84"/>
      <c r="B63" s="84"/>
      <c r="C63" s="311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2.75">
      <c r="A64" s="84"/>
      <c r="B64" s="84"/>
      <c r="C64" s="311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12.75">
      <c r="A65" s="84"/>
      <c r="B65" s="84"/>
      <c r="C65" s="311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1:14" s="1" customFormat="1" ht="13.5" thickBot="1">
      <c r="A66" s="84"/>
      <c r="B66" s="84"/>
      <c r="C66" s="311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1:14" s="1" customFormat="1" ht="26.25" customHeight="1" thickBot="1">
      <c r="A67" s="571" t="s">
        <v>478</v>
      </c>
      <c r="B67" s="572"/>
      <c r="C67" s="572"/>
      <c r="D67" s="572"/>
      <c r="E67" s="573"/>
      <c r="F67" s="574" t="s">
        <v>479</v>
      </c>
      <c r="G67" s="575"/>
      <c r="H67" s="575"/>
      <c r="I67" s="575"/>
      <c r="J67" s="575"/>
      <c r="K67" s="575"/>
      <c r="L67" s="576"/>
      <c r="M67" s="84"/>
      <c r="N67" s="84"/>
    </row>
    <row r="68" spans="1:14" s="1" customFormat="1" ht="14.25" customHeight="1" thickBot="1">
      <c r="A68" s="152" t="s">
        <v>79</v>
      </c>
      <c r="B68" s="153" t="s">
        <v>172</v>
      </c>
      <c r="C68" s="577" t="s">
        <v>80</v>
      </c>
      <c r="D68" s="577"/>
      <c r="E68" s="154" t="s">
        <v>173</v>
      </c>
      <c r="F68" s="578" t="s">
        <v>79</v>
      </c>
      <c r="G68" s="579"/>
      <c r="H68" s="153" t="s">
        <v>172</v>
      </c>
      <c r="I68" s="577" t="s">
        <v>80</v>
      </c>
      <c r="J68" s="577"/>
      <c r="K68" s="577"/>
      <c r="L68" s="155" t="s">
        <v>173</v>
      </c>
      <c r="M68" s="84"/>
      <c r="N68" s="84"/>
    </row>
    <row r="69" spans="1:14" s="1" customFormat="1" ht="12.75">
      <c r="A69" s="156" t="s">
        <v>176</v>
      </c>
      <c r="B69" s="150">
        <v>59</v>
      </c>
      <c r="C69" s="580" t="s">
        <v>179</v>
      </c>
      <c r="D69" s="580"/>
      <c r="E69" s="157">
        <v>260</v>
      </c>
      <c r="F69" s="581" t="s">
        <v>176</v>
      </c>
      <c r="G69" s="582"/>
      <c r="H69" s="150">
        <v>32</v>
      </c>
      <c r="I69" s="580" t="s">
        <v>179</v>
      </c>
      <c r="J69" s="582"/>
      <c r="K69" s="582"/>
      <c r="L69" s="157">
        <v>0</v>
      </c>
      <c r="M69" s="84"/>
      <c r="N69" s="84"/>
    </row>
    <row r="70" spans="1:14" s="1" customFormat="1" ht="12.75">
      <c r="A70" s="158" t="s">
        <v>174</v>
      </c>
      <c r="B70" s="151">
        <v>233</v>
      </c>
      <c r="C70" s="583"/>
      <c r="D70" s="583"/>
      <c r="E70" s="159"/>
      <c r="F70" s="584" t="s">
        <v>177</v>
      </c>
      <c r="G70" s="585"/>
      <c r="H70" s="151">
        <v>11</v>
      </c>
      <c r="I70" s="583"/>
      <c r="J70" s="585"/>
      <c r="K70" s="585"/>
      <c r="L70" s="159"/>
      <c r="M70" s="84"/>
      <c r="N70" s="84"/>
    </row>
    <row r="71" spans="1:14" s="1" customFormat="1" ht="12.75">
      <c r="A71" s="158" t="s">
        <v>175</v>
      </c>
      <c r="B71" s="151">
        <v>0</v>
      </c>
      <c r="C71" s="583"/>
      <c r="D71" s="583"/>
      <c r="E71" s="159"/>
      <c r="F71" s="583" t="s">
        <v>175</v>
      </c>
      <c r="G71" s="583"/>
      <c r="H71" s="151">
        <v>0</v>
      </c>
      <c r="I71" s="583"/>
      <c r="J71" s="585"/>
      <c r="K71" s="585"/>
      <c r="L71" s="159"/>
      <c r="M71" s="84"/>
      <c r="N71" s="84"/>
    </row>
    <row r="72" spans="1:14" s="1" customFormat="1" ht="13.5" thickBot="1">
      <c r="A72" s="163"/>
      <c r="B72" s="162"/>
      <c r="C72" s="586"/>
      <c r="D72" s="586"/>
      <c r="E72" s="164"/>
      <c r="F72" s="587"/>
      <c r="G72" s="588"/>
      <c r="H72" s="162"/>
      <c r="I72" s="586"/>
      <c r="J72" s="588"/>
      <c r="K72" s="588"/>
      <c r="L72" s="164"/>
      <c r="M72" s="84"/>
      <c r="N72" s="84"/>
    </row>
    <row r="73" spans="1:14" s="1" customFormat="1" ht="13.5" thickBot="1">
      <c r="A73" s="179" t="s">
        <v>5</v>
      </c>
      <c r="B73" s="180">
        <f>SUM(B69:B72)</f>
        <v>292</v>
      </c>
      <c r="C73" s="589" t="s">
        <v>5</v>
      </c>
      <c r="D73" s="589"/>
      <c r="E73" s="165">
        <f>SUM(E69:E72)</f>
        <v>260</v>
      </c>
      <c r="F73" s="590" t="s">
        <v>5</v>
      </c>
      <c r="G73" s="591"/>
      <c r="H73" s="161">
        <f>SUM(H69:H72)</f>
        <v>43</v>
      </c>
      <c r="I73" s="589" t="s">
        <v>5</v>
      </c>
      <c r="J73" s="591"/>
      <c r="K73" s="591"/>
      <c r="L73" s="165">
        <f>SUM(L69:L72)</f>
        <v>0</v>
      </c>
      <c r="M73" s="84"/>
      <c r="N73" s="84"/>
    </row>
    <row r="74" spans="1:14" s="1" customFormat="1" ht="13.5" thickBot="1">
      <c r="A74" s="181" t="s">
        <v>534</v>
      </c>
      <c r="B74" s="182">
        <f>B73-E73</f>
        <v>32</v>
      </c>
      <c r="C74" s="84"/>
      <c r="D74" s="84"/>
      <c r="E74" s="84"/>
      <c r="F74" s="592" t="s">
        <v>534</v>
      </c>
      <c r="G74" s="593"/>
      <c r="H74" s="183">
        <f>H73-L73</f>
        <v>43</v>
      </c>
      <c r="I74" s="84"/>
      <c r="J74" s="84"/>
      <c r="K74" s="84"/>
      <c r="L74" s="84"/>
      <c r="M74" s="84"/>
      <c r="N74" s="84"/>
    </row>
    <row r="75" spans="1:14" s="1" customFormat="1" ht="12.7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</row>
    <row r="76" spans="1:12" s="1" customFormat="1" ht="13.5" thickBot="1">
      <c r="A76" s="85"/>
      <c r="B76" s="86"/>
      <c r="C76" s="86"/>
      <c r="D76" s="86"/>
      <c r="E76" s="2"/>
      <c r="F76" s="4"/>
      <c r="G76" s="4"/>
      <c r="H76" s="85"/>
      <c r="I76" s="86"/>
      <c r="J76" s="86"/>
      <c r="K76" s="86"/>
      <c r="L76" s="2"/>
    </row>
    <row r="77" spans="1:16" ht="12.75">
      <c r="A77" s="601" t="s">
        <v>73</v>
      </c>
      <c r="B77" s="604" t="s">
        <v>74</v>
      </c>
      <c r="C77" s="607" t="s">
        <v>477</v>
      </c>
      <c r="D77" s="608"/>
      <c r="E77" s="608"/>
      <c r="F77" s="608"/>
      <c r="G77" s="608"/>
      <c r="H77" s="608"/>
      <c r="I77" s="609"/>
      <c r="J77" s="610" t="s">
        <v>75</v>
      </c>
      <c r="K77" s="175"/>
      <c r="L77" s="718" t="s">
        <v>48</v>
      </c>
      <c r="M77" s="719"/>
      <c r="N77" s="722">
        <v>2004</v>
      </c>
      <c r="O77" s="724">
        <v>2005</v>
      </c>
      <c r="P77"/>
    </row>
    <row r="78" spans="1:16" ht="13.5" thickBot="1">
      <c r="A78" s="602"/>
      <c r="B78" s="605"/>
      <c r="C78" s="596" t="s">
        <v>76</v>
      </c>
      <c r="D78" s="598" t="s">
        <v>77</v>
      </c>
      <c r="E78" s="599"/>
      <c r="F78" s="599"/>
      <c r="G78" s="599"/>
      <c r="H78" s="599"/>
      <c r="I78" s="600"/>
      <c r="J78" s="611"/>
      <c r="K78" s="176"/>
      <c r="L78" s="720"/>
      <c r="M78" s="721"/>
      <c r="N78" s="723"/>
      <c r="O78" s="725"/>
      <c r="P78"/>
    </row>
    <row r="79" spans="1:16" ht="13.5" thickBot="1">
      <c r="A79" s="603"/>
      <c r="B79" s="606"/>
      <c r="C79" s="597"/>
      <c r="D79" s="115">
        <v>1</v>
      </c>
      <c r="E79" s="115">
        <v>2</v>
      </c>
      <c r="F79" s="115">
        <v>3</v>
      </c>
      <c r="G79" s="115">
        <v>4</v>
      </c>
      <c r="H79" s="115">
        <v>5</v>
      </c>
      <c r="I79" s="172">
        <v>6</v>
      </c>
      <c r="J79" s="612"/>
      <c r="K79" s="177"/>
      <c r="L79" s="173" t="s">
        <v>49</v>
      </c>
      <c r="M79" s="174"/>
      <c r="N79" s="166">
        <v>0</v>
      </c>
      <c r="O79" s="167">
        <v>0</v>
      </c>
      <c r="P79"/>
    </row>
    <row r="80" spans="1:16" ht="13.5" thickBot="1">
      <c r="A80" s="116">
        <v>14671</v>
      </c>
      <c r="B80" s="117">
        <v>4173</v>
      </c>
      <c r="C80" s="170">
        <v>370</v>
      </c>
      <c r="D80" s="171">
        <v>93</v>
      </c>
      <c r="E80" s="171">
        <v>168</v>
      </c>
      <c r="F80" s="171">
        <v>6</v>
      </c>
      <c r="G80" s="171">
        <v>2</v>
      </c>
      <c r="H80" s="170">
        <v>101</v>
      </c>
      <c r="I80" s="185">
        <v>0</v>
      </c>
      <c r="J80" s="118">
        <f>SUM(A80-B80-C80)</f>
        <v>10128</v>
      </c>
      <c r="K80" s="177"/>
      <c r="L80" s="726" t="s">
        <v>50</v>
      </c>
      <c r="M80" s="727"/>
      <c r="N80" s="87">
        <v>0</v>
      </c>
      <c r="O80" s="88">
        <v>0</v>
      </c>
      <c r="P80"/>
    </row>
    <row r="81" spans="1:15" s="1" customFormat="1" ht="13.5" thickBot="1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728" t="s">
        <v>178</v>
      </c>
      <c r="M81" s="729"/>
      <c r="N81" s="168">
        <v>0</v>
      </c>
      <c r="O81" s="169">
        <v>0</v>
      </c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618" t="s">
        <v>112</v>
      </c>
      <c r="B83" s="620" t="s">
        <v>482</v>
      </c>
      <c r="C83" s="622" t="s">
        <v>480</v>
      </c>
      <c r="D83" s="623"/>
      <c r="E83" s="623"/>
      <c r="F83" s="624"/>
      <c r="G83" s="625" t="s">
        <v>483</v>
      </c>
      <c r="H83" s="613" t="s">
        <v>78</v>
      </c>
      <c r="I83" s="615" t="s">
        <v>481</v>
      </c>
      <c r="J83" s="616"/>
      <c r="K83" s="616"/>
      <c r="L83" s="617"/>
    </row>
    <row r="84" spans="1:12" s="1" customFormat="1" ht="18.75" thickBot="1">
      <c r="A84" s="619"/>
      <c r="B84" s="621"/>
      <c r="C84" s="119" t="s">
        <v>81</v>
      </c>
      <c r="D84" s="120" t="s">
        <v>79</v>
      </c>
      <c r="E84" s="120" t="s">
        <v>80</v>
      </c>
      <c r="F84" s="121" t="s">
        <v>114</v>
      </c>
      <c r="G84" s="626"/>
      <c r="H84" s="614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1644.76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1374.99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203.71</v>
      </c>
      <c r="C86" s="130">
        <v>204</v>
      </c>
      <c r="D86" s="131">
        <v>0</v>
      </c>
      <c r="E86" s="131">
        <v>0</v>
      </c>
      <c r="F86" s="132">
        <f>C86+D86-E86</f>
        <v>204</v>
      </c>
      <c r="G86" s="133">
        <v>203.71</v>
      </c>
      <c r="H86" s="453">
        <f>+G86-F86</f>
        <v>-0.28999999999999204</v>
      </c>
      <c r="I86" s="130">
        <v>204</v>
      </c>
      <c r="J86" s="131">
        <v>0</v>
      </c>
      <c r="K86" s="131">
        <v>0</v>
      </c>
      <c r="L86" s="132">
        <f>I86+J86-K86</f>
        <v>204</v>
      </c>
    </row>
    <row r="87" spans="1:12" s="1" customFormat="1" ht="12.75">
      <c r="A87" s="128" t="s">
        <v>85</v>
      </c>
      <c r="B87" s="129">
        <v>59.25</v>
      </c>
      <c r="C87" s="130">
        <v>59</v>
      </c>
      <c r="D87" s="131">
        <v>233</v>
      </c>
      <c r="E87" s="131">
        <v>260</v>
      </c>
      <c r="F87" s="132">
        <f>C87+D87-E87</f>
        <v>32</v>
      </c>
      <c r="G87" s="133">
        <v>32.59</v>
      </c>
      <c r="H87" s="453">
        <f>+G87-F87</f>
        <v>0.5900000000000034</v>
      </c>
      <c r="I87" s="130">
        <v>32</v>
      </c>
      <c r="J87" s="131">
        <v>11</v>
      </c>
      <c r="K87" s="131">
        <v>0</v>
      </c>
      <c r="L87" s="132">
        <f>I87+J87-K87</f>
        <v>43</v>
      </c>
    </row>
    <row r="88" spans="1:12" s="1" customFormat="1" ht="12.75">
      <c r="A88" s="128" t="s">
        <v>113</v>
      </c>
      <c r="B88" s="129">
        <v>99.08</v>
      </c>
      <c r="C88" s="130">
        <v>99</v>
      </c>
      <c r="D88" s="131">
        <v>595</v>
      </c>
      <c r="E88" s="131">
        <v>577</v>
      </c>
      <c r="F88" s="132">
        <f>C88+D88-E88</f>
        <v>117</v>
      </c>
      <c r="G88" s="133">
        <v>116.61</v>
      </c>
      <c r="H88" s="453">
        <f>+G88-F88</f>
        <v>-0.39000000000000057</v>
      </c>
      <c r="I88" s="461">
        <v>117</v>
      </c>
      <c r="J88" s="447">
        <v>370</v>
      </c>
      <c r="K88" s="447">
        <v>266</v>
      </c>
      <c r="L88" s="132">
        <f>I88+J88-K88</f>
        <v>221</v>
      </c>
    </row>
    <row r="89" spans="1:12" s="1" customFormat="1" ht="12.75">
      <c r="A89" s="128" t="s">
        <v>86</v>
      </c>
      <c r="B89" s="129">
        <v>1282.72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1022.08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87.96</v>
      </c>
      <c r="C90" s="136">
        <v>84</v>
      </c>
      <c r="D90" s="137">
        <v>149</v>
      </c>
      <c r="E90" s="137">
        <v>123</v>
      </c>
      <c r="F90" s="138">
        <v>110</v>
      </c>
      <c r="G90" s="139">
        <v>126.04</v>
      </c>
      <c r="H90" s="454">
        <f>+G90-F90</f>
        <v>16.040000000000006</v>
      </c>
      <c r="I90" s="136">
        <v>110</v>
      </c>
      <c r="J90" s="137">
        <v>157</v>
      </c>
      <c r="K90" s="137">
        <v>160</v>
      </c>
      <c r="L90" s="138">
        <f>I90+J90-K90</f>
        <v>107</v>
      </c>
    </row>
    <row r="91" spans="1:12" s="1" customFormat="1" ht="12.75">
      <c r="A91" s="85"/>
      <c r="B91" s="86"/>
      <c r="C91" s="312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314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211</v>
      </c>
      <c r="C95" s="315">
        <v>16.03</v>
      </c>
      <c r="D95" s="131">
        <v>15</v>
      </c>
      <c r="E95" s="131">
        <v>180</v>
      </c>
      <c r="F95" s="131">
        <v>0</v>
      </c>
      <c r="G95" s="129">
        <v>0</v>
      </c>
      <c r="H95" s="132">
        <f>SUM(C95:G95)</f>
        <v>211.03</v>
      </c>
      <c r="I95" s="89"/>
      <c r="J95" s="93">
        <v>2005</v>
      </c>
      <c r="K95" s="94">
        <v>7442</v>
      </c>
      <c r="L95" s="95">
        <f>G29</f>
        <v>7442</v>
      </c>
    </row>
    <row r="96" spans="1:12" ht="13.5" thickBot="1">
      <c r="A96" s="145" t="s">
        <v>95</v>
      </c>
      <c r="B96" s="135">
        <v>234.2</v>
      </c>
      <c r="C96" s="316">
        <v>234.2</v>
      </c>
      <c r="D96" s="137">
        <v>0</v>
      </c>
      <c r="E96" s="137">
        <v>0</v>
      </c>
      <c r="F96" s="137">
        <v>0</v>
      </c>
      <c r="G96" s="135"/>
      <c r="H96" s="138">
        <f>SUM(C96:G96)</f>
        <v>234.2</v>
      </c>
      <c r="I96" s="89"/>
      <c r="J96" s="96">
        <v>2006</v>
      </c>
      <c r="K96" s="97">
        <f>+L29</f>
        <v>7888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317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</v>
      </c>
      <c r="C101" s="318">
        <v>4</v>
      </c>
      <c r="D101" s="103">
        <f>+C101-B101</f>
        <v>0</v>
      </c>
      <c r="E101" s="103">
        <v>4</v>
      </c>
      <c r="F101" s="103">
        <v>4</v>
      </c>
      <c r="G101" s="104">
        <f>+F101-E101</f>
        <v>0</v>
      </c>
      <c r="H101" s="105">
        <v>20580</v>
      </c>
      <c r="I101" s="106">
        <v>22535</v>
      </c>
      <c r="J101" s="107">
        <f>+I101-H101</f>
        <v>1955</v>
      </c>
    </row>
    <row r="102" spans="1:10" ht="12.75">
      <c r="A102" s="102" t="s">
        <v>98</v>
      </c>
      <c r="B102" s="103">
        <v>7.79</v>
      </c>
      <c r="C102" s="318">
        <v>8.41</v>
      </c>
      <c r="D102" s="103">
        <f aca="true" t="shared" si="12" ref="D102:D111">+C102-B102</f>
        <v>0.6200000000000001</v>
      </c>
      <c r="E102" s="103">
        <v>8</v>
      </c>
      <c r="F102" s="103">
        <v>8.5</v>
      </c>
      <c r="G102" s="104">
        <f aca="true" t="shared" si="13" ref="G102:G111">+F102-E102</f>
        <v>0.5</v>
      </c>
      <c r="H102" s="105">
        <v>19771</v>
      </c>
      <c r="I102" s="108">
        <v>20389</v>
      </c>
      <c r="J102" s="107">
        <f aca="true" t="shared" si="14" ref="J102:J111">+I102-H102</f>
        <v>618</v>
      </c>
    </row>
    <row r="103" spans="1:10" ht="12.75">
      <c r="A103" s="102" t="s">
        <v>60</v>
      </c>
      <c r="B103" s="103">
        <v>1</v>
      </c>
      <c r="C103" s="318">
        <v>1</v>
      </c>
      <c r="D103" s="103">
        <f t="shared" si="12"/>
        <v>0</v>
      </c>
      <c r="E103" s="103">
        <v>1</v>
      </c>
      <c r="F103" s="103">
        <v>1</v>
      </c>
      <c r="G103" s="104">
        <f t="shared" si="13"/>
        <v>0</v>
      </c>
      <c r="H103" s="105">
        <v>15690</v>
      </c>
      <c r="I103" s="108">
        <v>17370</v>
      </c>
      <c r="J103" s="107">
        <f t="shared" si="14"/>
        <v>1680</v>
      </c>
    </row>
    <row r="104" spans="1:10" ht="12.75">
      <c r="A104" s="102" t="s">
        <v>61</v>
      </c>
      <c r="B104" s="103">
        <v>5</v>
      </c>
      <c r="C104" s="318">
        <v>5</v>
      </c>
      <c r="D104" s="103">
        <f t="shared" si="12"/>
        <v>0</v>
      </c>
      <c r="E104" s="103">
        <v>5</v>
      </c>
      <c r="F104" s="103">
        <v>5</v>
      </c>
      <c r="G104" s="104">
        <f t="shared" si="13"/>
        <v>0</v>
      </c>
      <c r="H104" s="105">
        <v>13990</v>
      </c>
      <c r="I104" s="108">
        <v>13435</v>
      </c>
      <c r="J104" s="107">
        <f t="shared" si="14"/>
        <v>-555</v>
      </c>
    </row>
    <row r="105" spans="1:10" ht="12.75">
      <c r="A105" s="102" t="s">
        <v>99</v>
      </c>
      <c r="B105" s="103"/>
      <c r="C105" s="318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/>
      <c r="C106" s="318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64</v>
      </c>
      <c r="B107" s="103"/>
      <c r="C107" s="318"/>
      <c r="D107" s="103">
        <f t="shared" si="12"/>
        <v>0</v>
      </c>
      <c r="E107" s="103"/>
      <c r="F107" s="103"/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65</v>
      </c>
      <c r="B108" s="103">
        <v>7.37</v>
      </c>
      <c r="C108" s="318">
        <v>7.24</v>
      </c>
      <c r="D108" s="103">
        <f t="shared" si="12"/>
        <v>-0.1299999999999999</v>
      </c>
      <c r="E108" s="103">
        <v>8.25</v>
      </c>
      <c r="F108" s="103">
        <v>6.5</v>
      </c>
      <c r="G108" s="104">
        <f t="shared" si="13"/>
        <v>-1.75</v>
      </c>
      <c r="H108" s="105">
        <v>11918</v>
      </c>
      <c r="I108" s="108">
        <v>12874</v>
      </c>
      <c r="J108" s="107">
        <f t="shared" si="14"/>
        <v>956</v>
      </c>
    </row>
    <row r="109" spans="1:10" ht="12.75">
      <c r="A109" s="102" t="s">
        <v>66</v>
      </c>
      <c r="B109" s="103">
        <v>1.5</v>
      </c>
      <c r="C109" s="318">
        <v>1.5</v>
      </c>
      <c r="D109" s="103">
        <f t="shared" si="12"/>
        <v>0</v>
      </c>
      <c r="E109" s="103">
        <v>1.5</v>
      </c>
      <c r="F109" s="103">
        <v>1.5</v>
      </c>
      <c r="G109" s="104">
        <f t="shared" si="13"/>
        <v>0</v>
      </c>
      <c r="H109" s="105">
        <v>19532</v>
      </c>
      <c r="I109" s="108">
        <v>20685</v>
      </c>
      <c r="J109" s="107">
        <f t="shared" si="14"/>
        <v>1153</v>
      </c>
    </row>
    <row r="110" spans="1:10" ht="12.75">
      <c r="A110" s="102" t="s">
        <v>67</v>
      </c>
      <c r="B110" s="103">
        <v>13.66</v>
      </c>
      <c r="C110" s="318">
        <v>14.16</v>
      </c>
      <c r="D110" s="103">
        <f t="shared" si="12"/>
        <v>0.5</v>
      </c>
      <c r="E110" s="103">
        <v>13</v>
      </c>
      <c r="F110" s="103">
        <v>13.5</v>
      </c>
      <c r="G110" s="104">
        <f t="shared" si="13"/>
        <v>0.5</v>
      </c>
      <c r="H110" s="105">
        <v>10784</v>
      </c>
      <c r="I110" s="108">
        <v>10577</v>
      </c>
      <c r="J110" s="107">
        <f t="shared" si="14"/>
        <v>-207</v>
      </c>
    </row>
    <row r="111" spans="1:10" ht="13.5" thickBot="1">
      <c r="A111" s="109" t="s">
        <v>5</v>
      </c>
      <c r="B111" s="110">
        <v>40.32</v>
      </c>
      <c r="C111" s="319">
        <v>41.31</v>
      </c>
      <c r="D111" s="110">
        <f t="shared" si="12"/>
        <v>0.990000000000002</v>
      </c>
      <c r="E111" s="110">
        <v>40.75</v>
      </c>
      <c r="F111" s="110">
        <v>40</v>
      </c>
      <c r="G111" s="111">
        <f t="shared" si="13"/>
        <v>-0.75</v>
      </c>
      <c r="H111" s="112">
        <v>14544</v>
      </c>
      <c r="I111" s="113">
        <v>15012</v>
      </c>
      <c r="J111" s="114">
        <f t="shared" si="14"/>
        <v>468</v>
      </c>
    </row>
    <row r="112" ht="13.5" thickBot="1"/>
    <row r="113" spans="1:16" ht="12.75">
      <c r="A113" s="706" t="s">
        <v>68</v>
      </c>
      <c r="B113" s="707"/>
      <c r="C113" s="708"/>
      <c r="D113" s="89"/>
      <c r="E113" s="706" t="s">
        <v>69</v>
      </c>
      <c r="F113" s="707"/>
      <c r="G113" s="708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149" t="s">
        <v>53</v>
      </c>
      <c r="D114" s="89"/>
      <c r="E114" s="90"/>
      <c r="F114" s="709" t="s">
        <v>72</v>
      </c>
      <c r="G114" s="71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41</v>
      </c>
      <c r="C115" s="320">
        <v>41.31</v>
      </c>
      <c r="D115" s="89"/>
      <c r="E115" s="93">
        <v>2005</v>
      </c>
      <c r="F115" s="711">
        <v>80</v>
      </c>
      <c r="G115" s="624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43</v>
      </c>
      <c r="C116" s="321"/>
      <c r="D116" s="89"/>
      <c r="E116" s="96">
        <v>2006</v>
      </c>
      <c r="F116" s="704">
        <v>80</v>
      </c>
      <c r="G116" s="705"/>
      <c r="H116"/>
      <c r="I116"/>
      <c r="J116"/>
      <c r="K116"/>
      <c r="L116"/>
      <c r="M116"/>
      <c r="N116"/>
      <c r="O116"/>
      <c r="P116"/>
    </row>
  </sheetData>
  <mergeCells count="124">
    <mergeCell ref="L80:M80"/>
    <mergeCell ref="L81:M81"/>
    <mergeCell ref="A83:A84"/>
    <mergeCell ref="B83:B84"/>
    <mergeCell ref="C83:F83"/>
    <mergeCell ref="G83:G84"/>
    <mergeCell ref="H83:H84"/>
    <mergeCell ref="I83:L83"/>
    <mergeCell ref="L77:M78"/>
    <mergeCell ref="N77:N78"/>
    <mergeCell ref="O77:O78"/>
    <mergeCell ref="C78:C79"/>
    <mergeCell ref="D78:I78"/>
    <mergeCell ref="C73:D73"/>
    <mergeCell ref="F73:G73"/>
    <mergeCell ref="I73:K73"/>
    <mergeCell ref="F74:G74"/>
    <mergeCell ref="C71:D71"/>
    <mergeCell ref="F71:G71"/>
    <mergeCell ref="I71:K71"/>
    <mergeCell ref="C72:D72"/>
    <mergeCell ref="F72:G72"/>
    <mergeCell ref="I72:K72"/>
    <mergeCell ref="C69:D69"/>
    <mergeCell ref="F69:G69"/>
    <mergeCell ref="I69:K69"/>
    <mergeCell ref="C70:D70"/>
    <mergeCell ref="F70:G70"/>
    <mergeCell ref="I70:K70"/>
    <mergeCell ref="A67:E67"/>
    <mergeCell ref="F67:L67"/>
    <mergeCell ref="C68:D68"/>
    <mergeCell ref="F68:G68"/>
    <mergeCell ref="I68:K68"/>
    <mergeCell ref="F116:G116"/>
    <mergeCell ref="A113:C113"/>
    <mergeCell ref="E113:G113"/>
    <mergeCell ref="F114:G114"/>
    <mergeCell ref="F115:G115"/>
    <mergeCell ref="A99:A100"/>
    <mergeCell ref="B99:D99"/>
    <mergeCell ref="E99:G99"/>
    <mergeCell ref="H99:J99"/>
    <mergeCell ref="A93:A94"/>
    <mergeCell ref="B93:B94"/>
    <mergeCell ref="C93:H93"/>
    <mergeCell ref="J93:L93"/>
    <mergeCell ref="A77:A79"/>
    <mergeCell ref="B77:B79"/>
    <mergeCell ref="C77:I77"/>
    <mergeCell ref="J77:J79"/>
    <mergeCell ref="M2:N2"/>
    <mergeCell ref="H41:K42"/>
    <mergeCell ref="L41:L42"/>
    <mergeCell ref="L52:L53"/>
    <mergeCell ref="A3:A6"/>
    <mergeCell ref="B3:N3"/>
    <mergeCell ref="H4:I4"/>
    <mergeCell ref="M4:N4"/>
    <mergeCell ref="B38:D38"/>
    <mergeCell ref="E38:G38"/>
    <mergeCell ref="J38:L38"/>
    <mergeCell ref="B39:D39"/>
    <mergeCell ref="E39:G39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2:B62"/>
    <mergeCell ref="D62:F62"/>
    <mergeCell ref="H62:K62"/>
    <mergeCell ref="A60:B60"/>
    <mergeCell ref="D60:F60"/>
    <mergeCell ref="H60:K60"/>
    <mergeCell ref="A61:B61"/>
    <mergeCell ref="D61:F61"/>
    <mergeCell ref="H61:K61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25"/>
  <sheetViews>
    <sheetView view="pageBreakPreview" zoomScaleSheetLayoutView="100" workbookViewId="0" topLeftCell="A1">
      <selection activeCell="L90" sqref="L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84" t="s">
        <v>0</v>
      </c>
      <c r="B3" s="686" t="s">
        <v>424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59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4516</v>
      </c>
      <c r="C8" s="33"/>
      <c r="D8" s="434">
        <f>SUM(B8:C8)</f>
        <v>4516</v>
      </c>
      <c r="E8" s="37">
        <v>4882</v>
      </c>
      <c r="F8" s="33"/>
      <c r="G8" s="434">
        <f>SUM(E8:F8)</f>
        <v>4882</v>
      </c>
      <c r="H8" s="465">
        <f>+G8-D8</f>
        <v>366</v>
      </c>
      <c r="I8" s="36">
        <f>+G8/D8</f>
        <v>1.0810451727192205</v>
      </c>
      <c r="J8" s="37">
        <v>5050</v>
      </c>
      <c r="K8" s="33"/>
      <c r="L8" s="434">
        <f>SUM(J8:K8)</f>
        <v>5050</v>
      </c>
      <c r="M8" s="465">
        <f>+L8-G8</f>
        <v>168</v>
      </c>
      <c r="N8" s="39">
        <f>+L8/G8</f>
        <v>1.0344121261777959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19</v>
      </c>
      <c r="C11" s="33"/>
      <c r="D11" s="434">
        <f t="shared" si="0"/>
        <v>19</v>
      </c>
      <c r="E11" s="37">
        <v>11</v>
      </c>
      <c r="F11" s="33"/>
      <c r="G11" s="434">
        <f t="shared" si="1"/>
        <v>11</v>
      </c>
      <c r="H11" s="465">
        <f t="shared" si="2"/>
        <v>-8</v>
      </c>
      <c r="I11" s="36">
        <f aca="true" t="shared" si="5" ref="I11:I37">+G11/D11</f>
        <v>0.5789473684210527</v>
      </c>
      <c r="J11" s="37"/>
      <c r="K11" s="33"/>
      <c r="L11" s="434">
        <f t="shared" si="3"/>
        <v>0</v>
      </c>
      <c r="M11" s="465">
        <f t="shared" si="4"/>
        <v>-11</v>
      </c>
      <c r="N11" s="39">
        <f aca="true" t="shared" si="6" ref="N11:N37">+L11/G11</f>
        <v>0</v>
      </c>
    </row>
    <row r="12" spans="1:14" ht="13.5" customHeight="1">
      <c r="A12" s="510" t="s">
        <v>15</v>
      </c>
      <c r="B12" s="37">
        <v>8</v>
      </c>
      <c r="C12" s="33"/>
      <c r="D12" s="434">
        <f t="shared" si="0"/>
        <v>8</v>
      </c>
      <c r="E12" s="37">
        <v>3</v>
      </c>
      <c r="F12" s="33"/>
      <c r="G12" s="434">
        <f t="shared" si="1"/>
        <v>3</v>
      </c>
      <c r="H12" s="465">
        <f t="shared" si="2"/>
        <v>-5</v>
      </c>
      <c r="I12" s="36">
        <f t="shared" si="5"/>
        <v>0.375</v>
      </c>
      <c r="J12" s="37"/>
      <c r="K12" s="33"/>
      <c r="L12" s="434">
        <f t="shared" si="3"/>
        <v>0</v>
      </c>
      <c r="M12" s="465">
        <f t="shared" si="4"/>
        <v>-3</v>
      </c>
      <c r="N12" s="39">
        <f t="shared" si="6"/>
        <v>0</v>
      </c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8219</v>
      </c>
      <c r="C15" s="33"/>
      <c r="D15" s="434">
        <f t="shared" si="0"/>
        <v>8219</v>
      </c>
      <c r="E15" s="37">
        <v>9960</v>
      </c>
      <c r="F15" s="33"/>
      <c r="G15" s="434">
        <f t="shared" si="1"/>
        <v>9960</v>
      </c>
      <c r="H15" s="465">
        <f t="shared" si="2"/>
        <v>1741</v>
      </c>
      <c r="I15" s="36">
        <f t="shared" si="5"/>
        <v>1.2118262562355517</v>
      </c>
      <c r="J15" s="57">
        <f>SUM(J16:J17)</f>
        <v>10444</v>
      </c>
      <c r="K15" s="33"/>
      <c r="L15" s="434">
        <f t="shared" si="3"/>
        <v>10444</v>
      </c>
      <c r="M15" s="465">
        <f t="shared" si="4"/>
        <v>484</v>
      </c>
      <c r="N15" s="39">
        <f t="shared" si="6"/>
        <v>1.0485943775100401</v>
      </c>
    </row>
    <row r="16" spans="1:14" ht="13.5" customHeight="1">
      <c r="A16" s="511" t="s">
        <v>476</v>
      </c>
      <c r="B16" s="37"/>
      <c r="C16" s="33"/>
      <c r="D16" s="434"/>
      <c r="E16" s="37">
        <v>9387</v>
      </c>
      <c r="F16" s="33"/>
      <c r="G16" s="434">
        <f t="shared" si="1"/>
        <v>9387</v>
      </c>
      <c r="H16" s="465"/>
      <c r="I16" s="36"/>
      <c r="J16" s="57">
        <f>9950</f>
        <v>9950</v>
      </c>
      <c r="K16" s="33"/>
      <c r="L16" s="434">
        <f t="shared" si="3"/>
        <v>9950</v>
      </c>
      <c r="M16" s="465">
        <f t="shared" si="4"/>
        <v>563</v>
      </c>
      <c r="N16" s="39">
        <f t="shared" si="6"/>
        <v>1.059976563332268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573</v>
      </c>
      <c r="F17" s="431"/>
      <c r="G17" s="434">
        <f t="shared" si="1"/>
        <v>573</v>
      </c>
      <c r="H17" s="466"/>
      <c r="I17" s="472"/>
      <c r="J17" s="438">
        <v>494</v>
      </c>
      <c r="K17" s="431"/>
      <c r="L17" s="434">
        <f t="shared" si="3"/>
        <v>494</v>
      </c>
      <c r="M17" s="465">
        <f t="shared" si="4"/>
        <v>-79</v>
      </c>
      <c r="N17" s="39">
        <f t="shared" si="6"/>
        <v>0.8621291448516579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12754</v>
      </c>
      <c r="C18" s="425">
        <f t="shared" si="7"/>
        <v>0</v>
      </c>
      <c r="D18" s="426">
        <f t="shared" si="7"/>
        <v>12754</v>
      </c>
      <c r="E18" s="424">
        <f t="shared" si="7"/>
        <v>14853</v>
      </c>
      <c r="F18" s="425">
        <f t="shared" si="7"/>
        <v>0</v>
      </c>
      <c r="G18" s="426">
        <f t="shared" si="7"/>
        <v>14853</v>
      </c>
      <c r="H18" s="369">
        <f t="shared" si="2"/>
        <v>2099</v>
      </c>
      <c r="I18" s="63">
        <f t="shared" si="5"/>
        <v>1.164575819350792</v>
      </c>
      <c r="J18" s="437">
        <f>SUM(J7+J8+J9+J10+J11+J13+J15)</f>
        <v>15494</v>
      </c>
      <c r="K18" s="425">
        <f>SUM(K7+K8+K9+K10+K11+K13+K15)</f>
        <v>0</v>
      </c>
      <c r="L18" s="426">
        <f>SUM(L7+L8+L9+L10+L11+L13+L15)</f>
        <v>15494</v>
      </c>
      <c r="M18" s="369">
        <f t="shared" si="4"/>
        <v>641</v>
      </c>
      <c r="N18" s="370">
        <f t="shared" si="6"/>
        <v>1.0431562647276644</v>
      </c>
    </row>
    <row r="19" spans="1:14" ht="13.5" customHeight="1">
      <c r="A19" s="54" t="s">
        <v>20</v>
      </c>
      <c r="B19" s="25">
        <v>2677</v>
      </c>
      <c r="C19" s="26"/>
      <c r="D19" s="34">
        <f aca="true" t="shared" si="8" ref="D19:D36">SUM(B19:C19)</f>
        <v>2677</v>
      </c>
      <c r="E19" s="25">
        <v>3623</v>
      </c>
      <c r="F19" s="26"/>
      <c r="G19" s="27">
        <f>SUM(E19:F19)</f>
        <v>3623</v>
      </c>
      <c r="H19" s="28">
        <f t="shared" si="2"/>
        <v>946</v>
      </c>
      <c r="I19" s="55">
        <f t="shared" si="5"/>
        <v>1.3533806499813223</v>
      </c>
      <c r="J19" s="29">
        <v>3509</v>
      </c>
      <c r="K19" s="26"/>
      <c r="L19" s="30">
        <f>SUM(J19:K19)</f>
        <v>3509</v>
      </c>
      <c r="M19" s="28">
        <f t="shared" si="4"/>
        <v>-114</v>
      </c>
      <c r="N19" s="56">
        <f t="shared" si="6"/>
        <v>0.9685343637869169</v>
      </c>
    </row>
    <row r="20" spans="1:14" ht="21" customHeight="1">
      <c r="A20" s="40" t="s">
        <v>21</v>
      </c>
      <c r="B20" s="25">
        <v>249</v>
      </c>
      <c r="C20" s="26"/>
      <c r="D20" s="34">
        <f t="shared" si="8"/>
        <v>249</v>
      </c>
      <c r="E20" s="25">
        <v>662</v>
      </c>
      <c r="F20" s="26"/>
      <c r="G20" s="27">
        <f aca="true" t="shared" si="9" ref="G20:G36">SUM(E20:F20)</f>
        <v>662</v>
      </c>
      <c r="H20" s="35">
        <f t="shared" si="2"/>
        <v>413</v>
      </c>
      <c r="I20" s="36">
        <f t="shared" si="5"/>
        <v>2.6586345381526106</v>
      </c>
      <c r="J20" s="29">
        <v>350</v>
      </c>
      <c r="K20" s="26"/>
      <c r="L20" s="30">
        <f aca="true" t="shared" si="10" ref="L20:L36">SUM(J20:K20)</f>
        <v>350</v>
      </c>
      <c r="M20" s="35">
        <f t="shared" si="4"/>
        <v>-312</v>
      </c>
      <c r="N20" s="39">
        <f t="shared" si="6"/>
        <v>0.5287009063444109</v>
      </c>
    </row>
    <row r="21" spans="1:14" ht="13.5" customHeight="1">
      <c r="A21" s="31" t="s">
        <v>22</v>
      </c>
      <c r="B21" s="32">
        <v>474</v>
      </c>
      <c r="C21" s="33"/>
      <c r="D21" s="34">
        <f t="shared" si="8"/>
        <v>474</v>
      </c>
      <c r="E21" s="32">
        <v>538</v>
      </c>
      <c r="F21" s="33"/>
      <c r="G21" s="27">
        <f t="shared" si="9"/>
        <v>538</v>
      </c>
      <c r="H21" s="35">
        <f t="shared" si="2"/>
        <v>64</v>
      </c>
      <c r="I21" s="36">
        <f t="shared" si="5"/>
        <v>1.1350210970464134</v>
      </c>
      <c r="J21" s="37">
        <v>590</v>
      </c>
      <c r="K21" s="33"/>
      <c r="L21" s="30">
        <f t="shared" si="10"/>
        <v>590</v>
      </c>
      <c r="M21" s="35">
        <f t="shared" si="4"/>
        <v>52</v>
      </c>
      <c r="N21" s="39">
        <f t="shared" si="6"/>
        <v>1.096654275092937</v>
      </c>
    </row>
    <row r="22" spans="1:14" ht="13.5" customHeight="1">
      <c r="A22" s="40" t="s">
        <v>23</v>
      </c>
      <c r="B22" s="32"/>
      <c r="C22" s="33"/>
      <c r="D22" s="34">
        <f t="shared" si="8"/>
        <v>0</v>
      </c>
      <c r="E22" s="32"/>
      <c r="F22" s="33"/>
      <c r="G22" s="27">
        <f t="shared" si="9"/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794</v>
      </c>
      <c r="C24" s="33"/>
      <c r="D24" s="34">
        <f t="shared" si="8"/>
        <v>794</v>
      </c>
      <c r="E24" s="37">
        <v>1180</v>
      </c>
      <c r="F24" s="33"/>
      <c r="G24" s="27">
        <f t="shared" si="9"/>
        <v>1180</v>
      </c>
      <c r="H24" s="35">
        <f t="shared" si="2"/>
        <v>386</v>
      </c>
      <c r="I24" s="36">
        <f t="shared" si="5"/>
        <v>1.486146095717884</v>
      </c>
      <c r="J24" s="37">
        <v>1260</v>
      </c>
      <c r="K24" s="33"/>
      <c r="L24" s="30">
        <f t="shared" si="10"/>
        <v>1260</v>
      </c>
      <c r="M24" s="35">
        <f t="shared" si="4"/>
        <v>80</v>
      </c>
      <c r="N24" s="39">
        <f t="shared" si="6"/>
        <v>1.0677966101694916</v>
      </c>
    </row>
    <row r="25" spans="1:14" ht="13.5" customHeight="1">
      <c r="A25" s="40" t="s">
        <v>26</v>
      </c>
      <c r="B25" s="32">
        <v>141</v>
      </c>
      <c r="C25" s="33"/>
      <c r="D25" s="34">
        <f t="shared" si="8"/>
        <v>141</v>
      </c>
      <c r="E25" s="32">
        <v>332</v>
      </c>
      <c r="F25" s="33"/>
      <c r="G25" s="27">
        <f t="shared" si="9"/>
        <v>332</v>
      </c>
      <c r="H25" s="35">
        <f t="shared" si="2"/>
        <v>191</v>
      </c>
      <c r="I25" s="36">
        <f t="shared" si="5"/>
        <v>2.354609929078014</v>
      </c>
      <c r="J25" s="57">
        <v>380</v>
      </c>
      <c r="K25" s="33"/>
      <c r="L25" s="30">
        <f t="shared" si="10"/>
        <v>380</v>
      </c>
      <c r="M25" s="35">
        <f t="shared" si="4"/>
        <v>48</v>
      </c>
      <c r="N25" s="39">
        <f t="shared" si="6"/>
        <v>1.144578313253012</v>
      </c>
    </row>
    <row r="26" spans="1:14" ht="13.5" customHeight="1">
      <c r="A26" s="31" t="s">
        <v>27</v>
      </c>
      <c r="B26" s="32">
        <v>649</v>
      </c>
      <c r="C26" s="33"/>
      <c r="D26" s="34">
        <f t="shared" si="8"/>
        <v>649</v>
      </c>
      <c r="E26" s="32">
        <v>816</v>
      </c>
      <c r="F26" s="33"/>
      <c r="G26" s="27">
        <f t="shared" si="9"/>
        <v>816</v>
      </c>
      <c r="H26" s="35">
        <f t="shared" si="2"/>
        <v>167</v>
      </c>
      <c r="I26" s="36">
        <f t="shared" si="5"/>
        <v>1.2573189522342065</v>
      </c>
      <c r="J26" s="57">
        <v>880</v>
      </c>
      <c r="K26" s="33"/>
      <c r="L26" s="30">
        <f t="shared" si="10"/>
        <v>880</v>
      </c>
      <c r="M26" s="35">
        <f t="shared" si="4"/>
        <v>64</v>
      </c>
      <c r="N26" s="39">
        <f t="shared" si="6"/>
        <v>1.0784313725490196</v>
      </c>
    </row>
    <row r="27" spans="1:14" ht="13.5" customHeight="1">
      <c r="A27" s="58" t="s">
        <v>28</v>
      </c>
      <c r="B27" s="37">
        <v>8557</v>
      </c>
      <c r="C27" s="33"/>
      <c r="D27" s="34">
        <f t="shared" si="8"/>
        <v>8557</v>
      </c>
      <c r="E27" s="37">
        <v>9181</v>
      </c>
      <c r="F27" s="33"/>
      <c r="G27" s="27">
        <f t="shared" si="9"/>
        <v>9181</v>
      </c>
      <c r="H27" s="35">
        <f t="shared" si="2"/>
        <v>624</v>
      </c>
      <c r="I27" s="36">
        <f t="shared" si="5"/>
        <v>1.0729227533013908</v>
      </c>
      <c r="J27" s="37">
        <f>J28+J31</f>
        <v>9811</v>
      </c>
      <c r="K27" s="33"/>
      <c r="L27" s="30">
        <f t="shared" si="10"/>
        <v>9811</v>
      </c>
      <c r="M27" s="35">
        <f t="shared" si="4"/>
        <v>630</v>
      </c>
      <c r="N27" s="39">
        <f t="shared" si="6"/>
        <v>1.0686199760374686</v>
      </c>
    </row>
    <row r="28" spans="1:14" ht="13.5" customHeight="1">
      <c r="A28" s="40" t="s">
        <v>29</v>
      </c>
      <c r="B28" s="32">
        <v>6259</v>
      </c>
      <c r="C28" s="33"/>
      <c r="D28" s="34">
        <f t="shared" si="8"/>
        <v>6259</v>
      </c>
      <c r="E28" s="32">
        <v>6705</v>
      </c>
      <c r="F28" s="33"/>
      <c r="G28" s="27">
        <f t="shared" si="9"/>
        <v>6705</v>
      </c>
      <c r="H28" s="35">
        <f t="shared" si="2"/>
        <v>446</v>
      </c>
      <c r="I28" s="36">
        <f t="shared" si="5"/>
        <v>1.0712573893593225</v>
      </c>
      <c r="J28" s="57">
        <f>J29+J30</f>
        <v>7162</v>
      </c>
      <c r="K28" s="59"/>
      <c r="L28" s="30">
        <f t="shared" si="10"/>
        <v>7162</v>
      </c>
      <c r="M28" s="35">
        <f t="shared" si="4"/>
        <v>457</v>
      </c>
      <c r="N28" s="39">
        <f t="shared" si="6"/>
        <v>1.0681580909768829</v>
      </c>
    </row>
    <row r="29" spans="1:14" ht="13.5" customHeight="1">
      <c r="A29" s="58" t="s">
        <v>30</v>
      </c>
      <c r="B29" s="32">
        <v>6246</v>
      </c>
      <c r="C29" s="33"/>
      <c r="D29" s="34">
        <f t="shared" si="8"/>
        <v>6246</v>
      </c>
      <c r="E29" s="32">
        <v>6692</v>
      </c>
      <c r="F29" s="33"/>
      <c r="G29" s="27">
        <f t="shared" si="9"/>
        <v>6692</v>
      </c>
      <c r="H29" s="35">
        <f t="shared" si="2"/>
        <v>446</v>
      </c>
      <c r="I29" s="36">
        <f t="shared" si="5"/>
        <v>1.0714056996477745</v>
      </c>
      <c r="J29" s="37">
        <f>6781+361</f>
        <v>7142</v>
      </c>
      <c r="K29" s="33"/>
      <c r="L29" s="30">
        <f t="shared" si="10"/>
        <v>7142</v>
      </c>
      <c r="M29" s="35">
        <f t="shared" si="4"/>
        <v>450</v>
      </c>
      <c r="N29" s="39">
        <f t="shared" si="6"/>
        <v>1.0672444710101614</v>
      </c>
    </row>
    <row r="30" spans="1:14" ht="13.5" customHeight="1">
      <c r="A30" s="40" t="s">
        <v>31</v>
      </c>
      <c r="B30" s="32">
        <v>13</v>
      </c>
      <c r="C30" s="33"/>
      <c r="D30" s="34">
        <f t="shared" si="8"/>
        <v>13</v>
      </c>
      <c r="E30" s="32">
        <v>13</v>
      </c>
      <c r="F30" s="33"/>
      <c r="G30" s="27">
        <f t="shared" si="9"/>
        <v>13</v>
      </c>
      <c r="H30" s="35">
        <f t="shared" si="2"/>
        <v>0</v>
      </c>
      <c r="I30" s="36">
        <f t="shared" si="5"/>
        <v>1</v>
      </c>
      <c r="J30" s="37">
        <v>20</v>
      </c>
      <c r="K30" s="33"/>
      <c r="L30" s="30">
        <f t="shared" si="10"/>
        <v>20</v>
      </c>
      <c r="M30" s="35">
        <f t="shared" si="4"/>
        <v>7</v>
      </c>
      <c r="N30" s="39">
        <f t="shared" si="6"/>
        <v>1.5384615384615385</v>
      </c>
    </row>
    <row r="31" spans="1:14" ht="13.5" customHeight="1">
      <c r="A31" s="40" t="s">
        <v>32</v>
      </c>
      <c r="B31" s="32">
        <v>2298</v>
      </c>
      <c r="C31" s="33"/>
      <c r="D31" s="34">
        <f t="shared" si="8"/>
        <v>2298</v>
      </c>
      <c r="E31" s="32">
        <v>2476</v>
      </c>
      <c r="F31" s="33"/>
      <c r="G31" s="27">
        <f t="shared" si="9"/>
        <v>2476</v>
      </c>
      <c r="H31" s="35">
        <f t="shared" si="2"/>
        <v>178</v>
      </c>
      <c r="I31" s="36">
        <f t="shared" si="5"/>
        <v>1.0774586597040905</v>
      </c>
      <c r="J31" s="37">
        <f>2516+133</f>
        <v>2649</v>
      </c>
      <c r="K31" s="33"/>
      <c r="L31" s="30">
        <f t="shared" si="10"/>
        <v>2649</v>
      </c>
      <c r="M31" s="35">
        <f t="shared" si="4"/>
        <v>173</v>
      </c>
      <c r="N31" s="39">
        <f t="shared" si="6"/>
        <v>1.069870759289176</v>
      </c>
    </row>
    <row r="32" spans="1:14" ht="13.5" customHeight="1">
      <c r="A32" s="58" t="s">
        <v>33</v>
      </c>
      <c r="B32" s="32">
        <v>36</v>
      </c>
      <c r="C32" s="33"/>
      <c r="D32" s="34">
        <f t="shared" si="8"/>
        <v>36</v>
      </c>
      <c r="E32" s="32">
        <v>8</v>
      </c>
      <c r="F32" s="33"/>
      <c r="G32" s="27">
        <f t="shared" si="9"/>
        <v>8</v>
      </c>
      <c r="H32" s="35">
        <f t="shared" si="2"/>
        <v>-28</v>
      </c>
      <c r="I32" s="36">
        <f t="shared" si="5"/>
        <v>0.2222222222222222</v>
      </c>
      <c r="J32" s="37">
        <v>10</v>
      </c>
      <c r="K32" s="33"/>
      <c r="L32" s="30">
        <f t="shared" si="10"/>
        <v>10</v>
      </c>
      <c r="M32" s="35">
        <f t="shared" si="4"/>
        <v>2</v>
      </c>
      <c r="N32" s="39">
        <f t="shared" si="6"/>
        <v>1.25</v>
      </c>
    </row>
    <row r="33" spans="1:14" ht="13.5" customHeight="1">
      <c r="A33" s="58" t="s">
        <v>34</v>
      </c>
      <c r="B33" s="32">
        <v>108</v>
      </c>
      <c r="C33" s="33"/>
      <c r="D33" s="34">
        <f t="shared" si="8"/>
        <v>108</v>
      </c>
      <c r="E33" s="32">
        <v>118</v>
      </c>
      <c r="F33" s="33"/>
      <c r="G33" s="27">
        <f t="shared" si="9"/>
        <v>118</v>
      </c>
      <c r="H33" s="35">
        <f t="shared" si="2"/>
        <v>10</v>
      </c>
      <c r="I33" s="36">
        <f t="shared" si="5"/>
        <v>1.0925925925925926</v>
      </c>
      <c r="J33" s="37">
        <v>120</v>
      </c>
      <c r="K33" s="33"/>
      <c r="L33" s="30">
        <f t="shared" si="10"/>
        <v>120</v>
      </c>
      <c r="M33" s="35">
        <f t="shared" si="4"/>
        <v>2</v>
      </c>
      <c r="N33" s="39">
        <f t="shared" si="6"/>
        <v>1.0169491525423728</v>
      </c>
    </row>
    <row r="34" spans="1:14" ht="13.5" customHeight="1">
      <c r="A34" s="40" t="s">
        <v>35</v>
      </c>
      <c r="B34" s="32">
        <v>88</v>
      </c>
      <c r="C34" s="33"/>
      <c r="D34" s="34">
        <f t="shared" si="8"/>
        <v>88</v>
      </c>
      <c r="E34" s="32">
        <v>191</v>
      </c>
      <c r="F34" s="33"/>
      <c r="G34" s="27">
        <f t="shared" si="9"/>
        <v>191</v>
      </c>
      <c r="H34" s="35">
        <f t="shared" si="2"/>
        <v>103</v>
      </c>
      <c r="I34" s="36">
        <f t="shared" si="5"/>
        <v>2.1704545454545454</v>
      </c>
      <c r="J34" s="57">
        <v>194</v>
      </c>
      <c r="K34" s="33"/>
      <c r="L34" s="30">
        <f t="shared" si="10"/>
        <v>194</v>
      </c>
      <c r="M34" s="35">
        <f t="shared" si="4"/>
        <v>3</v>
      </c>
      <c r="N34" s="39">
        <f t="shared" si="6"/>
        <v>1.0157068062827226</v>
      </c>
    </row>
    <row r="35" spans="1:14" ht="22.5" customHeight="1">
      <c r="A35" s="40" t="s">
        <v>36</v>
      </c>
      <c r="B35" s="32">
        <v>88</v>
      </c>
      <c r="C35" s="33"/>
      <c r="D35" s="34">
        <f t="shared" si="8"/>
        <v>88</v>
      </c>
      <c r="E35" s="32">
        <v>191</v>
      </c>
      <c r="F35" s="33"/>
      <c r="G35" s="27">
        <f t="shared" si="9"/>
        <v>191</v>
      </c>
      <c r="H35" s="35">
        <f t="shared" si="2"/>
        <v>103</v>
      </c>
      <c r="I35" s="36">
        <f t="shared" si="5"/>
        <v>2.1704545454545454</v>
      </c>
      <c r="J35" s="57">
        <v>194</v>
      </c>
      <c r="K35" s="33"/>
      <c r="L35" s="30">
        <f t="shared" si="10"/>
        <v>194</v>
      </c>
      <c r="M35" s="35">
        <f t="shared" si="4"/>
        <v>3</v>
      </c>
      <c r="N35" s="39">
        <f t="shared" si="6"/>
        <v>1.0157068062827226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12734</v>
      </c>
      <c r="C37" s="48">
        <f t="shared" si="11"/>
        <v>0</v>
      </c>
      <c r="D37" s="49">
        <f t="shared" si="11"/>
        <v>12734</v>
      </c>
      <c r="E37" s="47">
        <f t="shared" si="11"/>
        <v>14839</v>
      </c>
      <c r="F37" s="48">
        <f t="shared" si="11"/>
        <v>0</v>
      </c>
      <c r="G37" s="49">
        <f t="shared" si="11"/>
        <v>14839</v>
      </c>
      <c r="H37" s="50">
        <f t="shared" si="2"/>
        <v>2105</v>
      </c>
      <c r="I37" s="51">
        <f t="shared" si="5"/>
        <v>1.165305481388409</v>
      </c>
      <c r="J37" s="52">
        <f>SUM(J19+J21+J22+J23+J24+J27+J32+J33+J34+J36)</f>
        <v>15494</v>
      </c>
      <c r="K37" s="48">
        <f>SUM(K19+K21+K22+K23+K24+K27+K32+K33+K34+K36)</f>
        <v>0</v>
      </c>
      <c r="L37" s="49">
        <f>SUM(L19+L21+L22+L23+L24+L27+L32+L33+L34+L36)</f>
        <v>15494</v>
      </c>
      <c r="M37" s="50">
        <f t="shared" si="4"/>
        <v>655</v>
      </c>
      <c r="N37" s="53">
        <f t="shared" si="6"/>
        <v>1.0441404407305075</v>
      </c>
    </row>
    <row r="38" spans="1:14" ht="13.5" customHeight="1" thickBot="1">
      <c r="A38" s="46" t="s">
        <v>39</v>
      </c>
      <c r="B38" s="680">
        <f>+D18-D37</f>
        <v>20</v>
      </c>
      <c r="C38" s="681"/>
      <c r="D38" s="682"/>
      <c r="E38" s="680">
        <f>+G18-G37</f>
        <v>14</v>
      </c>
      <c r="F38" s="681"/>
      <c r="G38" s="682">
        <v>-50784</v>
      </c>
      <c r="H38" s="62">
        <f>+E38-B38</f>
        <v>-6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144</v>
      </c>
      <c r="B43" s="683"/>
      <c r="C43" s="66">
        <v>620</v>
      </c>
      <c r="D43" s="679" t="s">
        <v>145</v>
      </c>
      <c r="E43" s="657"/>
      <c r="F43" s="657"/>
      <c r="G43" s="67">
        <v>107</v>
      </c>
      <c r="H43" s="658" t="s">
        <v>498</v>
      </c>
      <c r="I43" s="659"/>
      <c r="J43" s="659"/>
      <c r="K43" s="659"/>
      <c r="L43" s="68">
        <v>67</v>
      </c>
      <c r="O43"/>
      <c r="P43"/>
    </row>
    <row r="44" spans="1:16" ht="12.75">
      <c r="A44" s="639" t="s">
        <v>146</v>
      </c>
      <c r="B44" s="646"/>
      <c r="C44" s="69">
        <v>112</v>
      </c>
      <c r="D44" s="679"/>
      <c r="E44" s="657"/>
      <c r="F44" s="657"/>
      <c r="G44" s="70"/>
      <c r="H44" s="658"/>
      <c r="I44" s="659"/>
      <c r="J44" s="659"/>
      <c r="K44" s="659"/>
      <c r="L44" s="68"/>
      <c r="O44"/>
      <c r="P44"/>
    </row>
    <row r="45" spans="1:16" ht="12.75">
      <c r="A45" s="639" t="s">
        <v>270</v>
      </c>
      <c r="B45" s="646"/>
      <c r="C45" s="69">
        <v>554</v>
      </c>
      <c r="D45" s="679"/>
      <c r="E45" s="657"/>
      <c r="F45" s="657"/>
      <c r="G45" s="70"/>
      <c r="H45" s="658"/>
      <c r="I45" s="659"/>
      <c r="J45" s="659"/>
      <c r="K45" s="659"/>
      <c r="L45" s="68"/>
      <c r="O45"/>
      <c r="P45"/>
    </row>
    <row r="46" spans="1:16" ht="12.75">
      <c r="A46" s="647"/>
      <c r="B46" s="674"/>
      <c r="C46" s="71"/>
      <c r="D46" s="647"/>
      <c r="E46" s="648"/>
      <c r="F46" s="674"/>
      <c r="G46" s="72"/>
      <c r="H46" s="643"/>
      <c r="I46" s="644"/>
      <c r="J46" s="644"/>
      <c r="K46" s="645"/>
      <c r="L46" s="68"/>
      <c r="O46"/>
      <c r="P46"/>
    </row>
    <row r="47" spans="1:16" ht="12.75">
      <c r="A47" s="647"/>
      <c r="B47" s="674"/>
      <c r="C47" s="71"/>
      <c r="D47" s="647"/>
      <c r="E47" s="648"/>
      <c r="F47" s="674"/>
      <c r="G47" s="72"/>
      <c r="H47" s="643"/>
      <c r="I47" s="644"/>
      <c r="J47" s="644"/>
      <c r="K47" s="645"/>
      <c r="L47" s="68"/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/>
      <c r="I48" s="644"/>
      <c r="J48" s="644"/>
      <c r="K48" s="645"/>
      <c r="L48" s="68"/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/>
      <c r="B50" s="635"/>
      <c r="C50" s="73">
        <f>SUM(C43:C49)</f>
        <v>1286</v>
      </c>
      <c r="D50" s="660" t="s">
        <v>5</v>
      </c>
      <c r="E50" s="661"/>
      <c r="F50" s="661"/>
      <c r="G50" s="73">
        <f>SUM(G43:G44)</f>
        <v>107</v>
      </c>
      <c r="H50" s="637" t="s">
        <v>5</v>
      </c>
      <c r="I50" s="638"/>
      <c r="J50" s="638"/>
      <c r="K50" s="638"/>
      <c r="L50" s="73">
        <f>SUM(L43:L44)</f>
        <v>67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730"/>
      <c r="I53" s="731"/>
      <c r="J53" s="731"/>
      <c r="K53" s="732"/>
      <c r="L53" s="733"/>
      <c r="O53"/>
      <c r="P53"/>
    </row>
    <row r="54" spans="1:16" ht="12.75">
      <c r="A54" s="654" t="s">
        <v>147</v>
      </c>
      <c r="B54" s="655"/>
      <c r="C54" s="66">
        <v>20</v>
      </c>
      <c r="D54" s="656" t="s">
        <v>271</v>
      </c>
      <c r="E54" s="657"/>
      <c r="F54" s="657"/>
      <c r="G54" s="76">
        <v>64</v>
      </c>
      <c r="H54" s="734" t="s">
        <v>271</v>
      </c>
      <c r="I54" s="735"/>
      <c r="J54" s="735"/>
      <c r="K54" s="735"/>
      <c r="L54" s="160">
        <v>100</v>
      </c>
      <c r="O54"/>
      <c r="P54"/>
    </row>
    <row r="55" spans="1:16" ht="13.5" customHeight="1">
      <c r="A55" s="639" t="s">
        <v>271</v>
      </c>
      <c r="B55" s="649"/>
      <c r="C55" s="69">
        <v>52</v>
      </c>
      <c r="D55" s="642" t="s">
        <v>272</v>
      </c>
      <c r="E55" s="646"/>
      <c r="F55" s="646"/>
      <c r="G55" s="77">
        <v>6</v>
      </c>
      <c r="H55" s="650" t="s">
        <v>148</v>
      </c>
      <c r="I55" s="651"/>
      <c r="J55" s="651"/>
      <c r="K55" s="651"/>
      <c r="L55" s="78">
        <v>140</v>
      </c>
      <c r="O55"/>
      <c r="P55"/>
    </row>
    <row r="56" spans="1:16" ht="13.5" customHeight="1">
      <c r="A56" s="639" t="s">
        <v>149</v>
      </c>
      <c r="B56" s="640"/>
      <c r="C56" s="69">
        <v>10</v>
      </c>
      <c r="D56" s="642" t="s">
        <v>149</v>
      </c>
      <c r="E56" s="646"/>
      <c r="F56" s="646"/>
      <c r="G56" s="77">
        <v>68</v>
      </c>
      <c r="H56" s="650" t="s">
        <v>273</v>
      </c>
      <c r="I56" s="736"/>
      <c r="J56" s="736"/>
      <c r="K56" s="736"/>
      <c r="L56" s="78">
        <v>60</v>
      </c>
      <c r="O56"/>
      <c r="P56"/>
    </row>
    <row r="57" spans="1:16" ht="13.5" customHeight="1">
      <c r="A57" s="639" t="s">
        <v>274</v>
      </c>
      <c r="B57" s="640"/>
      <c r="C57" s="69">
        <v>32</v>
      </c>
      <c r="D57" s="642" t="s">
        <v>148</v>
      </c>
      <c r="E57" s="646"/>
      <c r="F57" s="646"/>
      <c r="G57" s="77">
        <v>33</v>
      </c>
      <c r="H57" s="650" t="s">
        <v>274</v>
      </c>
      <c r="I57" s="736"/>
      <c r="J57" s="736"/>
      <c r="K57" s="736"/>
      <c r="L57" s="78">
        <v>50</v>
      </c>
      <c r="O57"/>
      <c r="P57"/>
    </row>
    <row r="58" spans="1:16" ht="13.5" customHeight="1">
      <c r="A58" s="647" t="s">
        <v>275</v>
      </c>
      <c r="B58" s="648"/>
      <c r="C58" s="71">
        <v>27</v>
      </c>
      <c r="D58" s="641" t="s">
        <v>150</v>
      </c>
      <c r="E58" s="641"/>
      <c r="F58" s="642"/>
      <c r="G58" s="178">
        <v>39</v>
      </c>
      <c r="H58" s="650" t="s">
        <v>275</v>
      </c>
      <c r="I58" s="651"/>
      <c r="J58" s="651"/>
      <c r="K58" s="651"/>
      <c r="L58" s="78">
        <v>30</v>
      </c>
      <c r="O58"/>
      <c r="P58"/>
    </row>
    <row r="59" spans="1:16" ht="13.5" customHeight="1">
      <c r="A59" s="639"/>
      <c r="B59" s="640"/>
      <c r="C59" s="71"/>
      <c r="D59" s="641" t="s">
        <v>276</v>
      </c>
      <c r="E59" s="641"/>
      <c r="F59" s="642"/>
      <c r="G59" s="178">
        <v>13</v>
      </c>
      <c r="H59" s="650"/>
      <c r="I59" s="736"/>
      <c r="J59" s="736"/>
      <c r="K59" s="736"/>
      <c r="L59" s="78"/>
      <c r="O59"/>
      <c r="P59"/>
    </row>
    <row r="60" spans="1:16" ht="13.5" customHeight="1">
      <c r="A60" s="646"/>
      <c r="B60" s="640"/>
      <c r="C60" s="69"/>
      <c r="D60" s="642" t="s">
        <v>274</v>
      </c>
      <c r="E60" s="646"/>
      <c r="F60" s="646"/>
      <c r="G60" s="77">
        <v>79</v>
      </c>
      <c r="H60" s="650"/>
      <c r="I60" s="736"/>
      <c r="J60" s="736"/>
      <c r="K60" s="736"/>
      <c r="L60" s="503"/>
      <c r="O60"/>
      <c r="P60"/>
    </row>
    <row r="61" spans="1:16" ht="13.5" thickBot="1">
      <c r="A61" s="627"/>
      <c r="B61" s="628"/>
      <c r="C61" s="80"/>
      <c r="D61" s="629" t="s">
        <v>275</v>
      </c>
      <c r="E61" s="630"/>
      <c r="F61" s="630"/>
      <c r="G61" s="81">
        <v>30</v>
      </c>
      <c r="H61" s="739"/>
      <c r="I61" s="740"/>
      <c r="J61" s="740"/>
      <c r="K61" s="740"/>
      <c r="L61" s="504"/>
      <c r="O61"/>
      <c r="P61"/>
    </row>
    <row r="62" spans="1:16" ht="13.5" thickBot="1">
      <c r="A62" s="633" t="s">
        <v>5</v>
      </c>
      <c r="B62" s="634"/>
      <c r="C62" s="83">
        <f>SUM(C54:C61)</f>
        <v>141</v>
      </c>
      <c r="D62" s="635" t="s">
        <v>5</v>
      </c>
      <c r="E62" s="636"/>
      <c r="F62" s="636"/>
      <c r="G62" s="83">
        <f>SUM(G54:G61)</f>
        <v>332</v>
      </c>
      <c r="H62" s="737" t="s">
        <v>5</v>
      </c>
      <c r="I62" s="738"/>
      <c r="J62" s="738"/>
      <c r="K62" s="738"/>
      <c r="L62" s="448">
        <f>SUM(L54:L61)</f>
        <v>380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14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30</v>
      </c>
      <c r="I67" s="580" t="s">
        <v>179</v>
      </c>
      <c r="J67" s="582"/>
      <c r="K67" s="582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16</v>
      </c>
      <c r="C68" s="583" t="s">
        <v>175</v>
      </c>
      <c r="D68" s="583"/>
      <c r="E68" s="159">
        <v>0</v>
      </c>
      <c r="F68" s="584" t="s">
        <v>177</v>
      </c>
      <c r="G68" s="585"/>
      <c r="H68" s="151">
        <v>12</v>
      </c>
      <c r="I68" s="583"/>
      <c r="J68" s="585"/>
      <c r="K68" s="585"/>
      <c r="L68" s="159"/>
      <c r="M68" s="84"/>
      <c r="N68" s="84"/>
    </row>
    <row r="69" spans="1:14" s="1" customFormat="1" ht="12.75">
      <c r="A69" s="158" t="s">
        <v>175</v>
      </c>
      <c r="B69" s="151"/>
      <c r="C69" s="583"/>
      <c r="D69" s="583"/>
      <c r="E69" s="159"/>
      <c r="F69" s="583" t="s">
        <v>175</v>
      </c>
      <c r="G69" s="583"/>
      <c r="H69" s="151"/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30</v>
      </c>
      <c r="C71" s="589" t="s">
        <v>5</v>
      </c>
      <c r="D71" s="589"/>
      <c r="E71" s="165">
        <f>SUM(E67:E70)</f>
        <v>0</v>
      </c>
      <c r="F71" s="590" t="s">
        <v>5</v>
      </c>
      <c r="G71" s="591"/>
      <c r="H71" s="161">
        <f>SUM(H67:H70)</f>
        <v>42</v>
      </c>
      <c r="I71" s="589" t="s">
        <v>5</v>
      </c>
      <c r="J71" s="591"/>
      <c r="K71" s="591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30</v>
      </c>
      <c r="C72" s="84"/>
      <c r="D72" s="84"/>
      <c r="E72" s="84"/>
      <c r="F72" s="592" t="s">
        <v>534</v>
      </c>
      <c r="G72" s="593"/>
      <c r="H72" s="183">
        <f>H71-L71</f>
        <v>42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601" t="s">
        <v>73</v>
      </c>
      <c r="B76" s="604" t="s">
        <v>495</v>
      </c>
      <c r="C76" s="607" t="s">
        <v>477</v>
      </c>
      <c r="D76" s="608"/>
      <c r="E76" s="608"/>
      <c r="F76" s="608"/>
      <c r="G76" s="608"/>
      <c r="H76" s="608"/>
      <c r="I76" s="609"/>
      <c r="J76" s="610" t="s">
        <v>496</v>
      </c>
      <c r="K76" s="7"/>
      <c r="L76" s="594" t="s">
        <v>48</v>
      </c>
      <c r="M76" s="595"/>
      <c r="N76" s="193">
        <v>2004</v>
      </c>
      <c r="O76" s="194">
        <v>2005</v>
      </c>
    </row>
    <row r="77" spans="1:15" s="1" customFormat="1" ht="12.75">
      <c r="A77" s="602"/>
      <c r="B77" s="605"/>
      <c r="C77" s="596" t="s">
        <v>76</v>
      </c>
      <c r="D77" s="598" t="s">
        <v>77</v>
      </c>
      <c r="E77" s="599"/>
      <c r="F77" s="599"/>
      <c r="G77" s="599"/>
      <c r="H77" s="599"/>
      <c r="I77" s="600"/>
      <c r="J77" s="611"/>
      <c r="K77" s="7"/>
      <c r="L77" s="197" t="s">
        <v>178</v>
      </c>
      <c r="M77" s="197"/>
      <c r="N77" s="192"/>
      <c r="O77" s="195"/>
    </row>
    <row r="78" spans="1:15" s="1" customFormat="1" ht="13.5" thickBot="1">
      <c r="A78" s="603"/>
      <c r="B78" s="606"/>
      <c r="C78" s="597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612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8000</v>
      </c>
      <c r="B79" s="117">
        <v>5044</v>
      </c>
      <c r="C79" s="170">
        <v>194</v>
      </c>
      <c r="D79" s="171">
        <v>83</v>
      </c>
      <c r="E79" s="171">
        <v>44</v>
      </c>
      <c r="F79" s="171">
        <v>0</v>
      </c>
      <c r="G79" s="171">
        <v>20</v>
      </c>
      <c r="H79" s="170">
        <v>6</v>
      </c>
      <c r="I79" s="185">
        <v>41</v>
      </c>
      <c r="J79" s="118">
        <f>SUM(A79-B79-C79)</f>
        <v>2762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618" t="s">
        <v>112</v>
      </c>
      <c r="B83" s="620" t="s">
        <v>482</v>
      </c>
      <c r="C83" s="622" t="s">
        <v>480</v>
      </c>
      <c r="D83" s="623"/>
      <c r="E83" s="623"/>
      <c r="F83" s="624"/>
      <c r="G83" s="625" t="s">
        <v>483</v>
      </c>
      <c r="H83" s="613" t="s">
        <v>78</v>
      </c>
      <c r="I83" s="615" t="s">
        <v>481</v>
      </c>
      <c r="J83" s="616"/>
      <c r="K83" s="616"/>
      <c r="L83" s="617"/>
    </row>
    <row r="84" spans="1:12" s="1" customFormat="1" ht="18.75" thickBot="1">
      <c r="A84" s="619"/>
      <c r="B84" s="621"/>
      <c r="C84" s="119" t="s">
        <v>81</v>
      </c>
      <c r="D84" s="120" t="s">
        <v>79</v>
      </c>
      <c r="E84" s="120" t="s">
        <v>80</v>
      </c>
      <c r="F84" s="121" t="s">
        <v>114</v>
      </c>
      <c r="G84" s="626"/>
      <c r="H84" s="614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635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1213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69.1</v>
      </c>
      <c r="C86" s="130">
        <v>69</v>
      </c>
      <c r="D86" s="131">
        <v>3</v>
      </c>
      <c r="E86" s="131">
        <v>0</v>
      </c>
      <c r="F86" s="132">
        <f>C86+D86-E86</f>
        <v>72</v>
      </c>
      <c r="G86" s="133">
        <v>72.6</v>
      </c>
      <c r="H86" s="453">
        <f>+G86-F86</f>
        <v>0.5999999999999943</v>
      </c>
      <c r="I86" s="130">
        <v>72</v>
      </c>
      <c r="J86" s="131">
        <v>2</v>
      </c>
      <c r="K86" s="131">
        <v>0</v>
      </c>
      <c r="L86" s="132">
        <f>I86+J86-K86</f>
        <v>74</v>
      </c>
    </row>
    <row r="87" spans="1:12" s="1" customFormat="1" ht="12.75">
      <c r="A87" s="128" t="s">
        <v>85</v>
      </c>
      <c r="B87" s="129">
        <v>14.25</v>
      </c>
      <c r="C87" s="130">
        <v>14</v>
      </c>
      <c r="D87" s="131">
        <v>16</v>
      </c>
      <c r="E87" s="131">
        <v>0</v>
      </c>
      <c r="F87" s="132">
        <f>C87+D87-E87</f>
        <v>30</v>
      </c>
      <c r="G87" s="133">
        <v>30.36</v>
      </c>
      <c r="H87" s="453">
        <f>+G87-F87</f>
        <v>0.35999999999999943</v>
      </c>
      <c r="I87" s="130">
        <v>30</v>
      </c>
      <c r="J87" s="131">
        <v>12</v>
      </c>
      <c r="K87" s="131">
        <v>0</v>
      </c>
      <c r="L87" s="132">
        <f>I87+J87-K87</f>
        <v>42</v>
      </c>
    </row>
    <row r="88" spans="1:12" s="1" customFormat="1" ht="12.75">
      <c r="A88" s="128" t="s">
        <v>113</v>
      </c>
      <c r="B88" s="129">
        <v>23.29</v>
      </c>
      <c r="C88" s="130">
        <v>23</v>
      </c>
      <c r="D88" s="131">
        <v>191</v>
      </c>
      <c r="E88" s="131">
        <v>143</v>
      </c>
      <c r="F88" s="132">
        <f>C88+D88-E88</f>
        <v>71</v>
      </c>
      <c r="G88" s="133">
        <v>71.49</v>
      </c>
      <c r="H88" s="453">
        <f>+G88-F88</f>
        <v>0.4899999999999949</v>
      </c>
      <c r="I88" s="461">
        <v>71</v>
      </c>
      <c r="J88" s="447">
        <v>194</v>
      </c>
      <c r="K88" s="447">
        <v>67</v>
      </c>
      <c r="L88" s="132">
        <f>I88+J88-K88</f>
        <v>198</v>
      </c>
    </row>
    <row r="89" spans="1:12" s="1" customFormat="1" ht="12.75">
      <c r="A89" s="128" t="s">
        <v>86</v>
      </c>
      <c r="B89" s="129">
        <v>528.36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1038.55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241.67</v>
      </c>
      <c r="C90" s="136">
        <v>301</v>
      </c>
      <c r="D90" s="137">
        <v>134</v>
      </c>
      <c r="E90" s="137">
        <v>154</v>
      </c>
      <c r="F90" s="138">
        <v>281</v>
      </c>
      <c r="G90" s="139">
        <v>173.8</v>
      </c>
      <c r="H90" s="454">
        <f>+G90-F90</f>
        <v>-107.19999999999999</v>
      </c>
      <c r="I90" s="136">
        <v>281</v>
      </c>
      <c r="J90" s="137">
        <v>142</v>
      </c>
      <c r="K90" s="137">
        <v>170</v>
      </c>
      <c r="L90" s="138">
        <f>I90+J90-K90</f>
        <v>253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173.62</v>
      </c>
      <c r="C95" s="131">
        <v>172</v>
      </c>
      <c r="D95" s="131"/>
      <c r="E95" s="131"/>
      <c r="F95" s="131"/>
      <c r="G95" s="129">
        <v>2</v>
      </c>
      <c r="H95" s="132">
        <f>SUM(C95:G95)</f>
        <v>174</v>
      </c>
      <c r="I95" s="89"/>
      <c r="J95" s="93">
        <v>2005</v>
      </c>
      <c r="K95" s="94">
        <v>6835</v>
      </c>
      <c r="L95" s="95">
        <f>+G29</f>
        <v>6692</v>
      </c>
    </row>
    <row r="96" spans="1:12" ht="13.5" thickBot="1">
      <c r="A96" s="145" t="s">
        <v>95</v>
      </c>
      <c r="B96" s="135">
        <v>1288.6</v>
      </c>
      <c r="C96" s="137">
        <v>1289</v>
      </c>
      <c r="D96" s="137"/>
      <c r="E96" s="137"/>
      <c r="F96" s="137"/>
      <c r="G96" s="135"/>
      <c r="H96" s="138">
        <f>SUM(C96:G96)</f>
        <v>1289</v>
      </c>
      <c r="I96" s="89"/>
      <c r="J96" s="96">
        <v>2006</v>
      </c>
      <c r="K96" s="97">
        <f>+L29</f>
        <v>7142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3.73</v>
      </c>
      <c r="C101" s="103">
        <v>3.27</v>
      </c>
      <c r="D101" s="103">
        <f>+C101-B101</f>
        <v>-0.45999999999999996</v>
      </c>
      <c r="E101" s="103">
        <v>3.27</v>
      </c>
      <c r="F101" s="103">
        <v>3.27</v>
      </c>
      <c r="G101" s="104">
        <f>+F101-E101</f>
        <v>0</v>
      </c>
      <c r="H101" s="105">
        <v>16471</v>
      </c>
      <c r="I101" s="106">
        <v>18460</v>
      </c>
      <c r="J101" s="107">
        <f>+I101-H101</f>
        <v>1989</v>
      </c>
    </row>
    <row r="102" spans="1:10" ht="12.75">
      <c r="A102" s="102" t="s">
        <v>98</v>
      </c>
      <c r="B102" s="103">
        <v>6.07</v>
      </c>
      <c r="C102" s="103">
        <v>6</v>
      </c>
      <c r="D102" s="103">
        <f aca="true" t="shared" si="12" ref="D102:D111">+C102-B102</f>
        <v>-0.07000000000000028</v>
      </c>
      <c r="E102" s="103">
        <v>5.8</v>
      </c>
      <c r="F102" s="103">
        <v>6</v>
      </c>
      <c r="G102" s="104">
        <f aca="true" t="shared" si="13" ref="G102:G111">+F102-E102</f>
        <v>0.20000000000000018</v>
      </c>
      <c r="H102" s="105">
        <v>17554</v>
      </c>
      <c r="I102" s="108">
        <v>17212</v>
      </c>
      <c r="J102" s="107">
        <f aca="true" t="shared" si="14" ref="J102:J111">+I102-H102</f>
        <v>-342</v>
      </c>
    </row>
    <row r="103" spans="1:10" ht="12.75">
      <c r="A103" s="102" t="s">
        <v>60</v>
      </c>
      <c r="B103" s="103">
        <v>0.87</v>
      </c>
      <c r="C103" s="103"/>
      <c r="D103" s="103">
        <f t="shared" si="12"/>
        <v>-0.87</v>
      </c>
      <c r="E103" s="103">
        <v>0</v>
      </c>
      <c r="F103" s="103"/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61</v>
      </c>
      <c r="B104" s="103">
        <v>2.46</v>
      </c>
      <c r="C104" s="103"/>
      <c r="D104" s="103">
        <f t="shared" si="12"/>
        <v>-2.46</v>
      </c>
      <c r="E104" s="103">
        <v>0</v>
      </c>
      <c r="F104" s="103"/>
      <c r="G104" s="104">
        <f t="shared" si="13"/>
        <v>0</v>
      </c>
      <c r="H104" s="105"/>
      <c r="I104" s="108"/>
      <c r="J104" s="107">
        <f t="shared" si="14"/>
        <v>0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>
        <v>0</v>
      </c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>
        <v>7</v>
      </c>
      <c r="C106" s="103">
        <v>4.5</v>
      </c>
      <c r="D106" s="103">
        <f t="shared" si="12"/>
        <v>-2.5</v>
      </c>
      <c r="E106" s="103">
        <v>5</v>
      </c>
      <c r="F106" s="103">
        <v>4</v>
      </c>
      <c r="G106" s="104">
        <f t="shared" si="13"/>
        <v>-1</v>
      </c>
      <c r="H106" s="105">
        <v>13476</v>
      </c>
      <c r="I106" s="108">
        <v>15682</v>
      </c>
      <c r="J106" s="107">
        <f t="shared" si="14"/>
        <v>2206</v>
      </c>
    </row>
    <row r="107" spans="1:10" ht="12.75">
      <c r="A107" s="102" t="s">
        <v>64</v>
      </c>
      <c r="B107" s="103">
        <v>6.87</v>
      </c>
      <c r="C107" s="103"/>
      <c r="D107" s="103">
        <f t="shared" si="12"/>
        <v>-6.87</v>
      </c>
      <c r="E107" s="103">
        <v>0</v>
      </c>
      <c r="F107" s="103"/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65</v>
      </c>
      <c r="B108" s="103">
        <v>1</v>
      </c>
      <c r="C108" s="103">
        <v>16.5</v>
      </c>
      <c r="D108" s="103">
        <f t="shared" si="12"/>
        <v>15.5</v>
      </c>
      <c r="E108" s="103">
        <v>15.73</v>
      </c>
      <c r="F108" s="103">
        <v>16</v>
      </c>
      <c r="G108" s="104">
        <f t="shared" si="13"/>
        <v>0.2699999999999996</v>
      </c>
      <c r="H108" s="105">
        <v>11377</v>
      </c>
      <c r="I108" s="108">
        <v>12946</v>
      </c>
      <c r="J108" s="107">
        <f t="shared" si="14"/>
        <v>1569</v>
      </c>
    </row>
    <row r="109" spans="1:10" ht="12.75">
      <c r="A109" s="102" t="s">
        <v>66</v>
      </c>
      <c r="B109" s="103">
        <v>1</v>
      </c>
      <c r="C109" s="103">
        <v>1</v>
      </c>
      <c r="D109" s="103">
        <f t="shared" si="12"/>
        <v>0</v>
      </c>
      <c r="E109" s="103">
        <v>1</v>
      </c>
      <c r="F109" s="103">
        <v>1</v>
      </c>
      <c r="G109" s="104">
        <f t="shared" si="13"/>
        <v>0</v>
      </c>
      <c r="H109" s="105">
        <v>13763</v>
      </c>
      <c r="I109" s="108">
        <v>13879</v>
      </c>
      <c r="J109" s="107">
        <f t="shared" si="14"/>
        <v>116</v>
      </c>
    </row>
    <row r="110" spans="1:10" ht="12.75">
      <c r="A110" s="102" t="s">
        <v>67</v>
      </c>
      <c r="B110" s="103">
        <v>10.95</v>
      </c>
      <c r="C110" s="103">
        <v>10.35</v>
      </c>
      <c r="D110" s="103">
        <f t="shared" si="12"/>
        <v>-0.5999999999999996</v>
      </c>
      <c r="E110" s="103">
        <v>9.95</v>
      </c>
      <c r="F110" s="103">
        <v>10.35</v>
      </c>
      <c r="G110" s="104">
        <f t="shared" si="13"/>
        <v>0.40000000000000036</v>
      </c>
      <c r="H110" s="105">
        <v>10594</v>
      </c>
      <c r="I110" s="108">
        <v>10574</v>
      </c>
      <c r="J110" s="107">
        <f t="shared" si="14"/>
        <v>-20</v>
      </c>
    </row>
    <row r="111" spans="1:10" ht="13.5" thickBot="1">
      <c r="A111" s="109" t="s">
        <v>5</v>
      </c>
      <c r="B111" s="110">
        <v>39.95</v>
      </c>
      <c r="C111" s="110">
        <v>41.62</v>
      </c>
      <c r="D111" s="110">
        <f t="shared" si="12"/>
        <v>1.6699999999999946</v>
      </c>
      <c r="E111" s="110">
        <v>40.75</v>
      </c>
      <c r="F111" s="110">
        <v>40.62</v>
      </c>
      <c r="G111" s="111">
        <f t="shared" si="13"/>
        <v>-0.13000000000000256</v>
      </c>
      <c r="H111" s="112">
        <v>12510</v>
      </c>
      <c r="I111" s="113">
        <v>13602</v>
      </c>
      <c r="J111" s="114">
        <f t="shared" si="14"/>
        <v>1092</v>
      </c>
    </row>
    <row r="112" ht="13.5" thickBot="1"/>
    <row r="113" spans="1:16" ht="12.75">
      <c r="A113" s="706" t="s">
        <v>68</v>
      </c>
      <c r="B113" s="707"/>
      <c r="C113" s="708"/>
      <c r="D113" s="89"/>
      <c r="E113" s="706" t="s">
        <v>69</v>
      </c>
      <c r="F113" s="707"/>
      <c r="G113" s="708"/>
      <c r="H113"/>
      <c r="I113"/>
      <c r="J113"/>
      <c r="K113"/>
      <c r="L113"/>
      <c r="M113"/>
      <c r="N113" s="297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709" t="s">
        <v>72</v>
      </c>
      <c r="G114" s="71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42</v>
      </c>
      <c r="C115" s="95">
        <v>41</v>
      </c>
      <c r="D115" s="89"/>
      <c r="E115" s="93">
        <v>2005</v>
      </c>
      <c r="F115" s="711">
        <v>68</v>
      </c>
      <c r="G115" s="624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45</v>
      </c>
      <c r="C116" s="98"/>
      <c r="D116" s="89"/>
      <c r="E116" s="96">
        <v>2006</v>
      </c>
      <c r="F116" s="704">
        <v>68</v>
      </c>
      <c r="G116" s="705"/>
      <c r="H116"/>
      <c r="I116"/>
      <c r="J116"/>
      <c r="K116"/>
      <c r="L116"/>
      <c r="M116"/>
      <c r="N116"/>
      <c r="O116"/>
      <c r="P116"/>
    </row>
    <row r="119" spans="1:16" s="332" customFormat="1" ht="15.75">
      <c r="A119" s="499"/>
      <c r="B119" s="500"/>
      <c r="C119" s="500"/>
      <c r="D119" s="500"/>
      <c r="E119" s="500"/>
      <c r="F119" s="500"/>
      <c r="G119" s="500"/>
      <c r="H119" s="500"/>
      <c r="I119" s="501"/>
      <c r="J119" s="501"/>
      <c r="K119" s="501"/>
      <c r="L119" s="501"/>
      <c r="M119" s="330"/>
      <c r="N119" s="330"/>
      <c r="O119" s="330"/>
      <c r="P119" s="330"/>
    </row>
    <row r="120" spans="1:16" s="332" customFormat="1" ht="12.75">
      <c r="A120" s="501"/>
      <c r="B120" s="500"/>
      <c r="C120" s="500"/>
      <c r="D120" s="500"/>
      <c r="E120" s="500"/>
      <c r="F120" s="500"/>
      <c r="G120" s="500"/>
      <c r="H120" s="500"/>
      <c r="I120" s="501"/>
      <c r="J120" s="501"/>
      <c r="K120" s="501"/>
      <c r="L120" s="501"/>
      <c r="M120" s="330"/>
      <c r="N120" s="330"/>
      <c r="O120" s="330"/>
      <c r="P120" s="330"/>
    </row>
    <row r="121" spans="1:16" s="332" customFormat="1" ht="15.75">
      <c r="A121" s="499"/>
      <c r="B121" s="499"/>
      <c r="C121" s="499"/>
      <c r="D121" s="499"/>
      <c r="E121" s="499"/>
      <c r="F121" s="499"/>
      <c r="G121" s="500"/>
      <c r="H121" s="500"/>
      <c r="I121" s="501"/>
      <c r="J121" s="501"/>
      <c r="K121" s="501"/>
      <c r="L121" s="501"/>
      <c r="M121" s="330"/>
      <c r="N121" s="330"/>
      <c r="O121" s="330"/>
      <c r="P121" s="330"/>
    </row>
    <row r="122" spans="1:16" s="332" customFormat="1" ht="15.75">
      <c r="A122" s="499"/>
      <c r="B122" s="500"/>
      <c r="C122" s="500"/>
      <c r="D122" s="500"/>
      <c r="E122" s="500"/>
      <c r="F122" s="500"/>
      <c r="G122" s="500"/>
      <c r="H122" s="500"/>
      <c r="I122" s="501"/>
      <c r="J122" s="501"/>
      <c r="K122" s="501"/>
      <c r="L122" s="501"/>
      <c r="M122" s="330"/>
      <c r="N122" s="330"/>
      <c r="O122" s="330"/>
      <c r="P122" s="330"/>
    </row>
    <row r="123" spans="1:16" s="332" customFormat="1" ht="15.75">
      <c r="A123" s="499"/>
      <c r="B123" s="500"/>
      <c r="C123" s="500"/>
      <c r="D123" s="500"/>
      <c r="E123" s="500"/>
      <c r="F123" s="500"/>
      <c r="G123" s="500"/>
      <c r="H123" s="500"/>
      <c r="I123" s="501"/>
      <c r="J123" s="501"/>
      <c r="K123" s="501"/>
      <c r="L123" s="501"/>
      <c r="M123" s="330"/>
      <c r="N123" s="330"/>
      <c r="O123" s="330"/>
      <c r="P123" s="330"/>
    </row>
    <row r="124" spans="1:16" s="332" customFormat="1" ht="15.75">
      <c r="A124" s="499"/>
      <c r="B124" s="500"/>
      <c r="C124" s="500"/>
      <c r="D124" s="500"/>
      <c r="E124" s="500"/>
      <c r="F124" s="500"/>
      <c r="G124" s="500"/>
      <c r="H124" s="500"/>
      <c r="I124" s="501"/>
      <c r="J124" s="501"/>
      <c r="K124" s="501"/>
      <c r="L124" s="501"/>
      <c r="M124" s="330"/>
      <c r="N124" s="330"/>
      <c r="O124" s="330"/>
      <c r="P124" s="330"/>
    </row>
    <row r="125" spans="1:16" s="332" customFormat="1" ht="12.75">
      <c r="A125" s="330"/>
      <c r="B125" s="502"/>
      <c r="C125" s="502"/>
      <c r="D125" s="502"/>
      <c r="E125" s="502"/>
      <c r="F125" s="502"/>
      <c r="G125" s="502"/>
      <c r="H125" s="502"/>
      <c r="I125" s="330"/>
      <c r="J125" s="330"/>
      <c r="K125" s="330"/>
      <c r="L125" s="330"/>
      <c r="M125" s="330"/>
      <c r="N125" s="330"/>
      <c r="O125" s="330"/>
      <c r="P125" s="330"/>
    </row>
  </sheetData>
  <mergeCells count="119">
    <mergeCell ref="H83:H84"/>
    <mergeCell ref="I83:L83"/>
    <mergeCell ref="A83:A84"/>
    <mergeCell ref="B83:B84"/>
    <mergeCell ref="C83:F83"/>
    <mergeCell ref="G83:G84"/>
    <mergeCell ref="J76:J78"/>
    <mergeCell ref="L76:M76"/>
    <mergeCell ref="C77:C78"/>
    <mergeCell ref="D77:I77"/>
    <mergeCell ref="F72:G72"/>
    <mergeCell ref="A76:A78"/>
    <mergeCell ref="B76:B78"/>
    <mergeCell ref="C76:I76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C66:D66"/>
    <mergeCell ref="F66:G66"/>
    <mergeCell ref="I66:K66"/>
    <mergeCell ref="C67:D67"/>
    <mergeCell ref="F67:G67"/>
    <mergeCell ref="I67:K67"/>
    <mergeCell ref="A61:B61"/>
    <mergeCell ref="D61:F61"/>
    <mergeCell ref="H58:K58"/>
    <mergeCell ref="A62:B62"/>
    <mergeCell ref="D62:F62"/>
    <mergeCell ref="H62:K62"/>
    <mergeCell ref="H60:K60"/>
    <mergeCell ref="H61:K61"/>
    <mergeCell ref="A59:B59"/>
    <mergeCell ref="D59:F59"/>
    <mergeCell ref="H59:K59"/>
    <mergeCell ref="A60:B60"/>
    <mergeCell ref="D60:F60"/>
    <mergeCell ref="H57:K57"/>
    <mergeCell ref="A57:B57"/>
    <mergeCell ref="D57:F57"/>
    <mergeCell ref="A58:B58"/>
    <mergeCell ref="D58:F58"/>
    <mergeCell ref="A55:B55"/>
    <mergeCell ref="D55:F55"/>
    <mergeCell ref="H55:K55"/>
    <mergeCell ref="A56:B56"/>
    <mergeCell ref="D56:F56"/>
    <mergeCell ref="H56:K56"/>
    <mergeCell ref="H52:K53"/>
    <mergeCell ref="L52:L53"/>
    <mergeCell ref="A54:B54"/>
    <mergeCell ref="D54:F54"/>
    <mergeCell ref="H54:K54"/>
    <mergeCell ref="A52:B53"/>
    <mergeCell ref="C52:C53"/>
    <mergeCell ref="D52:F53"/>
    <mergeCell ref="G52:G53"/>
    <mergeCell ref="A49:B49"/>
    <mergeCell ref="D49:F49"/>
    <mergeCell ref="H49:K49"/>
    <mergeCell ref="A50:B50"/>
    <mergeCell ref="D50:F50"/>
    <mergeCell ref="H50:K50"/>
    <mergeCell ref="A47:B47"/>
    <mergeCell ref="D47:F47"/>
    <mergeCell ref="H47:K47"/>
    <mergeCell ref="A48:B48"/>
    <mergeCell ref="D48:F48"/>
    <mergeCell ref="H48:K48"/>
    <mergeCell ref="A45:B45"/>
    <mergeCell ref="D45:F45"/>
    <mergeCell ref="H45:K45"/>
    <mergeCell ref="A46:B46"/>
    <mergeCell ref="D46:F46"/>
    <mergeCell ref="H46:K46"/>
    <mergeCell ref="H41:K42"/>
    <mergeCell ref="A44:B44"/>
    <mergeCell ref="D44:F44"/>
    <mergeCell ref="H44:K44"/>
    <mergeCell ref="A3:A6"/>
    <mergeCell ref="B3:N3"/>
    <mergeCell ref="H4:I4"/>
    <mergeCell ref="M4:N4"/>
    <mergeCell ref="B38:D38"/>
    <mergeCell ref="E38:G38"/>
    <mergeCell ref="J38:L38"/>
    <mergeCell ref="B39:D39"/>
    <mergeCell ref="E39:G39"/>
    <mergeCell ref="L41:L42"/>
    <mergeCell ref="A43:B43"/>
    <mergeCell ref="D43:F43"/>
    <mergeCell ref="A65:E65"/>
    <mergeCell ref="F65:L65"/>
    <mergeCell ref="H43:K43"/>
    <mergeCell ref="A41:B42"/>
    <mergeCell ref="C41:C42"/>
    <mergeCell ref="D41:F42"/>
    <mergeCell ref="G41:G42"/>
    <mergeCell ref="J93:L93"/>
    <mergeCell ref="A99:A100"/>
    <mergeCell ref="B99:D99"/>
    <mergeCell ref="E99:G99"/>
    <mergeCell ref="H99:J99"/>
    <mergeCell ref="A93:A94"/>
    <mergeCell ref="B93:B94"/>
    <mergeCell ref="C93:H93"/>
    <mergeCell ref="F116:G116"/>
    <mergeCell ref="A113:C113"/>
    <mergeCell ref="E113:G113"/>
    <mergeCell ref="F114:G114"/>
    <mergeCell ref="F115:G115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Normal="90" zoomScaleSheetLayoutView="100" workbookViewId="0" topLeftCell="A1">
      <selection activeCell="L90" sqref="L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84" t="s">
        <v>0</v>
      </c>
      <c r="B3" s="686" t="s">
        <v>425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59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 t="s">
        <v>120</v>
      </c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6198</v>
      </c>
      <c r="C8" s="33"/>
      <c r="D8" s="434">
        <f>SUM(B8:C8)</f>
        <v>6198</v>
      </c>
      <c r="E8" s="37">
        <v>6176</v>
      </c>
      <c r="F8" s="33"/>
      <c r="G8" s="434">
        <f>SUM(E8:F8)</f>
        <v>6176</v>
      </c>
      <c r="H8" s="465">
        <f>+G8-D8</f>
        <v>-22</v>
      </c>
      <c r="I8" s="36">
        <f>+G8/D8</f>
        <v>0.9964504678928686</v>
      </c>
      <c r="J8" s="37">
        <v>5900</v>
      </c>
      <c r="K8" s="33"/>
      <c r="L8" s="434">
        <f>SUM(J8:K8)</f>
        <v>5900</v>
      </c>
      <c r="M8" s="465">
        <f>+L8-G8</f>
        <v>-276</v>
      </c>
      <c r="N8" s="39">
        <f>+L8/G8</f>
        <v>0.9553108808290155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15</v>
      </c>
      <c r="C11" s="33"/>
      <c r="D11" s="434">
        <f t="shared" si="0"/>
        <v>15</v>
      </c>
      <c r="E11" s="37">
        <v>15</v>
      </c>
      <c r="F11" s="33"/>
      <c r="G11" s="434">
        <f t="shared" si="1"/>
        <v>15</v>
      </c>
      <c r="H11" s="465">
        <f t="shared" si="2"/>
        <v>0</v>
      </c>
      <c r="I11" s="36">
        <f aca="true" t="shared" si="5" ref="I11:I37">+G11/D11</f>
        <v>1</v>
      </c>
      <c r="J11" s="37">
        <v>15</v>
      </c>
      <c r="K11" s="33"/>
      <c r="L11" s="434">
        <f t="shared" si="3"/>
        <v>15</v>
      </c>
      <c r="M11" s="465">
        <f t="shared" si="4"/>
        <v>0</v>
      </c>
      <c r="N11" s="39">
        <f aca="true" t="shared" si="6" ref="N11:N37">+L11/G11</f>
        <v>1</v>
      </c>
    </row>
    <row r="12" spans="1:14" ht="13.5" customHeight="1">
      <c r="A12" s="510" t="s">
        <v>15</v>
      </c>
      <c r="B12" s="37"/>
      <c r="C12" s="33"/>
      <c r="D12" s="434">
        <f t="shared" si="0"/>
        <v>0</v>
      </c>
      <c r="E12" s="37"/>
      <c r="F12" s="33"/>
      <c r="G12" s="434">
        <f t="shared" si="1"/>
        <v>0</v>
      </c>
      <c r="H12" s="465">
        <f t="shared" si="2"/>
        <v>0</v>
      </c>
      <c r="I12" s="36"/>
      <c r="J12" s="37"/>
      <c r="K12" s="33"/>
      <c r="L12" s="434">
        <f t="shared" si="3"/>
        <v>0</v>
      </c>
      <c r="M12" s="465">
        <f t="shared" si="4"/>
        <v>0</v>
      </c>
      <c r="N12" s="39"/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9246</v>
      </c>
      <c r="C15" s="33"/>
      <c r="D15" s="434">
        <f t="shared" si="0"/>
        <v>9246</v>
      </c>
      <c r="E15" s="37">
        <v>10323</v>
      </c>
      <c r="F15" s="33"/>
      <c r="G15" s="434">
        <f t="shared" si="1"/>
        <v>10323</v>
      </c>
      <c r="H15" s="465">
        <f t="shared" si="2"/>
        <v>1077</v>
      </c>
      <c r="I15" s="36">
        <f t="shared" si="5"/>
        <v>1.1164828033744323</v>
      </c>
      <c r="J15" s="57">
        <f>SUM(J16:J17)</f>
        <v>11286</v>
      </c>
      <c r="K15" s="33"/>
      <c r="L15" s="434">
        <f t="shared" si="3"/>
        <v>11286</v>
      </c>
      <c r="M15" s="465">
        <f t="shared" si="4"/>
        <v>963</v>
      </c>
      <c r="N15" s="39">
        <f t="shared" si="6"/>
        <v>1.093286835222319</v>
      </c>
    </row>
    <row r="16" spans="1:14" ht="13.5" customHeight="1">
      <c r="A16" s="511" t="s">
        <v>476</v>
      </c>
      <c r="B16" s="37"/>
      <c r="C16" s="33"/>
      <c r="D16" s="434"/>
      <c r="E16" s="37">
        <v>9705</v>
      </c>
      <c r="F16" s="33"/>
      <c r="G16" s="434">
        <f t="shared" si="1"/>
        <v>9705</v>
      </c>
      <c r="H16" s="465"/>
      <c r="I16" s="36"/>
      <c r="J16" s="57">
        <f>10798</f>
        <v>10798</v>
      </c>
      <c r="K16" s="33"/>
      <c r="L16" s="434">
        <f t="shared" si="3"/>
        <v>10798</v>
      </c>
      <c r="M16" s="465">
        <f t="shared" si="4"/>
        <v>1093</v>
      </c>
      <c r="N16" s="39">
        <f t="shared" si="6"/>
        <v>1.1126223596084492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618</v>
      </c>
      <c r="F17" s="431"/>
      <c r="G17" s="434">
        <f t="shared" si="1"/>
        <v>618</v>
      </c>
      <c r="H17" s="466"/>
      <c r="I17" s="472"/>
      <c r="J17" s="438">
        <v>488</v>
      </c>
      <c r="K17" s="431"/>
      <c r="L17" s="434">
        <f t="shared" si="3"/>
        <v>488</v>
      </c>
      <c r="M17" s="465">
        <f t="shared" si="4"/>
        <v>-130</v>
      </c>
      <c r="N17" s="39">
        <f t="shared" si="6"/>
        <v>0.7896440129449838</v>
      </c>
    </row>
    <row r="18" spans="1:14" ht="13.5" customHeight="1" thickBot="1">
      <c r="A18" s="364" t="s">
        <v>19</v>
      </c>
      <c r="B18" s="424">
        <v>15459</v>
      </c>
      <c r="C18" s="425">
        <f>SUM(C7+C8+C9+C10+C11+C13+C15)</f>
        <v>0</v>
      </c>
      <c r="D18" s="426">
        <f>SUM(D7+D8+D9+D10+D11+D13+D15)</f>
        <v>15459</v>
      </c>
      <c r="E18" s="424">
        <f>SUM(E7+E8+E9+E10+E11+E13+E15)</f>
        <v>16514</v>
      </c>
      <c r="F18" s="425">
        <f>SUM(F7+F8+F9+F10+F11+F13+F15)</f>
        <v>0</v>
      </c>
      <c r="G18" s="426">
        <f>SUM(G7+G8+G9+G10+G11+G13+G15)</f>
        <v>16514</v>
      </c>
      <c r="H18" s="369">
        <f t="shared" si="2"/>
        <v>1055</v>
      </c>
      <c r="I18" s="63">
        <f t="shared" si="5"/>
        <v>1.0682450352545443</v>
      </c>
      <c r="J18" s="437">
        <f>SUM(J7+J8+J9+J10+J11+J13+J15)</f>
        <v>17201</v>
      </c>
      <c r="K18" s="425">
        <f>SUM(K7+K8+K9+K10+K11+K13+K15)</f>
        <v>0</v>
      </c>
      <c r="L18" s="426">
        <f>SUM(L7+L8+L9+L10+L11+L13+L15)</f>
        <v>17201</v>
      </c>
      <c r="M18" s="369">
        <f t="shared" si="4"/>
        <v>687</v>
      </c>
      <c r="N18" s="370">
        <f t="shared" si="6"/>
        <v>1.0416010657623835</v>
      </c>
    </row>
    <row r="19" spans="1:14" ht="13.5" customHeight="1">
      <c r="A19" s="54" t="s">
        <v>20</v>
      </c>
      <c r="B19" s="25">
        <v>2813</v>
      </c>
      <c r="C19" s="26"/>
      <c r="D19" s="34">
        <f aca="true" t="shared" si="7" ref="D19:D36">SUM(B19:C19)</f>
        <v>2813</v>
      </c>
      <c r="E19" s="25">
        <v>3186</v>
      </c>
      <c r="F19" s="26"/>
      <c r="G19" s="27">
        <f>SUM(E19:F19)</f>
        <v>3186</v>
      </c>
      <c r="H19" s="28">
        <f t="shared" si="2"/>
        <v>373</v>
      </c>
      <c r="I19" s="55">
        <f t="shared" si="5"/>
        <v>1.1325986491290436</v>
      </c>
      <c r="J19" s="29">
        <v>3043</v>
      </c>
      <c r="K19" s="26"/>
      <c r="L19" s="30">
        <f>SUM(J19:K19)</f>
        <v>3043</v>
      </c>
      <c r="M19" s="28">
        <f t="shared" si="4"/>
        <v>-143</v>
      </c>
      <c r="N19" s="56">
        <f t="shared" si="6"/>
        <v>0.9551161330822348</v>
      </c>
    </row>
    <row r="20" spans="1:14" ht="21" customHeight="1">
      <c r="A20" s="40" t="s">
        <v>21</v>
      </c>
      <c r="B20" s="25"/>
      <c r="C20" s="26"/>
      <c r="D20" s="34">
        <f t="shared" si="7"/>
        <v>0</v>
      </c>
      <c r="E20" s="25">
        <v>578</v>
      </c>
      <c r="F20" s="26"/>
      <c r="G20" s="27">
        <f aca="true" t="shared" si="8" ref="G20:G36">SUM(E20:F20)</f>
        <v>578</v>
      </c>
      <c r="H20" s="35">
        <f t="shared" si="2"/>
        <v>578</v>
      </c>
      <c r="I20" s="36"/>
      <c r="J20" s="29">
        <v>200</v>
      </c>
      <c r="K20" s="26"/>
      <c r="L20" s="30">
        <f aca="true" t="shared" si="9" ref="L20:L36">SUM(J20:K20)</f>
        <v>200</v>
      </c>
      <c r="M20" s="35">
        <f t="shared" si="4"/>
        <v>-378</v>
      </c>
      <c r="N20" s="39">
        <f t="shared" si="6"/>
        <v>0.3460207612456747</v>
      </c>
    </row>
    <row r="21" spans="1:14" ht="13.5" customHeight="1">
      <c r="A21" s="31" t="s">
        <v>22</v>
      </c>
      <c r="B21" s="32">
        <v>902</v>
      </c>
      <c r="C21" s="33"/>
      <c r="D21" s="34">
        <f t="shared" si="7"/>
        <v>902</v>
      </c>
      <c r="E21" s="32">
        <v>947</v>
      </c>
      <c r="F21" s="33"/>
      <c r="G21" s="27">
        <f t="shared" si="8"/>
        <v>947</v>
      </c>
      <c r="H21" s="35">
        <f t="shared" si="2"/>
        <v>45</v>
      </c>
      <c r="I21" s="36">
        <f t="shared" si="5"/>
        <v>1.0498891352549888</v>
      </c>
      <c r="J21" s="37">
        <v>1100</v>
      </c>
      <c r="K21" s="33"/>
      <c r="L21" s="30">
        <f t="shared" si="9"/>
        <v>1100</v>
      </c>
      <c r="M21" s="35">
        <f t="shared" si="4"/>
        <v>153</v>
      </c>
      <c r="N21" s="39">
        <f t="shared" si="6"/>
        <v>1.1615628299894403</v>
      </c>
    </row>
    <row r="22" spans="1:14" ht="13.5" customHeight="1">
      <c r="A22" s="40" t="s">
        <v>23</v>
      </c>
      <c r="B22" s="32"/>
      <c r="C22" s="33"/>
      <c r="D22" s="34">
        <f t="shared" si="7"/>
        <v>0</v>
      </c>
      <c r="E22" s="32"/>
      <c r="F22" s="33"/>
      <c r="G22" s="27">
        <f t="shared" si="8"/>
        <v>0</v>
      </c>
      <c r="H22" s="35">
        <f t="shared" si="2"/>
        <v>0</v>
      </c>
      <c r="I22" s="36"/>
      <c r="J22" s="37"/>
      <c r="K22" s="33"/>
      <c r="L22" s="30">
        <f t="shared" si="9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7"/>
        <v>0</v>
      </c>
      <c r="E23" s="32"/>
      <c r="F23" s="33"/>
      <c r="G23" s="27">
        <f t="shared" si="8"/>
        <v>0</v>
      </c>
      <c r="H23" s="35">
        <f t="shared" si="2"/>
        <v>0</v>
      </c>
      <c r="I23" s="36"/>
      <c r="J23" s="37"/>
      <c r="K23" s="33"/>
      <c r="L23" s="30">
        <f t="shared" si="9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1265</v>
      </c>
      <c r="C24" s="33"/>
      <c r="D24" s="34">
        <f t="shared" si="7"/>
        <v>1265</v>
      </c>
      <c r="E24" s="37">
        <v>980</v>
      </c>
      <c r="F24" s="33"/>
      <c r="G24" s="27">
        <f t="shared" si="8"/>
        <v>980</v>
      </c>
      <c r="H24" s="35">
        <f t="shared" si="2"/>
        <v>-285</v>
      </c>
      <c r="I24" s="36">
        <f t="shared" si="5"/>
        <v>0.7747035573122529</v>
      </c>
      <c r="J24" s="37">
        <v>733</v>
      </c>
      <c r="K24" s="33"/>
      <c r="L24" s="30">
        <f t="shared" si="9"/>
        <v>733</v>
      </c>
      <c r="M24" s="35">
        <f t="shared" si="4"/>
        <v>-247</v>
      </c>
      <c r="N24" s="39">
        <f t="shared" si="6"/>
        <v>0.7479591836734694</v>
      </c>
    </row>
    <row r="25" spans="1:14" ht="13.5" customHeight="1">
      <c r="A25" s="40" t="s">
        <v>26</v>
      </c>
      <c r="B25" s="32">
        <v>719</v>
      </c>
      <c r="C25" s="33"/>
      <c r="D25" s="34">
        <f t="shared" si="7"/>
        <v>719</v>
      </c>
      <c r="E25" s="32">
        <v>633</v>
      </c>
      <c r="F25" s="33"/>
      <c r="G25" s="27">
        <f t="shared" si="8"/>
        <v>633</v>
      </c>
      <c r="H25" s="35">
        <f t="shared" si="2"/>
        <v>-86</v>
      </c>
      <c r="I25" s="36">
        <f t="shared" si="5"/>
        <v>0.8803894297635605</v>
      </c>
      <c r="J25" s="57">
        <v>400</v>
      </c>
      <c r="K25" s="33"/>
      <c r="L25" s="30">
        <f t="shared" si="9"/>
        <v>400</v>
      </c>
      <c r="M25" s="35">
        <f t="shared" si="4"/>
        <v>-233</v>
      </c>
      <c r="N25" s="39">
        <f t="shared" si="6"/>
        <v>0.631911532385466</v>
      </c>
    </row>
    <row r="26" spans="1:14" ht="13.5" customHeight="1">
      <c r="A26" s="31" t="s">
        <v>27</v>
      </c>
      <c r="B26" s="32">
        <v>540</v>
      </c>
      <c r="C26" s="33"/>
      <c r="D26" s="34">
        <f t="shared" si="7"/>
        <v>540</v>
      </c>
      <c r="E26" s="32">
        <v>333</v>
      </c>
      <c r="F26" s="33"/>
      <c r="G26" s="27">
        <f t="shared" si="8"/>
        <v>333</v>
      </c>
      <c r="H26" s="35">
        <f t="shared" si="2"/>
        <v>-207</v>
      </c>
      <c r="I26" s="36">
        <f t="shared" si="5"/>
        <v>0.6166666666666667</v>
      </c>
      <c r="J26" s="57">
        <v>333</v>
      </c>
      <c r="K26" s="33"/>
      <c r="L26" s="30">
        <f t="shared" si="9"/>
        <v>333</v>
      </c>
      <c r="M26" s="35">
        <f t="shared" si="4"/>
        <v>0</v>
      </c>
      <c r="N26" s="39">
        <f t="shared" si="6"/>
        <v>1</v>
      </c>
    </row>
    <row r="27" spans="1:14" ht="13.5" customHeight="1">
      <c r="A27" s="58" t="s">
        <v>28</v>
      </c>
      <c r="B27" s="37">
        <v>9990</v>
      </c>
      <c r="C27" s="33"/>
      <c r="D27" s="34">
        <f t="shared" si="7"/>
        <v>9990</v>
      </c>
      <c r="E27" s="37">
        <v>10864</v>
      </c>
      <c r="F27" s="33"/>
      <c r="G27" s="27">
        <f t="shared" si="8"/>
        <v>10864</v>
      </c>
      <c r="H27" s="35">
        <f t="shared" si="2"/>
        <v>874</v>
      </c>
      <c r="I27" s="36">
        <f t="shared" si="5"/>
        <v>1.0874874874874876</v>
      </c>
      <c r="J27" s="37">
        <f>J28+J31</f>
        <v>11785</v>
      </c>
      <c r="K27" s="33"/>
      <c r="L27" s="30">
        <f t="shared" si="9"/>
        <v>11785</v>
      </c>
      <c r="M27" s="35">
        <f t="shared" si="4"/>
        <v>921</v>
      </c>
      <c r="N27" s="39">
        <f t="shared" si="6"/>
        <v>1.0847754050073637</v>
      </c>
    </row>
    <row r="28" spans="1:14" ht="13.5" customHeight="1">
      <c r="A28" s="40" t="s">
        <v>29</v>
      </c>
      <c r="B28" s="32">
        <v>7300</v>
      </c>
      <c r="C28" s="33"/>
      <c r="D28" s="34">
        <f t="shared" si="7"/>
        <v>7300</v>
      </c>
      <c r="E28" s="32">
        <v>7934</v>
      </c>
      <c r="F28" s="33"/>
      <c r="G28" s="27">
        <f t="shared" si="8"/>
        <v>7934</v>
      </c>
      <c r="H28" s="35">
        <f t="shared" si="2"/>
        <v>634</v>
      </c>
      <c r="I28" s="36">
        <f t="shared" si="5"/>
        <v>1.0868493150684932</v>
      </c>
      <c r="J28" s="57">
        <f>J29+J30</f>
        <v>8602</v>
      </c>
      <c r="K28" s="59"/>
      <c r="L28" s="30">
        <f t="shared" si="9"/>
        <v>8602</v>
      </c>
      <c r="M28" s="35">
        <f t="shared" si="4"/>
        <v>668</v>
      </c>
      <c r="N28" s="39">
        <f t="shared" si="6"/>
        <v>1.0841946054953364</v>
      </c>
    </row>
    <row r="29" spans="1:14" ht="13.5" customHeight="1">
      <c r="A29" s="58" t="s">
        <v>30</v>
      </c>
      <c r="B29" s="32">
        <v>7289</v>
      </c>
      <c r="C29" s="33"/>
      <c r="D29" s="34">
        <f t="shared" si="7"/>
        <v>7289</v>
      </c>
      <c r="E29" s="32">
        <v>7923</v>
      </c>
      <c r="F29" s="33"/>
      <c r="G29" s="27">
        <f t="shared" si="8"/>
        <v>7923</v>
      </c>
      <c r="H29" s="35">
        <f t="shared" si="2"/>
        <v>634</v>
      </c>
      <c r="I29" s="36">
        <f t="shared" si="5"/>
        <v>1.086980381396625</v>
      </c>
      <c r="J29" s="37">
        <f>8227+356</f>
        <v>8583</v>
      </c>
      <c r="K29" s="33"/>
      <c r="L29" s="30">
        <f t="shared" si="9"/>
        <v>8583</v>
      </c>
      <c r="M29" s="35">
        <f t="shared" si="4"/>
        <v>660</v>
      </c>
      <c r="N29" s="39">
        <f t="shared" si="6"/>
        <v>1.0833017796289284</v>
      </c>
    </row>
    <row r="30" spans="1:14" ht="13.5" customHeight="1">
      <c r="A30" s="40" t="s">
        <v>31</v>
      </c>
      <c r="B30" s="32">
        <v>11</v>
      </c>
      <c r="C30" s="33"/>
      <c r="D30" s="34">
        <f t="shared" si="7"/>
        <v>11</v>
      </c>
      <c r="E30" s="32">
        <v>11</v>
      </c>
      <c r="F30" s="33"/>
      <c r="G30" s="27">
        <f t="shared" si="8"/>
        <v>11</v>
      </c>
      <c r="H30" s="35">
        <f t="shared" si="2"/>
        <v>0</v>
      </c>
      <c r="I30" s="36">
        <f t="shared" si="5"/>
        <v>1</v>
      </c>
      <c r="J30" s="37">
        <v>19</v>
      </c>
      <c r="K30" s="33"/>
      <c r="L30" s="30">
        <f t="shared" si="9"/>
        <v>19</v>
      </c>
      <c r="M30" s="35">
        <f t="shared" si="4"/>
        <v>8</v>
      </c>
      <c r="N30" s="39">
        <f t="shared" si="6"/>
        <v>1.7272727272727273</v>
      </c>
    </row>
    <row r="31" spans="1:14" ht="13.5" customHeight="1">
      <c r="A31" s="40" t="s">
        <v>32</v>
      </c>
      <c r="B31" s="32">
        <v>2690</v>
      </c>
      <c r="C31" s="33"/>
      <c r="D31" s="34">
        <f t="shared" si="7"/>
        <v>2690</v>
      </c>
      <c r="E31" s="32">
        <v>2930</v>
      </c>
      <c r="F31" s="33"/>
      <c r="G31" s="27">
        <f t="shared" si="8"/>
        <v>2930</v>
      </c>
      <c r="H31" s="35">
        <f t="shared" si="2"/>
        <v>240</v>
      </c>
      <c r="I31" s="36">
        <f t="shared" si="5"/>
        <v>1.0892193308550187</v>
      </c>
      <c r="J31" s="37">
        <f>3051+132</f>
        <v>3183</v>
      </c>
      <c r="K31" s="33"/>
      <c r="L31" s="30">
        <f t="shared" si="9"/>
        <v>3183</v>
      </c>
      <c r="M31" s="35">
        <f t="shared" si="4"/>
        <v>253</v>
      </c>
      <c r="N31" s="39">
        <f t="shared" si="6"/>
        <v>1.0863481228668943</v>
      </c>
    </row>
    <row r="32" spans="1:14" ht="13.5" customHeight="1">
      <c r="A32" s="58" t="s">
        <v>33</v>
      </c>
      <c r="B32" s="32"/>
      <c r="C32" s="33"/>
      <c r="D32" s="34">
        <f t="shared" si="7"/>
        <v>0</v>
      </c>
      <c r="E32" s="32"/>
      <c r="F32" s="33"/>
      <c r="G32" s="27">
        <f t="shared" si="8"/>
        <v>0</v>
      </c>
      <c r="H32" s="35">
        <f t="shared" si="2"/>
        <v>0</v>
      </c>
      <c r="I32" s="36"/>
      <c r="J32" s="37"/>
      <c r="K32" s="33"/>
      <c r="L32" s="30">
        <f t="shared" si="9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81</v>
      </c>
      <c r="C33" s="33"/>
      <c r="D33" s="34">
        <f t="shared" si="7"/>
        <v>81</v>
      </c>
      <c r="E33" s="32">
        <v>87</v>
      </c>
      <c r="F33" s="33"/>
      <c r="G33" s="27">
        <f t="shared" si="8"/>
        <v>87</v>
      </c>
      <c r="H33" s="35">
        <f t="shared" si="2"/>
        <v>6</v>
      </c>
      <c r="I33" s="36">
        <f t="shared" si="5"/>
        <v>1.0740740740740742</v>
      </c>
      <c r="J33" s="37">
        <v>100</v>
      </c>
      <c r="K33" s="33"/>
      <c r="L33" s="30">
        <f t="shared" si="9"/>
        <v>100</v>
      </c>
      <c r="M33" s="35">
        <f t="shared" si="4"/>
        <v>13</v>
      </c>
      <c r="N33" s="39">
        <f t="shared" si="6"/>
        <v>1.1494252873563218</v>
      </c>
    </row>
    <row r="34" spans="1:14" ht="13.5" customHeight="1">
      <c r="A34" s="40" t="s">
        <v>35</v>
      </c>
      <c r="B34" s="32">
        <v>304</v>
      </c>
      <c r="C34" s="33"/>
      <c r="D34" s="34">
        <f t="shared" si="7"/>
        <v>304</v>
      </c>
      <c r="E34" s="32">
        <v>436</v>
      </c>
      <c r="F34" s="33"/>
      <c r="G34" s="27">
        <f t="shared" si="8"/>
        <v>436</v>
      </c>
      <c r="H34" s="35">
        <f t="shared" si="2"/>
        <v>132</v>
      </c>
      <c r="I34" s="36">
        <f t="shared" si="5"/>
        <v>1.4342105263157894</v>
      </c>
      <c r="J34" s="57">
        <v>440</v>
      </c>
      <c r="K34" s="33"/>
      <c r="L34" s="30">
        <f t="shared" si="9"/>
        <v>440</v>
      </c>
      <c r="M34" s="35">
        <f t="shared" si="4"/>
        <v>4</v>
      </c>
      <c r="N34" s="39">
        <f t="shared" si="6"/>
        <v>1.0091743119266054</v>
      </c>
    </row>
    <row r="35" spans="1:14" ht="22.5" customHeight="1">
      <c r="A35" s="40" t="s">
        <v>36</v>
      </c>
      <c r="B35" s="32">
        <v>304</v>
      </c>
      <c r="C35" s="33"/>
      <c r="D35" s="34">
        <f t="shared" si="7"/>
        <v>304</v>
      </c>
      <c r="E35" s="32">
        <v>436</v>
      </c>
      <c r="F35" s="33"/>
      <c r="G35" s="27">
        <f t="shared" si="8"/>
        <v>436</v>
      </c>
      <c r="H35" s="35">
        <f t="shared" si="2"/>
        <v>132</v>
      </c>
      <c r="I35" s="36">
        <f t="shared" si="5"/>
        <v>1.4342105263157894</v>
      </c>
      <c r="J35" s="57">
        <v>440</v>
      </c>
      <c r="K35" s="33"/>
      <c r="L35" s="30">
        <f t="shared" si="9"/>
        <v>440</v>
      </c>
      <c r="M35" s="35">
        <f t="shared" si="4"/>
        <v>4</v>
      </c>
      <c r="N35" s="39">
        <f t="shared" si="6"/>
        <v>1.0091743119266054</v>
      </c>
    </row>
    <row r="36" spans="1:14" ht="13.5" customHeight="1" thickBot="1">
      <c r="A36" s="60" t="s">
        <v>37</v>
      </c>
      <c r="B36" s="41"/>
      <c r="C36" s="42"/>
      <c r="D36" s="34">
        <f t="shared" si="7"/>
        <v>0</v>
      </c>
      <c r="E36" s="41"/>
      <c r="F36" s="42"/>
      <c r="G36" s="27">
        <f t="shared" si="8"/>
        <v>0</v>
      </c>
      <c r="H36" s="43">
        <f t="shared" si="2"/>
        <v>0</v>
      </c>
      <c r="I36" s="44"/>
      <c r="J36" s="61" t="s">
        <v>120</v>
      </c>
      <c r="K36" s="42"/>
      <c r="L36" s="30">
        <f t="shared" si="9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0" ref="B37:G37">SUM(B19+B21+B22+B23+B24+B27+B32+B33+B34+B36)</f>
        <v>15355</v>
      </c>
      <c r="C37" s="48">
        <f t="shared" si="10"/>
        <v>0</v>
      </c>
      <c r="D37" s="49">
        <f t="shared" si="10"/>
        <v>15355</v>
      </c>
      <c r="E37" s="47">
        <f t="shared" si="10"/>
        <v>16500</v>
      </c>
      <c r="F37" s="48">
        <f t="shared" si="10"/>
        <v>0</v>
      </c>
      <c r="G37" s="49">
        <f t="shared" si="10"/>
        <v>16500</v>
      </c>
      <c r="H37" s="50">
        <f t="shared" si="2"/>
        <v>1145</v>
      </c>
      <c r="I37" s="51">
        <f t="shared" si="5"/>
        <v>1.0745685444480626</v>
      </c>
      <c r="J37" s="52">
        <v>16713</v>
      </c>
      <c r="K37" s="48">
        <f>SUM(K19+K21+K22+K23+K24+K27+K32+K33+K34+K36)</f>
        <v>0</v>
      </c>
      <c r="L37" s="49">
        <f>SUM(L19+L21+L22+L23+L24+L27+L32+L33+L34+L36)</f>
        <v>17201</v>
      </c>
      <c r="M37" s="50">
        <f t="shared" si="4"/>
        <v>701</v>
      </c>
      <c r="N37" s="53">
        <f t="shared" si="6"/>
        <v>1.0424848484848486</v>
      </c>
    </row>
    <row r="38" spans="1:14" ht="13.5" customHeight="1" thickBot="1">
      <c r="A38" s="46" t="s">
        <v>39</v>
      </c>
      <c r="B38" s="680">
        <f>+D18-D37</f>
        <v>104</v>
      </c>
      <c r="C38" s="681"/>
      <c r="D38" s="682"/>
      <c r="E38" s="680">
        <f>+G18-G37</f>
        <v>14</v>
      </c>
      <c r="F38" s="681"/>
      <c r="G38" s="682">
        <v>-50784</v>
      </c>
      <c r="H38" s="62">
        <f>+E38-B38</f>
        <v>-90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526</v>
      </c>
      <c r="B43" s="683"/>
      <c r="C43" s="66">
        <v>22</v>
      </c>
      <c r="D43" s="679" t="s">
        <v>286</v>
      </c>
      <c r="E43" s="657"/>
      <c r="F43" s="657"/>
      <c r="G43" s="67"/>
      <c r="H43" s="658" t="s">
        <v>96</v>
      </c>
      <c r="I43" s="659"/>
      <c r="J43" s="659"/>
      <c r="K43" s="659"/>
      <c r="L43" s="68">
        <v>73</v>
      </c>
      <c r="O43"/>
      <c r="P43"/>
    </row>
    <row r="44" spans="1:16" ht="12.75">
      <c r="A44" s="639" t="s">
        <v>527</v>
      </c>
      <c r="B44" s="646"/>
      <c r="C44" s="69">
        <v>287</v>
      </c>
      <c r="D44" s="679" t="s">
        <v>287</v>
      </c>
      <c r="E44" s="657"/>
      <c r="F44" s="657"/>
      <c r="G44" s="70">
        <v>229</v>
      </c>
      <c r="H44" s="658" t="s">
        <v>288</v>
      </c>
      <c r="I44" s="659"/>
      <c r="J44" s="659"/>
      <c r="K44" s="659"/>
      <c r="L44" s="68">
        <v>370</v>
      </c>
      <c r="O44"/>
      <c r="P44"/>
    </row>
    <row r="45" spans="1:16" ht="12.75">
      <c r="A45" s="639" t="s">
        <v>528</v>
      </c>
      <c r="B45" s="646"/>
      <c r="C45" s="69">
        <v>110</v>
      </c>
      <c r="D45" s="679" t="s">
        <v>96</v>
      </c>
      <c r="E45" s="657"/>
      <c r="F45" s="657"/>
      <c r="G45" s="70">
        <v>46</v>
      </c>
      <c r="H45" s="658"/>
      <c r="I45" s="659"/>
      <c r="J45" s="659"/>
      <c r="K45" s="659"/>
      <c r="L45" s="68"/>
      <c r="O45"/>
      <c r="P45"/>
    </row>
    <row r="46" spans="1:16" ht="12.75">
      <c r="A46" s="647"/>
      <c r="B46" s="674"/>
      <c r="C46" s="71"/>
      <c r="D46" s="647"/>
      <c r="E46" s="648"/>
      <c r="F46" s="674"/>
      <c r="G46" s="72"/>
      <c r="H46" s="643"/>
      <c r="I46" s="644"/>
      <c r="J46" s="644"/>
      <c r="K46" s="645"/>
      <c r="L46" s="68"/>
      <c r="O46"/>
      <c r="P46"/>
    </row>
    <row r="47" spans="1:16" ht="12.75">
      <c r="A47" s="647"/>
      <c r="B47" s="674"/>
      <c r="C47" s="71"/>
      <c r="D47" s="647"/>
      <c r="E47" s="648"/>
      <c r="F47" s="674"/>
      <c r="G47" s="72"/>
      <c r="H47" s="643"/>
      <c r="I47" s="644"/>
      <c r="J47" s="644"/>
      <c r="K47" s="645"/>
      <c r="L47" s="68"/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/>
      <c r="I48" s="644"/>
      <c r="J48" s="644"/>
      <c r="K48" s="645"/>
      <c r="L48" s="68"/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/>
      <c r="B50" s="635"/>
      <c r="C50" s="73">
        <f>SUM(C43:C49)</f>
        <v>419</v>
      </c>
      <c r="D50" s="660" t="s">
        <v>5</v>
      </c>
      <c r="E50" s="661"/>
      <c r="F50" s="661"/>
      <c r="G50" s="73">
        <v>275</v>
      </c>
      <c r="H50" s="637" t="s">
        <v>5</v>
      </c>
      <c r="I50" s="638"/>
      <c r="J50" s="638"/>
      <c r="K50" s="638"/>
      <c r="L50" s="73">
        <f>SUM(L43:L44)</f>
        <v>443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121</v>
      </c>
      <c r="B54" s="655"/>
      <c r="C54" s="66"/>
      <c r="D54" s="656" t="s">
        <v>289</v>
      </c>
      <c r="E54" s="657"/>
      <c r="F54" s="657"/>
      <c r="G54" s="76">
        <v>100</v>
      </c>
      <c r="H54" s="658" t="s">
        <v>121</v>
      </c>
      <c r="I54" s="659"/>
      <c r="J54" s="659"/>
      <c r="K54" s="659"/>
      <c r="L54" s="68">
        <v>100</v>
      </c>
      <c r="O54"/>
      <c r="P54"/>
    </row>
    <row r="55" spans="1:16" ht="13.5" customHeight="1">
      <c r="A55" s="639" t="s">
        <v>124</v>
      </c>
      <c r="B55" s="649"/>
      <c r="C55" s="69"/>
      <c r="D55" s="642" t="s">
        <v>124</v>
      </c>
      <c r="E55" s="646"/>
      <c r="F55" s="646"/>
      <c r="G55" s="77">
        <v>150</v>
      </c>
      <c r="H55" s="650" t="s">
        <v>124</v>
      </c>
      <c r="I55" s="651"/>
      <c r="J55" s="651"/>
      <c r="K55" s="651"/>
      <c r="L55" s="78">
        <v>100</v>
      </c>
      <c r="O55"/>
      <c r="P55"/>
    </row>
    <row r="56" spans="1:16" ht="13.5" customHeight="1">
      <c r="A56" s="639" t="s">
        <v>529</v>
      </c>
      <c r="B56" s="640"/>
      <c r="C56" s="69"/>
      <c r="D56" s="642" t="s">
        <v>122</v>
      </c>
      <c r="E56" s="646"/>
      <c r="F56" s="646"/>
      <c r="G56" s="77">
        <v>100</v>
      </c>
      <c r="H56" s="643" t="s">
        <v>123</v>
      </c>
      <c r="I56" s="644"/>
      <c r="J56" s="644"/>
      <c r="K56" s="645"/>
      <c r="L56" s="78">
        <v>50</v>
      </c>
      <c r="O56"/>
      <c r="P56"/>
    </row>
    <row r="57" spans="1:16" ht="13.5" customHeight="1">
      <c r="A57" s="639" t="s">
        <v>530</v>
      </c>
      <c r="B57" s="640"/>
      <c r="C57" s="69"/>
      <c r="D57" s="642" t="s">
        <v>290</v>
      </c>
      <c r="E57" s="646"/>
      <c r="F57" s="646"/>
      <c r="G57" s="77">
        <v>39</v>
      </c>
      <c r="H57" s="643" t="s">
        <v>291</v>
      </c>
      <c r="I57" s="644"/>
      <c r="J57" s="644"/>
      <c r="K57" s="645"/>
      <c r="L57" s="78">
        <v>70</v>
      </c>
      <c r="O57"/>
      <c r="P57"/>
    </row>
    <row r="58" spans="1:16" ht="13.5" customHeight="1">
      <c r="A58" s="647"/>
      <c r="B58" s="648"/>
      <c r="C58" s="71"/>
      <c r="D58" s="641" t="s">
        <v>292</v>
      </c>
      <c r="E58" s="641"/>
      <c r="F58" s="642"/>
      <c r="G58" s="178">
        <v>81</v>
      </c>
      <c r="H58" s="643" t="s">
        <v>293</v>
      </c>
      <c r="I58" s="644"/>
      <c r="J58" s="644"/>
      <c r="K58" s="645"/>
      <c r="L58" s="79">
        <v>80</v>
      </c>
      <c r="O58"/>
      <c r="P58"/>
    </row>
    <row r="59" spans="1:16" ht="13.5" customHeight="1">
      <c r="A59" s="639"/>
      <c r="B59" s="640"/>
      <c r="C59" s="71"/>
      <c r="D59" s="641" t="s">
        <v>294</v>
      </c>
      <c r="E59" s="641"/>
      <c r="F59" s="642"/>
      <c r="G59" s="178">
        <v>35</v>
      </c>
      <c r="H59" s="643"/>
      <c r="I59" s="644"/>
      <c r="J59" s="644"/>
      <c r="K59" s="645"/>
      <c r="L59" s="79"/>
      <c r="O59"/>
      <c r="P59"/>
    </row>
    <row r="60" spans="1:16" ht="13.5" customHeight="1">
      <c r="A60" s="646"/>
      <c r="B60" s="640"/>
      <c r="C60" s="69"/>
      <c r="D60" s="642" t="s">
        <v>123</v>
      </c>
      <c r="E60" s="646"/>
      <c r="F60" s="646"/>
      <c r="G60" s="77">
        <v>55</v>
      </c>
      <c r="H60" s="643"/>
      <c r="I60" s="644"/>
      <c r="J60" s="644"/>
      <c r="K60" s="645"/>
      <c r="L60" s="78"/>
      <c r="O60"/>
      <c r="P60"/>
    </row>
    <row r="61" spans="1:16" ht="13.5" thickBot="1">
      <c r="A61" s="627"/>
      <c r="B61" s="628"/>
      <c r="C61" s="80"/>
      <c r="D61" s="629" t="s">
        <v>295</v>
      </c>
      <c r="E61" s="630"/>
      <c r="F61" s="630"/>
      <c r="G61" s="81">
        <v>73</v>
      </c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83">
        <v>719</v>
      </c>
      <c r="D62" s="635" t="s">
        <v>5</v>
      </c>
      <c r="E62" s="636"/>
      <c r="F62" s="636"/>
      <c r="G62" s="83">
        <f>SUM(G54:G61)</f>
        <v>633</v>
      </c>
      <c r="H62" s="637" t="s">
        <v>5</v>
      </c>
      <c r="I62" s="638"/>
      <c r="J62" s="638"/>
      <c r="K62" s="638"/>
      <c r="L62" s="73">
        <f>SUM(L54:L61)</f>
        <v>400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71" t="s">
        <v>478</v>
      </c>
      <c r="B65" s="572"/>
      <c r="C65" s="572"/>
      <c r="D65" s="572"/>
      <c r="E65" s="573"/>
      <c r="F65" s="574" t="s">
        <v>479</v>
      </c>
      <c r="G65" s="575"/>
      <c r="H65" s="575"/>
      <c r="I65" s="575"/>
      <c r="J65" s="575"/>
      <c r="K65" s="575"/>
      <c r="L65" s="576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7" t="s">
        <v>80</v>
      </c>
      <c r="D66" s="577"/>
      <c r="E66" s="154" t="s">
        <v>173</v>
      </c>
      <c r="F66" s="578" t="s">
        <v>79</v>
      </c>
      <c r="G66" s="579"/>
      <c r="H66" s="153" t="s">
        <v>172</v>
      </c>
      <c r="I66" s="577" t="s">
        <v>80</v>
      </c>
      <c r="J66" s="577"/>
      <c r="K66" s="577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0</v>
      </c>
      <c r="C67" s="580" t="s">
        <v>179</v>
      </c>
      <c r="D67" s="580"/>
      <c r="E67" s="157">
        <v>0</v>
      </c>
      <c r="F67" s="581" t="s">
        <v>176</v>
      </c>
      <c r="G67" s="582"/>
      <c r="H67" s="150">
        <v>83</v>
      </c>
      <c r="I67" s="580" t="s">
        <v>179</v>
      </c>
      <c r="J67" s="582"/>
      <c r="K67" s="582"/>
      <c r="L67" s="157">
        <v>86</v>
      </c>
      <c r="M67" s="84"/>
      <c r="N67" s="84"/>
    </row>
    <row r="68" spans="1:14" s="1" customFormat="1" ht="12.75">
      <c r="A68" s="158" t="s">
        <v>174</v>
      </c>
      <c r="B68" s="151">
        <v>83</v>
      </c>
      <c r="C68" s="583" t="s">
        <v>175</v>
      </c>
      <c r="D68" s="583"/>
      <c r="E68" s="159">
        <v>0</v>
      </c>
      <c r="F68" s="584" t="s">
        <v>177</v>
      </c>
      <c r="G68" s="585"/>
      <c r="H68" s="151">
        <v>12</v>
      </c>
      <c r="I68" s="583"/>
      <c r="J68" s="585"/>
      <c r="K68" s="585"/>
      <c r="L68" s="159"/>
      <c r="M68" s="84"/>
      <c r="N68" s="84"/>
    </row>
    <row r="69" spans="1:14" s="1" customFormat="1" ht="12.75">
      <c r="A69" s="158" t="s">
        <v>175</v>
      </c>
      <c r="B69" s="151"/>
      <c r="C69" s="583"/>
      <c r="D69" s="583"/>
      <c r="E69" s="159"/>
      <c r="F69" s="583" t="s">
        <v>175</v>
      </c>
      <c r="G69" s="583"/>
      <c r="H69" s="151"/>
      <c r="I69" s="583"/>
      <c r="J69" s="585"/>
      <c r="K69" s="585"/>
      <c r="L69" s="159"/>
      <c r="M69" s="84"/>
      <c r="N69" s="84"/>
    </row>
    <row r="70" spans="1:14" s="1" customFormat="1" ht="13.5" thickBot="1">
      <c r="A70" s="163"/>
      <c r="B70" s="162"/>
      <c r="C70" s="586"/>
      <c r="D70" s="586"/>
      <c r="E70" s="164"/>
      <c r="F70" s="587"/>
      <c r="G70" s="588"/>
      <c r="H70" s="162"/>
      <c r="I70" s="586"/>
      <c r="J70" s="588"/>
      <c r="K70" s="588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83</v>
      </c>
      <c r="C71" s="589" t="s">
        <v>5</v>
      </c>
      <c r="D71" s="589"/>
      <c r="E71" s="165">
        <f>SUM(E67:E70)</f>
        <v>0</v>
      </c>
      <c r="F71" s="590" t="s">
        <v>5</v>
      </c>
      <c r="G71" s="591"/>
      <c r="H71" s="161">
        <f>SUM(H67:H70)</f>
        <v>95</v>
      </c>
      <c r="I71" s="589" t="s">
        <v>5</v>
      </c>
      <c r="J71" s="591"/>
      <c r="K71" s="591"/>
      <c r="L71" s="165">
        <f>SUM(L67:L70)</f>
        <v>86</v>
      </c>
      <c r="M71" s="84"/>
      <c r="N71" s="84"/>
    </row>
    <row r="72" spans="1:14" s="1" customFormat="1" ht="13.5" thickBot="1">
      <c r="A72" s="181" t="s">
        <v>534</v>
      </c>
      <c r="B72" s="182">
        <f>B71-E71</f>
        <v>83</v>
      </c>
      <c r="C72" s="84"/>
      <c r="D72" s="84"/>
      <c r="E72" s="84"/>
      <c r="F72" s="592" t="s">
        <v>534</v>
      </c>
      <c r="G72" s="593"/>
      <c r="H72" s="183">
        <f>H71-L71</f>
        <v>9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601" t="s">
        <v>73</v>
      </c>
      <c r="B76" s="604" t="s">
        <v>495</v>
      </c>
      <c r="C76" s="607" t="s">
        <v>477</v>
      </c>
      <c r="D76" s="608"/>
      <c r="E76" s="608"/>
      <c r="F76" s="608"/>
      <c r="G76" s="608"/>
      <c r="H76" s="608"/>
      <c r="I76" s="609"/>
      <c r="J76" s="610" t="s">
        <v>496</v>
      </c>
      <c r="K76" s="7"/>
      <c r="L76" s="594" t="s">
        <v>48</v>
      </c>
      <c r="M76" s="595"/>
      <c r="N76" s="193">
        <v>2004</v>
      </c>
      <c r="O76" s="194">
        <v>2005</v>
      </c>
    </row>
    <row r="77" spans="1:15" s="1" customFormat="1" ht="12.75">
      <c r="A77" s="602"/>
      <c r="B77" s="605"/>
      <c r="C77" s="596" t="s">
        <v>76</v>
      </c>
      <c r="D77" s="598" t="s">
        <v>77</v>
      </c>
      <c r="E77" s="599"/>
      <c r="F77" s="599"/>
      <c r="G77" s="599"/>
      <c r="H77" s="599"/>
      <c r="I77" s="600"/>
      <c r="J77" s="611"/>
      <c r="K77" s="7"/>
      <c r="L77" s="197" t="s">
        <v>178</v>
      </c>
      <c r="M77" s="197"/>
      <c r="N77" s="192"/>
      <c r="O77" s="195"/>
    </row>
    <row r="78" spans="1:15" s="1" customFormat="1" ht="13.5" thickBot="1">
      <c r="A78" s="603"/>
      <c r="B78" s="606"/>
      <c r="C78" s="597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612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15724</v>
      </c>
      <c r="B79" s="117">
        <v>5555</v>
      </c>
      <c r="C79" s="170">
        <v>440</v>
      </c>
      <c r="D79" s="171">
        <v>46</v>
      </c>
      <c r="E79" s="171">
        <v>269</v>
      </c>
      <c r="F79" s="171">
        <v>52</v>
      </c>
      <c r="G79" s="171">
        <v>0</v>
      </c>
      <c r="H79" s="170">
        <v>73</v>
      </c>
      <c r="I79" s="184">
        <v>0</v>
      </c>
      <c r="J79" s="118">
        <f>SUM(A79-B79-C79)</f>
        <v>9729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618" t="s">
        <v>112</v>
      </c>
      <c r="B83" s="620" t="s">
        <v>482</v>
      </c>
      <c r="C83" s="622" t="s">
        <v>480</v>
      </c>
      <c r="D83" s="623"/>
      <c r="E83" s="623"/>
      <c r="F83" s="624"/>
      <c r="G83" s="625" t="s">
        <v>483</v>
      </c>
      <c r="H83" s="613" t="s">
        <v>78</v>
      </c>
      <c r="I83" s="615" t="s">
        <v>481</v>
      </c>
      <c r="J83" s="616"/>
      <c r="K83" s="616"/>
      <c r="L83" s="617"/>
    </row>
    <row r="84" spans="1:12" s="1" customFormat="1" ht="18.75" thickBot="1">
      <c r="A84" s="619"/>
      <c r="B84" s="621"/>
      <c r="C84" s="119" t="s">
        <v>81</v>
      </c>
      <c r="D84" s="120" t="s">
        <v>79</v>
      </c>
      <c r="E84" s="120" t="s">
        <v>80</v>
      </c>
      <c r="F84" s="121" t="s">
        <v>114</v>
      </c>
      <c r="G84" s="626"/>
      <c r="H84" s="614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1104.65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870.72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/>
      <c r="C86" s="130">
        <v>0</v>
      </c>
      <c r="D86" s="131">
        <v>21</v>
      </c>
      <c r="E86" s="131">
        <v>0</v>
      </c>
      <c r="F86" s="132">
        <f>C86+D86-E86</f>
        <v>21</v>
      </c>
      <c r="G86" s="133"/>
      <c r="H86" s="453">
        <f>+G86-F86</f>
        <v>-21</v>
      </c>
      <c r="I86" s="130">
        <v>21</v>
      </c>
      <c r="J86" s="131">
        <v>2</v>
      </c>
      <c r="K86" s="131">
        <v>0</v>
      </c>
      <c r="L86" s="132">
        <f>I86+J86-K86</f>
        <v>23</v>
      </c>
    </row>
    <row r="87" spans="1:12" s="1" customFormat="1" ht="12.75">
      <c r="A87" s="128" t="s">
        <v>85</v>
      </c>
      <c r="B87" s="129"/>
      <c r="C87" s="130">
        <v>0</v>
      </c>
      <c r="D87" s="131">
        <v>83</v>
      </c>
      <c r="E87" s="131">
        <v>0</v>
      </c>
      <c r="F87" s="132">
        <f>C87+D87-E87</f>
        <v>83</v>
      </c>
      <c r="G87" s="133"/>
      <c r="H87" s="453">
        <f>+G87-F87</f>
        <v>-83</v>
      </c>
      <c r="I87" s="130">
        <v>83</v>
      </c>
      <c r="J87" s="131">
        <v>12</v>
      </c>
      <c r="K87" s="131">
        <v>86</v>
      </c>
      <c r="L87" s="132">
        <f>I87+J87-K87</f>
        <v>9</v>
      </c>
    </row>
    <row r="88" spans="1:12" s="1" customFormat="1" ht="12.75">
      <c r="A88" s="128" t="s">
        <v>113</v>
      </c>
      <c r="B88" s="129"/>
      <c r="C88" s="130">
        <v>39</v>
      </c>
      <c r="D88" s="131">
        <v>436</v>
      </c>
      <c r="E88" s="131">
        <v>275</v>
      </c>
      <c r="F88" s="132">
        <f>C88+D88-E88</f>
        <v>200</v>
      </c>
      <c r="G88" s="133"/>
      <c r="H88" s="453">
        <f>+G88-F88</f>
        <v>-200</v>
      </c>
      <c r="I88" s="461">
        <v>200</v>
      </c>
      <c r="J88" s="447">
        <v>526</v>
      </c>
      <c r="K88" s="447">
        <v>443</v>
      </c>
      <c r="L88" s="132">
        <f>I88+J88-K88</f>
        <v>283</v>
      </c>
    </row>
    <row r="89" spans="1:12" s="1" customFormat="1" ht="12.75">
      <c r="A89" s="128" t="s">
        <v>86</v>
      </c>
      <c r="B89" s="129">
        <v>1104.65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870.72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139.03</v>
      </c>
      <c r="C90" s="136">
        <v>139</v>
      </c>
      <c r="D90" s="137">
        <v>171</v>
      </c>
      <c r="E90" s="137">
        <v>155</v>
      </c>
      <c r="F90" s="138">
        <f>C90+D90-E90</f>
        <v>155</v>
      </c>
      <c r="G90" s="139">
        <v>141.19</v>
      </c>
      <c r="H90" s="454">
        <f>+G90-F90</f>
        <v>-13.810000000000002</v>
      </c>
      <c r="I90" s="136">
        <v>155</v>
      </c>
      <c r="J90" s="137">
        <v>172</v>
      </c>
      <c r="K90" s="137">
        <v>206</v>
      </c>
      <c r="L90" s="138">
        <f>I90+J90-K90</f>
        <v>121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/>
      <c r="E95" s="131"/>
      <c r="F95" s="131"/>
      <c r="G95" s="129"/>
      <c r="H95" s="132">
        <f>SUM(C95:G95)</f>
        <v>0</v>
      </c>
      <c r="I95" s="89"/>
      <c r="J95" s="93">
        <v>2005</v>
      </c>
      <c r="K95" s="94">
        <v>7923</v>
      </c>
      <c r="L95" s="95">
        <f>G29</f>
        <v>7923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8583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4.5</v>
      </c>
      <c r="C101" s="103">
        <v>4</v>
      </c>
      <c r="D101" s="103">
        <f>+C101-B101</f>
        <v>-0.5</v>
      </c>
      <c r="E101" s="103">
        <v>4.5</v>
      </c>
      <c r="F101" s="103">
        <v>4</v>
      </c>
      <c r="G101" s="104">
        <f>+F101-E101</f>
        <v>-0.5</v>
      </c>
      <c r="H101" s="105">
        <v>21761</v>
      </c>
      <c r="I101" s="106">
        <v>18490.96</v>
      </c>
      <c r="J101" s="107">
        <f>+I101-H101</f>
        <v>-3270.040000000001</v>
      </c>
    </row>
    <row r="102" spans="1:10" ht="12.75">
      <c r="A102" s="102" t="s">
        <v>98</v>
      </c>
      <c r="B102" s="103">
        <v>8</v>
      </c>
      <c r="C102" s="103">
        <v>8.21</v>
      </c>
      <c r="D102" s="103">
        <f aca="true" t="shared" si="11" ref="D102:D111">+C102-B102</f>
        <v>0.21000000000000085</v>
      </c>
      <c r="E102" s="103">
        <v>8</v>
      </c>
      <c r="F102" s="103">
        <v>9</v>
      </c>
      <c r="G102" s="104">
        <f aca="true" t="shared" si="12" ref="G102:G111">+F102-E102</f>
        <v>1</v>
      </c>
      <c r="H102" s="105">
        <v>20076</v>
      </c>
      <c r="I102" s="108">
        <v>16244.79</v>
      </c>
      <c r="J102" s="107">
        <f aca="true" t="shared" si="13" ref="J102:J111">+I102-H102</f>
        <v>-3831.209999999999</v>
      </c>
    </row>
    <row r="103" spans="1:10" ht="12.75">
      <c r="A103" s="102" t="s">
        <v>60</v>
      </c>
      <c r="B103" s="103">
        <v>1.75</v>
      </c>
      <c r="C103" s="103">
        <v>8.5</v>
      </c>
      <c r="D103" s="103">
        <f t="shared" si="11"/>
        <v>6.75</v>
      </c>
      <c r="E103" s="103">
        <v>1.75</v>
      </c>
      <c r="F103" s="103">
        <v>8.5</v>
      </c>
      <c r="G103" s="104">
        <f t="shared" si="12"/>
        <v>6.75</v>
      </c>
      <c r="H103" s="105">
        <v>7310</v>
      </c>
      <c r="I103" s="108">
        <v>12258.77</v>
      </c>
      <c r="J103" s="107">
        <f t="shared" si="13"/>
        <v>4948.77</v>
      </c>
    </row>
    <row r="104" spans="1:10" ht="12.75">
      <c r="A104" s="102" t="s">
        <v>61</v>
      </c>
      <c r="B104" s="103">
        <v>0</v>
      </c>
      <c r="C104" s="103">
        <v>0</v>
      </c>
      <c r="D104" s="103">
        <f t="shared" si="11"/>
        <v>0</v>
      </c>
      <c r="E104" s="103">
        <v>0</v>
      </c>
      <c r="F104" s="103">
        <v>0</v>
      </c>
      <c r="G104" s="104">
        <f t="shared" si="12"/>
        <v>0</v>
      </c>
      <c r="H104" s="105">
        <v>0</v>
      </c>
      <c r="I104" s="108">
        <v>0</v>
      </c>
      <c r="J104" s="107">
        <f t="shared" si="13"/>
        <v>0</v>
      </c>
    </row>
    <row r="105" spans="1:10" ht="12.75">
      <c r="A105" s="102" t="s">
        <v>99</v>
      </c>
      <c r="B105" s="103">
        <v>0</v>
      </c>
      <c r="C105" s="103">
        <v>0</v>
      </c>
      <c r="D105" s="103">
        <f t="shared" si="11"/>
        <v>0</v>
      </c>
      <c r="E105" s="103">
        <v>0</v>
      </c>
      <c r="F105" s="103">
        <v>0</v>
      </c>
      <c r="G105" s="104">
        <f t="shared" si="12"/>
        <v>0</v>
      </c>
      <c r="H105" s="105">
        <v>0</v>
      </c>
      <c r="I105" s="108">
        <v>0</v>
      </c>
      <c r="J105" s="107">
        <f t="shared" si="13"/>
        <v>0</v>
      </c>
    </row>
    <row r="106" spans="1:10" ht="12.75">
      <c r="A106" s="102" t="s">
        <v>63</v>
      </c>
      <c r="B106" s="103">
        <v>1</v>
      </c>
      <c r="C106" s="103">
        <v>1</v>
      </c>
      <c r="D106" s="103">
        <f t="shared" si="11"/>
        <v>0</v>
      </c>
      <c r="E106" s="103">
        <v>1</v>
      </c>
      <c r="F106" s="103">
        <v>1</v>
      </c>
      <c r="G106" s="104">
        <f t="shared" si="12"/>
        <v>0</v>
      </c>
      <c r="H106" s="105">
        <v>19873</v>
      </c>
      <c r="I106" s="108">
        <v>18585.25</v>
      </c>
      <c r="J106" s="107">
        <f t="shared" si="13"/>
        <v>-1287.75</v>
      </c>
    </row>
    <row r="107" spans="1:10" ht="12.75">
      <c r="A107" s="102" t="s">
        <v>64</v>
      </c>
      <c r="B107" s="103">
        <v>0</v>
      </c>
      <c r="C107" s="103">
        <v>0</v>
      </c>
      <c r="D107" s="103">
        <f t="shared" si="11"/>
        <v>0</v>
      </c>
      <c r="E107" s="103">
        <v>0</v>
      </c>
      <c r="F107" s="103">
        <v>0</v>
      </c>
      <c r="G107" s="104">
        <f t="shared" si="12"/>
        <v>0</v>
      </c>
      <c r="H107" s="105">
        <v>0</v>
      </c>
      <c r="I107" s="108">
        <v>0</v>
      </c>
      <c r="J107" s="107">
        <f t="shared" si="13"/>
        <v>0</v>
      </c>
    </row>
    <row r="108" spans="1:10" ht="12.75">
      <c r="A108" s="102" t="s">
        <v>65</v>
      </c>
      <c r="B108" s="103">
        <v>18.08</v>
      </c>
      <c r="C108" s="103">
        <v>11.531</v>
      </c>
      <c r="D108" s="103">
        <f t="shared" si="11"/>
        <v>-6.548999999999998</v>
      </c>
      <c r="E108" s="103">
        <v>18.08</v>
      </c>
      <c r="F108" s="103">
        <v>11.75</v>
      </c>
      <c r="G108" s="104">
        <f t="shared" si="12"/>
        <v>-6.329999999999998</v>
      </c>
      <c r="H108" s="105">
        <v>13686</v>
      </c>
      <c r="I108" s="108">
        <v>12157.31</v>
      </c>
      <c r="J108" s="107">
        <f t="shared" si="13"/>
        <v>-1528.6900000000005</v>
      </c>
    </row>
    <row r="109" spans="1:10" ht="12.75">
      <c r="A109" s="102" t="s">
        <v>66</v>
      </c>
      <c r="B109" s="103">
        <v>1</v>
      </c>
      <c r="C109" s="103">
        <v>1</v>
      </c>
      <c r="D109" s="103">
        <f t="shared" si="11"/>
        <v>0</v>
      </c>
      <c r="E109" s="103">
        <v>1</v>
      </c>
      <c r="F109" s="103">
        <v>1</v>
      </c>
      <c r="G109" s="104">
        <f t="shared" si="12"/>
        <v>0</v>
      </c>
      <c r="H109" s="105">
        <v>15218</v>
      </c>
      <c r="I109" s="108">
        <v>15411.08</v>
      </c>
      <c r="J109" s="107">
        <f t="shared" si="13"/>
        <v>193.07999999999993</v>
      </c>
    </row>
    <row r="110" spans="1:10" ht="12.75">
      <c r="A110" s="102" t="s">
        <v>67</v>
      </c>
      <c r="B110" s="103">
        <v>11.62</v>
      </c>
      <c r="C110" s="103">
        <v>13.274</v>
      </c>
      <c r="D110" s="103">
        <f t="shared" si="11"/>
        <v>1.654</v>
      </c>
      <c r="E110" s="103">
        <v>11.62</v>
      </c>
      <c r="F110" s="103">
        <v>14.125</v>
      </c>
      <c r="G110" s="104">
        <f t="shared" si="12"/>
        <v>2.505000000000001</v>
      </c>
      <c r="H110" s="105">
        <v>12871</v>
      </c>
      <c r="I110" s="108">
        <v>10889.14</v>
      </c>
      <c r="J110" s="107">
        <f t="shared" si="13"/>
        <v>-1981.8600000000006</v>
      </c>
    </row>
    <row r="111" spans="1:10" ht="13.5" thickBot="1">
      <c r="A111" s="109" t="s">
        <v>5</v>
      </c>
      <c r="B111" s="110">
        <v>44.95</v>
      </c>
      <c r="C111" s="110">
        <v>47.514</v>
      </c>
      <c r="D111" s="110">
        <f t="shared" si="11"/>
        <v>2.564</v>
      </c>
      <c r="E111" s="110">
        <v>44.95</v>
      </c>
      <c r="F111" s="110">
        <v>49.375</v>
      </c>
      <c r="G111" s="111">
        <f t="shared" si="12"/>
        <v>4.424999999999997</v>
      </c>
      <c r="H111" s="112">
        <v>15828</v>
      </c>
      <c r="I111" s="113">
        <v>13145.25</v>
      </c>
      <c r="J111" s="114">
        <f t="shared" si="13"/>
        <v>-2682.75</v>
      </c>
    </row>
    <row r="112" ht="13.5" thickBot="1"/>
    <row r="113" spans="1:16" ht="12.75">
      <c r="A113" s="706" t="s">
        <v>68</v>
      </c>
      <c r="B113" s="707"/>
      <c r="C113" s="708"/>
      <c r="D113" s="89"/>
      <c r="E113" s="706" t="s">
        <v>69</v>
      </c>
      <c r="F113" s="707"/>
      <c r="G113" s="708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709" t="s">
        <v>72</v>
      </c>
      <c r="G114" s="71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47</v>
      </c>
      <c r="C115" s="95">
        <v>47.52</v>
      </c>
      <c r="D115" s="89"/>
      <c r="E115" s="93">
        <v>2005</v>
      </c>
      <c r="F115" s="711">
        <v>90</v>
      </c>
      <c r="G115" s="624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47.52</v>
      </c>
      <c r="C116" s="98"/>
      <c r="D116" s="89"/>
      <c r="E116" s="96">
        <v>2006</v>
      </c>
      <c r="F116" s="704">
        <v>90</v>
      </c>
      <c r="G116" s="705"/>
      <c r="H116"/>
      <c r="I116"/>
      <c r="J116"/>
      <c r="K116"/>
      <c r="L116"/>
      <c r="M116"/>
      <c r="N116"/>
      <c r="O116"/>
      <c r="P116"/>
    </row>
  </sheetData>
  <mergeCells count="119">
    <mergeCell ref="J76:J78"/>
    <mergeCell ref="L76:M76"/>
    <mergeCell ref="C77:C78"/>
    <mergeCell ref="D77:I77"/>
    <mergeCell ref="F72:G72"/>
    <mergeCell ref="A76:A78"/>
    <mergeCell ref="B76:B78"/>
    <mergeCell ref="C76:I76"/>
    <mergeCell ref="C70:D70"/>
    <mergeCell ref="F70:G70"/>
    <mergeCell ref="I70:K70"/>
    <mergeCell ref="C71:D71"/>
    <mergeCell ref="F71:G71"/>
    <mergeCell ref="I71:K71"/>
    <mergeCell ref="I66:K66"/>
    <mergeCell ref="I68:K68"/>
    <mergeCell ref="C69:D69"/>
    <mergeCell ref="F69:G69"/>
    <mergeCell ref="I69:K69"/>
    <mergeCell ref="I67:K67"/>
    <mergeCell ref="A3:A6"/>
    <mergeCell ref="B3:N3"/>
    <mergeCell ref="H4:I4"/>
    <mergeCell ref="M4:N4"/>
    <mergeCell ref="B38:D38"/>
    <mergeCell ref="E38:G38"/>
    <mergeCell ref="J38:L38"/>
    <mergeCell ref="A65:E65"/>
    <mergeCell ref="F65:L65"/>
    <mergeCell ref="B39:D39"/>
    <mergeCell ref="E39:G39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L52:L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H62:K62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93:A94"/>
    <mergeCell ref="B93:B94"/>
    <mergeCell ref="C93:H93"/>
    <mergeCell ref="J93:L93"/>
    <mergeCell ref="A62:B62"/>
    <mergeCell ref="D62:F62"/>
    <mergeCell ref="C68:D68"/>
    <mergeCell ref="F68:G68"/>
    <mergeCell ref="C67:D67"/>
    <mergeCell ref="F67:G67"/>
    <mergeCell ref="C66:D66"/>
    <mergeCell ref="F66:G66"/>
    <mergeCell ref="A99:A100"/>
    <mergeCell ref="B99:D99"/>
    <mergeCell ref="E99:G99"/>
    <mergeCell ref="H99:J99"/>
    <mergeCell ref="A113:C113"/>
    <mergeCell ref="E113:G113"/>
    <mergeCell ref="F115:G115"/>
    <mergeCell ref="F116:G116"/>
    <mergeCell ref="F114:G114"/>
    <mergeCell ref="H83:H84"/>
    <mergeCell ref="I83:L83"/>
    <mergeCell ref="A83:A84"/>
    <mergeCell ref="B83:B84"/>
    <mergeCell ref="C83:F83"/>
    <mergeCell ref="G83:G84"/>
  </mergeCells>
  <printOptions horizontalCentered="1"/>
  <pageMargins left="0.15748031496062992" right="0.15748031496062992" top="0.76" bottom="0.16" header="0.57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L90" sqref="L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46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16"/>
      <c r="N2" s="717"/>
    </row>
    <row r="3" spans="1:14" ht="24" customHeight="1" thickBot="1">
      <c r="A3" s="684" t="s">
        <v>0</v>
      </c>
      <c r="B3" s="686" t="s">
        <v>426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712"/>
      <c r="N3" s="71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 t="s">
        <v>120</v>
      </c>
      <c r="M6" s="440" t="s">
        <v>8</v>
      </c>
      <c r="N6" s="350" t="s">
        <v>9</v>
      </c>
    </row>
    <row r="7" spans="1:14" ht="13.5" customHeight="1">
      <c r="A7" s="508" t="s">
        <v>10</v>
      </c>
      <c r="B7" s="427">
        <v>0</v>
      </c>
      <c r="C7" s="428"/>
      <c r="D7" s="433">
        <f>SUM(B7:C7)</f>
        <v>0</v>
      </c>
      <c r="E7" s="427">
        <v>0</v>
      </c>
      <c r="F7" s="428"/>
      <c r="G7" s="433">
        <f>SUM(E7:F7)</f>
        <v>0</v>
      </c>
      <c r="H7" s="464">
        <f>+G7-D7</f>
        <v>0</v>
      </c>
      <c r="I7" s="471"/>
      <c r="J7" s="427">
        <v>0</v>
      </c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6711</v>
      </c>
      <c r="C8" s="33"/>
      <c r="D8" s="434">
        <f>SUM(B8:C8)</f>
        <v>6711</v>
      </c>
      <c r="E8" s="37">
        <v>6900</v>
      </c>
      <c r="F8" s="33"/>
      <c r="G8" s="434">
        <f>SUM(E8:F8)</f>
        <v>6900</v>
      </c>
      <c r="H8" s="465">
        <f>+G8-D8</f>
        <v>189</v>
      </c>
      <c r="I8" s="36">
        <f>+G8/D8</f>
        <v>1.0281627179257935</v>
      </c>
      <c r="J8" s="37">
        <v>6849</v>
      </c>
      <c r="K8" s="33" t="s">
        <v>120</v>
      </c>
      <c r="L8" s="434">
        <v>6849</v>
      </c>
      <c r="M8" s="465">
        <f>+L8-G8</f>
        <v>-51</v>
      </c>
      <c r="N8" s="39">
        <f>+L8/G8</f>
        <v>0.9926086956521739</v>
      </c>
    </row>
    <row r="9" spans="1:14" ht="13.5" customHeight="1">
      <c r="A9" s="509" t="s">
        <v>12</v>
      </c>
      <c r="B9" s="37">
        <v>0</v>
      </c>
      <c r="C9" s="33"/>
      <c r="D9" s="434">
        <f aca="true" t="shared" si="0" ref="D9:D15">SUM(B9:C9)</f>
        <v>0</v>
      </c>
      <c r="E9" s="37">
        <v>0</v>
      </c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>
        <v>0</v>
      </c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>
        <v>0</v>
      </c>
      <c r="C10" s="33"/>
      <c r="D10" s="434">
        <f t="shared" si="0"/>
        <v>0</v>
      </c>
      <c r="E10" s="37">
        <v>0</v>
      </c>
      <c r="F10" s="33"/>
      <c r="G10" s="434">
        <f t="shared" si="1"/>
        <v>0</v>
      </c>
      <c r="H10" s="465">
        <f t="shared" si="2"/>
        <v>0</v>
      </c>
      <c r="I10" s="36"/>
      <c r="J10" s="37">
        <v>0</v>
      </c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176</v>
      </c>
      <c r="C11" s="33"/>
      <c r="D11" s="434">
        <f t="shared" si="0"/>
        <v>176</v>
      </c>
      <c r="E11" s="37">
        <v>150</v>
      </c>
      <c r="F11" s="33"/>
      <c r="G11" s="434">
        <f t="shared" si="1"/>
        <v>150</v>
      </c>
      <c r="H11" s="465">
        <f t="shared" si="2"/>
        <v>-26</v>
      </c>
      <c r="I11" s="36">
        <f aca="true" t="shared" si="5" ref="I11:I37">+G11/D11</f>
        <v>0.8522727272727273</v>
      </c>
      <c r="J11" s="37">
        <v>145</v>
      </c>
      <c r="K11" s="33"/>
      <c r="L11" s="434">
        <f t="shared" si="3"/>
        <v>145</v>
      </c>
      <c r="M11" s="465">
        <f t="shared" si="4"/>
        <v>-5</v>
      </c>
      <c r="N11" s="39">
        <f aca="true" t="shared" si="6" ref="N11:N37">+L11/G11</f>
        <v>0.9666666666666667</v>
      </c>
    </row>
    <row r="12" spans="1:14" ht="13.5" customHeight="1">
      <c r="A12" s="510" t="s">
        <v>15</v>
      </c>
      <c r="B12" s="37">
        <v>51</v>
      </c>
      <c r="C12" s="33"/>
      <c r="D12" s="434">
        <f t="shared" si="0"/>
        <v>51</v>
      </c>
      <c r="E12" s="37">
        <v>94</v>
      </c>
      <c r="F12" s="33"/>
      <c r="G12" s="434">
        <f t="shared" si="1"/>
        <v>94</v>
      </c>
      <c r="H12" s="465">
        <f t="shared" si="2"/>
        <v>43</v>
      </c>
      <c r="I12" s="36">
        <f t="shared" si="5"/>
        <v>1.8431372549019607</v>
      </c>
      <c r="J12" s="37">
        <v>90</v>
      </c>
      <c r="K12" s="33"/>
      <c r="L12" s="434">
        <f t="shared" si="3"/>
        <v>90</v>
      </c>
      <c r="M12" s="465">
        <f t="shared" si="4"/>
        <v>-4</v>
      </c>
      <c r="N12" s="39">
        <f t="shared" si="6"/>
        <v>0.9574468085106383</v>
      </c>
    </row>
    <row r="13" spans="1:14" ht="13.5" customHeight="1">
      <c r="A13" s="510" t="s">
        <v>16</v>
      </c>
      <c r="B13" s="37">
        <v>0</v>
      </c>
      <c r="C13" s="33"/>
      <c r="D13" s="434">
        <f t="shared" si="0"/>
        <v>0</v>
      </c>
      <c r="E13" s="37">
        <v>0</v>
      </c>
      <c r="F13" s="33"/>
      <c r="G13" s="434">
        <f t="shared" si="1"/>
        <v>0</v>
      </c>
      <c r="H13" s="465">
        <f t="shared" si="2"/>
        <v>0</v>
      </c>
      <c r="I13" s="36"/>
      <c r="J13" s="37">
        <v>0</v>
      </c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>
        <v>0</v>
      </c>
      <c r="C14" s="33"/>
      <c r="D14" s="434">
        <f t="shared" si="0"/>
        <v>0</v>
      </c>
      <c r="E14" s="37">
        <v>0</v>
      </c>
      <c r="F14" s="33"/>
      <c r="G14" s="434">
        <f t="shared" si="1"/>
        <v>0</v>
      </c>
      <c r="H14" s="465">
        <f t="shared" si="2"/>
        <v>0</v>
      </c>
      <c r="I14" s="36"/>
      <c r="J14" s="37">
        <v>0</v>
      </c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12100</v>
      </c>
      <c r="C15" s="33"/>
      <c r="D15" s="434">
        <f t="shared" si="0"/>
        <v>12100</v>
      </c>
      <c r="E15" s="37">
        <v>12892</v>
      </c>
      <c r="F15" s="33"/>
      <c r="G15" s="434">
        <f t="shared" si="1"/>
        <v>12892</v>
      </c>
      <c r="H15" s="465">
        <f t="shared" si="2"/>
        <v>792</v>
      </c>
      <c r="I15" s="36">
        <f t="shared" si="5"/>
        <v>1.0654545454545454</v>
      </c>
      <c r="J15" s="57">
        <f>SUM(J16:J17)</f>
        <v>13537</v>
      </c>
      <c r="K15" s="33"/>
      <c r="L15" s="434">
        <f t="shared" si="3"/>
        <v>13537</v>
      </c>
      <c r="M15" s="465">
        <f t="shared" si="4"/>
        <v>645</v>
      </c>
      <c r="N15" s="39">
        <f t="shared" si="6"/>
        <v>1.0500310269934843</v>
      </c>
    </row>
    <row r="16" spans="1:14" ht="13.5" customHeight="1">
      <c r="A16" s="511" t="s">
        <v>476</v>
      </c>
      <c r="B16" s="37"/>
      <c r="C16" s="33"/>
      <c r="D16" s="434"/>
      <c r="E16" s="37">
        <v>12115</v>
      </c>
      <c r="F16" s="33"/>
      <c r="G16" s="434">
        <f t="shared" si="1"/>
        <v>12115</v>
      </c>
      <c r="H16" s="465">
        <f t="shared" si="2"/>
        <v>12115</v>
      </c>
      <c r="I16" s="36"/>
      <c r="J16" s="57">
        <f>12914</f>
        <v>12914</v>
      </c>
      <c r="K16" s="33"/>
      <c r="L16" s="434">
        <f t="shared" si="3"/>
        <v>12914</v>
      </c>
      <c r="M16" s="465">
        <f t="shared" si="4"/>
        <v>799</v>
      </c>
      <c r="N16" s="39">
        <f t="shared" si="6"/>
        <v>1.0659513000412713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777</v>
      </c>
      <c r="F17" s="431"/>
      <c r="G17" s="434">
        <f t="shared" si="1"/>
        <v>777</v>
      </c>
      <c r="H17" s="465">
        <f t="shared" si="2"/>
        <v>777</v>
      </c>
      <c r="I17" s="36"/>
      <c r="J17" s="438">
        <v>623</v>
      </c>
      <c r="K17" s="431"/>
      <c r="L17" s="434">
        <f t="shared" si="3"/>
        <v>623</v>
      </c>
      <c r="M17" s="465">
        <f t="shared" si="4"/>
        <v>-154</v>
      </c>
      <c r="N17" s="39">
        <f t="shared" si="6"/>
        <v>0.8018018018018018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18987</v>
      </c>
      <c r="C18" s="425">
        <f t="shared" si="7"/>
        <v>0</v>
      </c>
      <c r="D18" s="426">
        <f t="shared" si="7"/>
        <v>18987</v>
      </c>
      <c r="E18" s="424">
        <f t="shared" si="7"/>
        <v>19942</v>
      </c>
      <c r="F18" s="425">
        <f t="shared" si="7"/>
        <v>0</v>
      </c>
      <c r="G18" s="426">
        <f t="shared" si="7"/>
        <v>19942</v>
      </c>
      <c r="H18" s="369">
        <f t="shared" si="2"/>
        <v>955</v>
      </c>
      <c r="I18" s="63">
        <f t="shared" si="5"/>
        <v>1.050297572022963</v>
      </c>
      <c r="J18" s="437">
        <f>SUM(J7+J8+J9+J10+J11+J13+J15)</f>
        <v>20531</v>
      </c>
      <c r="K18" s="425">
        <v>0</v>
      </c>
      <c r="L18" s="426">
        <f>SUM(L7+L8+L9+L10+L11+L13+L15)</f>
        <v>20531</v>
      </c>
      <c r="M18" s="369">
        <f t="shared" si="4"/>
        <v>589</v>
      </c>
      <c r="N18" s="370">
        <f t="shared" si="6"/>
        <v>1.029535653394845</v>
      </c>
    </row>
    <row r="19" spans="1:14" ht="13.5" customHeight="1">
      <c r="A19" s="54" t="s">
        <v>20</v>
      </c>
      <c r="B19" s="25">
        <v>3680</v>
      </c>
      <c r="C19" s="26"/>
      <c r="D19" s="34">
        <f aca="true" t="shared" si="8" ref="D19:D36">SUM(B19:C19)</f>
        <v>3680</v>
      </c>
      <c r="E19" s="25">
        <v>4047</v>
      </c>
      <c r="F19" s="26"/>
      <c r="G19" s="27">
        <f>SUM(E19:F19)</f>
        <v>4047</v>
      </c>
      <c r="H19" s="28">
        <f t="shared" si="2"/>
        <v>367</v>
      </c>
      <c r="I19" s="55">
        <f t="shared" si="5"/>
        <v>1.0997282608695653</v>
      </c>
      <c r="J19" s="29">
        <v>3552</v>
      </c>
      <c r="K19" s="26" t="s">
        <v>120</v>
      </c>
      <c r="L19" s="30">
        <f>SUM(J19:K19)</f>
        <v>3552</v>
      </c>
      <c r="M19" s="28">
        <f t="shared" si="4"/>
        <v>-495</v>
      </c>
      <c r="N19" s="56">
        <f t="shared" si="6"/>
        <v>0.8776871756856931</v>
      </c>
    </row>
    <row r="20" spans="1:14" ht="21" customHeight="1">
      <c r="A20" s="40" t="s">
        <v>21</v>
      </c>
      <c r="B20" s="25">
        <v>82</v>
      </c>
      <c r="C20" s="26"/>
      <c r="D20" s="34">
        <f t="shared" si="8"/>
        <v>82</v>
      </c>
      <c r="E20" s="25">
        <v>106</v>
      </c>
      <c r="F20" s="26"/>
      <c r="G20" s="27">
        <f aca="true" t="shared" si="9" ref="G20:G36">SUM(E20:F20)</f>
        <v>106</v>
      </c>
      <c r="H20" s="35">
        <f t="shared" si="2"/>
        <v>24</v>
      </c>
      <c r="I20" s="36">
        <f t="shared" si="5"/>
        <v>1.2926829268292683</v>
      </c>
      <c r="J20" s="29">
        <v>250</v>
      </c>
      <c r="K20" s="26"/>
      <c r="L20" s="30">
        <f aca="true" t="shared" si="10" ref="L20:L36">SUM(J20:K20)</f>
        <v>250</v>
      </c>
      <c r="M20" s="35">
        <f t="shared" si="4"/>
        <v>144</v>
      </c>
      <c r="N20" s="39">
        <f t="shared" si="6"/>
        <v>2.358490566037736</v>
      </c>
    </row>
    <row r="21" spans="1:14" ht="13.5" customHeight="1">
      <c r="A21" s="31" t="s">
        <v>22</v>
      </c>
      <c r="B21" s="32">
        <v>1219</v>
      </c>
      <c r="C21" s="33"/>
      <c r="D21" s="34">
        <f t="shared" si="8"/>
        <v>1219</v>
      </c>
      <c r="E21" s="32">
        <v>1355</v>
      </c>
      <c r="F21" s="33"/>
      <c r="G21" s="27">
        <f t="shared" si="9"/>
        <v>1355</v>
      </c>
      <c r="H21" s="35">
        <f t="shared" si="2"/>
        <v>136</v>
      </c>
      <c r="I21" s="36">
        <f t="shared" si="5"/>
        <v>1.1115668580803937</v>
      </c>
      <c r="J21" s="37">
        <v>1490</v>
      </c>
      <c r="K21" s="33" t="s">
        <v>120</v>
      </c>
      <c r="L21" s="30">
        <v>1490</v>
      </c>
      <c r="M21" s="35">
        <f t="shared" si="4"/>
        <v>135</v>
      </c>
      <c r="N21" s="39">
        <f t="shared" si="6"/>
        <v>1.099630996309963</v>
      </c>
    </row>
    <row r="22" spans="1:14" ht="13.5" customHeight="1">
      <c r="A22" s="40" t="s">
        <v>23</v>
      </c>
      <c r="B22" s="32">
        <v>0</v>
      </c>
      <c r="C22" s="33"/>
      <c r="D22" s="34">
        <f t="shared" si="8"/>
        <v>0</v>
      </c>
      <c r="E22" s="32">
        <v>0</v>
      </c>
      <c r="F22" s="33"/>
      <c r="G22" s="27">
        <f t="shared" si="9"/>
        <v>0</v>
      </c>
      <c r="H22" s="35">
        <f t="shared" si="2"/>
        <v>0</v>
      </c>
      <c r="I22" s="36"/>
      <c r="J22" s="37">
        <v>0</v>
      </c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>
        <v>0</v>
      </c>
      <c r="C23" s="33"/>
      <c r="D23" s="34">
        <f t="shared" si="8"/>
        <v>0</v>
      </c>
      <c r="E23" s="32">
        <v>0</v>
      </c>
      <c r="F23" s="33"/>
      <c r="G23" s="27">
        <f t="shared" si="9"/>
        <v>0</v>
      </c>
      <c r="H23" s="35">
        <f t="shared" si="2"/>
        <v>0</v>
      </c>
      <c r="I23" s="36"/>
      <c r="J23" s="37">
        <v>0</v>
      </c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999</v>
      </c>
      <c r="C24" s="33"/>
      <c r="D24" s="34">
        <f t="shared" si="8"/>
        <v>999</v>
      </c>
      <c r="E24" s="37">
        <v>894</v>
      </c>
      <c r="F24" s="33"/>
      <c r="G24" s="27">
        <f t="shared" si="9"/>
        <v>894</v>
      </c>
      <c r="H24" s="35">
        <f t="shared" si="2"/>
        <v>-105</v>
      </c>
      <c r="I24" s="36">
        <f t="shared" si="5"/>
        <v>0.8948948948948949</v>
      </c>
      <c r="J24" s="37">
        <v>914</v>
      </c>
      <c r="K24" s="33" t="s">
        <v>120</v>
      </c>
      <c r="L24" s="30">
        <f t="shared" si="10"/>
        <v>914</v>
      </c>
      <c r="M24" s="35">
        <f t="shared" si="4"/>
        <v>20</v>
      </c>
      <c r="N24" s="39">
        <f t="shared" si="6"/>
        <v>1.0223713646532437</v>
      </c>
    </row>
    <row r="25" spans="1:14" ht="13.5" customHeight="1">
      <c r="A25" s="40" t="s">
        <v>26</v>
      </c>
      <c r="B25" s="32">
        <v>448</v>
      </c>
      <c r="C25" s="33"/>
      <c r="D25" s="34">
        <f t="shared" si="8"/>
        <v>448</v>
      </c>
      <c r="E25" s="32">
        <v>314</v>
      </c>
      <c r="F25" s="33"/>
      <c r="G25" s="27">
        <f t="shared" si="9"/>
        <v>314</v>
      </c>
      <c r="H25" s="35">
        <f t="shared" si="2"/>
        <v>-134</v>
      </c>
      <c r="I25" s="36">
        <f t="shared" si="5"/>
        <v>0.7008928571428571</v>
      </c>
      <c r="J25" s="57">
        <v>320</v>
      </c>
      <c r="K25" s="33"/>
      <c r="L25" s="30">
        <f t="shared" si="10"/>
        <v>320</v>
      </c>
      <c r="M25" s="35">
        <f t="shared" si="4"/>
        <v>6</v>
      </c>
      <c r="N25" s="39">
        <f t="shared" si="6"/>
        <v>1.019108280254777</v>
      </c>
    </row>
    <row r="26" spans="1:14" ht="13.5" customHeight="1">
      <c r="A26" s="31" t="s">
        <v>27</v>
      </c>
      <c r="B26" s="32">
        <v>511</v>
      </c>
      <c r="C26" s="33"/>
      <c r="D26" s="34">
        <f t="shared" si="8"/>
        <v>511</v>
      </c>
      <c r="E26" s="32">
        <v>580</v>
      </c>
      <c r="F26" s="33"/>
      <c r="G26" s="27">
        <f t="shared" si="9"/>
        <v>580</v>
      </c>
      <c r="H26" s="35">
        <f t="shared" si="2"/>
        <v>69</v>
      </c>
      <c r="I26" s="36">
        <f t="shared" si="5"/>
        <v>1.1350293542074363</v>
      </c>
      <c r="J26" s="57">
        <v>570</v>
      </c>
      <c r="K26" s="33" t="s">
        <v>120</v>
      </c>
      <c r="L26" s="30">
        <f t="shared" si="10"/>
        <v>570</v>
      </c>
      <c r="M26" s="35">
        <f t="shared" si="4"/>
        <v>-10</v>
      </c>
      <c r="N26" s="39">
        <f t="shared" si="6"/>
        <v>0.9827586206896551</v>
      </c>
    </row>
    <row r="27" spans="1:14" ht="13.5" customHeight="1">
      <c r="A27" s="58" t="s">
        <v>28</v>
      </c>
      <c r="B27" s="37">
        <v>12351</v>
      </c>
      <c r="C27" s="33"/>
      <c r="D27" s="34">
        <f t="shared" si="8"/>
        <v>12351</v>
      </c>
      <c r="E27" s="37">
        <v>13089</v>
      </c>
      <c r="F27" s="33"/>
      <c r="G27" s="27">
        <f t="shared" si="9"/>
        <v>13089</v>
      </c>
      <c r="H27" s="35">
        <f t="shared" si="2"/>
        <v>738</v>
      </c>
      <c r="I27" s="36">
        <f t="shared" si="5"/>
        <v>1.0597522467816372</v>
      </c>
      <c r="J27" s="37">
        <f>J28+J31</f>
        <v>13977</v>
      </c>
      <c r="K27" s="33" t="s">
        <v>490</v>
      </c>
      <c r="L27" s="30">
        <f t="shared" si="10"/>
        <v>13977</v>
      </c>
      <c r="M27" s="35">
        <f t="shared" si="4"/>
        <v>888</v>
      </c>
      <c r="N27" s="39">
        <f t="shared" si="6"/>
        <v>1.0678432271372909</v>
      </c>
    </row>
    <row r="28" spans="1:14" ht="13.5" customHeight="1">
      <c r="A28" s="40" t="s">
        <v>29</v>
      </c>
      <c r="B28" s="32">
        <v>9049</v>
      </c>
      <c r="C28" s="33"/>
      <c r="D28" s="34">
        <f t="shared" si="8"/>
        <v>9049</v>
      </c>
      <c r="E28" s="32">
        <v>9559</v>
      </c>
      <c r="F28" s="33"/>
      <c r="G28" s="27">
        <f t="shared" si="9"/>
        <v>9559</v>
      </c>
      <c r="H28" s="35">
        <f t="shared" si="2"/>
        <v>510</v>
      </c>
      <c r="I28" s="36">
        <f t="shared" si="5"/>
        <v>1.0563598187645045</v>
      </c>
      <c r="J28" s="57">
        <f>J29+J30</f>
        <v>10203</v>
      </c>
      <c r="K28" s="59" t="s">
        <v>120</v>
      </c>
      <c r="L28" s="30">
        <f t="shared" si="10"/>
        <v>10203</v>
      </c>
      <c r="M28" s="35">
        <f t="shared" si="4"/>
        <v>644</v>
      </c>
      <c r="N28" s="39">
        <f t="shared" si="6"/>
        <v>1.0673710639188199</v>
      </c>
    </row>
    <row r="29" spans="1:14" ht="13.5" customHeight="1">
      <c r="A29" s="58" t="s">
        <v>30</v>
      </c>
      <c r="B29" s="32">
        <v>8817</v>
      </c>
      <c r="C29" s="33"/>
      <c r="D29" s="34">
        <f t="shared" si="8"/>
        <v>8817</v>
      </c>
      <c r="E29" s="32">
        <v>9411</v>
      </c>
      <c r="F29" s="33"/>
      <c r="G29" s="27">
        <f t="shared" si="9"/>
        <v>9411</v>
      </c>
      <c r="H29" s="35">
        <f t="shared" si="2"/>
        <v>594</v>
      </c>
      <c r="I29" s="36">
        <f t="shared" si="5"/>
        <v>1.067369853691732</v>
      </c>
      <c r="J29" s="37">
        <f>9548+455</f>
        <v>10003</v>
      </c>
      <c r="K29" s="33" t="s">
        <v>120</v>
      </c>
      <c r="L29" s="30">
        <f t="shared" si="10"/>
        <v>10003</v>
      </c>
      <c r="M29" s="35">
        <f t="shared" si="4"/>
        <v>592</v>
      </c>
      <c r="N29" s="39">
        <f t="shared" si="6"/>
        <v>1.062905111040272</v>
      </c>
    </row>
    <row r="30" spans="1:14" ht="13.5" customHeight="1">
      <c r="A30" s="40" t="s">
        <v>31</v>
      </c>
      <c r="B30" s="32">
        <v>232</v>
      </c>
      <c r="C30" s="33"/>
      <c r="D30" s="34">
        <f t="shared" si="8"/>
        <v>232</v>
      </c>
      <c r="E30" s="32">
        <v>148</v>
      </c>
      <c r="F30" s="33"/>
      <c r="G30" s="27">
        <f t="shared" si="9"/>
        <v>148</v>
      </c>
      <c r="H30" s="35">
        <f t="shared" si="2"/>
        <v>-84</v>
      </c>
      <c r="I30" s="36">
        <f t="shared" si="5"/>
        <v>0.6379310344827587</v>
      </c>
      <c r="J30" s="37">
        <v>200</v>
      </c>
      <c r="K30" s="33"/>
      <c r="L30" s="30">
        <f t="shared" si="10"/>
        <v>200</v>
      </c>
      <c r="M30" s="35">
        <f t="shared" si="4"/>
        <v>52</v>
      </c>
      <c r="N30" s="39">
        <f t="shared" si="6"/>
        <v>1.3513513513513513</v>
      </c>
    </row>
    <row r="31" spans="1:14" ht="13.5" customHeight="1">
      <c r="A31" s="40" t="s">
        <v>32</v>
      </c>
      <c r="B31" s="32">
        <v>3302</v>
      </c>
      <c r="C31" s="33"/>
      <c r="D31" s="34">
        <f t="shared" si="8"/>
        <v>3302</v>
      </c>
      <c r="E31" s="32">
        <v>3530</v>
      </c>
      <c r="F31" s="33"/>
      <c r="G31" s="27">
        <f t="shared" si="9"/>
        <v>3530</v>
      </c>
      <c r="H31" s="35">
        <f t="shared" si="2"/>
        <v>228</v>
      </c>
      <c r="I31" s="36">
        <f t="shared" si="5"/>
        <v>1.0690490611750454</v>
      </c>
      <c r="J31" s="37">
        <f>3606+168</f>
        <v>3774</v>
      </c>
      <c r="K31" s="33" t="s">
        <v>120</v>
      </c>
      <c r="L31" s="30">
        <f t="shared" si="10"/>
        <v>3774</v>
      </c>
      <c r="M31" s="35">
        <f t="shared" si="4"/>
        <v>244</v>
      </c>
      <c r="N31" s="39">
        <f t="shared" si="6"/>
        <v>1.0691218130311615</v>
      </c>
    </row>
    <row r="32" spans="1:14" ht="13.5" customHeight="1">
      <c r="A32" s="58" t="s">
        <v>33</v>
      </c>
      <c r="B32" s="32">
        <v>2</v>
      </c>
      <c r="C32" s="33"/>
      <c r="D32" s="34">
        <f t="shared" si="8"/>
        <v>2</v>
      </c>
      <c r="E32" s="32">
        <v>-2</v>
      </c>
      <c r="F32" s="33"/>
      <c r="G32" s="27">
        <f t="shared" si="9"/>
        <v>-2</v>
      </c>
      <c r="H32" s="35">
        <f t="shared" si="2"/>
        <v>-4</v>
      </c>
      <c r="I32" s="36">
        <f t="shared" si="5"/>
        <v>-1</v>
      </c>
      <c r="J32" s="37">
        <v>3</v>
      </c>
      <c r="K32" s="33" t="s">
        <v>120</v>
      </c>
      <c r="L32" s="30">
        <f t="shared" si="10"/>
        <v>3</v>
      </c>
      <c r="M32" s="35">
        <f t="shared" si="4"/>
        <v>5</v>
      </c>
      <c r="N32" s="39">
        <f t="shared" si="6"/>
        <v>-1.5</v>
      </c>
    </row>
    <row r="33" spans="1:14" ht="13.5" customHeight="1">
      <c r="A33" s="58" t="s">
        <v>34</v>
      </c>
      <c r="B33" s="32">
        <v>90</v>
      </c>
      <c r="C33" s="33"/>
      <c r="D33" s="34">
        <f t="shared" si="8"/>
        <v>90</v>
      </c>
      <c r="E33" s="32">
        <v>111</v>
      </c>
      <c r="F33" s="33"/>
      <c r="G33" s="27">
        <f t="shared" si="9"/>
        <v>111</v>
      </c>
      <c r="H33" s="35">
        <f t="shared" si="2"/>
        <v>21</v>
      </c>
      <c r="I33" s="36">
        <f t="shared" si="5"/>
        <v>1.2333333333333334</v>
      </c>
      <c r="J33" s="37">
        <v>111</v>
      </c>
      <c r="K33" s="33" t="s">
        <v>120</v>
      </c>
      <c r="L33" s="30">
        <f t="shared" si="10"/>
        <v>111</v>
      </c>
      <c r="M33" s="35">
        <f t="shared" si="4"/>
        <v>0</v>
      </c>
      <c r="N33" s="39">
        <f t="shared" si="6"/>
        <v>1</v>
      </c>
    </row>
    <row r="34" spans="1:14" ht="13.5" customHeight="1">
      <c r="A34" s="40" t="s">
        <v>35</v>
      </c>
      <c r="B34" s="32">
        <v>348</v>
      </c>
      <c r="C34" s="33"/>
      <c r="D34" s="34">
        <f t="shared" si="8"/>
        <v>348</v>
      </c>
      <c r="E34" s="32">
        <v>441</v>
      </c>
      <c r="F34" s="33"/>
      <c r="G34" s="27">
        <f t="shared" si="9"/>
        <v>441</v>
      </c>
      <c r="H34" s="35">
        <f t="shared" si="2"/>
        <v>93</v>
      </c>
      <c r="I34" s="36">
        <f t="shared" si="5"/>
        <v>1.2672413793103448</v>
      </c>
      <c r="J34" s="57">
        <v>484</v>
      </c>
      <c r="K34" s="33"/>
      <c r="L34" s="30">
        <f t="shared" si="10"/>
        <v>484</v>
      </c>
      <c r="M34" s="35">
        <f t="shared" si="4"/>
        <v>43</v>
      </c>
      <c r="N34" s="39">
        <f t="shared" si="6"/>
        <v>1.0975056689342404</v>
      </c>
    </row>
    <row r="35" spans="1:14" ht="22.5" customHeight="1">
      <c r="A35" s="40" t="s">
        <v>36</v>
      </c>
      <c r="B35" s="32">
        <v>348</v>
      </c>
      <c r="C35" s="33"/>
      <c r="D35" s="34">
        <f t="shared" si="8"/>
        <v>348</v>
      </c>
      <c r="E35" s="32">
        <v>441</v>
      </c>
      <c r="F35" s="33"/>
      <c r="G35" s="27">
        <f t="shared" si="9"/>
        <v>441</v>
      </c>
      <c r="H35" s="35">
        <f t="shared" si="2"/>
        <v>93</v>
      </c>
      <c r="I35" s="36">
        <f t="shared" si="5"/>
        <v>1.2672413793103448</v>
      </c>
      <c r="J35" s="57">
        <v>484</v>
      </c>
      <c r="K35" s="33"/>
      <c r="L35" s="30">
        <f t="shared" si="10"/>
        <v>484</v>
      </c>
      <c r="M35" s="35">
        <f t="shared" si="4"/>
        <v>43</v>
      </c>
      <c r="N35" s="39">
        <f t="shared" si="6"/>
        <v>1.0975056689342404</v>
      </c>
    </row>
    <row r="36" spans="1:14" ht="13.5" customHeight="1" thickBot="1">
      <c r="A36" s="60" t="s">
        <v>37</v>
      </c>
      <c r="B36" s="41">
        <v>0</v>
      </c>
      <c r="C36" s="42"/>
      <c r="D36" s="34">
        <f t="shared" si="8"/>
        <v>0</v>
      </c>
      <c r="E36" s="41">
        <v>0</v>
      </c>
      <c r="F36" s="42"/>
      <c r="G36" s="27">
        <f t="shared" si="9"/>
        <v>0</v>
      </c>
      <c r="H36" s="43">
        <f t="shared" si="2"/>
        <v>0</v>
      </c>
      <c r="I36" s="44"/>
      <c r="J36" s="61">
        <v>0</v>
      </c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18689</v>
      </c>
      <c r="C37" s="48">
        <f t="shared" si="11"/>
        <v>0</v>
      </c>
      <c r="D37" s="49">
        <f t="shared" si="11"/>
        <v>18689</v>
      </c>
      <c r="E37" s="47">
        <f t="shared" si="11"/>
        <v>19935</v>
      </c>
      <c r="F37" s="48">
        <f t="shared" si="11"/>
        <v>0</v>
      </c>
      <c r="G37" s="49">
        <f t="shared" si="11"/>
        <v>19935</v>
      </c>
      <c r="H37" s="50">
        <f t="shared" si="2"/>
        <v>1246</v>
      </c>
      <c r="I37" s="51">
        <f t="shared" si="5"/>
        <v>1.066670233827385</v>
      </c>
      <c r="J37" s="52">
        <f>SUM(J19+J21+J22+J23+J24+J27+J32+J33+J34+J36)</f>
        <v>20531</v>
      </c>
      <c r="K37" s="48">
        <v>0</v>
      </c>
      <c r="L37" s="49">
        <f>SUM(L19+L21+L22+L23+L24+L27+L32+L33+L34+L36)</f>
        <v>20531</v>
      </c>
      <c r="M37" s="50">
        <f t="shared" si="4"/>
        <v>596</v>
      </c>
      <c r="N37" s="53">
        <f t="shared" si="6"/>
        <v>1.0298971657888136</v>
      </c>
    </row>
    <row r="38" spans="1:14" ht="13.5" customHeight="1" thickBot="1">
      <c r="A38" s="46" t="s">
        <v>39</v>
      </c>
      <c r="B38" s="680">
        <f>+D18-D37</f>
        <v>298</v>
      </c>
      <c r="C38" s="681"/>
      <c r="D38" s="682"/>
      <c r="E38" s="680">
        <f>+G18-G37</f>
        <v>7</v>
      </c>
      <c r="F38" s="681"/>
      <c r="G38" s="682">
        <v>-50784</v>
      </c>
      <c r="H38" s="62">
        <f>+E38-B38</f>
        <v>-291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115</v>
      </c>
      <c r="B43" s="683"/>
      <c r="C43" s="66">
        <v>188</v>
      </c>
      <c r="D43" s="679" t="s">
        <v>116</v>
      </c>
      <c r="E43" s="657"/>
      <c r="F43" s="657"/>
      <c r="G43" s="67">
        <v>399</v>
      </c>
      <c r="H43" s="658" t="s">
        <v>277</v>
      </c>
      <c r="I43" s="659"/>
      <c r="J43" s="659"/>
      <c r="K43" s="659"/>
      <c r="L43" s="68">
        <v>119</v>
      </c>
      <c r="O43"/>
      <c r="P43"/>
    </row>
    <row r="44" spans="1:16" ht="12.75">
      <c r="A44" s="639"/>
      <c r="B44" s="646"/>
      <c r="C44" s="69"/>
      <c r="D44" s="679" t="s">
        <v>117</v>
      </c>
      <c r="E44" s="657"/>
      <c r="F44" s="657"/>
      <c r="G44" s="70">
        <v>54</v>
      </c>
      <c r="H44" s="658" t="s">
        <v>278</v>
      </c>
      <c r="I44" s="659"/>
      <c r="J44" s="659"/>
      <c r="K44" s="659"/>
      <c r="L44" s="68">
        <v>60</v>
      </c>
      <c r="O44"/>
      <c r="P44"/>
    </row>
    <row r="45" spans="1:16" ht="12.75">
      <c r="A45" s="639"/>
      <c r="B45" s="646"/>
      <c r="C45" s="69"/>
      <c r="D45" s="679" t="s">
        <v>279</v>
      </c>
      <c r="E45" s="657"/>
      <c r="F45" s="657"/>
      <c r="G45" s="70">
        <v>98</v>
      </c>
      <c r="H45" s="658" t="s">
        <v>280</v>
      </c>
      <c r="I45" s="659"/>
      <c r="J45" s="659"/>
      <c r="K45" s="659"/>
      <c r="L45" s="68">
        <v>80</v>
      </c>
      <c r="O45"/>
      <c r="P45"/>
    </row>
    <row r="46" spans="1:16" ht="12.75">
      <c r="A46" s="647"/>
      <c r="B46" s="674"/>
      <c r="C46" s="71"/>
      <c r="D46" s="647"/>
      <c r="E46" s="648"/>
      <c r="F46" s="674"/>
      <c r="G46" s="72"/>
      <c r="H46" s="643" t="s">
        <v>281</v>
      </c>
      <c r="I46" s="644"/>
      <c r="J46" s="644"/>
      <c r="K46" s="645"/>
      <c r="L46" s="68">
        <v>110</v>
      </c>
      <c r="O46"/>
      <c r="P46"/>
    </row>
    <row r="47" spans="1:16" ht="12.75">
      <c r="A47" s="647"/>
      <c r="B47" s="674"/>
      <c r="C47" s="71"/>
      <c r="D47" s="647"/>
      <c r="E47" s="648"/>
      <c r="F47" s="674"/>
      <c r="G47" s="72"/>
      <c r="H47" s="643" t="s">
        <v>282</v>
      </c>
      <c r="I47" s="644"/>
      <c r="J47" s="644"/>
      <c r="K47" s="645"/>
      <c r="L47" s="68">
        <v>135</v>
      </c>
      <c r="O47"/>
      <c r="P47"/>
    </row>
    <row r="48" spans="1:16" ht="12.75">
      <c r="A48" s="647"/>
      <c r="B48" s="674"/>
      <c r="C48" s="71"/>
      <c r="D48" s="647"/>
      <c r="E48" s="648"/>
      <c r="F48" s="674"/>
      <c r="G48" s="72"/>
      <c r="H48" s="643" t="s">
        <v>533</v>
      </c>
      <c r="I48" s="644"/>
      <c r="J48" s="644"/>
      <c r="K48" s="645"/>
      <c r="L48" s="68">
        <v>52</v>
      </c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 t="s">
        <v>145</v>
      </c>
      <c r="I49" s="659"/>
      <c r="J49" s="659"/>
      <c r="K49" s="659"/>
      <c r="L49" s="68">
        <v>80</v>
      </c>
      <c r="O49"/>
      <c r="P49"/>
    </row>
    <row r="50" spans="1:16" ht="13.5" thickBot="1">
      <c r="A50" s="633"/>
      <c r="B50" s="635"/>
      <c r="C50" s="73">
        <f>SUM(C43:C49)</f>
        <v>188</v>
      </c>
      <c r="D50" s="660" t="s">
        <v>5</v>
      </c>
      <c r="E50" s="661"/>
      <c r="F50" s="661"/>
      <c r="G50" s="73">
        <f>SUM(G43:G44:G45)</f>
        <v>551</v>
      </c>
      <c r="H50" s="637" t="s">
        <v>5</v>
      </c>
      <c r="I50" s="638"/>
      <c r="J50" s="638"/>
      <c r="K50" s="638"/>
      <c r="L50" s="73">
        <f>SUM(L43:L49)</f>
        <v>636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111</v>
      </c>
      <c r="B54" s="655"/>
      <c r="C54" s="66">
        <v>448</v>
      </c>
      <c r="D54" s="656" t="s">
        <v>283</v>
      </c>
      <c r="E54" s="657"/>
      <c r="F54" s="657"/>
      <c r="G54" s="76">
        <v>94</v>
      </c>
      <c r="H54" s="658" t="s">
        <v>284</v>
      </c>
      <c r="I54" s="659"/>
      <c r="J54" s="659"/>
      <c r="K54" s="659"/>
      <c r="L54" s="68">
        <v>120</v>
      </c>
      <c r="O54"/>
      <c r="P54"/>
    </row>
    <row r="55" spans="1:16" ht="13.5" customHeight="1">
      <c r="A55" s="639"/>
      <c r="B55" s="649"/>
      <c r="C55" s="69"/>
      <c r="D55" s="642" t="s">
        <v>285</v>
      </c>
      <c r="E55" s="646"/>
      <c r="F55" s="646"/>
      <c r="G55" s="77">
        <v>134</v>
      </c>
      <c r="H55" s="650" t="s">
        <v>118</v>
      </c>
      <c r="I55" s="651"/>
      <c r="J55" s="651"/>
      <c r="K55" s="651"/>
      <c r="L55" s="78">
        <v>200</v>
      </c>
      <c r="O55"/>
      <c r="P55"/>
    </row>
    <row r="56" spans="1:16" ht="13.5" customHeight="1">
      <c r="A56" s="639"/>
      <c r="B56" s="640"/>
      <c r="C56" s="69"/>
      <c r="D56" s="642" t="s">
        <v>111</v>
      </c>
      <c r="E56" s="646"/>
      <c r="F56" s="646"/>
      <c r="G56" s="77">
        <v>86</v>
      </c>
      <c r="H56" s="643"/>
      <c r="I56" s="644"/>
      <c r="J56" s="644"/>
      <c r="K56" s="645"/>
      <c r="L56" s="78"/>
      <c r="O56"/>
      <c r="P56"/>
    </row>
    <row r="57" spans="1:16" ht="13.5" customHeight="1">
      <c r="A57" s="639"/>
      <c r="B57" s="640"/>
      <c r="C57" s="69"/>
      <c r="D57" s="642"/>
      <c r="E57" s="646"/>
      <c r="F57" s="646"/>
      <c r="G57" s="77"/>
      <c r="H57" s="643"/>
      <c r="I57" s="644"/>
      <c r="J57" s="644"/>
      <c r="K57" s="645"/>
      <c r="L57" s="78"/>
      <c r="O57"/>
      <c r="P57"/>
    </row>
    <row r="58" spans="1:16" ht="13.5" customHeight="1">
      <c r="A58" s="647"/>
      <c r="B58" s="648"/>
      <c r="C58" s="71"/>
      <c r="D58" s="641"/>
      <c r="E58" s="641"/>
      <c r="F58" s="642"/>
      <c r="G58" s="178"/>
      <c r="H58" s="643"/>
      <c r="I58" s="644"/>
      <c r="J58" s="644"/>
      <c r="K58" s="645"/>
      <c r="L58" s="79"/>
      <c r="O58"/>
      <c r="P58"/>
    </row>
    <row r="59" spans="1:16" ht="13.5" customHeight="1">
      <c r="A59" s="639"/>
      <c r="B59" s="640"/>
      <c r="C59" s="71"/>
      <c r="D59" s="641"/>
      <c r="E59" s="641"/>
      <c r="F59" s="642"/>
      <c r="G59" s="178" t="s">
        <v>120</v>
      </c>
      <c r="H59" s="643"/>
      <c r="I59" s="644"/>
      <c r="J59" s="644"/>
      <c r="K59" s="645"/>
      <c r="L59" s="79"/>
      <c r="O59"/>
      <c r="P59"/>
    </row>
    <row r="60" spans="1:16" ht="13.5" customHeight="1">
      <c r="A60" s="639"/>
      <c r="B60" s="640"/>
      <c r="C60" s="69"/>
      <c r="D60" s="642"/>
      <c r="E60" s="646"/>
      <c r="F60" s="646"/>
      <c r="G60" s="77"/>
      <c r="H60" s="643"/>
      <c r="I60" s="644"/>
      <c r="J60" s="644"/>
      <c r="K60" s="645"/>
      <c r="L60" s="78"/>
      <c r="O60"/>
      <c r="P60"/>
    </row>
    <row r="61" spans="1:16" ht="13.5" thickBot="1">
      <c r="A61" s="627"/>
      <c r="B61" s="628"/>
      <c r="C61" s="80"/>
      <c r="D61" s="629"/>
      <c r="E61" s="630"/>
      <c r="F61" s="630"/>
      <c r="G61" s="81"/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73">
        <f>SUM(C54:C61)</f>
        <v>448</v>
      </c>
      <c r="D62" s="635" t="s">
        <v>5</v>
      </c>
      <c r="E62" s="636"/>
      <c r="F62" s="636"/>
      <c r="G62" s="83">
        <f>SUM(G54:G61)</f>
        <v>314</v>
      </c>
      <c r="H62" s="637" t="s">
        <v>5</v>
      </c>
      <c r="I62" s="638"/>
      <c r="J62" s="638"/>
      <c r="K62" s="638"/>
      <c r="L62" s="73">
        <f>SUM(L54:L61)</f>
        <v>320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2.7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12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1:14" s="1" customFormat="1" ht="13.5" thickBo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1:14" s="1" customFormat="1" ht="26.25" customHeight="1" thickBot="1">
      <c r="A67" s="571" t="s">
        <v>478</v>
      </c>
      <c r="B67" s="572"/>
      <c r="C67" s="572"/>
      <c r="D67" s="572"/>
      <c r="E67" s="573"/>
      <c r="F67" s="574" t="s">
        <v>479</v>
      </c>
      <c r="G67" s="575"/>
      <c r="H67" s="575"/>
      <c r="I67" s="575"/>
      <c r="J67" s="575"/>
      <c r="K67" s="575"/>
      <c r="L67" s="576"/>
      <c r="M67" s="84"/>
      <c r="N67" s="84"/>
    </row>
    <row r="68" spans="1:14" s="1" customFormat="1" ht="14.25" customHeight="1" thickBot="1">
      <c r="A68" s="152" t="s">
        <v>79</v>
      </c>
      <c r="B68" s="153" t="s">
        <v>172</v>
      </c>
      <c r="C68" s="577" t="s">
        <v>80</v>
      </c>
      <c r="D68" s="577"/>
      <c r="E68" s="154" t="s">
        <v>173</v>
      </c>
      <c r="F68" s="578" t="s">
        <v>79</v>
      </c>
      <c r="G68" s="579"/>
      <c r="H68" s="153" t="s">
        <v>172</v>
      </c>
      <c r="I68" s="577" t="s">
        <v>80</v>
      </c>
      <c r="J68" s="577"/>
      <c r="K68" s="577"/>
      <c r="L68" s="155" t="s">
        <v>173</v>
      </c>
      <c r="M68" s="84"/>
      <c r="N68" s="84"/>
    </row>
    <row r="69" spans="1:14" s="1" customFormat="1" ht="12.75">
      <c r="A69" s="156" t="s">
        <v>176</v>
      </c>
      <c r="B69" s="150">
        <v>0</v>
      </c>
      <c r="C69" s="580" t="s">
        <v>179</v>
      </c>
      <c r="D69" s="580"/>
      <c r="E69" s="157">
        <v>239</v>
      </c>
      <c r="F69" s="581" t="s">
        <v>176</v>
      </c>
      <c r="G69" s="582"/>
      <c r="H69" s="150">
        <v>0</v>
      </c>
      <c r="I69" s="580" t="s">
        <v>179</v>
      </c>
      <c r="J69" s="582"/>
      <c r="K69" s="582"/>
      <c r="L69" s="157">
        <v>7</v>
      </c>
      <c r="M69" s="84"/>
      <c r="N69" s="84"/>
    </row>
    <row r="70" spans="1:14" s="1" customFormat="1" ht="12.75">
      <c r="A70" s="158" t="s">
        <v>174</v>
      </c>
      <c r="B70" s="151">
        <v>239</v>
      </c>
      <c r="C70" s="583"/>
      <c r="D70" s="583"/>
      <c r="E70" s="159"/>
      <c r="F70" s="584" t="s">
        <v>177</v>
      </c>
      <c r="G70" s="585"/>
      <c r="H70" s="151">
        <v>7</v>
      </c>
      <c r="I70" s="583"/>
      <c r="J70" s="585"/>
      <c r="K70" s="585"/>
      <c r="L70" s="159"/>
      <c r="M70" s="84"/>
      <c r="N70" s="84"/>
    </row>
    <row r="71" spans="1:14" s="1" customFormat="1" ht="12.75">
      <c r="A71" s="158" t="s">
        <v>175</v>
      </c>
      <c r="B71" s="151">
        <v>0</v>
      </c>
      <c r="C71" s="583"/>
      <c r="D71" s="583"/>
      <c r="E71" s="159"/>
      <c r="F71" s="583" t="s">
        <v>175</v>
      </c>
      <c r="G71" s="583"/>
      <c r="H71" s="151">
        <v>0</v>
      </c>
      <c r="I71" s="583"/>
      <c r="J71" s="585"/>
      <c r="K71" s="585"/>
      <c r="L71" s="159"/>
      <c r="M71" s="84"/>
      <c r="N71" s="84"/>
    </row>
    <row r="72" spans="1:14" s="1" customFormat="1" ht="13.5" thickBot="1">
      <c r="A72" s="163"/>
      <c r="B72" s="162"/>
      <c r="C72" s="586"/>
      <c r="D72" s="586"/>
      <c r="E72" s="164"/>
      <c r="F72" s="587"/>
      <c r="G72" s="588"/>
      <c r="H72" s="162"/>
      <c r="I72" s="586"/>
      <c r="J72" s="588"/>
      <c r="K72" s="588"/>
      <c r="L72" s="164"/>
      <c r="M72" s="84"/>
      <c r="N72" s="84"/>
    </row>
    <row r="73" spans="1:14" s="1" customFormat="1" ht="13.5" thickBot="1">
      <c r="A73" s="179" t="s">
        <v>5</v>
      </c>
      <c r="B73" s="180">
        <f>SUM(B69:B72)</f>
        <v>239</v>
      </c>
      <c r="C73" s="589" t="s">
        <v>5</v>
      </c>
      <c r="D73" s="589"/>
      <c r="E73" s="165">
        <f>SUM(E69:E72)</f>
        <v>239</v>
      </c>
      <c r="F73" s="590" t="s">
        <v>5</v>
      </c>
      <c r="G73" s="591"/>
      <c r="H73" s="161">
        <f>SUM(H69:H72)</f>
        <v>7</v>
      </c>
      <c r="I73" s="589" t="s">
        <v>5</v>
      </c>
      <c r="J73" s="591"/>
      <c r="K73" s="591"/>
      <c r="L73" s="165">
        <f>SUM(L69:L72)</f>
        <v>7</v>
      </c>
      <c r="M73" s="84"/>
      <c r="N73" s="84"/>
    </row>
    <row r="74" spans="1:14" s="1" customFormat="1" ht="13.5" thickBot="1">
      <c r="A74" s="181" t="s">
        <v>534</v>
      </c>
      <c r="B74" s="182">
        <f>B73-E73</f>
        <v>0</v>
      </c>
      <c r="C74" s="84"/>
      <c r="D74" s="84"/>
      <c r="E74" s="84"/>
      <c r="F74" s="592" t="s">
        <v>534</v>
      </c>
      <c r="G74" s="593"/>
      <c r="H74" s="183">
        <f>H73-L73</f>
        <v>0</v>
      </c>
      <c r="I74" s="84"/>
      <c r="J74" s="84"/>
      <c r="K74" s="84"/>
      <c r="L74" s="84"/>
      <c r="M74" s="84"/>
      <c r="N74" s="84"/>
    </row>
    <row r="75" spans="1:14" s="1" customFormat="1" ht="12.7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</row>
    <row r="76" spans="1:12" s="1" customFormat="1" ht="13.5" thickBot="1">
      <c r="A76" s="85"/>
      <c r="B76" s="86"/>
      <c r="C76" s="86"/>
      <c r="D76" s="86"/>
      <c r="E76" s="2"/>
      <c r="F76" s="4"/>
      <c r="G76" s="4"/>
      <c r="H76" s="85"/>
      <c r="I76" s="86"/>
      <c r="J76" s="86"/>
      <c r="K76" s="86"/>
      <c r="L76" s="2"/>
    </row>
    <row r="77" spans="1:16" ht="12.75">
      <c r="A77" s="601" t="s">
        <v>73</v>
      </c>
      <c r="B77" s="604" t="s">
        <v>74</v>
      </c>
      <c r="C77" s="607" t="s">
        <v>477</v>
      </c>
      <c r="D77" s="608"/>
      <c r="E77" s="608"/>
      <c r="F77" s="608"/>
      <c r="G77" s="608"/>
      <c r="H77" s="608"/>
      <c r="I77" s="609"/>
      <c r="J77" s="610" t="s">
        <v>75</v>
      </c>
      <c r="K77" s="175"/>
      <c r="L77" s="718" t="s">
        <v>48</v>
      </c>
      <c r="M77" s="719"/>
      <c r="N77" s="722">
        <v>2004</v>
      </c>
      <c r="O77" s="724">
        <v>2005</v>
      </c>
      <c r="P77"/>
    </row>
    <row r="78" spans="1:16" ht="13.5" thickBot="1">
      <c r="A78" s="602"/>
      <c r="B78" s="605"/>
      <c r="C78" s="596" t="s">
        <v>76</v>
      </c>
      <c r="D78" s="598" t="s">
        <v>77</v>
      </c>
      <c r="E78" s="599"/>
      <c r="F78" s="599"/>
      <c r="G78" s="599"/>
      <c r="H78" s="599"/>
      <c r="I78" s="600"/>
      <c r="J78" s="611"/>
      <c r="K78" s="176"/>
      <c r="L78" s="720"/>
      <c r="M78" s="721"/>
      <c r="N78" s="723"/>
      <c r="O78" s="725"/>
      <c r="P78"/>
    </row>
    <row r="79" spans="1:16" ht="13.5" thickBot="1">
      <c r="A79" s="603"/>
      <c r="B79" s="606"/>
      <c r="C79" s="597"/>
      <c r="D79" s="115">
        <v>1</v>
      </c>
      <c r="E79" s="115">
        <v>2</v>
      </c>
      <c r="F79" s="115">
        <v>3</v>
      </c>
      <c r="G79" s="115">
        <v>4</v>
      </c>
      <c r="H79" s="115">
        <v>5</v>
      </c>
      <c r="I79" s="172">
        <v>6</v>
      </c>
      <c r="J79" s="612"/>
      <c r="K79" s="177"/>
      <c r="L79" s="173" t="s">
        <v>49</v>
      </c>
      <c r="M79" s="174"/>
      <c r="N79" s="166">
        <v>0</v>
      </c>
      <c r="O79" s="167">
        <v>0</v>
      </c>
      <c r="P79"/>
    </row>
    <row r="80" spans="1:16" ht="13.5" thickBot="1">
      <c r="A80" s="116">
        <v>16487</v>
      </c>
      <c r="B80" s="117">
        <v>6343</v>
      </c>
      <c r="C80" s="170">
        <f>SUM(D80:I80)</f>
        <v>484</v>
      </c>
      <c r="D80" s="171">
        <v>165</v>
      </c>
      <c r="E80" s="171">
        <v>185</v>
      </c>
      <c r="F80" s="171">
        <v>16</v>
      </c>
      <c r="G80" s="171">
        <v>0</v>
      </c>
      <c r="H80" s="170">
        <v>118</v>
      </c>
      <c r="I80" s="185">
        <v>0</v>
      </c>
      <c r="J80" s="118">
        <f>SUM(A80-B80-C80)</f>
        <v>9660</v>
      </c>
      <c r="K80" s="177"/>
      <c r="L80" s="726" t="s">
        <v>50</v>
      </c>
      <c r="M80" s="727"/>
      <c r="N80" s="87">
        <v>0</v>
      </c>
      <c r="O80" s="88">
        <v>0</v>
      </c>
      <c r="P80"/>
    </row>
    <row r="81" spans="1:15" s="1" customFormat="1" ht="13.5" thickBot="1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728" t="s">
        <v>178</v>
      </c>
      <c r="M81" s="729"/>
      <c r="N81" s="168">
        <v>0</v>
      </c>
      <c r="O81" s="169">
        <v>0</v>
      </c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618" t="s">
        <v>112</v>
      </c>
      <c r="B83" s="620" t="s">
        <v>482</v>
      </c>
      <c r="C83" s="622" t="s">
        <v>480</v>
      </c>
      <c r="D83" s="623"/>
      <c r="E83" s="623"/>
      <c r="F83" s="624"/>
      <c r="G83" s="625" t="s">
        <v>483</v>
      </c>
      <c r="H83" s="613" t="s">
        <v>78</v>
      </c>
      <c r="I83" s="615" t="s">
        <v>481</v>
      </c>
      <c r="J83" s="616"/>
      <c r="K83" s="616"/>
      <c r="L83" s="617"/>
    </row>
    <row r="84" spans="1:12" s="1" customFormat="1" ht="18.75" thickBot="1">
      <c r="A84" s="619"/>
      <c r="B84" s="621"/>
      <c r="C84" s="119" t="s">
        <v>81</v>
      </c>
      <c r="D84" s="120" t="s">
        <v>79</v>
      </c>
      <c r="E84" s="120" t="s">
        <v>80</v>
      </c>
      <c r="F84" s="121" t="s">
        <v>114</v>
      </c>
      <c r="G84" s="626"/>
      <c r="H84" s="614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2173.43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904.73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0</v>
      </c>
      <c r="D86" s="131">
        <v>59</v>
      </c>
      <c r="E86" s="131">
        <v>59</v>
      </c>
      <c r="F86" s="132">
        <f>C86+D86-E86</f>
        <v>0</v>
      </c>
      <c r="G86" s="133">
        <v>0</v>
      </c>
      <c r="H86" s="453">
        <f>+G86-F86</f>
        <v>0</v>
      </c>
      <c r="I86" s="130">
        <v>0</v>
      </c>
      <c r="J86" s="131">
        <v>0</v>
      </c>
      <c r="K86" s="131">
        <v>0</v>
      </c>
      <c r="L86" s="132">
        <f>I86+J86-K86</f>
        <v>0</v>
      </c>
    </row>
    <row r="87" spans="1:12" s="1" customFormat="1" ht="12.75">
      <c r="A87" s="128" t="s">
        <v>85</v>
      </c>
      <c r="B87" s="129">
        <v>0</v>
      </c>
      <c r="C87" s="130">
        <v>0</v>
      </c>
      <c r="D87" s="131">
        <v>239</v>
      </c>
      <c r="E87" s="131">
        <v>239</v>
      </c>
      <c r="F87" s="132">
        <f>C87+D87-E87</f>
        <v>0</v>
      </c>
      <c r="G87" s="133">
        <v>0</v>
      </c>
      <c r="H87" s="453">
        <f>+G87-F87</f>
        <v>0</v>
      </c>
      <c r="I87" s="130">
        <v>0</v>
      </c>
      <c r="J87" s="131">
        <v>7</v>
      </c>
      <c r="K87" s="131">
        <v>7</v>
      </c>
      <c r="L87" s="132">
        <f>I87+J87-K87</f>
        <v>0</v>
      </c>
    </row>
    <row r="88" spans="1:12" s="1" customFormat="1" ht="12.75">
      <c r="A88" s="128" t="s">
        <v>113</v>
      </c>
      <c r="B88" s="129">
        <v>145.17</v>
      </c>
      <c r="C88" s="130">
        <v>121.01</v>
      </c>
      <c r="D88" s="131">
        <v>687</v>
      </c>
      <c r="E88" s="131">
        <v>663</v>
      </c>
      <c r="F88" s="132">
        <f>C88+D88-E88</f>
        <v>145.01</v>
      </c>
      <c r="G88" s="133">
        <v>144.38</v>
      </c>
      <c r="H88" s="453">
        <f>+G88-F88</f>
        <v>-0.6299999999999955</v>
      </c>
      <c r="I88" s="461">
        <v>145</v>
      </c>
      <c r="J88" s="447">
        <v>491</v>
      </c>
      <c r="K88" s="447">
        <v>636</v>
      </c>
      <c r="L88" s="132">
        <f>I88+J88-K88</f>
        <v>0</v>
      </c>
    </row>
    <row r="89" spans="1:12" s="1" customFormat="1" ht="12.75">
      <c r="A89" s="128" t="s">
        <v>86</v>
      </c>
      <c r="B89" s="129">
        <v>2028.26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760.35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10.98</v>
      </c>
      <c r="C90" s="136">
        <v>67</v>
      </c>
      <c r="D90" s="137">
        <v>195</v>
      </c>
      <c r="E90" s="137">
        <v>220</v>
      </c>
      <c r="F90" s="138">
        <f>C90+D90-E90</f>
        <v>42</v>
      </c>
      <c r="G90" s="139">
        <v>34.57</v>
      </c>
      <c r="H90" s="454">
        <f>+G90-F90</f>
        <v>-7.43</v>
      </c>
      <c r="I90" s="136">
        <v>42</v>
      </c>
      <c r="J90" s="137">
        <v>200</v>
      </c>
      <c r="K90" s="137">
        <v>233</v>
      </c>
      <c r="L90" s="138">
        <f>I90+J90-K90</f>
        <v>9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327.82</v>
      </c>
      <c r="C95" s="131">
        <v>321.82</v>
      </c>
      <c r="D95" s="131"/>
      <c r="E95" s="131">
        <v>2</v>
      </c>
      <c r="F95" s="131"/>
      <c r="G95" s="129">
        <v>4</v>
      </c>
      <c r="H95" s="132">
        <f>SUM(C95:G95)</f>
        <v>327.82</v>
      </c>
      <c r="I95" s="89"/>
      <c r="J95" s="93">
        <v>2005</v>
      </c>
      <c r="K95" s="94">
        <v>9485</v>
      </c>
      <c r="L95" s="95">
        <f>G29</f>
        <v>9411</v>
      </c>
    </row>
    <row r="96" spans="1:12" ht="13.5" thickBot="1">
      <c r="A96" s="145" t="s">
        <v>95</v>
      </c>
      <c r="B96" s="135">
        <v>1655</v>
      </c>
      <c r="C96" s="137">
        <v>72</v>
      </c>
      <c r="D96" s="137">
        <v>1.34</v>
      </c>
      <c r="E96" s="137"/>
      <c r="F96" s="137"/>
      <c r="G96" s="135">
        <v>1581.93</v>
      </c>
      <c r="H96" s="138">
        <f>SUM(C96:G96)</f>
        <v>1655.27</v>
      </c>
      <c r="I96" s="89"/>
      <c r="J96" s="96">
        <v>2006</v>
      </c>
      <c r="K96" s="97">
        <f>L29</f>
        <v>10003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4.33</v>
      </c>
      <c r="C101" s="103">
        <v>4.4</v>
      </c>
      <c r="D101" s="103">
        <f>+C101-B101</f>
        <v>0.07000000000000028</v>
      </c>
      <c r="E101" s="103">
        <v>4.38</v>
      </c>
      <c r="F101" s="103">
        <v>4.5</v>
      </c>
      <c r="G101" s="104">
        <f>+F101-E101</f>
        <v>0.1200000000000001</v>
      </c>
      <c r="H101" s="105">
        <v>18466</v>
      </c>
      <c r="I101" s="106">
        <v>20718</v>
      </c>
      <c r="J101" s="107">
        <f>+I101-H101</f>
        <v>2252</v>
      </c>
    </row>
    <row r="102" spans="1:10" ht="12.75">
      <c r="A102" s="102" t="s">
        <v>98</v>
      </c>
      <c r="B102" s="103">
        <v>8.57</v>
      </c>
      <c r="C102" s="103">
        <v>7</v>
      </c>
      <c r="D102" s="103">
        <f aca="true" t="shared" si="12" ref="D102:D111">+C102-B102</f>
        <v>-1.5700000000000003</v>
      </c>
      <c r="E102" s="103">
        <v>8</v>
      </c>
      <c r="F102" s="103">
        <v>7</v>
      </c>
      <c r="G102" s="104">
        <f aca="true" t="shared" si="13" ref="G102:G111">+F102-E102</f>
        <v>-1</v>
      </c>
      <c r="H102" s="105">
        <v>17623</v>
      </c>
      <c r="I102" s="108">
        <v>21244</v>
      </c>
      <c r="J102" s="107">
        <f aca="true" t="shared" si="14" ref="J102:J111">+I102-H102</f>
        <v>3621</v>
      </c>
    </row>
    <row r="103" spans="1:10" ht="12.75">
      <c r="A103" s="102" t="s">
        <v>60</v>
      </c>
      <c r="B103" s="103">
        <v>1</v>
      </c>
      <c r="C103" s="103">
        <v>1</v>
      </c>
      <c r="D103" s="103">
        <f t="shared" si="12"/>
        <v>0</v>
      </c>
      <c r="E103" s="103">
        <v>1</v>
      </c>
      <c r="F103" s="103">
        <v>1</v>
      </c>
      <c r="G103" s="104">
        <f t="shared" si="13"/>
        <v>0</v>
      </c>
      <c r="H103" s="105">
        <v>13798</v>
      </c>
      <c r="I103" s="108">
        <v>18608</v>
      </c>
      <c r="J103" s="107">
        <f t="shared" si="14"/>
        <v>4810</v>
      </c>
    </row>
    <row r="104" spans="1:10" ht="12.75">
      <c r="A104" s="102" t="s">
        <v>61</v>
      </c>
      <c r="B104" s="103"/>
      <c r="C104" s="103"/>
      <c r="D104" s="103">
        <f t="shared" si="12"/>
        <v>0</v>
      </c>
      <c r="E104" s="103"/>
      <c r="F104" s="103"/>
      <c r="G104" s="104">
        <f t="shared" si="13"/>
        <v>0</v>
      </c>
      <c r="H104" s="105"/>
      <c r="I104" s="108"/>
      <c r="J104" s="107">
        <f t="shared" si="14"/>
        <v>0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64</v>
      </c>
      <c r="B107" s="103"/>
      <c r="C107" s="103"/>
      <c r="D107" s="103">
        <f t="shared" si="12"/>
        <v>0</v>
      </c>
      <c r="E107" s="103"/>
      <c r="F107" s="103"/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65</v>
      </c>
      <c r="B108" s="103">
        <v>17.06</v>
      </c>
      <c r="C108" s="103">
        <v>13.42</v>
      </c>
      <c r="D108" s="103">
        <f t="shared" si="12"/>
        <v>-3.639999999999999</v>
      </c>
      <c r="E108" s="103">
        <v>15</v>
      </c>
      <c r="F108" s="103">
        <v>13</v>
      </c>
      <c r="G108" s="104">
        <f t="shared" si="13"/>
        <v>-2</v>
      </c>
      <c r="H108" s="105">
        <v>11490</v>
      </c>
      <c r="I108" s="108">
        <v>14621</v>
      </c>
      <c r="J108" s="107">
        <f t="shared" si="14"/>
        <v>3131</v>
      </c>
    </row>
    <row r="109" spans="1:10" ht="12.75">
      <c r="A109" s="102" t="s">
        <v>66</v>
      </c>
      <c r="B109" s="103">
        <v>3</v>
      </c>
      <c r="C109" s="103">
        <v>4</v>
      </c>
      <c r="D109" s="103">
        <f t="shared" si="12"/>
        <v>1</v>
      </c>
      <c r="E109" s="103">
        <v>3</v>
      </c>
      <c r="F109" s="103">
        <v>4</v>
      </c>
      <c r="G109" s="104">
        <f t="shared" si="13"/>
        <v>1</v>
      </c>
      <c r="H109" s="105">
        <v>15630</v>
      </c>
      <c r="I109" s="108">
        <v>20078</v>
      </c>
      <c r="J109" s="107">
        <f t="shared" si="14"/>
        <v>4448</v>
      </c>
    </row>
    <row r="110" spans="1:10" ht="12.75">
      <c r="A110" s="102" t="s">
        <v>67</v>
      </c>
      <c r="B110" s="103">
        <v>22.97</v>
      </c>
      <c r="C110" s="103">
        <v>22.39</v>
      </c>
      <c r="D110" s="103">
        <f t="shared" si="12"/>
        <v>-0.5799999999999983</v>
      </c>
      <c r="E110" s="103">
        <v>21.37</v>
      </c>
      <c r="F110" s="103">
        <v>22.18</v>
      </c>
      <c r="G110" s="104">
        <f t="shared" si="13"/>
        <v>0.8099999999999987</v>
      </c>
      <c r="H110" s="105">
        <v>10756</v>
      </c>
      <c r="I110" s="108">
        <v>11121</v>
      </c>
      <c r="J110" s="107">
        <f t="shared" si="14"/>
        <v>365</v>
      </c>
    </row>
    <row r="111" spans="1:10" ht="13.5" thickBot="1">
      <c r="A111" s="109" t="s">
        <v>5</v>
      </c>
      <c r="B111" s="110">
        <v>56.92</v>
      </c>
      <c r="C111" s="110">
        <v>52.21</v>
      </c>
      <c r="D111" s="110">
        <f t="shared" si="12"/>
        <v>-4.710000000000001</v>
      </c>
      <c r="E111" s="110">
        <v>52.75</v>
      </c>
      <c r="F111" s="110">
        <v>51.68</v>
      </c>
      <c r="G111" s="111">
        <f t="shared" si="13"/>
        <v>-1.0700000000000003</v>
      </c>
      <c r="H111" s="112">
        <v>12981</v>
      </c>
      <c r="I111" s="113">
        <v>15542</v>
      </c>
      <c r="J111" s="114">
        <f t="shared" si="14"/>
        <v>2561</v>
      </c>
    </row>
    <row r="112" ht="13.5" thickBot="1"/>
    <row r="113" spans="1:16" ht="12.75">
      <c r="A113" s="706" t="s">
        <v>68</v>
      </c>
      <c r="B113" s="707"/>
      <c r="C113" s="708"/>
      <c r="D113" s="89"/>
      <c r="E113" s="706" t="s">
        <v>69</v>
      </c>
      <c r="F113" s="707"/>
      <c r="G113" s="708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709" t="s">
        <v>72</v>
      </c>
      <c r="G114" s="71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54</v>
      </c>
      <c r="C115" s="95">
        <v>52</v>
      </c>
      <c r="D115" s="89"/>
      <c r="E115" s="93">
        <v>2005</v>
      </c>
      <c r="F115" s="711">
        <v>110</v>
      </c>
      <c r="G115" s="624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52</v>
      </c>
      <c r="C116" s="98"/>
      <c r="D116" s="89"/>
      <c r="E116" s="96">
        <v>2006</v>
      </c>
      <c r="F116" s="704">
        <v>100</v>
      </c>
      <c r="G116" s="705"/>
      <c r="H116"/>
      <c r="I116"/>
      <c r="J116"/>
      <c r="K116"/>
      <c r="L116"/>
      <c r="M116"/>
      <c r="N116"/>
      <c r="O116"/>
      <c r="P116"/>
    </row>
  </sheetData>
  <mergeCells count="124">
    <mergeCell ref="F116:G116"/>
    <mergeCell ref="A113:C113"/>
    <mergeCell ref="E113:G113"/>
    <mergeCell ref="F114:G114"/>
    <mergeCell ref="F115:G115"/>
    <mergeCell ref="A99:A100"/>
    <mergeCell ref="B99:D99"/>
    <mergeCell ref="E99:G99"/>
    <mergeCell ref="H99:J99"/>
    <mergeCell ref="A93:A94"/>
    <mergeCell ref="B93:B94"/>
    <mergeCell ref="C93:H93"/>
    <mergeCell ref="J93:L93"/>
    <mergeCell ref="L41:L42"/>
    <mergeCell ref="A43:B43"/>
    <mergeCell ref="M2:N2"/>
    <mergeCell ref="L52:L53"/>
    <mergeCell ref="B38:D38"/>
    <mergeCell ref="E38:G38"/>
    <mergeCell ref="J38:L38"/>
    <mergeCell ref="B39:D39"/>
    <mergeCell ref="E39:G39"/>
    <mergeCell ref="A3:A6"/>
    <mergeCell ref="B3:N3"/>
    <mergeCell ref="H4:I4"/>
    <mergeCell ref="M4:N4"/>
    <mergeCell ref="D43:F43"/>
    <mergeCell ref="H43:K43"/>
    <mergeCell ref="A41:B42"/>
    <mergeCell ref="C41:C42"/>
    <mergeCell ref="D41:F42"/>
    <mergeCell ref="G41:G42"/>
    <mergeCell ref="H41:K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62:B62"/>
    <mergeCell ref="D62:F62"/>
    <mergeCell ref="H62:K62"/>
    <mergeCell ref="A67:E67"/>
    <mergeCell ref="F67:L67"/>
    <mergeCell ref="C68:D68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C72:D72"/>
    <mergeCell ref="F72:G72"/>
    <mergeCell ref="I72:K72"/>
    <mergeCell ref="C73:D73"/>
    <mergeCell ref="F73:G73"/>
    <mergeCell ref="I73:K73"/>
    <mergeCell ref="F74:G74"/>
    <mergeCell ref="A77:A79"/>
    <mergeCell ref="B77:B79"/>
    <mergeCell ref="C77:I77"/>
    <mergeCell ref="C78:C79"/>
    <mergeCell ref="D78:I78"/>
    <mergeCell ref="J77:J79"/>
    <mergeCell ref="L77:M78"/>
    <mergeCell ref="N77:N78"/>
    <mergeCell ref="O77:O78"/>
    <mergeCell ref="L80:M80"/>
    <mergeCell ref="L81:M81"/>
    <mergeCell ref="A83:A84"/>
    <mergeCell ref="B83:B84"/>
    <mergeCell ref="C83:F83"/>
    <mergeCell ref="G83:G84"/>
    <mergeCell ref="H83:H84"/>
    <mergeCell ref="I83:L83"/>
  </mergeCells>
  <printOptions horizontalCentered="1"/>
  <pageMargins left="0.15748031496062992" right="0.15748031496062992" top="0.76" bottom="0.16" header="0.57" footer="0.15748031496062992"/>
  <pageSetup horizontalDpi="600" verticalDpi="600" orientation="portrait" paperSize="9" scale="61" r:id="rId1"/>
  <headerFooter alignWithMargins="0">
    <oddFooter>&amp;C&amp;P</oddFooter>
  </headerFooter>
  <rowBreaks count="1" manualBreakCount="1">
    <brk id="7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64">
      <selection activeCell="J82" sqref="J82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46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16"/>
      <c r="N2" s="717"/>
    </row>
    <row r="3" spans="1:14" ht="24" customHeight="1" thickBot="1">
      <c r="A3" s="684" t="s">
        <v>0</v>
      </c>
      <c r="B3" s="686" t="s">
        <v>469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712"/>
      <c r="N3" s="713"/>
    </row>
    <row r="4" spans="1:14" ht="12.75">
      <c r="A4" s="685"/>
      <c r="B4" s="13" t="s">
        <v>1</v>
      </c>
      <c r="C4" s="14"/>
      <c r="D4" s="15"/>
      <c r="E4" s="13" t="s">
        <v>182</v>
      </c>
      <c r="F4" s="14"/>
      <c r="G4" s="15"/>
      <c r="H4" s="615" t="s">
        <v>2</v>
      </c>
      <c r="I4" s="688"/>
      <c r="J4" s="14" t="s">
        <v>183</v>
      </c>
      <c r="K4" s="16"/>
      <c r="L4" s="15"/>
      <c r="M4" s="615" t="s">
        <v>184</v>
      </c>
      <c r="N4" s="689"/>
    </row>
    <row r="5" spans="1:14" ht="12.75">
      <c r="A5" s="685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85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13750</v>
      </c>
      <c r="C8" s="33"/>
      <c r="D8" s="434">
        <f>SUM(B8:C8)</f>
        <v>13750</v>
      </c>
      <c r="E8" s="37">
        <v>14448</v>
      </c>
      <c r="F8" s="33"/>
      <c r="G8" s="434">
        <f>SUM(E8:F8)</f>
        <v>14448</v>
      </c>
      <c r="H8" s="465">
        <f>+G8-D8</f>
        <v>698</v>
      </c>
      <c r="I8" s="36">
        <f>+G8/D8</f>
        <v>1.0507636363636363</v>
      </c>
      <c r="J8" s="37">
        <v>14965</v>
      </c>
      <c r="K8" s="33"/>
      <c r="L8" s="434">
        <f>SUM(J8:K8)</f>
        <v>14965</v>
      </c>
      <c r="M8" s="465">
        <f>+L8-G8</f>
        <v>517</v>
      </c>
      <c r="N8" s="39">
        <f>+L8/G8</f>
        <v>1.0357834994462902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27</v>
      </c>
      <c r="C11" s="33"/>
      <c r="D11" s="434">
        <f t="shared" si="0"/>
        <v>27</v>
      </c>
      <c r="E11" s="37">
        <v>33</v>
      </c>
      <c r="F11" s="33"/>
      <c r="G11" s="434">
        <f t="shared" si="1"/>
        <v>33</v>
      </c>
      <c r="H11" s="465">
        <f t="shared" si="2"/>
        <v>6</v>
      </c>
      <c r="I11" s="36">
        <f aca="true" t="shared" si="5" ref="I11:I37">+G11/D11</f>
        <v>1.2222222222222223</v>
      </c>
      <c r="J11" s="37">
        <v>30</v>
      </c>
      <c r="K11" s="33"/>
      <c r="L11" s="434">
        <f t="shared" si="3"/>
        <v>30</v>
      </c>
      <c r="M11" s="465">
        <f t="shared" si="4"/>
        <v>-3</v>
      </c>
      <c r="N11" s="39">
        <f aca="true" t="shared" si="6" ref="N11:N37">+L11/G11</f>
        <v>0.9090909090909091</v>
      </c>
    </row>
    <row r="12" spans="1:14" ht="13.5" customHeight="1">
      <c r="A12" s="510" t="s">
        <v>15</v>
      </c>
      <c r="B12" s="37"/>
      <c r="C12" s="33"/>
      <c r="D12" s="434">
        <f t="shared" si="0"/>
        <v>0</v>
      </c>
      <c r="E12" s="37">
        <v>7</v>
      </c>
      <c r="F12" s="33"/>
      <c r="G12" s="434">
        <f t="shared" si="1"/>
        <v>7</v>
      </c>
      <c r="H12" s="465">
        <f t="shared" si="2"/>
        <v>7</v>
      </c>
      <c r="I12" s="36"/>
      <c r="J12" s="37"/>
      <c r="K12" s="33"/>
      <c r="L12" s="434">
        <f t="shared" si="3"/>
        <v>0</v>
      </c>
      <c r="M12" s="465">
        <f t="shared" si="4"/>
        <v>-7</v>
      </c>
      <c r="N12" s="39">
        <f t="shared" si="6"/>
        <v>0</v>
      </c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18190</v>
      </c>
      <c r="C15" s="33"/>
      <c r="D15" s="434">
        <f t="shared" si="0"/>
        <v>18190</v>
      </c>
      <c r="E15" s="37">
        <v>20855</v>
      </c>
      <c r="F15" s="33"/>
      <c r="G15" s="434">
        <f t="shared" si="1"/>
        <v>20855</v>
      </c>
      <c r="H15" s="465">
        <f t="shared" si="2"/>
        <v>2665</v>
      </c>
      <c r="I15" s="36">
        <f t="shared" si="5"/>
        <v>1.146509070918087</v>
      </c>
      <c r="J15" s="57">
        <f>SUM(J16:J17)</f>
        <v>21837</v>
      </c>
      <c r="K15" s="33"/>
      <c r="L15" s="434">
        <f t="shared" si="3"/>
        <v>21837</v>
      </c>
      <c r="M15" s="465">
        <f t="shared" si="4"/>
        <v>982</v>
      </c>
      <c r="N15" s="39">
        <f t="shared" si="6"/>
        <v>1.047087029489331</v>
      </c>
    </row>
    <row r="16" spans="1:14" ht="13.5" customHeight="1">
      <c r="A16" s="511" t="s">
        <v>476</v>
      </c>
      <c r="B16" s="37"/>
      <c r="C16" s="33"/>
      <c r="D16" s="434"/>
      <c r="E16" s="37">
        <v>19230</v>
      </c>
      <c r="F16" s="33"/>
      <c r="G16" s="434">
        <f t="shared" si="1"/>
        <v>19230</v>
      </c>
      <c r="H16" s="465">
        <f t="shared" si="2"/>
        <v>19230</v>
      </c>
      <c r="I16" s="36"/>
      <c r="J16" s="57">
        <f>21046</f>
        <v>21046</v>
      </c>
      <c r="K16" s="33"/>
      <c r="L16" s="434">
        <f t="shared" si="3"/>
        <v>21046</v>
      </c>
      <c r="M16" s="465">
        <f t="shared" si="4"/>
        <v>1816</v>
      </c>
      <c r="N16" s="39">
        <f t="shared" si="6"/>
        <v>1.0944357774310973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1625</v>
      </c>
      <c r="F17" s="431"/>
      <c r="G17" s="434">
        <f t="shared" si="1"/>
        <v>1625</v>
      </c>
      <c r="H17" s="465">
        <f t="shared" si="2"/>
        <v>1625</v>
      </c>
      <c r="I17" s="36"/>
      <c r="J17" s="438">
        <v>791</v>
      </c>
      <c r="K17" s="431"/>
      <c r="L17" s="434">
        <f t="shared" si="3"/>
        <v>791</v>
      </c>
      <c r="M17" s="465">
        <f t="shared" si="4"/>
        <v>-834</v>
      </c>
      <c r="N17" s="39">
        <f t="shared" si="6"/>
        <v>0.4867692307692308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31967</v>
      </c>
      <c r="C18" s="425">
        <f t="shared" si="7"/>
        <v>0</v>
      </c>
      <c r="D18" s="426">
        <f t="shared" si="7"/>
        <v>31967</v>
      </c>
      <c r="E18" s="424">
        <f t="shared" si="7"/>
        <v>35336</v>
      </c>
      <c r="F18" s="425">
        <f t="shared" si="7"/>
        <v>0</v>
      </c>
      <c r="G18" s="426">
        <f t="shared" si="7"/>
        <v>35336</v>
      </c>
      <c r="H18" s="369">
        <f t="shared" si="2"/>
        <v>3369</v>
      </c>
      <c r="I18" s="63">
        <f t="shared" si="5"/>
        <v>1.1053899333687867</v>
      </c>
      <c r="J18" s="437">
        <f>SUM(J7+J8+J9+J10+J11+J13+J15)</f>
        <v>36832</v>
      </c>
      <c r="K18" s="425">
        <f>SUM(K7+K8+K9+K10+K11+K13+K15)</f>
        <v>0</v>
      </c>
      <c r="L18" s="426">
        <f>SUM(L7+L8+L9+L10+L11+L13+L15)</f>
        <v>36832</v>
      </c>
      <c r="M18" s="369">
        <f t="shared" si="4"/>
        <v>1496</v>
      </c>
      <c r="N18" s="370">
        <f t="shared" si="6"/>
        <v>1.0423364274394384</v>
      </c>
    </row>
    <row r="19" spans="1:14" ht="13.5" customHeight="1">
      <c r="A19" s="54" t="s">
        <v>20</v>
      </c>
      <c r="B19" s="25">
        <v>5509</v>
      </c>
      <c r="C19" s="26"/>
      <c r="D19" s="34">
        <f aca="true" t="shared" si="8" ref="D19:D36">SUM(B19:C19)</f>
        <v>5509</v>
      </c>
      <c r="E19" s="25">
        <v>7203</v>
      </c>
      <c r="F19" s="26"/>
      <c r="G19" s="27">
        <f>SUM(E19:F19)</f>
        <v>7203</v>
      </c>
      <c r="H19" s="28">
        <f t="shared" si="2"/>
        <v>1694</v>
      </c>
      <c r="I19" s="55">
        <f t="shared" si="5"/>
        <v>1.3074968233799238</v>
      </c>
      <c r="J19" s="29">
        <v>6903</v>
      </c>
      <c r="K19" s="26"/>
      <c r="L19" s="30">
        <f>SUM(J19:K19)</f>
        <v>6903</v>
      </c>
      <c r="M19" s="28">
        <f t="shared" si="4"/>
        <v>-300</v>
      </c>
      <c r="N19" s="56">
        <f t="shared" si="6"/>
        <v>0.958350687213661</v>
      </c>
    </row>
    <row r="20" spans="1:14" ht="21" customHeight="1">
      <c r="A20" s="40" t="s">
        <v>21</v>
      </c>
      <c r="B20" s="25">
        <v>627</v>
      </c>
      <c r="C20" s="26"/>
      <c r="D20" s="34">
        <f t="shared" si="8"/>
        <v>627</v>
      </c>
      <c r="E20" s="25">
        <v>1734</v>
      </c>
      <c r="F20" s="26"/>
      <c r="G20" s="27">
        <f aca="true" t="shared" si="9" ref="G20:G36">SUM(E20:F20)</f>
        <v>1734</v>
      </c>
      <c r="H20" s="35">
        <f t="shared" si="2"/>
        <v>1107</v>
      </c>
      <c r="I20" s="36">
        <f t="shared" si="5"/>
        <v>2.7655502392344498</v>
      </c>
      <c r="J20" s="29">
        <v>1000</v>
      </c>
      <c r="K20" s="26"/>
      <c r="L20" s="30">
        <f aca="true" t="shared" si="10" ref="L20:L36">SUM(J20:K20)</f>
        <v>1000</v>
      </c>
      <c r="M20" s="35">
        <f t="shared" si="4"/>
        <v>-734</v>
      </c>
      <c r="N20" s="39">
        <f t="shared" si="6"/>
        <v>0.5767012687427913</v>
      </c>
    </row>
    <row r="21" spans="1:14" ht="13.5" customHeight="1">
      <c r="A21" s="31" t="s">
        <v>22</v>
      </c>
      <c r="B21" s="32">
        <v>2643</v>
      </c>
      <c r="C21" s="33"/>
      <c r="D21" s="34">
        <f t="shared" si="8"/>
        <v>2643</v>
      </c>
      <c r="E21" s="32">
        <v>2661</v>
      </c>
      <c r="F21" s="33"/>
      <c r="G21" s="27">
        <f t="shared" si="9"/>
        <v>2661</v>
      </c>
      <c r="H21" s="35">
        <f t="shared" si="2"/>
        <v>18</v>
      </c>
      <c r="I21" s="36">
        <f t="shared" si="5"/>
        <v>1.006810442678774</v>
      </c>
      <c r="J21" s="37">
        <v>2905</v>
      </c>
      <c r="K21" s="33"/>
      <c r="L21" s="30">
        <f t="shared" si="10"/>
        <v>2905</v>
      </c>
      <c r="M21" s="35">
        <f t="shared" si="4"/>
        <v>244</v>
      </c>
      <c r="N21" s="39">
        <f t="shared" si="6"/>
        <v>1.0916948515595641</v>
      </c>
    </row>
    <row r="22" spans="1:14" ht="13.5" customHeight="1">
      <c r="A22" s="40" t="s">
        <v>23</v>
      </c>
      <c r="B22" s="32"/>
      <c r="C22" s="33"/>
      <c r="D22" s="34">
        <f t="shared" si="8"/>
        <v>0</v>
      </c>
      <c r="E22" s="32"/>
      <c r="F22" s="33"/>
      <c r="G22" s="27">
        <f t="shared" si="9"/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2665</v>
      </c>
      <c r="C24" s="33"/>
      <c r="D24" s="34">
        <f t="shared" si="8"/>
        <v>2665</v>
      </c>
      <c r="E24" s="37">
        <v>2278</v>
      </c>
      <c r="F24" s="33"/>
      <c r="G24" s="27">
        <f t="shared" si="9"/>
        <v>2278</v>
      </c>
      <c r="H24" s="35">
        <f t="shared" si="2"/>
        <v>-387</v>
      </c>
      <c r="I24" s="36">
        <f t="shared" si="5"/>
        <v>0.8547842401500938</v>
      </c>
      <c r="J24" s="37">
        <v>2850</v>
      </c>
      <c r="K24" s="33"/>
      <c r="L24" s="30">
        <f t="shared" si="10"/>
        <v>2850</v>
      </c>
      <c r="M24" s="35">
        <f t="shared" si="4"/>
        <v>572</v>
      </c>
      <c r="N24" s="39">
        <f t="shared" si="6"/>
        <v>1.251097453906936</v>
      </c>
    </row>
    <row r="25" spans="1:14" ht="13.5" customHeight="1">
      <c r="A25" s="40" t="s">
        <v>26</v>
      </c>
      <c r="B25" s="32">
        <v>1718</v>
      </c>
      <c r="C25" s="33"/>
      <c r="D25" s="34">
        <f t="shared" si="8"/>
        <v>1718</v>
      </c>
      <c r="E25" s="32">
        <v>1578</v>
      </c>
      <c r="F25" s="33"/>
      <c r="G25" s="27">
        <f t="shared" si="9"/>
        <v>1578</v>
      </c>
      <c r="H25" s="35">
        <f t="shared" si="2"/>
        <v>-140</v>
      </c>
      <c r="I25" s="36">
        <f t="shared" si="5"/>
        <v>0.9185098952270081</v>
      </c>
      <c r="J25" s="57">
        <v>2100</v>
      </c>
      <c r="K25" s="33"/>
      <c r="L25" s="30">
        <f t="shared" si="10"/>
        <v>2100</v>
      </c>
      <c r="M25" s="35">
        <f t="shared" si="4"/>
        <v>522</v>
      </c>
      <c r="N25" s="39">
        <f t="shared" si="6"/>
        <v>1.3307984790874525</v>
      </c>
    </row>
    <row r="26" spans="1:14" ht="13.5" customHeight="1">
      <c r="A26" s="31" t="s">
        <v>27</v>
      </c>
      <c r="B26" s="32">
        <v>947</v>
      </c>
      <c r="C26" s="33"/>
      <c r="D26" s="34">
        <f t="shared" si="8"/>
        <v>947</v>
      </c>
      <c r="E26" s="32">
        <v>700</v>
      </c>
      <c r="F26" s="33"/>
      <c r="G26" s="27">
        <f t="shared" si="9"/>
        <v>700</v>
      </c>
      <c r="H26" s="35">
        <f t="shared" si="2"/>
        <v>-247</v>
      </c>
      <c r="I26" s="36">
        <f t="shared" si="5"/>
        <v>0.7391763463569165</v>
      </c>
      <c r="J26" s="57">
        <v>750</v>
      </c>
      <c r="K26" s="33"/>
      <c r="L26" s="30">
        <f t="shared" si="10"/>
        <v>750</v>
      </c>
      <c r="M26" s="35">
        <f t="shared" si="4"/>
        <v>50</v>
      </c>
      <c r="N26" s="39">
        <f t="shared" si="6"/>
        <v>1.0714285714285714</v>
      </c>
    </row>
    <row r="27" spans="1:14" ht="13.5" customHeight="1">
      <c r="A27" s="58" t="s">
        <v>28</v>
      </c>
      <c r="B27" s="37">
        <v>20274</v>
      </c>
      <c r="C27" s="33"/>
      <c r="D27" s="34">
        <f t="shared" si="8"/>
        <v>20274</v>
      </c>
      <c r="E27" s="37">
        <v>21808</v>
      </c>
      <c r="F27" s="33"/>
      <c r="G27" s="27">
        <f t="shared" si="9"/>
        <v>21808</v>
      </c>
      <c r="H27" s="35">
        <f t="shared" si="2"/>
        <v>1534</v>
      </c>
      <c r="I27" s="36">
        <f t="shared" si="5"/>
        <v>1.0756634112656605</v>
      </c>
      <c r="J27" s="37">
        <f>J28+J31</f>
        <v>22921</v>
      </c>
      <c r="K27" s="33"/>
      <c r="L27" s="30">
        <f t="shared" si="10"/>
        <v>22921</v>
      </c>
      <c r="M27" s="35">
        <f t="shared" si="4"/>
        <v>1113</v>
      </c>
      <c r="N27" s="39">
        <f t="shared" si="6"/>
        <v>1.051036316947909</v>
      </c>
    </row>
    <row r="28" spans="1:14" ht="13.5" customHeight="1">
      <c r="A28" s="40" t="s">
        <v>29</v>
      </c>
      <c r="B28" s="32">
        <v>14800</v>
      </c>
      <c r="C28" s="33"/>
      <c r="D28" s="34">
        <f t="shared" si="8"/>
        <v>14800</v>
      </c>
      <c r="E28" s="32">
        <v>15925</v>
      </c>
      <c r="F28" s="33"/>
      <c r="G28" s="27">
        <f t="shared" si="9"/>
        <v>15925</v>
      </c>
      <c r="H28" s="35">
        <f t="shared" si="2"/>
        <v>1125</v>
      </c>
      <c r="I28" s="36">
        <f t="shared" si="5"/>
        <v>1.0760135135135136</v>
      </c>
      <c r="J28" s="57">
        <f>J29+J30</f>
        <v>16730</v>
      </c>
      <c r="K28" s="59"/>
      <c r="L28" s="30">
        <f t="shared" si="10"/>
        <v>16730</v>
      </c>
      <c r="M28" s="35">
        <f t="shared" si="4"/>
        <v>805</v>
      </c>
      <c r="N28" s="39">
        <f t="shared" si="6"/>
        <v>1.0505494505494506</v>
      </c>
    </row>
    <row r="29" spans="1:14" ht="13.5" customHeight="1">
      <c r="A29" s="58" t="s">
        <v>30</v>
      </c>
      <c r="B29" s="32">
        <v>14800</v>
      </c>
      <c r="C29" s="33"/>
      <c r="D29" s="34">
        <f t="shared" si="8"/>
        <v>14800</v>
      </c>
      <c r="E29" s="32">
        <v>15925</v>
      </c>
      <c r="F29" s="33"/>
      <c r="G29" s="27">
        <f t="shared" si="9"/>
        <v>15925</v>
      </c>
      <c r="H29" s="35">
        <f t="shared" si="2"/>
        <v>1125</v>
      </c>
      <c r="I29" s="36">
        <f t="shared" si="5"/>
        <v>1.0760135135135136</v>
      </c>
      <c r="J29" s="37">
        <f>16153+577</f>
        <v>16730</v>
      </c>
      <c r="K29" s="33"/>
      <c r="L29" s="30">
        <f t="shared" si="10"/>
        <v>16730</v>
      </c>
      <c r="M29" s="35">
        <f t="shared" si="4"/>
        <v>805</v>
      </c>
      <c r="N29" s="39">
        <f t="shared" si="6"/>
        <v>1.0505494505494506</v>
      </c>
    </row>
    <row r="30" spans="1:14" ht="13.5" customHeight="1">
      <c r="A30" s="40" t="s">
        <v>31</v>
      </c>
      <c r="B30" s="32"/>
      <c r="C30" s="33"/>
      <c r="D30" s="34">
        <f t="shared" si="8"/>
        <v>0</v>
      </c>
      <c r="E30" s="32"/>
      <c r="F30" s="33"/>
      <c r="G30" s="27">
        <f t="shared" si="9"/>
        <v>0</v>
      </c>
      <c r="H30" s="35">
        <f t="shared" si="2"/>
        <v>0</v>
      </c>
      <c r="I30" s="36"/>
      <c r="J30" s="37">
        <v>0</v>
      </c>
      <c r="K30" s="33"/>
      <c r="L30" s="30">
        <f t="shared" si="10"/>
        <v>0</v>
      </c>
      <c r="M30" s="35">
        <f t="shared" si="4"/>
        <v>0</v>
      </c>
      <c r="N30" s="39"/>
    </row>
    <row r="31" spans="1:14" ht="13.5" customHeight="1">
      <c r="A31" s="40" t="s">
        <v>32</v>
      </c>
      <c r="B31" s="32">
        <v>5474</v>
      </c>
      <c r="C31" s="33"/>
      <c r="D31" s="34">
        <f t="shared" si="8"/>
        <v>5474</v>
      </c>
      <c r="E31" s="32">
        <v>5883</v>
      </c>
      <c r="F31" s="33"/>
      <c r="G31" s="27">
        <f t="shared" si="9"/>
        <v>5883</v>
      </c>
      <c r="H31" s="35">
        <f t="shared" si="2"/>
        <v>409</v>
      </c>
      <c r="I31" s="36">
        <f t="shared" si="5"/>
        <v>1.0747168432590428</v>
      </c>
      <c r="J31" s="37">
        <f>5977+214</f>
        <v>6191</v>
      </c>
      <c r="K31" s="33"/>
      <c r="L31" s="30">
        <f t="shared" si="10"/>
        <v>6191</v>
      </c>
      <c r="M31" s="35">
        <f t="shared" si="4"/>
        <v>308</v>
      </c>
      <c r="N31" s="39">
        <f t="shared" si="6"/>
        <v>1.0523542410334863</v>
      </c>
    </row>
    <row r="32" spans="1:14" ht="13.5" customHeight="1">
      <c r="A32" s="58" t="s">
        <v>33</v>
      </c>
      <c r="B32" s="32"/>
      <c r="C32" s="33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188</v>
      </c>
      <c r="C33" s="33"/>
      <c r="D33" s="34">
        <f t="shared" si="8"/>
        <v>188</v>
      </c>
      <c r="E33" s="32">
        <v>193</v>
      </c>
      <c r="F33" s="33"/>
      <c r="G33" s="27">
        <f t="shared" si="9"/>
        <v>193</v>
      </c>
      <c r="H33" s="35">
        <f t="shared" si="2"/>
        <v>5</v>
      </c>
      <c r="I33" s="36">
        <f t="shared" si="5"/>
        <v>1.0265957446808511</v>
      </c>
      <c r="J33" s="37">
        <v>200</v>
      </c>
      <c r="K33" s="33"/>
      <c r="L33" s="30">
        <f t="shared" si="10"/>
        <v>200</v>
      </c>
      <c r="M33" s="35">
        <f t="shared" si="4"/>
        <v>7</v>
      </c>
      <c r="N33" s="39">
        <f t="shared" si="6"/>
        <v>1.0362694300518134</v>
      </c>
    </row>
    <row r="34" spans="1:14" ht="13.5" customHeight="1">
      <c r="A34" s="40" t="s">
        <v>35</v>
      </c>
      <c r="B34" s="32">
        <v>667</v>
      </c>
      <c r="C34" s="33"/>
      <c r="D34" s="34">
        <f t="shared" si="8"/>
        <v>667</v>
      </c>
      <c r="E34" s="32">
        <v>1168</v>
      </c>
      <c r="F34" s="33"/>
      <c r="G34" s="27">
        <f t="shared" si="9"/>
        <v>1168</v>
      </c>
      <c r="H34" s="35">
        <f t="shared" si="2"/>
        <v>501</v>
      </c>
      <c r="I34" s="36">
        <f t="shared" si="5"/>
        <v>1.7511244377811095</v>
      </c>
      <c r="J34" s="57">
        <v>1053</v>
      </c>
      <c r="K34" s="33"/>
      <c r="L34" s="30">
        <f t="shared" si="10"/>
        <v>1053</v>
      </c>
      <c r="M34" s="35">
        <f t="shared" si="4"/>
        <v>-115</v>
      </c>
      <c r="N34" s="39">
        <f t="shared" si="6"/>
        <v>0.901541095890411</v>
      </c>
    </row>
    <row r="35" spans="1:14" ht="22.5" customHeight="1">
      <c r="A35" s="40" t="s">
        <v>36</v>
      </c>
      <c r="B35" s="32">
        <v>667</v>
      </c>
      <c r="C35" s="33"/>
      <c r="D35" s="34">
        <f t="shared" si="8"/>
        <v>667</v>
      </c>
      <c r="E35" s="32">
        <v>1168</v>
      </c>
      <c r="F35" s="33"/>
      <c r="G35" s="27">
        <f t="shared" si="9"/>
        <v>1168</v>
      </c>
      <c r="H35" s="35">
        <f t="shared" si="2"/>
        <v>501</v>
      </c>
      <c r="I35" s="36">
        <f t="shared" si="5"/>
        <v>1.7511244377811095</v>
      </c>
      <c r="J35" s="57">
        <v>1053</v>
      </c>
      <c r="K35" s="33"/>
      <c r="L35" s="30">
        <f t="shared" si="10"/>
        <v>1053</v>
      </c>
      <c r="M35" s="35">
        <f t="shared" si="4"/>
        <v>-115</v>
      </c>
      <c r="N35" s="39">
        <f t="shared" si="6"/>
        <v>0.901541095890411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31946</v>
      </c>
      <c r="C37" s="48">
        <f t="shared" si="11"/>
        <v>0</v>
      </c>
      <c r="D37" s="49">
        <f t="shared" si="11"/>
        <v>31946</v>
      </c>
      <c r="E37" s="47">
        <f t="shared" si="11"/>
        <v>35311</v>
      </c>
      <c r="F37" s="48">
        <f t="shared" si="11"/>
        <v>0</v>
      </c>
      <c r="G37" s="49">
        <f t="shared" si="11"/>
        <v>35311</v>
      </c>
      <c r="H37" s="50">
        <f t="shared" si="2"/>
        <v>3365</v>
      </c>
      <c r="I37" s="51">
        <f t="shared" si="5"/>
        <v>1.1053340011269017</v>
      </c>
      <c r="J37" s="52">
        <f>SUM(J19+J21+J22+J23+J24+J27+J32+J33+J34+J36)</f>
        <v>36832</v>
      </c>
      <c r="K37" s="48">
        <f>SUM(K19+K21+K22+K23+K24+K27+K32+K33+K34+K36)</f>
        <v>0</v>
      </c>
      <c r="L37" s="49">
        <f>SUM(L19+L21+L22+L23+L24+L27+L32+L33+L34+L36)</f>
        <v>36832</v>
      </c>
      <c r="M37" s="50">
        <f t="shared" si="4"/>
        <v>1521</v>
      </c>
      <c r="N37" s="53">
        <f t="shared" si="6"/>
        <v>1.0430743960805415</v>
      </c>
    </row>
    <row r="38" spans="1:14" ht="13.5" customHeight="1" thickBot="1">
      <c r="A38" s="46" t="s">
        <v>39</v>
      </c>
      <c r="B38" s="680">
        <f>+D18-D37</f>
        <v>21</v>
      </c>
      <c r="C38" s="681"/>
      <c r="D38" s="682"/>
      <c r="E38" s="680">
        <f>+G18-G37</f>
        <v>25</v>
      </c>
      <c r="F38" s="681"/>
      <c r="G38" s="682">
        <v>-50784</v>
      </c>
      <c r="H38" s="62">
        <f>+E38-B38</f>
        <v>4</v>
      </c>
      <c r="I38" s="63"/>
      <c r="J38" s="680">
        <f>+L18-L37</f>
        <v>0</v>
      </c>
      <c r="K38" s="681"/>
      <c r="L38" s="681">
        <v>0</v>
      </c>
      <c r="M38" s="50"/>
      <c r="N38" s="53"/>
    </row>
    <row r="39" spans="1:16" ht="20.25" customHeight="1" thickBot="1">
      <c r="A39" s="64" t="s">
        <v>40</v>
      </c>
      <c r="B39" s="680"/>
      <c r="C39" s="681"/>
      <c r="D39" s="682"/>
      <c r="E39" s="680"/>
      <c r="F39" s="681"/>
      <c r="G39" s="682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62" t="s">
        <v>42</v>
      </c>
      <c r="B41" s="663"/>
      <c r="C41" s="652" t="s">
        <v>41</v>
      </c>
      <c r="D41" s="662" t="s">
        <v>185</v>
      </c>
      <c r="E41" s="663"/>
      <c r="F41" s="663"/>
      <c r="G41" s="652" t="s">
        <v>41</v>
      </c>
      <c r="H41" s="668" t="s">
        <v>186</v>
      </c>
      <c r="I41" s="669"/>
      <c r="J41" s="669"/>
      <c r="K41" s="670"/>
      <c r="L41" s="652" t="s">
        <v>41</v>
      </c>
      <c r="O41"/>
      <c r="P41"/>
    </row>
    <row r="42" spans="1:16" ht="13.5" thickBot="1">
      <c r="A42" s="603"/>
      <c r="B42" s="664"/>
      <c r="C42" s="653"/>
      <c r="D42" s="603"/>
      <c r="E42" s="664"/>
      <c r="F42" s="664"/>
      <c r="G42" s="653"/>
      <c r="H42" s="671"/>
      <c r="I42" s="672"/>
      <c r="J42" s="672"/>
      <c r="K42" s="673"/>
      <c r="L42" s="653"/>
      <c r="O42"/>
      <c r="P42"/>
    </row>
    <row r="43" spans="1:16" ht="12.75">
      <c r="A43" s="654" t="s">
        <v>100</v>
      </c>
      <c r="B43" s="683"/>
      <c r="C43" s="66">
        <v>65</v>
      </c>
      <c r="D43" s="679" t="s">
        <v>101</v>
      </c>
      <c r="E43" s="657"/>
      <c r="F43" s="657"/>
      <c r="G43" s="67">
        <v>100</v>
      </c>
      <c r="H43" s="658" t="s">
        <v>117</v>
      </c>
      <c r="I43" s="659"/>
      <c r="J43" s="659"/>
      <c r="K43" s="659"/>
      <c r="L43" s="68">
        <v>70</v>
      </c>
      <c r="O43"/>
      <c r="P43"/>
    </row>
    <row r="44" spans="1:16" ht="12.75">
      <c r="A44" s="639"/>
      <c r="B44" s="646"/>
      <c r="C44" s="69"/>
      <c r="D44" s="679" t="s">
        <v>102</v>
      </c>
      <c r="E44" s="657"/>
      <c r="F44" s="657"/>
      <c r="G44" s="70">
        <v>400</v>
      </c>
      <c r="H44" s="658" t="s">
        <v>352</v>
      </c>
      <c r="I44" s="659"/>
      <c r="J44" s="659"/>
      <c r="K44" s="659"/>
      <c r="L44" s="68">
        <v>350</v>
      </c>
      <c r="O44"/>
      <c r="P44"/>
    </row>
    <row r="45" spans="1:16" ht="12.75">
      <c r="A45" s="639"/>
      <c r="B45" s="646"/>
      <c r="C45" s="69"/>
      <c r="D45" s="679" t="s">
        <v>104</v>
      </c>
      <c r="E45" s="657"/>
      <c r="F45" s="657"/>
      <c r="G45" s="70">
        <v>140</v>
      </c>
      <c r="H45" s="658" t="s">
        <v>353</v>
      </c>
      <c r="I45" s="659"/>
      <c r="J45" s="659"/>
      <c r="K45" s="659"/>
      <c r="L45" s="68">
        <v>180</v>
      </c>
      <c r="O45"/>
      <c r="P45"/>
    </row>
    <row r="46" spans="1:16" ht="12.75">
      <c r="A46" s="647"/>
      <c r="B46" s="674"/>
      <c r="C46" s="71"/>
      <c r="D46" s="647"/>
      <c r="E46" s="648"/>
      <c r="F46" s="674"/>
      <c r="G46" s="72"/>
      <c r="H46" s="643" t="s">
        <v>105</v>
      </c>
      <c r="I46" s="644"/>
      <c r="J46" s="644"/>
      <c r="K46" s="645"/>
      <c r="L46" s="68">
        <v>400</v>
      </c>
      <c r="O46"/>
      <c r="P46"/>
    </row>
    <row r="47" spans="1:16" ht="12.75">
      <c r="A47" s="647"/>
      <c r="B47" s="674"/>
      <c r="C47" s="71"/>
      <c r="D47" s="647"/>
      <c r="E47" s="648"/>
      <c r="F47" s="674"/>
      <c r="G47" s="72"/>
      <c r="H47" s="643"/>
      <c r="I47" s="644"/>
      <c r="J47" s="644"/>
      <c r="K47" s="645"/>
      <c r="L47" s="68"/>
      <c r="O47"/>
      <c r="P47"/>
    </row>
    <row r="48" spans="1:16" ht="12.75">
      <c r="A48" s="647" t="s">
        <v>103</v>
      </c>
      <c r="B48" s="674"/>
      <c r="C48" s="71">
        <v>228</v>
      </c>
      <c r="D48" s="647" t="s">
        <v>103</v>
      </c>
      <c r="E48" s="648"/>
      <c r="F48" s="674"/>
      <c r="G48" s="72">
        <v>463</v>
      </c>
      <c r="H48" s="643" t="s">
        <v>103</v>
      </c>
      <c r="I48" s="644"/>
      <c r="J48" s="644"/>
      <c r="K48" s="645"/>
      <c r="L48" s="68">
        <v>519</v>
      </c>
      <c r="O48"/>
      <c r="P48"/>
    </row>
    <row r="49" spans="1:16" ht="13.5" thickBot="1">
      <c r="A49" s="675"/>
      <c r="B49" s="676"/>
      <c r="C49" s="71"/>
      <c r="D49" s="677"/>
      <c r="E49" s="678"/>
      <c r="F49" s="678"/>
      <c r="G49" s="72"/>
      <c r="H49" s="658"/>
      <c r="I49" s="659"/>
      <c r="J49" s="659"/>
      <c r="K49" s="659"/>
      <c r="L49" s="68"/>
      <c r="O49"/>
      <c r="P49"/>
    </row>
    <row r="50" spans="1:16" ht="13.5" thickBot="1">
      <c r="A50" s="633"/>
      <c r="B50" s="635"/>
      <c r="C50" s="73">
        <f>SUM(C43:C49)</f>
        <v>293</v>
      </c>
      <c r="D50" s="660" t="s">
        <v>5</v>
      </c>
      <c r="E50" s="661"/>
      <c r="F50" s="661"/>
      <c r="G50" s="73">
        <f>SUM(G43:G45)</f>
        <v>640</v>
      </c>
      <c r="H50" s="637" t="s">
        <v>5</v>
      </c>
      <c r="I50" s="638"/>
      <c r="J50" s="638"/>
      <c r="K50" s="638"/>
      <c r="L50" s="73">
        <f>SUM(L43:L49)</f>
        <v>1519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62" t="s">
        <v>192</v>
      </c>
      <c r="B52" s="663"/>
      <c r="C52" s="652" t="s">
        <v>41</v>
      </c>
      <c r="D52" s="665" t="s">
        <v>193</v>
      </c>
      <c r="E52" s="663"/>
      <c r="F52" s="663"/>
      <c r="G52" s="666" t="s">
        <v>41</v>
      </c>
      <c r="H52" s="668" t="s">
        <v>194</v>
      </c>
      <c r="I52" s="669"/>
      <c r="J52" s="669"/>
      <c r="K52" s="670"/>
      <c r="L52" s="652" t="s">
        <v>41</v>
      </c>
      <c r="O52"/>
      <c r="P52"/>
    </row>
    <row r="53" spans="1:16" ht="13.5" thickBot="1">
      <c r="A53" s="603"/>
      <c r="B53" s="664"/>
      <c r="C53" s="653"/>
      <c r="D53" s="664"/>
      <c r="E53" s="664"/>
      <c r="F53" s="664"/>
      <c r="G53" s="667"/>
      <c r="H53" s="671"/>
      <c r="I53" s="672"/>
      <c r="J53" s="672"/>
      <c r="K53" s="673"/>
      <c r="L53" s="653"/>
      <c r="O53"/>
      <c r="P53"/>
    </row>
    <row r="54" spans="1:16" ht="12.75">
      <c r="A54" s="654" t="s">
        <v>354</v>
      </c>
      <c r="B54" s="655"/>
      <c r="C54" s="66">
        <v>91</v>
      </c>
      <c r="D54" s="656" t="s">
        <v>355</v>
      </c>
      <c r="E54" s="657"/>
      <c r="F54" s="657"/>
      <c r="G54" s="76">
        <v>550</v>
      </c>
      <c r="H54" s="658" t="s">
        <v>356</v>
      </c>
      <c r="I54" s="659"/>
      <c r="J54" s="659"/>
      <c r="K54" s="659"/>
      <c r="L54" s="68">
        <v>170</v>
      </c>
      <c r="O54"/>
      <c r="P54"/>
    </row>
    <row r="55" spans="1:16" ht="13.5" customHeight="1">
      <c r="A55" s="639" t="s">
        <v>357</v>
      </c>
      <c r="B55" s="649"/>
      <c r="C55" s="69">
        <v>620</v>
      </c>
      <c r="D55" s="642" t="s">
        <v>358</v>
      </c>
      <c r="E55" s="646"/>
      <c r="F55" s="646"/>
      <c r="G55" s="77">
        <v>200</v>
      </c>
      <c r="H55" s="650" t="s">
        <v>359</v>
      </c>
      <c r="I55" s="651"/>
      <c r="J55" s="651"/>
      <c r="K55" s="651"/>
      <c r="L55" s="78">
        <v>800</v>
      </c>
      <c r="O55"/>
      <c r="P55"/>
    </row>
    <row r="56" spans="1:16" ht="13.5" customHeight="1">
      <c r="A56" s="639" t="s">
        <v>360</v>
      </c>
      <c r="B56" s="640"/>
      <c r="C56" s="69">
        <v>130</v>
      </c>
      <c r="D56" s="642" t="s">
        <v>361</v>
      </c>
      <c r="E56" s="646"/>
      <c r="F56" s="646"/>
      <c r="G56" s="77">
        <v>300</v>
      </c>
      <c r="H56" s="643" t="s">
        <v>362</v>
      </c>
      <c r="I56" s="644"/>
      <c r="J56" s="644"/>
      <c r="K56" s="645"/>
      <c r="L56" s="78">
        <v>800</v>
      </c>
      <c r="O56"/>
      <c r="P56"/>
    </row>
    <row r="57" spans="1:16" ht="13.5" customHeight="1">
      <c r="A57" s="639" t="s">
        <v>363</v>
      </c>
      <c r="B57" s="640"/>
      <c r="C57" s="69">
        <v>281</v>
      </c>
      <c r="D57" s="642" t="s">
        <v>248</v>
      </c>
      <c r="E57" s="646"/>
      <c r="F57" s="646"/>
      <c r="G57" s="77">
        <v>373</v>
      </c>
      <c r="H57" s="643" t="s">
        <v>364</v>
      </c>
      <c r="I57" s="644"/>
      <c r="J57" s="644"/>
      <c r="K57" s="645"/>
      <c r="L57" s="78">
        <v>80</v>
      </c>
      <c r="O57"/>
      <c r="P57"/>
    </row>
    <row r="58" spans="1:16" ht="13.5" customHeight="1">
      <c r="A58" s="647" t="s">
        <v>180</v>
      </c>
      <c r="B58" s="648"/>
      <c r="C58" s="71">
        <v>260</v>
      </c>
      <c r="D58" s="641" t="s">
        <v>365</v>
      </c>
      <c r="E58" s="641"/>
      <c r="F58" s="642"/>
      <c r="G58" s="178">
        <v>100</v>
      </c>
      <c r="H58" s="643" t="s">
        <v>366</v>
      </c>
      <c r="I58" s="644"/>
      <c r="J58" s="644"/>
      <c r="K58" s="645"/>
      <c r="L58" s="79">
        <v>210</v>
      </c>
      <c r="O58"/>
      <c r="P58"/>
    </row>
    <row r="59" spans="1:16" ht="13.5" customHeight="1">
      <c r="A59" s="639" t="s">
        <v>367</v>
      </c>
      <c r="B59" s="640"/>
      <c r="C59" s="71">
        <v>293</v>
      </c>
      <c r="D59" s="641" t="s">
        <v>368</v>
      </c>
      <c r="E59" s="641"/>
      <c r="F59" s="642"/>
      <c r="G59" s="178">
        <v>55</v>
      </c>
      <c r="H59" s="643" t="s">
        <v>368</v>
      </c>
      <c r="I59" s="644"/>
      <c r="J59" s="644"/>
      <c r="K59" s="645"/>
      <c r="L59" s="79">
        <v>40</v>
      </c>
      <c r="O59"/>
      <c r="P59"/>
    </row>
    <row r="60" spans="1:16" ht="13.5" customHeight="1">
      <c r="A60" s="646" t="s">
        <v>368</v>
      </c>
      <c r="B60" s="640"/>
      <c r="C60" s="69">
        <v>43</v>
      </c>
      <c r="D60" s="642"/>
      <c r="E60" s="646"/>
      <c r="F60" s="646"/>
      <c r="G60" s="77"/>
      <c r="H60" s="643"/>
      <c r="I60" s="644"/>
      <c r="J60" s="644"/>
      <c r="K60" s="645"/>
      <c r="L60" s="78"/>
      <c r="O60"/>
      <c r="P60"/>
    </row>
    <row r="61" spans="1:16" ht="13.5" thickBot="1">
      <c r="A61" s="627"/>
      <c r="B61" s="628"/>
      <c r="C61" s="80"/>
      <c r="D61" s="629"/>
      <c r="E61" s="630"/>
      <c r="F61" s="630"/>
      <c r="G61" s="81"/>
      <c r="H61" s="631"/>
      <c r="I61" s="632"/>
      <c r="J61" s="632"/>
      <c r="K61" s="632"/>
      <c r="L61" s="82"/>
      <c r="O61"/>
      <c r="P61"/>
    </row>
    <row r="62" spans="1:16" ht="13.5" thickBot="1">
      <c r="A62" s="633" t="s">
        <v>5</v>
      </c>
      <c r="B62" s="634"/>
      <c r="C62" s="83">
        <f>SUM(C54:C61)</f>
        <v>1718</v>
      </c>
      <c r="D62" s="635" t="s">
        <v>5</v>
      </c>
      <c r="E62" s="636"/>
      <c r="F62" s="636"/>
      <c r="G62" s="83">
        <f>SUM(G54:G61)</f>
        <v>1578</v>
      </c>
      <c r="H62" s="637" t="s">
        <v>5</v>
      </c>
      <c r="I62" s="638"/>
      <c r="J62" s="638"/>
      <c r="K62" s="638"/>
      <c r="L62" s="73">
        <f>SUM(L54:L61)</f>
        <v>2100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2.7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12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1:14" s="1" customFormat="1" ht="13.5" thickBo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1:14" s="1" customFormat="1" ht="26.25" customHeight="1" thickBot="1">
      <c r="A67" s="571" t="s">
        <v>478</v>
      </c>
      <c r="B67" s="572"/>
      <c r="C67" s="572"/>
      <c r="D67" s="572"/>
      <c r="E67" s="573"/>
      <c r="F67" s="574" t="s">
        <v>479</v>
      </c>
      <c r="G67" s="575"/>
      <c r="H67" s="575"/>
      <c r="I67" s="575"/>
      <c r="J67" s="575"/>
      <c r="K67" s="575"/>
      <c r="L67" s="576"/>
      <c r="M67" s="84"/>
      <c r="N67" s="84"/>
    </row>
    <row r="68" spans="1:14" s="1" customFormat="1" ht="14.25" customHeight="1" thickBot="1">
      <c r="A68" s="152" t="s">
        <v>79</v>
      </c>
      <c r="B68" s="153" t="s">
        <v>172</v>
      </c>
      <c r="C68" s="577" t="s">
        <v>80</v>
      </c>
      <c r="D68" s="577"/>
      <c r="E68" s="154" t="s">
        <v>173</v>
      </c>
      <c r="F68" s="578" t="s">
        <v>79</v>
      </c>
      <c r="G68" s="579"/>
      <c r="H68" s="153" t="s">
        <v>172</v>
      </c>
      <c r="I68" s="577" t="s">
        <v>80</v>
      </c>
      <c r="J68" s="577"/>
      <c r="K68" s="577"/>
      <c r="L68" s="155" t="s">
        <v>173</v>
      </c>
      <c r="M68" s="84"/>
      <c r="N68" s="84"/>
    </row>
    <row r="69" spans="1:14" s="1" customFormat="1" ht="12.75">
      <c r="A69" s="156" t="s">
        <v>176</v>
      </c>
      <c r="B69" s="150">
        <v>22</v>
      </c>
      <c r="C69" s="580" t="s">
        <v>179</v>
      </c>
      <c r="D69" s="580"/>
      <c r="E69" s="157">
        <v>0</v>
      </c>
      <c r="F69" s="581" t="s">
        <v>176</v>
      </c>
      <c r="G69" s="582"/>
      <c r="H69" s="150">
        <v>49</v>
      </c>
      <c r="I69" s="580" t="s">
        <v>179</v>
      </c>
      <c r="J69" s="582"/>
      <c r="K69" s="582"/>
      <c r="L69" s="157">
        <v>0</v>
      </c>
      <c r="M69" s="84"/>
      <c r="N69" s="84"/>
    </row>
    <row r="70" spans="1:14" s="1" customFormat="1" ht="12.75">
      <c r="A70" s="158" t="s">
        <v>174</v>
      </c>
      <c r="B70" s="151">
        <v>22</v>
      </c>
      <c r="C70" s="583"/>
      <c r="D70" s="583"/>
      <c r="E70" s="159"/>
      <c r="F70" s="584" t="s">
        <v>177</v>
      </c>
      <c r="G70" s="585"/>
      <c r="H70" s="151">
        <v>25</v>
      </c>
      <c r="I70" s="583"/>
      <c r="J70" s="585"/>
      <c r="K70" s="585"/>
      <c r="L70" s="159"/>
      <c r="M70" s="84"/>
      <c r="N70" s="84"/>
    </row>
    <row r="71" spans="1:14" s="1" customFormat="1" ht="12.75">
      <c r="A71" s="158" t="s">
        <v>175</v>
      </c>
      <c r="B71" s="151">
        <v>5</v>
      </c>
      <c r="C71" s="583"/>
      <c r="D71" s="583"/>
      <c r="E71" s="159"/>
      <c r="F71" s="583" t="s">
        <v>175</v>
      </c>
      <c r="G71" s="583"/>
      <c r="H71" s="151">
        <v>0</v>
      </c>
      <c r="I71" s="583"/>
      <c r="J71" s="585"/>
      <c r="K71" s="585"/>
      <c r="L71" s="159"/>
      <c r="M71" s="84"/>
      <c r="N71" s="84"/>
    </row>
    <row r="72" spans="1:14" s="1" customFormat="1" ht="13.5" thickBot="1">
      <c r="A72" s="163"/>
      <c r="B72" s="162"/>
      <c r="C72" s="586"/>
      <c r="D72" s="586"/>
      <c r="E72" s="164"/>
      <c r="F72" s="587"/>
      <c r="G72" s="588"/>
      <c r="H72" s="162"/>
      <c r="I72" s="586"/>
      <c r="J72" s="588"/>
      <c r="K72" s="588"/>
      <c r="L72" s="164"/>
      <c r="M72" s="84"/>
      <c r="N72" s="84"/>
    </row>
    <row r="73" spans="1:14" s="1" customFormat="1" ht="13.5" thickBot="1">
      <c r="A73" s="179" t="s">
        <v>5</v>
      </c>
      <c r="B73" s="180">
        <f>SUM(B69:B72)</f>
        <v>49</v>
      </c>
      <c r="C73" s="589" t="s">
        <v>5</v>
      </c>
      <c r="D73" s="589"/>
      <c r="E73" s="165">
        <f>SUM(E69:E72)</f>
        <v>0</v>
      </c>
      <c r="F73" s="590" t="s">
        <v>5</v>
      </c>
      <c r="G73" s="591"/>
      <c r="H73" s="161">
        <f>SUM(H69:H72)</f>
        <v>74</v>
      </c>
      <c r="I73" s="589" t="s">
        <v>5</v>
      </c>
      <c r="J73" s="591"/>
      <c r="K73" s="591"/>
      <c r="L73" s="165">
        <f>SUM(L69:L72)</f>
        <v>0</v>
      </c>
      <c r="M73" s="84"/>
      <c r="N73" s="84"/>
    </row>
    <row r="74" spans="1:14" s="1" customFormat="1" ht="13.5" thickBot="1">
      <c r="A74" s="181" t="s">
        <v>534</v>
      </c>
      <c r="B74" s="182">
        <f>B73-E73</f>
        <v>49</v>
      </c>
      <c r="C74" s="84"/>
      <c r="D74" s="84"/>
      <c r="E74" s="84"/>
      <c r="F74" s="592" t="s">
        <v>534</v>
      </c>
      <c r="G74" s="593"/>
      <c r="H74" s="183">
        <f>H73-L73</f>
        <v>74</v>
      </c>
      <c r="I74" s="84"/>
      <c r="J74" s="84"/>
      <c r="K74" s="84"/>
      <c r="L74" s="84"/>
      <c r="M74" s="84"/>
      <c r="N74" s="84"/>
    </row>
    <row r="75" spans="1:14" s="1" customFormat="1" ht="12.7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</row>
    <row r="76" spans="1:12" s="1" customFormat="1" ht="13.5" thickBot="1">
      <c r="A76" s="85"/>
      <c r="B76" s="86"/>
      <c r="C76" s="86"/>
      <c r="D76" s="86"/>
      <c r="E76" s="2"/>
      <c r="F76" s="4"/>
      <c r="G76" s="4"/>
      <c r="H76" s="85"/>
      <c r="I76" s="86"/>
      <c r="J76" s="86"/>
      <c r="K76" s="86"/>
      <c r="L76" s="2"/>
    </row>
    <row r="77" spans="1:16" ht="12.75">
      <c r="A77" s="601" t="s">
        <v>73</v>
      </c>
      <c r="B77" s="604" t="s">
        <v>74</v>
      </c>
      <c r="C77" s="607" t="s">
        <v>477</v>
      </c>
      <c r="D77" s="608"/>
      <c r="E77" s="608"/>
      <c r="F77" s="608"/>
      <c r="G77" s="608"/>
      <c r="H77" s="608"/>
      <c r="I77" s="609"/>
      <c r="J77" s="610" t="s">
        <v>75</v>
      </c>
      <c r="K77" s="175"/>
      <c r="L77" s="718" t="s">
        <v>48</v>
      </c>
      <c r="M77" s="719"/>
      <c r="N77" s="722">
        <v>2004</v>
      </c>
      <c r="O77" s="724">
        <v>2005</v>
      </c>
      <c r="P77"/>
    </row>
    <row r="78" spans="1:16" ht="13.5" thickBot="1">
      <c r="A78" s="602"/>
      <c r="B78" s="605"/>
      <c r="C78" s="596" t="s">
        <v>76</v>
      </c>
      <c r="D78" s="598" t="s">
        <v>77</v>
      </c>
      <c r="E78" s="599"/>
      <c r="F78" s="599"/>
      <c r="G78" s="599"/>
      <c r="H78" s="599"/>
      <c r="I78" s="600"/>
      <c r="J78" s="611"/>
      <c r="K78" s="176"/>
      <c r="L78" s="720"/>
      <c r="M78" s="721"/>
      <c r="N78" s="723"/>
      <c r="O78" s="725"/>
      <c r="P78"/>
    </row>
    <row r="79" spans="1:16" ht="13.5" thickBot="1">
      <c r="A79" s="603"/>
      <c r="B79" s="606"/>
      <c r="C79" s="597"/>
      <c r="D79" s="115">
        <v>1</v>
      </c>
      <c r="E79" s="115">
        <v>2</v>
      </c>
      <c r="F79" s="115">
        <v>3</v>
      </c>
      <c r="G79" s="115">
        <v>4</v>
      </c>
      <c r="H79" s="115">
        <v>5</v>
      </c>
      <c r="I79" s="172">
        <v>6</v>
      </c>
      <c r="J79" s="612"/>
      <c r="K79" s="177"/>
      <c r="L79" s="173" t="s">
        <v>49</v>
      </c>
      <c r="M79" s="174"/>
      <c r="N79" s="166">
        <v>0</v>
      </c>
      <c r="O79" s="167">
        <v>0</v>
      </c>
      <c r="P79"/>
    </row>
    <row r="80" spans="1:16" ht="13.5" thickBot="1">
      <c r="A80" s="116">
        <v>59902</v>
      </c>
      <c r="B80" s="117">
        <v>11065</v>
      </c>
      <c r="C80" s="170">
        <v>1053</v>
      </c>
      <c r="D80" s="171">
        <v>79</v>
      </c>
      <c r="E80" s="171">
        <v>454</v>
      </c>
      <c r="F80" s="171">
        <v>1</v>
      </c>
      <c r="G80" s="171">
        <v>0</v>
      </c>
      <c r="H80" s="170">
        <v>519</v>
      </c>
      <c r="I80" s="185">
        <v>0</v>
      </c>
      <c r="J80" s="118">
        <f>SUM(A80-B80-C80)</f>
        <v>47784</v>
      </c>
      <c r="K80" s="177"/>
      <c r="L80" s="726" t="s">
        <v>50</v>
      </c>
      <c r="M80" s="727"/>
      <c r="N80" s="87">
        <v>0</v>
      </c>
      <c r="O80" s="88">
        <v>0</v>
      </c>
      <c r="P80"/>
    </row>
    <row r="81" spans="1:15" s="1" customFormat="1" ht="13.5" thickBot="1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728" t="s">
        <v>178</v>
      </c>
      <c r="M81" s="729"/>
      <c r="N81" s="168">
        <v>0</v>
      </c>
      <c r="O81" s="169">
        <v>0</v>
      </c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618" t="s">
        <v>112</v>
      </c>
      <c r="B83" s="620" t="s">
        <v>482</v>
      </c>
      <c r="C83" s="622" t="s">
        <v>480</v>
      </c>
      <c r="D83" s="623"/>
      <c r="E83" s="623"/>
      <c r="F83" s="624"/>
      <c r="G83" s="625" t="s">
        <v>483</v>
      </c>
      <c r="H83" s="613" t="s">
        <v>78</v>
      </c>
      <c r="I83" s="615" t="s">
        <v>481</v>
      </c>
      <c r="J83" s="616"/>
      <c r="K83" s="616"/>
      <c r="L83" s="617"/>
    </row>
    <row r="84" spans="1:12" s="1" customFormat="1" ht="18.75" thickBot="1">
      <c r="A84" s="619"/>
      <c r="B84" s="621"/>
      <c r="C84" s="119" t="s">
        <v>81</v>
      </c>
      <c r="D84" s="120" t="s">
        <v>79</v>
      </c>
      <c r="E84" s="120" t="s">
        <v>80</v>
      </c>
      <c r="F84" s="121" t="s">
        <v>114</v>
      </c>
      <c r="G84" s="626"/>
      <c r="H84" s="614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2197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2806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0</v>
      </c>
      <c r="D86" s="131">
        <v>0</v>
      </c>
      <c r="E86" s="131">
        <v>0</v>
      </c>
      <c r="F86" s="132">
        <f>C86+D86-E86</f>
        <v>0</v>
      </c>
      <c r="G86" s="133">
        <v>0</v>
      </c>
      <c r="H86" s="453">
        <f>+G86-F86</f>
        <v>0</v>
      </c>
      <c r="I86" s="130">
        <v>0</v>
      </c>
      <c r="J86" s="131">
        <v>0</v>
      </c>
      <c r="K86" s="131">
        <v>0</v>
      </c>
      <c r="L86" s="132">
        <f>I86+J86-K86</f>
        <v>0</v>
      </c>
    </row>
    <row r="87" spans="1:12" s="1" customFormat="1" ht="12.75">
      <c r="A87" s="128" t="s">
        <v>85</v>
      </c>
      <c r="B87" s="129">
        <v>22</v>
      </c>
      <c r="C87" s="130">
        <v>22</v>
      </c>
      <c r="D87" s="131">
        <v>27</v>
      </c>
      <c r="E87" s="131">
        <v>0</v>
      </c>
      <c r="F87" s="132">
        <f>C87+D87-E87</f>
        <v>49</v>
      </c>
      <c r="G87" s="133">
        <v>49</v>
      </c>
      <c r="H87" s="453">
        <f>+G87-F87</f>
        <v>0</v>
      </c>
      <c r="I87" s="130">
        <v>49</v>
      </c>
      <c r="J87" s="131">
        <v>25</v>
      </c>
      <c r="K87" s="131">
        <v>0</v>
      </c>
      <c r="L87" s="132">
        <f>I87+J87-K87</f>
        <v>74</v>
      </c>
    </row>
    <row r="88" spans="1:12" s="1" customFormat="1" ht="12.75">
      <c r="A88" s="128" t="s">
        <v>113</v>
      </c>
      <c r="B88" s="129">
        <v>374</v>
      </c>
      <c r="C88" s="130">
        <v>374</v>
      </c>
      <c r="D88" s="131">
        <v>1168</v>
      </c>
      <c r="E88" s="131">
        <v>989</v>
      </c>
      <c r="F88" s="132">
        <f>C88+D88-E88</f>
        <v>553</v>
      </c>
      <c r="G88" s="133">
        <v>553</v>
      </c>
      <c r="H88" s="453">
        <f>+G88-F88</f>
        <v>0</v>
      </c>
      <c r="I88" s="461">
        <v>553</v>
      </c>
      <c r="J88" s="447">
        <v>1053</v>
      </c>
      <c r="K88" s="447">
        <v>1519</v>
      </c>
      <c r="L88" s="132">
        <f>I88+J88-K88</f>
        <v>87</v>
      </c>
    </row>
    <row r="89" spans="1:12" s="1" customFormat="1" ht="12.75">
      <c r="A89" s="128" t="s">
        <v>86</v>
      </c>
      <c r="B89" s="129">
        <v>2197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2204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361</v>
      </c>
      <c r="C90" s="136">
        <v>363</v>
      </c>
      <c r="D90" s="137">
        <v>317</v>
      </c>
      <c r="E90" s="137">
        <v>391</v>
      </c>
      <c r="F90" s="138">
        <f>C90+D90-E90</f>
        <v>289</v>
      </c>
      <c r="G90" s="139">
        <v>256</v>
      </c>
      <c r="H90" s="454">
        <f>+G90-F90</f>
        <v>-33</v>
      </c>
      <c r="I90" s="136">
        <v>289</v>
      </c>
      <c r="J90" s="137">
        <v>334</v>
      </c>
      <c r="K90" s="137">
        <v>396</v>
      </c>
      <c r="L90" s="138">
        <f>I90+J90-K90</f>
        <v>227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90" t="s">
        <v>205</v>
      </c>
      <c r="B93" s="666" t="s">
        <v>5</v>
      </c>
      <c r="C93" s="666" t="s">
        <v>88</v>
      </c>
      <c r="D93" s="693"/>
      <c r="E93" s="693"/>
      <c r="F93" s="693"/>
      <c r="G93" s="693"/>
      <c r="H93" s="694"/>
      <c r="I93" s="89"/>
      <c r="J93" s="695" t="s">
        <v>51</v>
      </c>
      <c r="K93" s="663"/>
      <c r="L93" s="696"/>
    </row>
    <row r="94" spans="1:12" ht="13.5" thickBot="1">
      <c r="A94" s="691"/>
      <c r="B94" s="692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69</v>
      </c>
      <c r="C95" s="131">
        <v>0</v>
      </c>
      <c r="D95" s="131">
        <v>0</v>
      </c>
      <c r="E95" s="131">
        <v>0</v>
      </c>
      <c r="F95" s="131">
        <v>0</v>
      </c>
      <c r="G95" s="129">
        <v>0</v>
      </c>
      <c r="H95" s="132">
        <v>69</v>
      </c>
      <c r="I95" s="89"/>
      <c r="J95" s="93">
        <v>2005</v>
      </c>
      <c r="K95" s="94">
        <v>15925</v>
      </c>
      <c r="L95" s="95">
        <f>G29</f>
        <v>15925</v>
      </c>
    </row>
    <row r="96" spans="1:12" ht="13.5" thickBot="1">
      <c r="A96" s="145" t="s">
        <v>95</v>
      </c>
      <c r="B96" s="135">
        <v>3139</v>
      </c>
      <c r="C96" s="137">
        <v>0</v>
      </c>
      <c r="D96" s="137">
        <v>0</v>
      </c>
      <c r="E96" s="137">
        <v>0</v>
      </c>
      <c r="F96" s="137">
        <v>0</v>
      </c>
      <c r="G96" s="135">
        <v>0</v>
      </c>
      <c r="H96" s="138">
        <v>3139</v>
      </c>
      <c r="I96" s="89"/>
      <c r="J96" s="96">
        <v>2006</v>
      </c>
      <c r="K96" s="97">
        <f>L29</f>
        <v>16730</v>
      </c>
      <c r="L96" s="98"/>
    </row>
    <row r="97" ht="12.75" customHeight="1"/>
    <row r="98" ht="13.5" thickBot="1"/>
    <row r="99" spans="1:10" ht="21" customHeight="1">
      <c r="A99" s="697" t="s">
        <v>54</v>
      </c>
      <c r="B99" s="699" t="s">
        <v>55</v>
      </c>
      <c r="C99" s="700"/>
      <c r="D99" s="701"/>
      <c r="E99" s="699" t="s">
        <v>206</v>
      </c>
      <c r="F99" s="700"/>
      <c r="G99" s="702"/>
      <c r="H99" s="703" t="s">
        <v>56</v>
      </c>
      <c r="I99" s="700"/>
      <c r="J99" s="702"/>
    </row>
    <row r="100" spans="1:10" ht="12.75">
      <c r="A100" s="698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5</v>
      </c>
      <c r="C101" s="103">
        <v>5</v>
      </c>
      <c r="D101" s="103">
        <f>+C101-B101</f>
        <v>0</v>
      </c>
      <c r="E101" s="103">
        <v>5</v>
      </c>
      <c r="F101" s="103">
        <v>5</v>
      </c>
      <c r="G101" s="104">
        <f>+F101-E101</f>
        <v>0</v>
      </c>
      <c r="H101" s="105">
        <v>16005</v>
      </c>
      <c r="I101" s="106">
        <v>18054</v>
      </c>
      <c r="J101" s="107">
        <f>+I101-H101</f>
        <v>2049</v>
      </c>
    </row>
    <row r="102" spans="1:10" ht="12.75">
      <c r="A102" s="102" t="s">
        <v>98</v>
      </c>
      <c r="B102" s="103">
        <v>14</v>
      </c>
      <c r="C102" s="103">
        <v>13</v>
      </c>
      <c r="D102" s="103">
        <f aca="true" t="shared" si="12" ref="D102:D111">+C102-B102</f>
        <v>-1</v>
      </c>
      <c r="E102" s="103">
        <v>14</v>
      </c>
      <c r="F102" s="103">
        <v>13</v>
      </c>
      <c r="G102" s="104">
        <f aca="true" t="shared" si="13" ref="G102:G111">+F102-E102</f>
        <v>-1</v>
      </c>
      <c r="H102" s="105">
        <v>16085</v>
      </c>
      <c r="I102" s="106">
        <v>17560</v>
      </c>
      <c r="J102" s="107">
        <f aca="true" t="shared" si="14" ref="J102:J111">+I102-H102</f>
        <v>1475</v>
      </c>
    </row>
    <row r="103" spans="1:10" ht="12.75">
      <c r="A103" s="102" t="s">
        <v>369</v>
      </c>
      <c r="B103" s="103">
        <v>0</v>
      </c>
      <c r="C103" s="103">
        <v>0.15</v>
      </c>
      <c r="D103" s="103">
        <f t="shared" si="12"/>
        <v>0.15</v>
      </c>
      <c r="E103" s="103">
        <v>0</v>
      </c>
      <c r="F103" s="103">
        <v>1</v>
      </c>
      <c r="G103" s="104">
        <f t="shared" si="13"/>
        <v>1</v>
      </c>
      <c r="H103" s="105">
        <v>0</v>
      </c>
      <c r="I103" s="106">
        <v>15040</v>
      </c>
      <c r="J103" s="107">
        <f t="shared" si="14"/>
        <v>15040</v>
      </c>
    </row>
    <row r="104" spans="1:10" ht="12.75">
      <c r="A104" s="102" t="s">
        <v>61</v>
      </c>
      <c r="B104" s="103"/>
      <c r="C104" s="103"/>
      <c r="D104" s="103">
        <f t="shared" si="12"/>
        <v>0</v>
      </c>
      <c r="E104" s="103"/>
      <c r="F104" s="103"/>
      <c r="G104" s="104">
        <f t="shared" si="13"/>
        <v>0</v>
      </c>
      <c r="H104" s="105"/>
      <c r="I104" s="106"/>
      <c r="J104" s="107">
        <f t="shared" si="14"/>
        <v>0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6"/>
      <c r="J105" s="107">
        <f t="shared" si="14"/>
        <v>0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6"/>
      <c r="J106" s="107">
        <f t="shared" si="14"/>
        <v>0</v>
      </c>
    </row>
    <row r="107" spans="1:10" ht="12.75">
      <c r="A107" s="102" t="s">
        <v>64</v>
      </c>
      <c r="B107" s="103">
        <v>0.68</v>
      </c>
      <c r="C107" s="103">
        <v>0.5</v>
      </c>
      <c r="D107" s="103">
        <f t="shared" si="12"/>
        <v>-0.18000000000000005</v>
      </c>
      <c r="E107" s="103">
        <v>0.68</v>
      </c>
      <c r="F107" s="103">
        <v>0</v>
      </c>
      <c r="G107" s="104">
        <f t="shared" si="13"/>
        <v>-0.68</v>
      </c>
      <c r="H107" s="105">
        <v>5611</v>
      </c>
      <c r="I107" s="106">
        <v>6591</v>
      </c>
      <c r="J107" s="107">
        <f t="shared" si="14"/>
        <v>980</v>
      </c>
    </row>
    <row r="108" spans="1:10" ht="12.75">
      <c r="A108" s="102" t="s">
        <v>65</v>
      </c>
      <c r="B108" s="103">
        <v>47.21</v>
      </c>
      <c r="C108" s="103">
        <v>46.59</v>
      </c>
      <c r="D108" s="103">
        <f t="shared" si="12"/>
        <v>-0.6199999999999974</v>
      </c>
      <c r="E108" s="103">
        <v>47.02</v>
      </c>
      <c r="F108" s="103">
        <v>44</v>
      </c>
      <c r="G108" s="104">
        <f t="shared" si="13"/>
        <v>-3.020000000000003</v>
      </c>
      <c r="H108" s="105">
        <v>11990</v>
      </c>
      <c r="I108" s="106">
        <v>14100</v>
      </c>
      <c r="J108" s="107">
        <f t="shared" si="14"/>
        <v>2110</v>
      </c>
    </row>
    <row r="109" spans="1:10" ht="12.75">
      <c r="A109" s="102" t="s">
        <v>66</v>
      </c>
      <c r="B109" s="103">
        <v>2</v>
      </c>
      <c r="C109" s="103">
        <v>1.92</v>
      </c>
      <c r="D109" s="103">
        <f t="shared" si="12"/>
        <v>-0.08000000000000007</v>
      </c>
      <c r="E109" s="103">
        <v>2</v>
      </c>
      <c r="F109" s="103">
        <v>2</v>
      </c>
      <c r="G109" s="104">
        <f t="shared" si="13"/>
        <v>0</v>
      </c>
      <c r="H109" s="105">
        <v>12760</v>
      </c>
      <c r="I109" s="106">
        <v>18880</v>
      </c>
      <c r="J109" s="107">
        <f t="shared" si="14"/>
        <v>6120</v>
      </c>
    </row>
    <row r="110" spans="1:10" ht="12.75">
      <c r="A110" s="102" t="s">
        <v>67</v>
      </c>
      <c r="B110" s="103">
        <v>34.62</v>
      </c>
      <c r="C110" s="103">
        <v>33.46</v>
      </c>
      <c r="D110" s="103">
        <f t="shared" si="12"/>
        <v>-1.1599999999999966</v>
      </c>
      <c r="E110" s="103">
        <v>34.62</v>
      </c>
      <c r="F110" s="103">
        <v>34.45</v>
      </c>
      <c r="G110" s="104">
        <f t="shared" si="13"/>
        <v>-0.1699999999999946</v>
      </c>
      <c r="H110" s="105">
        <v>10116</v>
      </c>
      <c r="I110" s="106">
        <v>11570</v>
      </c>
      <c r="J110" s="107">
        <f t="shared" si="14"/>
        <v>1454</v>
      </c>
    </row>
    <row r="111" spans="1:10" ht="13.5" thickBot="1">
      <c r="A111" s="109" t="s">
        <v>5</v>
      </c>
      <c r="B111" s="110">
        <f>SUM(B101:B110)</f>
        <v>103.50999999999999</v>
      </c>
      <c r="C111" s="110">
        <f>SUM(C101:C110)</f>
        <v>100.62</v>
      </c>
      <c r="D111" s="110">
        <f t="shared" si="12"/>
        <v>-2.8899999999999864</v>
      </c>
      <c r="E111" s="110">
        <f>SUM(E101:E110)</f>
        <v>103.32</v>
      </c>
      <c r="F111" s="110">
        <f>SUM(F101:F110)</f>
        <v>99.45</v>
      </c>
      <c r="G111" s="111">
        <f t="shared" si="13"/>
        <v>-3.8699999999999903</v>
      </c>
      <c r="H111" s="112">
        <v>11313</v>
      </c>
      <c r="I111" s="322">
        <v>13991</v>
      </c>
      <c r="J111" s="114">
        <f t="shared" si="14"/>
        <v>2678</v>
      </c>
    </row>
    <row r="112" ht="13.5" thickBot="1"/>
    <row r="113" spans="1:16" ht="12.75">
      <c r="A113" s="706" t="s">
        <v>68</v>
      </c>
      <c r="B113" s="707"/>
      <c r="C113" s="708"/>
      <c r="D113" s="89"/>
      <c r="E113" s="706" t="s">
        <v>69</v>
      </c>
      <c r="F113" s="707"/>
      <c r="G113" s="708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709" t="s">
        <v>72</v>
      </c>
      <c r="G114" s="71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98</v>
      </c>
      <c r="C115" s="95">
        <v>99</v>
      </c>
      <c r="D115" s="89"/>
      <c r="E115" s="93">
        <v>2005</v>
      </c>
      <c r="F115" s="711">
        <v>193</v>
      </c>
      <c r="G115" s="624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99</v>
      </c>
      <c r="C116" s="98"/>
      <c r="D116" s="89"/>
      <c r="E116" s="96">
        <v>2006</v>
      </c>
      <c r="F116" s="704">
        <v>193</v>
      </c>
      <c r="G116" s="705"/>
      <c r="H116"/>
      <c r="I116"/>
      <c r="J116"/>
      <c r="K116"/>
      <c r="L116"/>
      <c r="M116"/>
      <c r="N116"/>
      <c r="O116"/>
      <c r="P116"/>
    </row>
  </sheetData>
  <mergeCells count="124">
    <mergeCell ref="L81:M81"/>
    <mergeCell ref="A83:A84"/>
    <mergeCell ref="B83:B84"/>
    <mergeCell ref="C83:F83"/>
    <mergeCell ref="G83:G84"/>
    <mergeCell ref="H83:H84"/>
    <mergeCell ref="I83:L83"/>
    <mergeCell ref="O77:O78"/>
    <mergeCell ref="C78:C79"/>
    <mergeCell ref="D78:I78"/>
    <mergeCell ref="L77:M78"/>
    <mergeCell ref="C73:D73"/>
    <mergeCell ref="F73:G73"/>
    <mergeCell ref="I73:K73"/>
    <mergeCell ref="F74:G74"/>
    <mergeCell ref="C71:D71"/>
    <mergeCell ref="F71:G71"/>
    <mergeCell ref="I71:K71"/>
    <mergeCell ref="C72:D72"/>
    <mergeCell ref="F72:G72"/>
    <mergeCell ref="I72:K72"/>
    <mergeCell ref="C69:D69"/>
    <mergeCell ref="F69:G69"/>
    <mergeCell ref="I69:K69"/>
    <mergeCell ref="C70:D70"/>
    <mergeCell ref="F70:G70"/>
    <mergeCell ref="I70:K70"/>
    <mergeCell ref="A67:E67"/>
    <mergeCell ref="F67:L67"/>
    <mergeCell ref="C68:D68"/>
    <mergeCell ref="F68:G68"/>
    <mergeCell ref="I68:K68"/>
    <mergeCell ref="F116:G116"/>
    <mergeCell ref="A113:C113"/>
    <mergeCell ref="E113:G113"/>
    <mergeCell ref="F114:G114"/>
    <mergeCell ref="F115:G115"/>
    <mergeCell ref="A99:A100"/>
    <mergeCell ref="B99:D99"/>
    <mergeCell ref="E99:G99"/>
    <mergeCell ref="H99:J99"/>
    <mergeCell ref="A93:A94"/>
    <mergeCell ref="B93:B94"/>
    <mergeCell ref="C93:H93"/>
    <mergeCell ref="J93:L93"/>
    <mergeCell ref="A77:A79"/>
    <mergeCell ref="B77:B79"/>
    <mergeCell ref="C77:I77"/>
    <mergeCell ref="J77:J79"/>
    <mergeCell ref="L80:M80"/>
    <mergeCell ref="M2:N2"/>
    <mergeCell ref="H41:K42"/>
    <mergeCell ref="L41:L42"/>
    <mergeCell ref="L52:L53"/>
    <mergeCell ref="N77:N78"/>
    <mergeCell ref="A3:A6"/>
    <mergeCell ref="B3:N3"/>
    <mergeCell ref="H4:I4"/>
    <mergeCell ref="M4:N4"/>
    <mergeCell ref="B38:D38"/>
    <mergeCell ref="E38:G38"/>
    <mergeCell ref="J38:L38"/>
    <mergeCell ref="B39:D39"/>
    <mergeCell ref="E39:G39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2:B62"/>
    <mergeCell ref="D62:F62"/>
    <mergeCell ref="H62:K62"/>
    <mergeCell ref="A60:B60"/>
    <mergeCell ref="D60:F60"/>
    <mergeCell ref="H60:K60"/>
    <mergeCell ref="A61:B61"/>
    <mergeCell ref="D61:F61"/>
    <mergeCell ref="H61:K61"/>
  </mergeCells>
  <printOptions/>
  <pageMargins left="0.15748031496062992" right="0.15748031496062992" top="0.5905511811023623" bottom="0.15748031496062992" header="0.35433070866141736" footer="0.15748031496062992"/>
  <pageSetup fitToHeight="0" horizontalDpi="600" verticalDpi="600" orientation="portrait" paperSize="9" scale="61" r:id="rId1"/>
  <headerFooter alignWithMargins="0">
    <oddFooter>&amp;C&amp;P</oddFooter>
  </headerFooter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jakoubkova</cp:lastModifiedBy>
  <cp:lastPrinted>2006-05-25T18:15:26Z</cp:lastPrinted>
  <dcterms:created xsi:type="dcterms:W3CDTF">2004-02-26T11:39:43Z</dcterms:created>
  <dcterms:modified xsi:type="dcterms:W3CDTF">2006-05-25T18:15:32Z</dcterms:modified>
  <cp:category/>
  <cp:version/>
  <cp:contentType/>
  <cp:contentStatus/>
</cp:coreProperties>
</file>