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030" activeTab="0"/>
  </bookViews>
  <sheets>
    <sheet name="RK-10-2006-63, př.1 str.1" sheetId="1" r:id="rId1"/>
    <sheet name="str.2-3" sheetId="2" r:id="rId2"/>
    <sheet name="str.4" sheetId="3" r:id="rId3"/>
    <sheet name="str.5)" sheetId="4" r:id="rId4"/>
  </sheets>
  <definedNames/>
  <calcPr fullCalcOnLoad="1"/>
</workbook>
</file>

<file path=xl/sharedStrings.xml><?xml version="1.0" encoding="utf-8"?>
<sst xmlns="http://schemas.openxmlformats.org/spreadsheetml/2006/main" count="234" uniqueCount="120">
  <si>
    <t>Havlíčkův Brod</t>
  </si>
  <si>
    <t>Jihlava</t>
  </si>
  <si>
    <t>Pelhřimov</t>
  </si>
  <si>
    <t>Třebíč</t>
  </si>
  <si>
    <t>Nové Město na Moravě</t>
  </si>
  <si>
    <t>Nemocnice</t>
  </si>
  <si>
    <t>Pohledávky</t>
  </si>
  <si>
    <t>Celkem</t>
  </si>
  <si>
    <t>Zásoby</t>
  </si>
  <si>
    <t>zboží na skladě</t>
  </si>
  <si>
    <t>Závazky</t>
  </si>
  <si>
    <t>dlouhodobé závazky</t>
  </si>
  <si>
    <t>Celkem krátkodobé</t>
  </si>
  <si>
    <t>Hospodářský výsledek</t>
  </si>
  <si>
    <t>,</t>
  </si>
  <si>
    <t>běžný účet</t>
  </si>
  <si>
    <t>účet FKSP</t>
  </si>
  <si>
    <t>z toho z obchodního vztahu</t>
  </si>
  <si>
    <t>z toho materiál na skladě</t>
  </si>
  <si>
    <t>z toho zaměstnanci  a odvody</t>
  </si>
  <si>
    <t>Finanční majetek</t>
  </si>
  <si>
    <t>Přechodné účty aktivní</t>
  </si>
  <si>
    <t>Přechodné účty pasivní</t>
  </si>
  <si>
    <t>závazky krátkodobé a dlouhodobé celkem</t>
  </si>
  <si>
    <t>31.12.2002</t>
  </si>
  <si>
    <t>30.6.2003</t>
  </si>
  <si>
    <t>31.12.2003</t>
  </si>
  <si>
    <t>30.6.2004</t>
  </si>
  <si>
    <t>31.12.2004</t>
  </si>
  <si>
    <t>30.6.2005</t>
  </si>
  <si>
    <t>III. Běžná likvidita organizace k datu</t>
  </si>
  <si>
    <t>v tis. Kč</t>
  </si>
  <si>
    <t>Závazky z obchodního vztahu</t>
  </si>
  <si>
    <t>z toho krátkodobé po splatnosti</t>
  </si>
  <si>
    <t>Pohledávky z obchodního vztahu</t>
  </si>
  <si>
    <t>z toho po splatnosti</t>
  </si>
  <si>
    <t>Pohledávky celkem</t>
  </si>
  <si>
    <t>Pohledávky - závazky  (celkem)</t>
  </si>
  <si>
    <t>Zústatek po přerozdělení</t>
  </si>
  <si>
    <t>celkem</t>
  </si>
  <si>
    <t>Celkem aktivní účty</t>
  </si>
  <si>
    <t>5+6</t>
  </si>
  <si>
    <t>8+9</t>
  </si>
  <si>
    <t>a=1+2+3+4</t>
  </si>
  <si>
    <t>b=5+6+7</t>
  </si>
  <si>
    <t>a-b</t>
  </si>
  <si>
    <t>Pohledávky - závazky  (celkem) pouze u nem. se zápornou bilancí</t>
  </si>
  <si>
    <t>v roce 2006 rozdělena 1.polovina</t>
  </si>
  <si>
    <t>v roce 2006 rozdělena 2.polovina</t>
  </si>
  <si>
    <t>rozdělení rezervy</t>
  </si>
  <si>
    <t xml:space="preserve">index dluhu </t>
  </si>
  <si>
    <t>Index obrácený</t>
  </si>
  <si>
    <t>Výpočet převráceného indexu - mezivýsledek</t>
  </si>
  <si>
    <t>rozdělení rezervy (18 mil. ze zadlužených nemocnic bude použito na oddlužení= návrh)</t>
  </si>
  <si>
    <t>I. Stav vybraných účtů aktivních k 31. 12. 2005</t>
  </si>
  <si>
    <t>II. Stav vybraných účtů pasivních k 31. 12. 2005</t>
  </si>
  <si>
    <t>Kumulovaně k 31.12.2005</t>
  </si>
  <si>
    <t>Kumulovaná ztráta k 31.12.2005</t>
  </si>
  <si>
    <t>Celkem pasivní účty (cizí zdroje)</t>
  </si>
  <si>
    <t>2004+ 05</t>
  </si>
  <si>
    <t>Organizace</t>
  </si>
  <si>
    <t>Tržby z prodeje služeb za rok 2004</t>
  </si>
  <si>
    <t>Výše dotace pro nemocnice při rozdělení dle tržeb</t>
  </si>
  <si>
    <t>Účelová dotace ze státního rozpočtu</t>
  </si>
  <si>
    <t>Čerpání účelové dotace k 31.12.2004</t>
  </si>
  <si>
    <t>Vyrovnání do dalšího období po roce 2004</t>
  </si>
  <si>
    <t>Rozdělení kapitálových výdajů 2005</t>
  </si>
  <si>
    <t>dotace z prodeje nemovitostí</t>
  </si>
  <si>
    <t>Skutečná dotace v roce 2005  celkem</t>
  </si>
  <si>
    <t>Koeficient dle tržeb z r.2004</t>
  </si>
  <si>
    <t>Celková výše dotace pro nemocnice při rozdělení dle tržeb v letech 2004-2005</t>
  </si>
  <si>
    <t>Skutečná výše dotací v roce 2004 a 2005 celkem</t>
  </si>
  <si>
    <t>Saldo k vyrovnání po dvou letech</t>
  </si>
  <si>
    <t>Rozdělení pro rok 2006 dle tržeb</t>
  </si>
  <si>
    <t>Plánované rozdělení 80 mil. Kč z rozpočtu dle tržeb s vyrovnáním o saldo</t>
  </si>
  <si>
    <t>A</t>
  </si>
  <si>
    <t>4 = 1-2</t>
  </si>
  <si>
    <t>7=5+6</t>
  </si>
  <si>
    <t>8=A/suma A</t>
  </si>
  <si>
    <t>9=suma 9*8</t>
  </si>
  <si>
    <t>10 = 1+ 9</t>
  </si>
  <si>
    <t>11 = 2+5+6</t>
  </si>
  <si>
    <t>12 = 11 - 10</t>
  </si>
  <si>
    <t>13=suma 13*8</t>
  </si>
  <si>
    <t>14=13-12</t>
  </si>
  <si>
    <t>H. Brod</t>
  </si>
  <si>
    <t>NM n M.</t>
  </si>
  <si>
    <t>Celkem nemocnice zřizované krajem</t>
  </si>
  <si>
    <t>ZZS</t>
  </si>
  <si>
    <t>DD Kamenice</t>
  </si>
  <si>
    <t>Nemocnice Sv. Zdislavy Mostiště</t>
  </si>
  <si>
    <t xml:space="preserve">   Zbylých 124 000 tis. Kč stejným způsobem zaplatí v roce 2007</t>
  </si>
  <si>
    <t>rozdělení na oddlužení</t>
  </si>
  <si>
    <t>rozdělení na investice - největší dluh,nejmíň na investice</t>
  </si>
  <si>
    <t>15=13-12-6 mil.</t>
  </si>
  <si>
    <t>16=13-12-x mil.</t>
  </si>
  <si>
    <t>částka ke snížení investiční dotace v případě varianty h)</t>
  </si>
  <si>
    <t>Zústatek po přerozdělení v případě varianty h)</t>
  </si>
  <si>
    <t>rozdělení rezervy 30 mil. Na oddlužení</t>
  </si>
  <si>
    <t>I. Návrh  možné likvidace závazků po lhůtě splatnosti podle stavu k 31. 12. 2005 v tis. Kč</t>
  </si>
  <si>
    <t>1. kraj si vezme úvěr u bankovního ústavu  - v roce 2006 zaplatí 127 000 tis. Kč, tj. 1. polovinu dluhu</t>
  </si>
  <si>
    <t>Dluh = pohledávky - závazky  (celkem), pouze u nem. se zápornou bilancí</t>
  </si>
  <si>
    <r>
      <t>varianta a</t>
    </r>
    <r>
      <rPr>
        <b/>
        <sz val="10"/>
        <rFont val="Arial CE"/>
        <family val="2"/>
      </rPr>
      <t xml:space="preserve"> - rozdělení prostředků ve výši záporné bilance pohledávek a závazků pro nemocnice, kterých se tato bilance týká</t>
    </r>
  </si>
  <si>
    <r>
      <t xml:space="preserve">varianta b </t>
    </r>
    <r>
      <rPr>
        <b/>
        <sz val="10"/>
        <rFont val="Arial CE"/>
        <family val="2"/>
      </rPr>
      <t>- zapojení dotace z rezervy na kapitole Zdravotnictví ve výši 80 mil. Kč, na čisté oddlužení použito 18 mil., ostatní prostředky rozděleny na investice</t>
    </r>
  </si>
  <si>
    <r>
      <t xml:space="preserve">varianta c </t>
    </r>
    <r>
      <rPr>
        <b/>
        <sz val="10"/>
        <rFont val="Arial CE"/>
        <family val="2"/>
      </rPr>
      <t>- rozdělení 30 mil. z rezervy kraje na oddlužení</t>
    </r>
  </si>
  <si>
    <t>80 mil. Je rozděleno rovnoměrně - pro každou nemocnici 16 mil. Zadluženým nemocnicím je částka ve výši 3x16 mil. ponížena o 3x6 mil., t.j. o 18 mil. Styl rozdělení investic pro zadlužené nemocnice je následující: nejvíc zadlužená nemocnice dostane na investice nejmíň (je mezi ně rozděleno 30 mil. Mezi nezadlužené nemocnice je rozděleno 32 mil. systémem "větší kladná bilance pohledávek a závazků", tím větší částka na investice.</t>
  </si>
  <si>
    <t>Z rezervy kraje bude uvolněno 30 mil. na oddlužení nemocnic. Rozdělení bude rozděleno podle výšky dluhu</t>
  </si>
  <si>
    <t>Jde o jiný typ rozdělení částky 18 mil. (snížení rezervy na kapitole Zdravotnictví ve výši 80 mil. Kč) na oddlužení - jde o rozdělení částky podle výše dluhu.</t>
  </si>
  <si>
    <t>Pomocný výpočet pro snížení dotace na investice v případě varianty e)</t>
  </si>
  <si>
    <t>Celkem na oddlužení použito viz. varianta c) a e)</t>
  </si>
  <si>
    <r>
      <t xml:space="preserve">varianta d </t>
    </r>
    <r>
      <rPr>
        <b/>
        <sz val="10"/>
        <rFont val="Arial CE"/>
        <family val="2"/>
      </rPr>
      <t xml:space="preserve">- rozdělení dotací pro nemocnice v letech 2004 a 2005 při porovnání se systémovou dotací stanovenou dle tržeb nemocnic. Rozdělení kapitálových výdajů ve výši 112 435 tis. Kč v roce 2005 a plán výrovnání pro rok 2006 při schválené rezervě na investice 80 mil. Kč. </t>
    </r>
  </si>
  <si>
    <t>Plánované rozdělení 80 mil. Kč z rozpočtu dle tržeb s vyrovnáním o saldo s použitím 18 mil na oddlužení (6 mil. pro zadluženou nemocnici)</t>
  </si>
  <si>
    <t>Plánované rozdělení 80 mil. Kč z rozpočtu dle tržeb s vyrovnáním o saldo s použitím 18 mil na oddlužení (rozděleno podle výše dluhu)</t>
  </si>
  <si>
    <r>
      <t>varianta e</t>
    </r>
    <r>
      <rPr>
        <b/>
        <sz val="10"/>
        <rFont val="Arial CE"/>
        <family val="2"/>
      </rPr>
      <t xml:space="preserve"> - snížení varianty d) o 6 mil. na úhradu dluhu u zadlužených nemocnic</t>
    </r>
  </si>
  <si>
    <r>
      <t>varianta f</t>
    </r>
    <r>
      <rPr>
        <b/>
        <sz val="10"/>
        <rFont val="Arial CE"/>
        <family val="2"/>
      </rPr>
      <t xml:space="preserve"> - snížení varianty d) o 18 mil. (poměr 18 mil. rozdělen stylem největší dluh, nejmíň na investice)</t>
    </r>
  </si>
  <si>
    <r>
      <t xml:space="preserve">varianta g </t>
    </r>
    <r>
      <rPr>
        <b/>
        <sz val="10"/>
        <rFont val="Arial CE"/>
        <family val="2"/>
      </rPr>
      <t>- rozdělení dotací pro nemocnice v letech 2004 a 2005 při porovnání se systémovou dotací stanovenou dle tržeb nemocnic. Rozdělení kapitálových výdajů ve výši 112 435 tis. Kč v roce 2005 a plán výrovnání pro rok 2006 při schválené rezervě na investice 80 mil. Kč. při poskytnutí příspěvku Nemocnici sv. Zdislavy Mostiště</t>
    </r>
  </si>
  <si>
    <r>
      <t>varianta h</t>
    </r>
    <r>
      <rPr>
        <b/>
        <sz val="10"/>
        <rFont val="Arial CE"/>
        <family val="2"/>
      </rPr>
      <t xml:space="preserve"> - snížení varianty d) o 6 mil. na úhradu dluhu u zadlužených nemocnic</t>
    </r>
  </si>
  <si>
    <r>
      <t>varianta i</t>
    </r>
    <r>
      <rPr>
        <b/>
        <sz val="10"/>
        <rFont val="Arial CE"/>
        <family val="2"/>
      </rPr>
      <t xml:space="preserve"> - snížení varianty d) o 18 mil. (poměr 18 mil. rozdělen stylem největší dluh, nejmíň na investice)</t>
    </r>
  </si>
  <si>
    <t>Počet stran: 5</t>
  </si>
  <si>
    <t>RK-10-2006-63,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</si>
</sst>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\ &quot;Kč&quot;"/>
    <numFmt numFmtId="165" formatCode="#,##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_K_č"/>
    <numFmt numFmtId="171" formatCode="#,##0.0000"/>
    <numFmt numFmtId="172" formatCode="0.0000"/>
  </numFmts>
  <fonts count="12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sz val="8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1" fillId="0" borderId="1">
      <alignment horizontal="center" vertical="center" wrapText="1"/>
      <protection/>
    </xf>
    <xf numFmtId="3" fontId="1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4" fontId="2" fillId="2" borderId="17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2" borderId="23" xfId="0" applyNumberFormat="1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2" borderId="27" xfId="0" applyNumberFormat="1" applyFont="1" applyFill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2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2" borderId="38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49" fontId="7" fillId="2" borderId="38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14" fontId="2" fillId="2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2" fillId="0" borderId="10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2" fillId="2" borderId="41" xfId="0" applyNumberFormat="1" applyFont="1" applyFill="1" applyBorder="1" applyAlignment="1">
      <alignment vertical="center"/>
    </xf>
    <xf numFmtId="4" fontId="2" fillId="2" borderId="42" xfId="0" applyNumberFormat="1" applyFont="1" applyFill="1" applyBorder="1" applyAlignment="1">
      <alignment vertical="center"/>
    </xf>
    <xf numFmtId="3" fontId="2" fillId="0" borderId="40" xfId="0" applyNumberFormat="1" applyFont="1" applyBorder="1" applyAlignment="1">
      <alignment/>
    </xf>
    <xf numFmtId="3" fontId="2" fillId="2" borderId="42" xfId="0" applyNumberFormat="1" applyFont="1" applyFill="1" applyBorder="1" applyAlignment="1">
      <alignment/>
    </xf>
    <xf numFmtId="0" fontId="2" fillId="2" borderId="33" xfId="0" applyFont="1" applyFill="1" applyBorder="1" applyAlignment="1">
      <alignment horizontal="center" vertical="center" wrapText="1"/>
    </xf>
    <xf numFmtId="3" fontId="2" fillId="0" borderId="43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2" borderId="41" xfId="0" applyNumberFormat="1" applyFont="1" applyFill="1" applyBorder="1" applyAlignment="1">
      <alignment vertical="center"/>
    </xf>
    <xf numFmtId="4" fontId="2" fillId="0" borderId="4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69" fontId="2" fillId="2" borderId="27" xfId="0" applyNumberFormat="1" applyFont="1" applyFill="1" applyBorder="1" applyAlignment="1">
      <alignment vertical="center"/>
    </xf>
    <xf numFmtId="3" fontId="2" fillId="2" borderId="27" xfId="0" applyNumberFormat="1" applyFont="1" applyFill="1" applyBorder="1" applyAlignment="1">
      <alignment vertical="center"/>
    </xf>
    <xf numFmtId="165" fontId="2" fillId="0" borderId="24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2" fillId="2" borderId="25" xfId="0" applyNumberFormat="1" applyFont="1" applyFill="1" applyBorder="1" applyAlignment="1">
      <alignment/>
    </xf>
    <xf numFmtId="3" fontId="2" fillId="2" borderId="24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165" fontId="2" fillId="2" borderId="27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3" fontId="2" fillId="0" borderId="14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5" fillId="3" borderId="0" xfId="21" applyFont="1" applyFill="1" applyBorder="1" applyAlignment="1">
      <alignment horizontal="left" vertical="center"/>
      <protection/>
    </xf>
    <xf numFmtId="3" fontId="1" fillId="3" borderId="0" xfId="21" applyFont="1" applyFill="1" applyBorder="1">
      <alignment horizontal="center" vertical="center" wrapText="1"/>
      <protection/>
    </xf>
    <xf numFmtId="3" fontId="1" fillId="3" borderId="0" xfId="21" applyFill="1" applyBorder="1">
      <alignment horizontal="center" vertical="center" wrapText="1"/>
      <protection/>
    </xf>
    <xf numFmtId="171" fontId="1" fillId="3" borderId="0" xfId="21" applyNumberFormat="1" applyFill="1" applyBorder="1">
      <alignment horizontal="center" vertical="center" wrapText="1"/>
      <protection/>
    </xf>
    <xf numFmtId="3" fontId="1" fillId="3" borderId="0" xfId="21" applyNumberFormat="1" applyFill="1" applyBorder="1">
      <alignment horizontal="center" vertical="center" wrapText="1"/>
      <protection/>
    </xf>
    <xf numFmtId="171" fontId="1" fillId="3" borderId="0" xfId="21" applyNumberFormat="1" applyFont="1" applyFill="1" applyBorder="1">
      <alignment horizontal="center" vertical="center" wrapText="1"/>
      <protection/>
    </xf>
    <xf numFmtId="3" fontId="1" fillId="0" borderId="20" xfId="20" applyFont="1" applyBorder="1">
      <alignment horizontal="center" vertical="center" wrapText="1"/>
      <protection/>
    </xf>
    <xf numFmtId="1" fontId="1" fillId="0" borderId="24" xfId="0" applyNumberFormat="1" applyFont="1" applyBorder="1" applyAlignment="1">
      <alignment horizontal="center" vertical="center" wrapText="1"/>
    </xf>
    <xf numFmtId="3" fontId="1" fillId="0" borderId="35" xfId="20" applyFont="1" applyBorder="1" applyAlignment="1">
      <alignment horizontal="center" vertical="center" textRotation="90" wrapText="1"/>
      <protection/>
    </xf>
    <xf numFmtId="3" fontId="11" fillId="0" borderId="4" xfId="20" applyFont="1" applyBorder="1" applyAlignment="1">
      <alignment horizontal="center" vertical="center" textRotation="90" wrapText="1"/>
      <protection/>
    </xf>
    <xf numFmtId="3" fontId="1" fillId="0" borderId="4" xfId="20" applyFont="1" applyBorder="1" applyAlignment="1">
      <alignment horizontal="center" vertical="center" textRotation="90" wrapText="1"/>
      <protection/>
    </xf>
    <xf numFmtId="3" fontId="1" fillId="0" borderId="4" xfId="20" applyFont="1" applyFill="1" applyBorder="1" applyAlignment="1">
      <alignment horizontal="center" vertical="center" textRotation="90" wrapText="1"/>
      <protection/>
    </xf>
    <xf numFmtId="0" fontId="1" fillId="2" borderId="32" xfId="0" applyFont="1" applyFill="1" applyBorder="1" applyAlignment="1">
      <alignment horizontal="center" vertical="center" textRotation="90" wrapText="1"/>
    </xf>
    <xf numFmtId="3" fontId="1" fillId="2" borderId="36" xfId="20" applyFont="1" applyFill="1" applyBorder="1">
      <alignment horizontal="center" vertical="center" wrapText="1"/>
      <protection/>
    </xf>
    <xf numFmtId="3" fontId="1" fillId="2" borderId="1" xfId="20" applyFont="1" applyFill="1" applyBorder="1">
      <alignment horizontal="center" vertical="center" wrapText="1"/>
      <protection/>
    </xf>
    <xf numFmtId="3" fontId="2" fillId="2" borderId="1" xfId="20" applyFont="1" applyFill="1" applyBorder="1">
      <alignment horizontal="center" vertical="center" wrapText="1"/>
      <protection/>
    </xf>
    <xf numFmtId="3" fontId="2" fillId="2" borderId="10" xfId="20" applyFont="1" applyFill="1" applyBorder="1">
      <alignment horizontal="center" vertical="center" wrapText="1"/>
      <protection/>
    </xf>
    <xf numFmtId="3" fontId="2" fillId="2" borderId="25" xfId="20" applyFont="1" applyFill="1" applyBorder="1">
      <alignment horizontal="center" vertical="center" wrapText="1"/>
      <protection/>
    </xf>
    <xf numFmtId="3" fontId="1" fillId="0" borderId="36" xfId="20" applyBorder="1">
      <alignment horizontal="center" vertical="center" wrapText="1"/>
      <protection/>
    </xf>
    <xf numFmtId="3" fontId="11" fillId="0" borderId="1" xfId="20" applyFont="1" applyBorder="1">
      <alignment horizontal="center" vertical="center" wrapText="1"/>
      <protection/>
    </xf>
    <xf numFmtId="3" fontId="2" fillId="0" borderId="1" xfId="20" applyFont="1" applyBorder="1">
      <alignment horizontal="center" vertical="center" wrapText="1"/>
      <protection/>
    </xf>
    <xf numFmtId="3" fontId="1" fillId="0" borderId="1" xfId="20" applyBorder="1">
      <alignment horizontal="center" vertical="center" wrapText="1"/>
      <protection/>
    </xf>
    <xf numFmtId="172" fontId="11" fillId="0" borderId="1" xfId="20" applyNumberFormat="1" applyFont="1" applyBorder="1">
      <alignment horizontal="center" vertical="center" wrapText="1"/>
      <protection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3" fontId="1" fillId="2" borderId="1" xfId="20" applyFill="1" applyBorder="1">
      <alignment horizontal="center" vertical="center" wrapText="1"/>
      <protection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1" fillId="0" borderId="36" xfId="20" applyFont="1" applyBorder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3" fontId="1" fillId="0" borderId="36" xfId="20" applyFont="1" applyFill="1" applyBorder="1">
      <alignment horizontal="center" vertical="center" wrapText="1"/>
      <protection/>
    </xf>
    <xf numFmtId="0" fontId="0" fillId="0" borderId="1" xfId="0" applyBorder="1" applyAlignment="1">
      <alignment/>
    </xf>
    <xf numFmtId="3" fontId="1" fillId="0" borderId="1" xfId="20" applyFill="1" applyBorder="1">
      <alignment horizontal="center" vertical="center" wrapText="1"/>
      <protection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1" fillId="2" borderId="47" xfId="20" applyFont="1" applyFill="1" applyBorder="1">
      <alignment horizontal="center" vertical="center" wrapText="1"/>
      <protection/>
    </xf>
    <xf numFmtId="3" fontId="1" fillId="2" borderId="2" xfId="20" applyFill="1" applyBorder="1">
      <alignment horizontal="center" vertical="center" wrapText="1"/>
      <protection/>
    </xf>
    <xf numFmtId="3" fontId="2" fillId="2" borderId="2" xfId="20" applyFont="1" applyFill="1" applyBorder="1">
      <alignment horizontal="center" vertical="center" wrapText="1"/>
      <protection/>
    </xf>
    <xf numFmtId="3" fontId="1" fillId="2" borderId="45" xfId="0" applyNumberFormat="1" applyFont="1" applyFill="1" applyBorder="1" applyAlignment="1">
      <alignment horizontal="right" vertical="center"/>
    </xf>
    <xf numFmtId="3" fontId="1" fillId="2" borderId="48" xfId="0" applyNumberFormat="1" applyFont="1" applyFill="1" applyBorder="1" applyAlignment="1">
      <alignment horizontal="right" vertical="center"/>
    </xf>
    <xf numFmtId="3" fontId="1" fillId="0" borderId="0" xfId="20" applyBorder="1" applyAlignment="1">
      <alignment horizontal="center" vertical="center" wrapText="1"/>
      <protection/>
    </xf>
    <xf numFmtId="3" fontId="1" fillId="0" borderId="0" xfId="20" applyBorder="1">
      <alignment horizontal="center" vertical="center" wrapText="1"/>
      <protection/>
    </xf>
    <xf numFmtId="3" fontId="0" fillId="0" borderId="0" xfId="0" applyNumberFormat="1" applyAlignment="1">
      <alignment/>
    </xf>
    <xf numFmtId="3" fontId="1" fillId="0" borderId="49" xfId="20" applyFont="1" applyBorder="1">
      <alignment horizontal="center" vertical="center" wrapText="1"/>
      <protection/>
    </xf>
    <xf numFmtId="3" fontId="1" fillId="0" borderId="50" xfId="20" applyFont="1" applyBorder="1">
      <alignment horizontal="center" vertical="center" wrapText="1"/>
      <protection/>
    </xf>
    <xf numFmtId="1" fontId="1" fillId="0" borderId="44" xfId="20" applyNumberFormat="1" applyBorder="1">
      <alignment horizontal="center" vertical="center" wrapText="1"/>
      <protection/>
    </xf>
    <xf numFmtId="1" fontId="2" fillId="2" borderId="44" xfId="20" applyNumberFormat="1" applyFont="1" applyFill="1" applyBorder="1">
      <alignment horizontal="center" vertical="center" wrapText="1"/>
      <protection/>
    </xf>
    <xf numFmtId="1" fontId="1" fillId="0" borderId="44" xfId="20" applyNumberFormat="1" applyFont="1" applyBorder="1">
      <alignment horizontal="center" vertical="center" wrapText="1"/>
      <protection/>
    </xf>
    <xf numFmtId="3" fontId="1" fillId="0" borderId="44" xfId="20" applyFont="1" applyBorder="1">
      <alignment horizontal="center" vertical="center" wrapText="1"/>
      <protection/>
    </xf>
    <xf numFmtId="3" fontId="2" fillId="0" borderId="44" xfId="20" applyFont="1" applyBorder="1">
      <alignment horizontal="center" vertical="center" wrapText="1"/>
      <protection/>
    </xf>
    <xf numFmtId="1" fontId="1" fillId="0" borderId="43" xfId="0" applyNumberFormat="1" applyFont="1" applyBorder="1" applyAlignment="1">
      <alignment horizontal="center" vertical="center" wrapText="1"/>
    </xf>
    <xf numFmtId="3" fontId="1" fillId="4" borderId="51" xfId="20" applyFont="1" applyFill="1" applyBorder="1">
      <alignment horizontal="center" vertical="center" wrapText="1"/>
      <protection/>
    </xf>
    <xf numFmtId="3" fontId="2" fillId="4" borderId="5" xfId="20" applyFont="1" applyFill="1" applyBorder="1" applyAlignment="1">
      <alignment horizontal="center" vertical="center" textRotation="90" wrapText="1"/>
      <protection/>
    </xf>
    <xf numFmtId="3" fontId="2" fillId="2" borderId="8" xfId="20" applyFont="1" applyFill="1" applyBorder="1">
      <alignment horizontal="center" vertical="center" wrapText="1"/>
      <protection/>
    </xf>
    <xf numFmtId="3" fontId="1" fillId="4" borderId="8" xfId="20" applyFill="1" applyBorder="1">
      <alignment horizontal="center" vertical="center" wrapText="1"/>
      <protection/>
    </xf>
    <xf numFmtId="3" fontId="1" fillId="2" borderId="8" xfId="20" applyFill="1" applyBorder="1">
      <alignment horizontal="center" vertical="center" wrapText="1"/>
      <protection/>
    </xf>
    <xf numFmtId="3" fontId="1" fillId="0" borderId="8" xfId="20" applyBorder="1">
      <alignment horizontal="center" vertical="center" wrapText="1"/>
      <protection/>
    </xf>
    <xf numFmtId="0" fontId="0" fillId="0" borderId="8" xfId="0" applyBorder="1" applyAlignment="1">
      <alignment/>
    </xf>
    <xf numFmtId="3" fontId="1" fillId="2" borderId="3" xfId="20" applyFill="1" applyBorder="1">
      <alignment horizontal="center" vertical="center" wrapText="1"/>
      <protection/>
    </xf>
    <xf numFmtId="1" fontId="1" fillId="5" borderId="52" xfId="0" applyNumberFormat="1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textRotation="90" wrapText="1"/>
    </xf>
    <xf numFmtId="0" fontId="2" fillId="2" borderId="54" xfId="0" applyFont="1" applyFill="1" applyBorder="1" applyAlignment="1">
      <alignment horizontal="center" vertical="center" wrapText="1"/>
    </xf>
    <xf numFmtId="3" fontId="1" fillId="5" borderId="9" xfId="20" applyFill="1" applyBorder="1">
      <alignment horizontal="center" vertical="center" wrapText="1"/>
      <protection/>
    </xf>
    <xf numFmtId="3" fontId="2" fillId="2" borderId="9" xfId="20" applyFont="1" applyFill="1" applyBorder="1">
      <alignment horizontal="center" vertical="center" wrapText="1"/>
      <protection/>
    </xf>
    <xf numFmtId="0" fontId="0" fillId="0" borderId="9" xfId="0" applyFill="1" applyBorder="1" applyAlignment="1">
      <alignment/>
    </xf>
    <xf numFmtId="3" fontId="1" fillId="0" borderId="9" xfId="20" applyFill="1" applyBorder="1">
      <alignment horizontal="center" vertical="center" wrapText="1"/>
      <protection/>
    </xf>
    <xf numFmtId="3" fontId="1" fillId="2" borderId="55" xfId="20" applyFont="1" applyFill="1" applyBorder="1" applyAlignment="1">
      <alignment horizontal="right" vertical="center" wrapText="1"/>
      <protection/>
    </xf>
    <xf numFmtId="0" fontId="1" fillId="2" borderId="5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top" wrapText="1"/>
    </xf>
    <xf numFmtId="3" fontId="1" fillId="2" borderId="21" xfId="20" applyFont="1" applyFill="1" applyBorder="1" applyAlignment="1">
      <alignment horizontal="left" vertical="center" wrapText="1"/>
      <protection/>
    </xf>
    <xf numFmtId="3" fontId="2" fillId="0" borderId="21" xfId="20" applyFont="1" applyBorder="1" applyAlignment="1">
      <alignment horizontal="left" vertical="center" wrapText="1"/>
      <protection/>
    </xf>
    <xf numFmtId="3" fontId="2" fillId="2" borderId="21" xfId="20" applyFont="1" applyFill="1" applyBorder="1" applyAlignment="1">
      <alignment horizontal="left" vertical="center" wrapText="1"/>
      <protection/>
    </xf>
    <xf numFmtId="3" fontId="1" fillId="0" borderId="21" xfId="20" applyFont="1" applyBorder="1" applyAlignment="1">
      <alignment horizontal="left" vertical="center" wrapText="1"/>
      <protection/>
    </xf>
    <xf numFmtId="3" fontId="1" fillId="0" borderId="21" xfId="20" applyFont="1" applyFill="1" applyBorder="1" applyAlignment="1">
      <alignment horizontal="left" vertical="center" wrapText="1"/>
      <protection/>
    </xf>
    <xf numFmtId="3" fontId="2" fillId="2" borderId="57" xfId="20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0" fillId="0" borderId="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2" fillId="2" borderId="66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3" fontId="2" fillId="0" borderId="56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3" fontId="2" fillId="0" borderId="5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2" fillId="2" borderId="70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/>
    </xf>
    <xf numFmtId="0" fontId="2" fillId="2" borderId="72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3" fontId="2" fillId="2" borderId="59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/>
    </xf>
    <xf numFmtId="0" fontId="2" fillId="2" borderId="7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0" fillId="0" borderId="68" xfId="0" applyBorder="1" applyAlignment="1">
      <alignment/>
    </xf>
    <xf numFmtId="0" fontId="1" fillId="0" borderId="63" xfId="0" applyFont="1" applyBorder="1" applyAlignment="1">
      <alignment/>
    </xf>
    <xf numFmtId="0" fontId="2" fillId="2" borderId="74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/>
    </xf>
    <xf numFmtId="0" fontId="2" fillId="2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0" fontId="10" fillId="0" borderId="41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left" vertical="top"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osobní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12.375" style="21" customWidth="1"/>
    <col min="2" max="9" width="11.375" style="3" customWidth="1"/>
    <col min="10" max="13" width="10.875" style="3" customWidth="1"/>
    <col min="14" max="14" width="11.25390625" style="3" customWidth="1"/>
    <col min="15" max="15" width="10.875" style="3" customWidth="1"/>
  </cols>
  <sheetData>
    <row r="1" ht="15">
      <c r="J1" s="90" t="s">
        <v>119</v>
      </c>
    </row>
    <row r="2" ht="15">
      <c r="J2" s="90" t="s">
        <v>118</v>
      </c>
    </row>
    <row r="3" spans="1:10" s="40" customFormat="1" ht="27.75" customHeight="1" thickBot="1">
      <c r="A3" s="39" t="s">
        <v>54</v>
      </c>
      <c r="J3" s="56" t="s">
        <v>31</v>
      </c>
    </row>
    <row r="4" spans="1:11" s="1" customFormat="1" ht="15" customHeight="1">
      <c r="A4" s="225" t="s">
        <v>5</v>
      </c>
      <c r="B4" s="231" t="s">
        <v>6</v>
      </c>
      <c r="C4" s="232"/>
      <c r="D4" s="220" t="s">
        <v>8</v>
      </c>
      <c r="E4" s="221"/>
      <c r="F4" s="222"/>
      <c r="G4" s="220" t="s">
        <v>20</v>
      </c>
      <c r="H4" s="221"/>
      <c r="I4" s="222"/>
      <c r="J4" s="208" t="s">
        <v>21</v>
      </c>
      <c r="K4" s="208" t="s">
        <v>40</v>
      </c>
    </row>
    <row r="5" spans="1:11" s="1" customFormat="1" ht="7.5" customHeight="1">
      <c r="A5" s="226"/>
      <c r="B5" s="228" t="s">
        <v>7</v>
      </c>
      <c r="C5" s="23"/>
      <c r="D5" s="223" t="s">
        <v>7</v>
      </c>
      <c r="E5" s="22"/>
      <c r="F5" s="36"/>
      <c r="G5" s="223" t="s">
        <v>7</v>
      </c>
      <c r="H5" s="22"/>
      <c r="I5" s="36"/>
      <c r="J5" s="209"/>
      <c r="K5" s="209"/>
    </row>
    <row r="6" spans="1:11" s="2" customFormat="1" ht="36.75" customHeight="1" thickBot="1">
      <c r="A6" s="227"/>
      <c r="B6" s="229"/>
      <c r="C6" s="5" t="s">
        <v>17</v>
      </c>
      <c r="D6" s="224"/>
      <c r="E6" s="4" t="s">
        <v>18</v>
      </c>
      <c r="F6" s="76" t="s">
        <v>9</v>
      </c>
      <c r="G6" s="224"/>
      <c r="H6" s="37" t="s">
        <v>15</v>
      </c>
      <c r="I6" s="38" t="s">
        <v>16</v>
      </c>
      <c r="J6" s="210"/>
      <c r="K6" s="210"/>
    </row>
    <row r="7" spans="1:15" s="82" customFormat="1" ht="12" customHeight="1">
      <c r="A7" s="69"/>
      <c r="B7" s="78">
        <v>1</v>
      </c>
      <c r="C7" s="73"/>
      <c r="D7" s="77">
        <v>2</v>
      </c>
      <c r="E7" s="79"/>
      <c r="F7" s="80"/>
      <c r="G7" s="72">
        <v>3</v>
      </c>
      <c r="H7" s="75"/>
      <c r="I7" s="71"/>
      <c r="J7" s="74">
        <v>4</v>
      </c>
      <c r="K7" s="71" t="s">
        <v>43</v>
      </c>
      <c r="L7" s="81"/>
      <c r="M7" s="81"/>
      <c r="N7" s="81"/>
      <c r="O7" s="81"/>
    </row>
    <row r="8" spans="1:11" s="1" customFormat="1" ht="18.75" customHeight="1">
      <c r="A8" s="49" t="s">
        <v>0</v>
      </c>
      <c r="B8" s="45">
        <v>79862.54</v>
      </c>
      <c r="C8" s="7">
        <v>79059.88</v>
      </c>
      <c r="D8" s="24">
        <v>15704.2</v>
      </c>
      <c r="E8" s="6">
        <f>+D8-F8</f>
        <v>13631.19</v>
      </c>
      <c r="F8" s="9">
        <v>2073.01</v>
      </c>
      <c r="G8" s="24">
        <v>46526.36</v>
      </c>
      <c r="H8" s="6">
        <v>44638.42</v>
      </c>
      <c r="I8" s="9">
        <v>108.18</v>
      </c>
      <c r="J8" s="28">
        <v>12141.9</v>
      </c>
      <c r="K8" s="28">
        <f>+B8+D8+G8+J8</f>
        <v>154234.99999999997</v>
      </c>
    </row>
    <row r="9" spans="1:11" s="1" customFormat="1" ht="18.75" customHeight="1">
      <c r="A9" s="50" t="s">
        <v>1</v>
      </c>
      <c r="B9" s="46">
        <v>126111.26</v>
      </c>
      <c r="C9" s="11">
        <v>125821.68</v>
      </c>
      <c r="D9" s="25">
        <v>14680.85</v>
      </c>
      <c r="E9" s="10">
        <f>+D9-F9</f>
        <v>9722.05</v>
      </c>
      <c r="F9" s="13">
        <f>4325.52+633.28</f>
        <v>4958.8</v>
      </c>
      <c r="G9" s="25">
        <v>29534.04</v>
      </c>
      <c r="H9" s="10">
        <v>24292.73</v>
      </c>
      <c r="I9" s="13">
        <v>2719.57</v>
      </c>
      <c r="J9" s="29">
        <v>22494.87</v>
      </c>
      <c r="K9" s="28">
        <f>+B9+D9+G9+J9</f>
        <v>192821.02</v>
      </c>
    </row>
    <row r="10" spans="1:11" s="1" customFormat="1" ht="18.75" customHeight="1">
      <c r="A10" s="50" t="s">
        <v>2</v>
      </c>
      <c r="B10" s="46">
        <v>63901.19</v>
      </c>
      <c r="C10" s="11">
        <v>63559.86</v>
      </c>
      <c r="D10" s="25">
        <v>15403.59</v>
      </c>
      <c r="E10" s="10">
        <f>+D10-F10</f>
        <v>8746.029999999999</v>
      </c>
      <c r="F10" s="13">
        <f>24.27+6633.29</f>
        <v>6657.56</v>
      </c>
      <c r="G10" s="25">
        <v>23212.89</v>
      </c>
      <c r="H10" s="10">
        <v>20894.8</v>
      </c>
      <c r="I10" s="13">
        <v>884.28</v>
      </c>
      <c r="J10" s="29">
        <v>277.39</v>
      </c>
      <c r="K10" s="28">
        <f>+B10+D10+G10+J10</f>
        <v>102795.06</v>
      </c>
    </row>
    <row r="11" spans="1:11" s="1" customFormat="1" ht="18.75" customHeight="1">
      <c r="A11" s="50" t="s">
        <v>3</v>
      </c>
      <c r="B11" s="46">
        <v>75185.13</v>
      </c>
      <c r="C11" s="11">
        <v>73801.27</v>
      </c>
      <c r="D11" s="25">
        <v>9877.57</v>
      </c>
      <c r="E11" s="10">
        <f>+D11-F11</f>
        <v>9866.13</v>
      </c>
      <c r="F11" s="13">
        <v>11.44</v>
      </c>
      <c r="G11" s="25">
        <v>46907.43</v>
      </c>
      <c r="H11" s="10">
        <v>29747.43</v>
      </c>
      <c r="I11" s="13">
        <v>725.54</v>
      </c>
      <c r="J11" s="29">
        <v>13288.81</v>
      </c>
      <c r="K11" s="28">
        <f>+B11+D11+G11+J11</f>
        <v>145258.94</v>
      </c>
    </row>
    <row r="12" spans="1:11" s="1" customFormat="1" ht="22.5" customHeight="1" thickBot="1">
      <c r="A12" s="51" t="s">
        <v>4</v>
      </c>
      <c r="B12" s="47">
        <v>87458.12</v>
      </c>
      <c r="C12" s="15">
        <v>86226.93</v>
      </c>
      <c r="D12" s="26">
        <v>16376.45</v>
      </c>
      <c r="E12" s="14">
        <f>+D12-F12</f>
        <v>13389.810000000001</v>
      </c>
      <c r="F12" s="17">
        <f>2908.92+77.72</f>
        <v>2986.64</v>
      </c>
      <c r="G12" s="26">
        <v>32492.94</v>
      </c>
      <c r="H12" s="14">
        <v>32376.11</v>
      </c>
      <c r="I12" s="17">
        <v>2.72</v>
      </c>
      <c r="J12" s="30">
        <v>2348.89</v>
      </c>
      <c r="K12" s="28">
        <f>+B12+D12+G12+J12</f>
        <v>138676.4</v>
      </c>
    </row>
    <row r="13" spans="1:11" s="1" customFormat="1" ht="22.5" customHeight="1" thickBot="1">
      <c r="A13" s="52" t="s">
        <v>7</v>
      </c>
      <c r="B13" s="48">
        <f>SUM(B8:B12)</f>
        <v>432518.24</v>
      </c>
      <c r="C13" s="19">
        <f aca="true" t="shared" si="0" ref="C13:I13">SUM(C8:C12)</f>
        <v>428469.62</v>
      </c>
      <c r="D13" s="27">
        <f t="shared" si="0"/>
        <v>72042.66</v>
      </c>
      <c r="E13" s="18">
        <f t="shared" si="0"/>
        <v>55355.20999999999</v>
      </c>
      <c r="F13" s="20">
        <f t="shared" si="0"/>
        <v>16687.45</v>
      </c>
      <c r="G13" s="27">
        <f>SUM(G8:G12)</f>
        <v>178673.66</v>
      </c>
      <c r="H13" s="18">
        <f t="shared" si="0"/>
        <v>151949.49</v>
      </c>
      <c r="I13" s="20">
        <f t="shared" si="0"/>
        <v>4440.29</v>
      </c>
      <c r="J13" s="31">
        <f>SUM(J8:J12)</f>
        <v>50551.85999999999</v>
      </c>
      <c r="K13" s="31">
        <f>SUM(K8:K12)</f>
        <v>733786.42</v>
      </c>
    </row>
    <row r="14" ht="6.75" customHeight="1"/>
    <row r="15" s="40" customFormat="1" ht="22.5" customHeight="1" thickBot="1">
      <c r="A15" s="39" t="s">
        <v>55</v>
      </c>
    </row>
    <row r="16" spans="1:15" s="1" customFormat="1" ht="15" customHeight="1">
      <c r="A16" s="225" t="s">
        <v>5</v>
      </c>
      <c r="B16" s="233" t="s">
        <v>10</v>
      </c>
      <c r="C16" s="233"/>
      <c r="D16" s="233"/>
      <c r="E16" s="233"/>
      <c r="F16" s="234"/>
      <c r="G16" s="211" t="s">
        <v>22</v>
      </c>
      <c r="H16" s="214" t="s">
        <v>13</v>
      </c>
      <c r="I16" s="217" t="s">
        <v>57</v>
      </c>
      <c r="J16" s="211" t="s">
        <v>56</v>
      </c>
      <c r="K16" s="211" t="s">
        <v>58</v>
      </c>
      <c r="L16"/>
      <c r="M16"/>
      <c r="N16"/>
      <c r="O16"/>
    </row>
    <row r="17" spans="1:15" s="1" customFormat="1" ht="7.5" customHeight="1">
      <c r="A17" s="226"/>
      <c r="B17" s="230" t="s">
        <v>12</v>
      </c>
      <c r="C17" s="22"/>
      <c r="D17" s="22"/>
      <c r="E17" s="218" t="s">
        <v>11</v>
      </c>
      <c r="F17" s="212" t="s">
        <v>23</v>
      </c>
      <c r="G17" s="212"/>
      <c r="H17" s="215"/>
      <c r="I17" s="218"/>
      <c r="J17" s="212"/>
      <c r="K17" s="212"/>
      <c r="L17"/>
      <c r="M17"/>
      <c r="N17"/>
      <c r="O17"/>
    </row>
    <row r="18" spans="1:15" s="2" customFormat="1" ht="36.75" customHeight="1" thickBot="1">
      <c r="A18" s="227"/>
      <c r="B18" s="229"/>
      <c r="C18" s="4" t="s">
        <v>17</v>
      </c>
      <c r="D18" s="4" t="s">
        <v>19</v>
      </c>
      <c r="E18" s="207"/>
      <c r="F18" s="206"/>
      <c r="G18" s="213"/>
      <c r="H18" s="216"/>
      <c r="I18" s="219" t="s">
        <v>14</v>
      </c>
      <c r="J18" s="213"/>
      <c r="K18" s="213"/>
      <c r="L18"/>
      <c r="M18"/>
      <c r="N18"/>
      <c r="O18"/>
    </row>
    <row r="19" spans="1:15" s="82" customFormat="1" ht="12" customHeight="1">
      <c r="A19" s="69"/>
      <c r="B19" s="78">
        <v>5</v>
      </c>
      <c r="C19" s="70"/>
      <c r="D19" s="70"/>
      <c r="E19" s="79">
        <v>6</v>
      </c>
      <c r="F19" s="80" t="s">
        <v>41</v>
      </c>
      <c r="G19" s="71">
        <v>7</v>
      </c>
      <c r="H19" s="72">
        <v>8</v>
      </c>
      <c r="I19" s="73">
        <v>9</v>
      </c>
      <c r="J19" s="71" t="s">
        <v>42</v>
      </c>
      <c r="K19" s="71" t="s">
        <v>44</v>
      </c>
      <c r="L19" s="81"/>
      <c r="M19" s="81"/>
      <c r="N19" s="81"/>
      <c r="O19" s="81"/>
    </row>
    <row r="20" spans="1:15" s="1" customFormat="1" ht="18.75" customHeight="1">
      <c r="A20" s="49" t="s">
        <v>0</v>
      </c>
      <c r="B20" s="45">
        <v>152653.28</v>
      </c>
      <c r="C20" s="6">
        <v>125795.68</v>
      </c>
      <c r="D20" s="6">
        <f>15515.29+8485.43</f>
        <v>24000.72</v>
      </c>
      <c r="E20" s="7">
        <v>8618.1</v>
      </c>
      <c r="F20" s="9">
        <f>+B20+E20</f>
        <v>161271.38</v>
      </c>
      <c r="G20" s="9">
        <v>1862.91</v>
      </c>
      <c r="H20" s="8">
        <v>185.16</v>
      </c>
      <c r="I20" s="7">
        <v>-44271.79</v>
      </c>
      <c r="J20" s="9">
        <f>+H20+I20</f>
        <v>-44086.63</v>
      </c>
      <c r="K20" s="9">
        <f>+F20+G20</f>
        <v>163134.29</v>
      </c>
      <c r="L20"/>
      <c r="M20"/>
      <c r="N20"/>
      <c r="O20"/>
    </row>
    <row r="21" spans="1:15" s="1" customFormat="1" ht="18.75" customHeight="1">
      <c r="A21" s="50" t="s">
        <v>1</v>
      </c>
      <c r="B21" s="46">
        <v>221010.78</v>
      </c>
      <c r="C21" s="10">
        <v>188838.98</v>
      </c>
      <c r="D21" s="10">
        <f>17751.87+9963.74</f>
        <v>27715.61</v>
      </c>
      <c r="E21" s="11">
        <v>34276.6</v>
      </c>
      <c r="F21" s="9">
        <f>+B21+E21</f>
        <v>255287.38</v>
      </c>
      <c r="G21" s="13">
        <v>294.25</v>
      </c>
      <c r="H21" s="12">
        <v>25989.03</v>
      </c>
      <c r="I21" s="11">
        <v>-119329.51</v>
      </c>
      <c r="J21" s="9">
        <f>+H21+I21</f>
        <v>-93340.48</v>
      </c>
      <c r="K21" s="9">
        <f>+F21+G21</f>
        <v>255581.63</v>
      </c>
      <c r="L21"/>
      <c r="M21" s="68"/>
      <c r="N21"/>
      <c r="O21"/>
    </row>
    <row r="22" spans="1:15" s="1" customFormat="1" ht="18.75" customHeight="1">
      <c r="A22" s="50" t="s">
        <v>2</v>
      </c>
      <c r="B22" s="46">
        <v>48526.01</v>
      </c>
      <c r="C22" s="10">
        <v>30757.25</v>
      </c>
      <c r="D22" s="10">
        <v>10365.12</v>
      </c>
      <c r="E22" s="11">
        <v>0</v>
      </c>
      <c r="F22" s="9">
        <f>+B22+E22</f>
        <v>48526.01</v>
      </c>
      <c r="G22" s="13">
        <v>85.43</v>
      </c>
      <c r="H22" s="12">
        <v>145.59</v>
      </c>
      <c r="I22" s="11">
        <v>0</v>
      </c>
      <c r="J22" s="9">
        <f>+H22+I22</f>
        <v>145.59</v>
      </c>
      <c r="K22" s="9">
        <f>+F22+G22</f>
        <v>48611.44</v>
      </c>
      <c r="L22"/>
      <c r="M22"/>
      <c r="N22"/>
      <c r="O22"/>
    </row>
    <row r="23" spans="1:15" s="1" customFormat="1" ht="18.75" customHeight="1">
      <c r="A23" s="50" t="s">
        <v>3</v>
      </c>
      <c r="B23" s="46">
        <v>113163.95</v>
      </c>
      <c r="C23" s="10">
        <v>88113.26</v>
      </c>
      <c r="D23" s="10">
        <f>13596.77+7989.8</f>
        <v>21586.57</v>
      </c>
      <c r="E23" s="11">
        <v>3385.24</v>
      </c>
      <c r="F23" s="9">
        <f>+B23+E23</f>
        <v>116549.19</v>
      </c>
      <c r="G23" s="13">
        <v>16505.74</v>
      </c>
      <c r="H23" s="12">
        <v>4.16</v>
      </c>
      <c r="I23" s="11">
        <v>-18880.2</v>
      </c>
      <c r="J23" s="9">
        <f>+H23+I23</f>
        <v>-18876.04</v>
      </c>
      <c r="K23" s="9">
        <f>+F23+G23</f>
        <v>133054.93</v>
      </c>
      <c r="L23"/>
      <c r="M23"/>
      <c r="N23"/>
      <c r="O23"/>
    </row>
    <row r="24" spans="1:15" s="1" customFormat="1" ht="22.5" customHeight="1" thickBot="1">
      <c r="A24" s="51" t="s">
        <v>4</v>
      </c>
      <c r="B24" s="47">
        <v>50428.56</v>
      </c>
      <c r="C24" s="14">
        <v>25079.49</v>
      </c>
      <c r="D24" s="14">
        <f>14681.86+8050.27</f>
        <v>22732.13</v>
      </c>
      <c r="E24" s="15">
        <v>126.4</v>
      </c>
      <c r="F24" s="9">
        <f>+B24+E24</f>
        <v>50554.96</v>
      </c>
      <c r="G24" s="17">
        <v>225.27</v>
      </c>
      <c r="H24" s="16">
        <v>81.29</v>
      </c>
      <c r="I24" s="15">
        <v>0</v>
      </c>
      <c r="J24" s="9">
        <f>+H24+I24</f>
        <v>81.29</v>
      </c>
      <c r="K24" s="9">
        <f>+F24+G24</f>
        <v>50780.229999999996</v>
      </c>
      <c r="L24"/>
      <c r="M24"/>
      <c r="N24"/>
      <c r="O24"/>
    </row>
    <row r="25" spans="1:15" s="1" customFormat="1" ht="18.75" customHeight="1" thickBot="1">
      <c r="A25" s="52" t="s">
        <v>7</v>
      </c>
      <c r="B25" s="48">
        <f aca="true" t="shared" si="1" ref="B25:J25">SUM(B20:B24)</f>
        <v>585782.5800000001</v>
      </c>
      <c r="C25" s="18">
        <f t="shared" si="1"/>
        <v>458584.66000000003</v>
      </c>
      <c r="D25" s="18">
        <f t="shared" si="1"/>
        <v>106400.15000000001</v>
      </c>
      <c r="E25" s="19">
        <f t="shared" si="1"/>
        <v>46406.34</v>
      </c>
      <c r="F25" s="20">
        <f>SUM(F20:F24)</f>
        <v>632188.9199999999</v>
      </c>
      <c r="G25" s="20">
        <f t="shared" si="1"/>
        <v>18973.600000000002</v>
      </c>
      <c r="H25" s="18">
        <f t="shared" si="1"/>
        <v>26405.23</v>
      </c>
      <c r="I25" s="19">
        <f t="shared" si="1"/>
        <v>-182481.5</v>
      </c>
      <c r="J25" s="20">
        <f t="shared" si="1"/>
        <v>-156076.27</v>
      </c>
      <c r="K25" s="20">
        <f>SUM(K20:K24)</f>
        <v>651162.52</v>
      </c>
      <c r="L25"/>
      <c r="M25"/>
      <c r="N25"/>
      <c r="O25"/>
    </row>
    <row r="26" ht="9" customHeight="1"/>
    <row r="27" s="40" customFormat="1" ht="20.25" customHeight="1" thickBot="1">
      <c r="A27" s="39" t="s">
        <v>30</v>
      </c>
    </row>
    <row r="28" spans="1:16" s="44" customFormat="1" ht="27.75" customHeight="1" thickBot="1">
      <c r="A28" s="54" t="s">
        <v>5</v>
      </c>
      <c r="B28" s="53" t="s">
        <v>24</v>
      </c>
      <c r="C28" s="41" t="s">
        <v>25</v>
      </c>
      <c r="D28" s="41" t="s">
        <v>26</v>
      </c>
      <c r="E28" s="41" t="s">
        <v>27</v>
      </c>
      <c r="F28" s="42" t="s">
        <v>28</v>
      </c>
      <c r="G28" s="42" t="s">
        <v>29</v>
      </c>
      <c r="H28" s="55">
        <v>38717</v>
      </c>
      <c r="I28" s="43"/>
      <c r="J28" s="43"/>
      <c r="K28" s="43"/>
      <c r="L28" s="43"/>
      <c r="M28" s="43"/>
      <c r="N28" s="43"/>
      <c r="O28" s="43"/>
      <c r="P28" s="43"/>
    </row>
    <row r="29" spans="1:16" s="84" customFormat="1" ht="9.75" customHeight="1">
      <c r="A29" s="85"/>
      <c r="B29" s="86"/>
      <c r="C29" s="87"/>
      <c r="D29" s="86"/>
      <c r="E29" s="87"/>
      <c r="F29" s="86"/>
      <c r="G29" s="88"/>
      <c r="H29" s="89" t="s">
        <v>45</v>
      </c>
      <c r="I29" s="83"/>
      <c r="J29" s="83"/>
      <c r="K29" s="83"/>
      <c r="L29" s="83"/>
      <c r="M29" s="83"/>
      <c r="N29" s="83"/>
      <c r="O29" s="83"/>
      <c r="P29" s="83"/>
    </row>
    <row r="30" spans="1:16" s="1" customFormat="1" ht="19.5" customHeight="1">
      <c r="A30" s="49" t="s">
        <v>0</v>
      </c>
      <c r="B30" s="32">
        <v>-21941.29</v>
      </c>
      <c r="C30" s="6">
        <v>-32603.85</v>
      </c>
      <c r="D30" s="32">
        <v>-40544.79</v>
      </c>
      <c r="E30" s="6">
        <v>-15777.38</v>
      </c>
      <c r="F30" s="32">
        <v>-29645.05</v>
      </c>
      <c r="G30" s="7">
        <v>-10101.77</v>
      </c>
      <c r="H30" s="28">
        <f>+B8+D8+G8+J8-F20-G20</f>
        <v>-8899.290000000034</v>
      </c>
      <c r="I30"/>
      <c r="J30" s="114"/>
      <c r="K30"/>
      <c r="L30"/>
      <c r="M30"/>
      <c r="N30"/>
      <c r="O30"/>
      <c r="P30"/>
    </row>
    <row r="31" spans="1:16" s="1" customFormat="1" ht="19.5" customHeight="1">
      <c r="A31" s="50" t="s">
        <v>1</v>
      </c>
      <c r="B31" s="33">
        <v>-57593.9</v>
      </c>
      <c r="C31" s="10">
        <v>-153332.37572</v>
      </c>
      <c r="D31" s="33">
        <v>-129969.62</v>
      </c>
      <c r="E31" s="10">
        <v>-120623.62</v>
      </c>
      <c r="F31" s="33">
        <v>-107199.57</v>
      </c>
      <c r="G31" s="11">
        <v>-109867.76</v>
      </c>
      <c r="H31" s="29">
        <f>+B9+D9+G9+J9-F21-G21</f>
        <v>-62760.610000000015</v>
      </c>
      <c r="I31"/>
      <c r="J31" s="114"/>
      <c r="K31"/>
      <c r="L31"/>
      <c r="M31"/>
      <c r="N31"/>
      <c r="O31"/>
      <c r="P31"/>
    </row>
    <row r="32" spans="1:16" s="1" customFormat="1" ht="19.5" customHeight="1">
      <c r="A32" s="50" t="s">
        <v>2</v>
      </c>
      <c r="B32" s="33">
        <v>60715.35</v>
      </c>
      <c r="C32" s="10">
        <v>49823.76421</v>
      </c>
      <c r="D32" s="33">
        <v>63925.74</v>
      </c>
      <c r="E32" s="10">
        <v>76159.03</v>
      </c>
      <c r="F32" s="33">
        <v>64629.44</v>
      </c>
      <c r="G32" s="11">
        <v>59493.29</v>
      </c>
      <c r="H32" s="29">
        <f>+B10+D10+G10+J10-F22-G22</f>
        <v>54183.619999999995</v>
      </c>
      <c r="I32"/>
      <c r="J32" s="114"/>
      <c r="K32"/>
      <c r="L32"/>
      <c r="M32"/>
      <c r="N32"/>
      <c r="O32"/>
      <c r="P32"/>
    </row>
    <row r="33" spans="1:16" s="1" customFormat="1" ht="19.5" customHeight="1">
      <c r="A33" s="50" t="s">
        <v>3</v>
      </c>
      <c r="B33" s="33">
        <v>-32177.65</v>
      </c>
      <c r="C33" s="10">
        <v>-40623.71</v>
      </c>
      <c r="D33" s="33">
        <v>-5201.33</v>
      </c>
      <c r="E33" s="10">
        <v>18604.08</v>
      </c>
      <c r="F33" s="33">
        <v>16701.53</v>
      </c>
      <c r="G33" s="11">
        <v>-4444.8000000000075</v>
      </c>
      <c r="H33" s="29">
        <f>+B11+D11+G11+J11-F23-G23</f>
        <v>12204.009999999998</v>
      </c>
      <c r="I33"/>
      <c r="J33" s="114"/>
      <c r="K33"/>
      <c r="L33"/>
      <c r="M33"/>
      <c r="N33"/>
      <c r="O33"/>
      <c r="P33"/>
    </row>
    <row r="34" spans="1:16" s="1" customFormat="1" ht="23.25" customHeight="1" thickBot="1">
      <c r="A34" s="51" t="s">
        <v>4</v>
      </c>
      <c r="B34" s="34">
        <v>54951.141070000005</v>
      </c>
      <c r="C34" s="14">
        <v>34888.48135</v>
      </c>
      <c r="D34" s="34">
        <v>79629.95</v>
      </c>
      <c r="E34" s="14">
        <v>68021.53</v>
      </c>
      <c r="F34" s="34">
        <v>84041.91</v>
      </c>
      <c r="G34" s="15">
        <v>88998.16</v>
      </c>
      <c r="H34" s="30">
        <f>+B12+D12+G12+J12-F24-G24</f>
        <v>87896.17</v>
      </c>
      <c r="I34"/>
      <c r="J34" s="114"/>
      <c r="K34"/>
      <c r="L34"/>
      <c r="M34"/>
      <c r="N34"/>
      <c r="O34"/>
      <c r="P34"/>
    </row>
    <row r="35" spans="1:16" s="1" customFormat="1" ht="19.5" customHeight="1" thickBot="1">
      <c r="A35" s="52" t="s">
        <v>7</v>
      </c>
      <c r="B35" s="35">
        <f aca="true" t="shared" si="2" ref="B35:H35">SUM(B30:B34)</f>
        <v>3953.65107</v>
      </c>
      <c r="C35" s="19">
        <f t="shared" si="2"/>
        <v>-141847.69016</v>
      </c>
      <c r="D35" s="19">
        <f t="shared" si="2"/>
        <v>-32160.050000000017</v>
      </c>
      <c r="E35" s="19">
        <f t="shared" si="2"/>
        <v>26383.64</v>
      </c>
      <c r="F35" s="19">
        <f t="shared" si="2"/>
        <v>28528.26000000001</v>
      </c>
      <c r="G35" s="19">
        <f t="shared" si="2"/>
        <v>24077.119999999995</v>
      </c>
      <c r="H35" s="31">
        <f t="shared" si="2"/>
        <v>82623.89999999994</v>
      </c>
      <c r="I35"/>
      <c r="J35" s="114"/>
      <c r="K35"/>
      <c r="L35"/>
      <c r="M35"/>
      <c r="N35"/>
      <c r="O35"/>
      <c r="P35"/>
    </row>
    <row r="36" ht="4.5" customHeight="1"/>
  </sheetData>
  <mergeCells count="19">
    <mergeCell ref="A4:A6"/>
    <mergeCell ref="B5:B6"/>
    <mergeCell ref="D5:D6"/>
    <mergeCell ref="B17:B18"/>
    <mergeCell ref="B4:C4"/>
    <mergeCell ref="D4:F4"/>
    <mergeCell ref="B16:F16"/>
    <mergeCell ref="F17:F18"/>
    <mergeCell ref="A16:A18"/>
    <mergeCell ref="E17:E18"/>
    <mergeCell ref="K4:K6"/>
    <mergeCell ref="K16:K18"/>
    <mergeCell ref="H16:H18"/>
    <mergeCell ref="I16:I18"/>
    <mergeCell ref="J4:J6"/>
    <mergeCell ref="J16:J18"/>
    <mergeCell ref="G4:I4"/>
    <mergeCell ref="G5:G6"/>
    <mergeCell ref="G16:G18"/>
  </mergeCells>
  <printOptions horizontalCentered="1"/>
  <pageMargins left="0.2" right="0.21" top="0.38" bottom="0.29" header="0.31496062992125984" footer="0.2"/>
  <pageSetup horizontalDpi="600" verticalDpi="600" orientation="landscape" paperSize="9" scale="8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75"/>
  <sheetViews>
    <sheetView workbookViewId="0" topLeftCell="A1">
      <selection activeCell="A1" sqref="A1"/>
    </sheetView>
  </sheetViews>
  <sheetFormatPr defaultColWidth="9.00390625" defaultRowHeight="12.75"/>
  <cols>
    <col min="1" max="1" width="22.375" style="0" customWidth="1"/>
    <col min="2" max="4" width="15.875" style="0" customWidth="1"/>
    <col min="5" max="5" width="14.125" style="0" customWidth="1"/>
    <col min="6" max="6" width="15.875" style="0" customWidth="1"/>
    <col min="7" max="7" width="11.25390625" style="0" bestFit="1" customWidth="1"/>
    <col min="8" max="8" width="10.75390625" style="0" bestFit="1" customWidth="1"/>
  </cols>
  <sheetData>
    <row r="2" s="58" customFormat="1" ht="12.75">
      <c r="A2" s="58" t="s">
        <v>99</v>
      </c>
    </row>
    <row r="3" ht="3.75" customHeight="1" thickBot="1"/>
    <row r="4" spans="1:6" s="3" customFormat="1" ht="22.5" customHeight="1">
      <c r="A4" s="225" t="s">
        <v>5</v>
      </c>
      <c r="B4" s="262" t="s">
        <v>32</v>
      </c>
      <c r="C4" s="263"/>
      <c r="D4" s="259" t="s">
        <v>12</v>
      </c>
      <c r="E4" s="217" t="s">
        <v>11</v>
      </c>
      <c r="F4" s="211" t="s">
        <v>23</v>
      </c>
    </row>
    <row r="5" spans="1:6" s="3" customFormat="1" ht="30" customHeight="1" thickBot="1">
      <c r="A5" s="227"/>
      <c r="B5" s="66" t="s">
        <v>39</v>
      </c>
      <c r="C5" s="57" t="s">
        <v>33</v>
      </c>
      <c r="D5" s="261"/>
      <c r="E5" s="207"/>
      <c r="F5" s="268"/>
    </row>
    <row r="6" spans="1:6" s="61" customFormat="1" ht="15" customHeight="1">
      <c r="A6" s="49" t="s">
        <v>0</v>
      </c>
      <c r="B6" s="8">
        <f>+'RK-10-2006-63, př.1 str.1'!C20</f>
        <v>125795.68</v>
      </c>
      <c r="C6" s="67">
        <f>19161+29272+28543+23370+40</f>
        <v>100386</v>
      </c>
      <c r="D6" s="6">
        <f>+'RK-10-2006-63, př.1 str.1'!B20</f>
        <v>152653.28</v>
      </c>
      <c r="E6" s="7">
        <f>+'RK-10-2006-63, př.1 str.1'!E20</f>
        <v>8618.1</v>
      </c>
      <c r="F6" s="9">
        <f>+'RK-10-2006-63, př.1 str.1'!F20</f>
        <v>161271.38</v>
      </c>
    </row>
    <row r="7" spans="1:6" s="61" customFormat="1" ht="15" customHeight="1">
      <c r="A7" s="50" t="s">
        <v>1</v>
      </c>
      <c r="B7" s="8">
        <f>+'RK-10-2006-63, př.1 str.1'!C21</f>
        <v>188838.98</v>
      </c>
      <c r="C7" s="59">
        <f>26140+29832+30462+46554+87</f>
        <v>133075</v>
      </c>
      <c r="D7" s="6">
        <f>+'RK-10-2006-63, př.1 str.1'!B21</f>
        <v>221010.78</v>
      </c>
      <c r="E7" s="7">
        <f>+'RK-10-2006-63, př.1 str.1'!E21</f>
        <v>34276.6</v>
      </c>
      <c r="F7" s="9">
        <f>+'RK-10-2006-63, př.1 str.1'!F21</f>
        <v>255287.38</v>
      </c>
    </row>
    <row r="8" spans="1:6" s="61" customFormat="1" ht="15" customHeight="1">
      <c r="A8" s="50" t="s">
        <v>2</v>
      </c>
      <c r="B8" s="8">
        <f>+'RK-10-2006-63, př.1 str.1'!C22</f>
        <v>30757.25</v>
      </c>
      <c r="C8" s="59">
        <f>11799+9259+739</f>
        <v>21797</v>
      </c>
      <c r="D8" s="6">
        <f>+'RK-10-2006-63, př.1 str.1'!B22</f>
        <v>48526.01</v>
      </c>
      <c r="E8" s="7">
        <f>+'RK-10-2006-63, př.1 str.1'!E22</f>
        <v>0</v>
      </c>
      <c r="F8" s="9">
        <f>+'RK-10-2006-63, př.1 str.1'!F22</f>
        <v>48526.01</v>
      </c>
    </row>
    <row r="9" spans="1:6" s="61" customFormat="1" ht="15" customHeight="1">
      <c r="A9" s="50" t="s">
        <v>3</v>
      </c>
      <c r="B9" s="8">
        <f>+'RK-10-2006-63, př.1 str.1'!C23</f>
        <v>88113.26</v>
      </c>
      <c r="C9" s="59">
        <f>14645+21112+22416+4091</f>
        <v>62264</v>
      </c>
      <c r="D9" s="6">
        <f>+'RK-10-2006-63, př.1 str.1'!B23</f>
        <v>113163.95</v>
      </c>
      <c r="E9" s="7">
        <f>+'RK-10-2006-63, př.1 str.1'!E23</f>
        <v>3385.24</v>
      </c>
      <c r="F9" s="9">
        <f>+'RK-10-2006-63, př.1 str.1'!F23</f>
        <v>116549.19</v>
      </c>
    </row>
    <row r="10" spans="1:6" s="61" customFormat="1" ht="15" customHeight="1" thickBot="1">
      <c r="A10" s="51" t="s">
        <v>4</v>
      </c>
      <c r="B10" s="8">
        <f>+'RK-10-2006-63, př.1 str.1'!C24</f>
        <v>25079.49</v>
      </c>
      <c r="C10" s="117">
        <f>1877-3</f>
        <v>1874</v>
      </c>
      <c r="D10" s="6">
        <f>+'RK-10-2006-63, př.1 str.1'!B24</f>
        <v>50428.56</v>
      </c>
      <c r="E10" s="7">
        <f>+'RK-10-2006-63, př.1 str.1'!E24</f>
        <v>126.4</v>
      </c>
      <c r="F10" s="9">
        <f>+'RK-10-2006-63, př.1 str.1'!F24</f>
        <v>50554.96</v>
      </c>
    </row>
    <row r="11" spans="1:6" s="61" customFormat="1" ht="15" customHeight="1" thickBot="1">
      <c r="A11" s="52" t="s">
        <v>7</v>
      </c>
      <c r="B11" s="62">
        <f>SUM(B6:B10)</f>
        <v>458584.66000000003</v>
      </c>
      <c r="C11" s="19">
        <f>SUM(C6:C10)</f>
        <v>319396</v>
      </c>
      <c r="D11" s="18">
        <f>SUM(D6:D10)</f>
        <v>585782.5800000001</v>
      </c>
      <c r="E11" s="19">
        <f>SUM(E6:E10)</f>
        <v>46406.34</v>
      </c>
      <c r="F11" s="20">
        <f>SUM(F6:F10)</f>
        <v>632188.9199999999</v>
      </c>
    </row>
    <row r="12" ht="13.5" thickBot="1"/>
    <row r="13" spans="1:6" s="3" customFormat="1" ht="11.25">
      <c r="A13" s="225" t="s">
        <v>5</v>
      </c>
      <c r="B13" s="214" t="s">
        <v>34</v>
      </c>
      <c r="C13" s="259" t="s">
        <v>35</v>
      </c>
      <c r="D13" s="253" t="s">
        <v>36</v>
      </c>
      <c r="E13" s="253" t="s">
        <v>37</v>
      </c>
      <c r="F13" s="253" t="s">
        <v>46</v>
      </c>
    </row>
    <row r="14" spans="1:6" s="3" customFormat="1" ht="36" customHeight="1" thickBot="1">
      <c r="A14" s="227"/>
      <c r="B14" s="264"/>
      <c r="C14" s="260"/>
      <c r="D14" s="254"/>
      <c r="E14" s="254"/>
      <c r="F14" s="254"/>
    </row>
    <row r="15" spans="1:6" s="61" customFormat="1" ht="14.25" customHeight="1">
      <c r="A15" s="49" t="s">
        <v>0</v>
      </c>
      <c r="B15" s="8">
        <f>+'RK-10-2006-63, př.1 str.1'!C8</f>
        <v>79059.88</v>
      </c>
      <c r="C15" s="118">
        <f>22158+2459+482+746+7068</f>
        <v>32913</v>
      </c>
      <c r="D15" s="60">
        <f>+'RK-10-2006-63, př.1 str.1'!B8</f>
        <v>79862.54</v>
      </c>
      <c r="E15" s="60">
        <f>+D15-F6</f>
        <v>-81408.84000000001</v>
      </c>
      <c r="F15" s="60">
        <f>+D15-F6</f>
        <v>-81408.84000000001</v>
      </c>
    </row>
    <row r="16" spans="1:6" s="61" customFormat="1" ht="14.25" customHeight="1">
      <c r="A16" s="50" t="s">
        <v>1</v>
      </c>
      <c r="B16" s="8">
        <f>+'RK-10-2006-63, př.1 str.1'!C9</f>
        <v>125821.68</v>
      </c>
      <c r="C16" s="59">
        <f>31449+29326+151+124+2285</f>
        <v>63335</v>
      </c>
      <c r="D16" s="60">
        <f>+'RK-10-2006-63, př.1 str.1'!B9</f>
        <v>126111.26</v>
      </c>
      <c r="E16" s="60">
        <f>+D16-F7</f>
        <v>-129176.12000000001</v>
      </c>
      <c r="F16" s="60">
        <f>+D16-F7</f>
        <v>-129176.12000000001</v>
      </c>
    </row>
    <row r="17" spans="1:6" s="61" customFormat="1" ht="14.25" customHeight="1">
      <c r="A17" s="50" t="s">
        <v>2</v>
      </c>
      <c r="B17" s="8">
        <f>+'RK-10-2006-63, př.1 str.1'!C10</f>
        <v>63559.86</v>
      </c>
      <c r="C17" s="59">
        <f>17074+1984+372+4+700</f>
        <v>20134</v>
      </c>
      <c r="D17" s="60">
        <f>+'RK-10-2006-63, př.1 str.1'!B10</f>
        <v>63901.19</v>
      </c>
      <c r="E17" s="60">
        <f>+D17-F8</f>
        <v>15375.18</v>
      </c>
      <c r="F17" s="60"/>
    </row>
    <row r="18" spans="1:6" s="61" customFormat="1" ht="14.25" customHeight="1">
      <c r="A18" s="50" t="s">
        <v>3</v>
      </c>
      <c r="B18" s="8">
        <f>+'RK-10-2006-63, př.1 str.1'!C11</f>
        <v>73801.27</v>
      </c>
      <c r="C18" s="59">
        <f>6076+3355+111+303+584</f>
        <v>10429</v>
      </c>
      <c r="D18" s="60">
        <f>+'RK-10-2006-63, př.1 str.1'!B11</f>
        <v>75185.13</v>
      </c>
      <c r="E18" s="60">
        <f>+D18-F9</f>
        <v>-41364.06</v>
      </c>
      <c r="F18" s="60">
        <f>+D18-F9</f>
        <v>-41364.06</v>
      </c>
    </row>
    <row r="19" spans="1:6" s="61" customFormat="1" ht="14.25" customHeight="1" thickBot="1">
      <c r="A19" s="51" t="s">
        <v>4</v>
      </c>
      <c r="B19" s="8">
        <f>+'RK-10-2006-63, př.1 str.1'!C12</f>
        <v>86226.93</v>
      </c>
      <c r="C19" s="117">
        <f>23179+1385+1560+822+339</f>
        <v>27285</v>
      </c>
      <c r="D19" s="60">
        <f>+'RK-10-2006-63, př.1 str.1'!B12</f>
        <v>87458.12</v>
      </c>
      <c r="E19" s="60">
        <f>+D19-F10</f>
        <v>36903.159999999996</v>
      </c>
      <c r="F19" s="60"/>
    </row>
    <row r="20" spans="1:8" s="61" customFormat="1" ht="16.5" customHeight="1" thickBot="1">
      <c r="A20" s="52" t="s">
        <v>7</v>
      </c>
      <c r="B20" s="62">
        <f>SUM(B15:B19)</f>
        <v>428469.62</v>
      </c>
      <c r="C20" s="18">
        <f>SUM(C15:C19)</f>
        <v>154096</v>
      </c>
      <c r="D20" s="63">
        <f>SUM(D15:D19)</f>
        <v>432518.24</v>
      </c>
      <c r="E20" s="63">
        <f>SUM(E15:E19)</f>
        <v>-199670.68000000002</v>
      </c>
      <c r="F20" s="63">
        <f>SUM(F15:F19)</f>
        <v>-251949.02000000002</v>
      </c>
      <c r="H20" s="113"/>
    </row>
    <row r="22" spans="1:7" ht="35.25" customHeight="1" hidden="1" thickBot="1">
      <c r="A22" s="235" t="s">
        <v>102</v>
      </c>
      <c r="B22" s="236"/>
      <c r="C22" s="236"/>
      <c r="D22" s="236"/>
      <c r="E22" s="236"/>
      <c r="F22" s="236"/>
      <c r="G22" s="252"/>
    </row>
    <row r="23" spans="1:5" ht="12.75" customHeight="1" hidden="1">
      <c r="A23" s="225" t="s">
        <v>5</v>
      </c>
      <c r="B23" s="265" t="s">
        <v>101</v>
      </c>
      <c r="C23" s="259" t="s">
        <v>47</v>
      </c>
      <c r="D23" s="255" t="s">
        <v>48</v>
      </c>
      <c r="E23" s="257" t="s">
        <v>38</v>
      </c>
    </row>
    <row r="24" spans="1:5" ht="40.5" customHeight="1" hidden="1" thickBot="1">
      <c r="A24" s="227"/>
      <c r="B24" s="266"/>
      <c r="C24" s="267"/>
      <c r="D24" s="256"/>
      <c r="E24" s="258"/>
    </row>
    <row r="25" spans="1:5" ht="12.75" hidden="1">
      <c r="A25" s="49" t="s">
        <v>0</v>
      </c>
      <c r="B25" s="93">
        <f>+F15</f>
        <v>-81408.84000000001</v>
      </c>
      <c r="C25" s="91">
        <f>+CEILING(B25/2*-1,1000)</f>
        <v>41000</v>
      </c>
      <c r="D25" s="64">
        <f>+FLOOR((B25+C25)*-1,1000)</f>
        <v>40000</v>
      </c>
      <c r="E25" s="96">
        <f>+C25+D25+E15</f>
        <v>-408.84000000001106</v>
      </c>
    </row>
    <row r="26" spans="1:5" ht="12.75" hidden="1">
      <c r="A26" s="50" t="s">
        <v>1</v>
      </c>
      <c r="B26" s="93">
        <f>+F16</f>
        <v>-129176.12000000001</v>
      </c>
      <c r="C26" s="91">
        <f>+CEILING(B26/2*-1,1000)</f>
        <v>65000</v>
      </c>
      <c r="D26" s="64">
        <f>+FLOOR((B26+C26)*-1,1000)</f>
        <v>64000</v>
      </c>
      <c r="E26" s="96">
        <f>+C26+D26+E16</f>
        <v>-176.1200000000099</v>
      </c>
    </row>
    <row r="27" spans="1:5" ht="13.5" hidden="1" thickBot="1">
      <c r="A27" s="50" t="s">
        <v>3</v>
      </c>
      <c r="B27" s="94">
        <f>+F18</f>
        <v>-41364.06</v>
      </c>
      <c r="C27" s="91">
        <f>+CEILING(B27/2*-1,1000)</f>
        <v>21000</v>
      </c>
      <c r="D27" s="64">
        <f>+FLOOR((B27+C27)*-1,1000)</f>
        <v>20000</v>
      </c>
      <c r="E27" s="96">
        <f>+C27+D27+E18</f>
        <v>-364.0599999999977</v>
      </c>
    </row>
    <row r="28" spans="1:5" ht="13.5" hidden="1" thickBot="1">
      <c r="A28" s="52" t="s">
        <v>7</v>
      </c>
      <c r="B28" s="95">
        <f>SUM(B25:B27)</f>
        <v>-251949.02000000002</v>
      </c>
      <c r="C28" s="92">
        <f>SUM(C25:C27)</f>
        <v>127000</v>
      </c>
      <c r="D28" s="65">
        <f>SUM(D25:D27)</f>
        <v>124000</v>
      </c>
      <c r="E28" s="65">
        <f>SUM(E25:E27)</f>
        <v>-949.0200000000186</v>
      </c>
    </row>
    <row r="29" ht="12.75" hidden="1"/>
    <row r="30" spans="1:7" s="196" customFormat="1" ht="12.75" hidden="1">
      <c r="A30" s="197" t="s">
        <v>100</v>
      </c>
      <c r="B30" s="198"/>
      <c r="C30" s="198"/>
      <c r="D30" s="198"/>
      <c r="E30" s="198"/>
      <c r="F30" s="198"/>
      <c r="G30" s="199"/>
    </row>
    <row r="31" spans="1:7" s="196" customFormat="1" ht="14.25" customHeight="1" hidden="1">
      <c r="A31" s="200" t="s">
        <v>91</v>
      </c>
      <c r="B31" s="195"/>
      <c r="C31" s="195"/>
      <c r="D31" s="195"/>
      <c r="E31" s="195"/>
      <c r="F31" s="195"/>
      <c r="G31" s="201"/>
    </row>
    <row r="32" spans="1:7" s="116" customFormat="1" ht="12.75" hidden="1">
      <c r="A32" s="202"/>
      <c r="B32" s="203"/>
      <c r="C32" s="203"/>
      <c r="D32" s="203"/>
      <c r="E32" s="203"/>
      <c r="F32" s="204"/>
      <c r="G32" s="205"/>
    </row>
    <row r="33" spans="1:5" s="116" customFormat="1" ht="12.75" hidden="1">
      <c r="A33" s="115"/>
      <c r="B33" s="115"/>
      <c r="C33" s="115"/>
      <c r="D33" s="115"/>
      <c r="E33" s="115"/>
    </row>
    <row r="36" spans="1:7" ht="28.5" customHeight="1" thickBot="1">
      <c r="A36" s="235" t="s">
        <v>103</v>
      </c>
      <c r="B36" s="236"/>
      <c r="C36" s="236"/>
      <c r="D36" s="236"/>
      <c r="E36" s="236"/>
      <c r="F36" s="236"/>
      <c r="G36" s="237"/>
    </row>
    <row r="37" spans="1:7" ht="12.75" customHeight="1">
      <c r="A37" s="238" t="s">
        <v>5</v>
      </c>
      <c r="B37" s="208" t="s">
        <v>49</v>
      </c>
      <c r="C37" s="208" t="s">
        <v>53</v>
      </c>
      <c r="D37" s="208" t="s">
        <v>50</v>
      </c>
      <c r="E37" s="208" t="s">
        <v>52</v>
      </c>
      <c r="F37" s="208" t="s">
        <v>51</v>
      </c>
      <c r="G37" s="208" t="s">
        <v>93</v>
      </c>
    </row>
    <row r="38" spans="1:7" ht="67.5" customHeight="1" thickBot="1">
      <c r="A38" s="239"/>
      <c r="B38" s="210"/>
      <c r="C38" s="210"/>
      <c r="D38" s="210"/>
      <c r="E38" s="210"/>
      <c r="F38" s="210"/>
      <c r="G38" s="210"/>
    </row>
    <row r="39" spans="1:7" ht="18" customHeight="1">
      <c r="A39" s="97" t="s">
        <v>0</v>
      </c>
      <c r="B39" s="101">
        <f>+B45/5</f>
        <v>16000</v>
      </c>
      <c r="C39" s="251">
        <v>30000</v>
      </c>
      <c r="D39" s="106">
        <f>+B25/B28</f>
        <v>0.32311631932523494</v>
      </c>
      <c r="E39" s="106">
        <f>1/D39</f>
        <v>3.0948607055449995</v>
      </c>
      <c r="F39" s="106">
        <f>+E39/E42</f>
        <v>0.27790735140389866</v>
      </c>
      <c r="G39" s="110">
        <f>+F39*C39</f>
        <v>8337.22054211696</v>
      </c>
    </row>
    <row r="40" spans="1:7" ht="18" customHeight="1">
      <c r="A40" s="98" t="s">
        <v>1</v>
      </c>
      <c r="B40" s="102">
        <f>+B45/5</f>
        <v>16000</v>
      </c>
      <c r="C40" s="249"/>
      <c r="D40" s="107">
        <f>+B26/B28</f>
        <v>0.5127073723088901</v>
      </c>
      <c r="E40" s="107">
        <f>1/D40</f>
        <v>1.9504303117325401</v>
      </c>
      <c r="F40" s="107">
        <f>+E40/E42</f>
        <v>0.17514162141782683</v>
      </c>
      <c r="G40" s="109">
        <f>+F40*C39</f>
        <v>5254.248642534805</v>
      </c>
    </row>
    <row r="41" spans="1:7" ht="18" customHeight="1" thickBot="1">
      <c r="A41" s="99" t="s">
        <v>3</v>
      </c>
      <c r="B41" s="103">
        <f>+B45/5</f>
        <v>16000</v>
      </c>
      <c r="C41" s="249"/>
      <c r="D41" s="108">
        <f>+B27/B28</f>
        <v>0.16417630836587493</v>
      </c>
      <c r="E41" s="108">
        <f>1/D41</f>
        <v>6.091012826110398</v>
      </c>
      <c r="F41" s="108">
        <f>+E41/E42</f>
        <v>0.5469510271782744</v>
      </c>
      <c r="G41" s="111">
        <f>+F41*C39</f>
        <v>16408.530815348233</v>
      </c>
    </row>
    <row r="42" spans="1:7" s="1" customFormat="1" ht="21" customHeight="1" thickBot="1">
      <c r="A42" s="100" t="s">
        <v>7</v>
      </c>
      <c r="B42" s="105"/>
      <c r="C42" s="105"/>
      <c r="D42" s="112">
        <f>SUM(D39:D41)</f>
        <v>1</v>
      </c>
      <c r="E42" s="112">
        <f>SUM(E39:E41)</f>
        <v>11.136303843387939</v>
      </c>
      <c r="F42" s="112">
        <f>SUM(F39:F41)</f>
        <v>0.9999999999999999</v>
      </c>
      <c r="G42" s="105">
        <f>SUM(G39:G41)</f>
        <v>30000</v>
      </c>
    </row>
    <row r="43" spans="1:7" ht="16.5" customHeight="1">
      <c r="A43" s="97" t="s">
        <v>2</v>
      </c>
      <c r="B43" s="101">
        <f>+B45/5</f>
        <v>16000</v>
      </c>
      <c r="C43" s="249">
        <f>+B43+B44</f>
        <v>32000</v>
      </c>
      <c r="D43" s="106">
        <f>+E17/(E17+E19)</f>
        <v>0.29410229934615373</v>
      </c>
      <c r="E43" s="106"/>
      <c r="F43" s="101"/>
      <c r="G43" s="110">
        <f>+C43*D43</f>
        <v>9411.273579076918</v>
      </c>
    </row>
    <row r="44" spans="1:7" ht="16.5" customHeight="1" thickBot="1">
      <c r="A44" s="99" t="s">
        <v>4</v>
      </c>
      <c r="B44" s="103">
        <f>+B45/5</f>
        <v>16000</v>
      </c>
      <c r="C44" s="249"/>
      <c r="D44" s="108">
        <f>+E19/(E17+E19)</f>
        <v>0.7058977006538463</v>
      </c>
      <c r="E44" s="108"/>
      <c r="F44" s="103"/>
      <c r="G44" s="111">
        <f>+D44*C43</f>
        <v>22588.72642092308</v>
      </c>
    </row>
    <row r="45" spans="1:7" ht="24" customHeight="1" thickBot="1">
      <c r="A45" s="100" t="s">
        <v>7</v>
      </c>
      <c r="B45" s="104">
        <v>80000</v>
      </c>
      <c r="C45" s="105">
        <f>SUM(C39:C44)</f>
        <v>62000</v>
      </c>
      <c r="D45" s="112">
        <f>SUM(D43:D44)</f>
        <v>1</v>
      </c>
      <c r="E45" s="112"/>
      <c r="F45" s="104"/>
      <c r="G45" s="104">
        <f>SUM(G43:G44)</f>
        <v>32000</v>
      </c>
    </row>
    <row r="47" spans="1:7" ht="12.75">
      <c r="A47" s="240" t="s">
        <v>105</v>
      </c>
      <c r="B47" s="241"/>
      <c r="C47" s="241"/>
      <c r="D47" s="241"/>
      <c r="E47" s="241"/>
      <c r="F47" s="241"/>
      <c r="G47" s="242"/>
    </row>
    <row r="48" spans="1:7" ht="12.75">
      <c r="A48" s="243"/>
      <c r="B48" s="244"/>
      <c r="C48" s="244"/>
      <c r="D48" s="244"/>
      <c r="E48" s="244"/>
      <c r="F48" s="244"/>
      <c r="G48" s="245"/>
    </row>
    <row r="49" spans="1:7" ht="26.25" customHeight="1">
      <c r="A49" s="246"/>
      <c r="B49" s="247"/>
      <c r="C49" s="247"/>
      <c r="D49" s="247"/>
      <c r="E49" s="247"/>
      <c r="F49" s="247"/>
      <c r="G49" s="248"/>
    </row>
    <row r="50" spans="1:7" ht="26.25" customHeight="1">
      <c r="A50" s="115"/>
      <c r="B50" s="115"/>
      <c r="C50" s="115"/>
      <c r="D50" s="115"/>
      <c r="E50" s="115"/>
      <c r="F50" s="115"/>
      <c r="G50" s="115"/>
    </row>
    <row r="52" spans="1:7" ht="15">
      <c r="A52" s="235" t="s">
        <v>104</v>
      </c>
      <c r="B52" s="236"/>
      <c r="C52" s="236"/>
      <c r="D52" s="236"/>
      <c r="E52" s="236"/>
      <c r="F52" s="236"/>
      <c r="G52" s="252"/>
    </row>
    <row r="53" ht="2.25" customHeight="1" thickBot="1"/>
    <row r="54" spans="1:6" ht="12.75" customHeight="1">
      <c r="A54" s="238" t="s">
        <v>5</v>
      </c>
      <c r="B54" s="208" t="s">
        <v>98</v>
      </c>
      <c r="C54" s="208" t="s">
        <v>50</v>
      </c>
      <c r="D54" s="208" t="s">
        <v>92</v>
      </c>
      <c r="E54" s="257" t="s">
        <v>38</v>
      </c>
      <c r="F54" s="257" t="s">
        <v>97</v>
      </c>
    </row>
    <row r="55" spans="1:6" ht="45" customHeight="1" thickBot="1">
      <c r="A55" s="239"/>
      <c r="B55" s="210"/>
      <c r="C55" s="210"/>
      <c r="D55" s="210"/>
      <c r="E55" s="258"/>
      <c r="F55" s="258"/>
    </row>
    <row r="56" spans="1:6" ht="18" customHeight="1">
      <c r="A56" s="97" t="s">
        <v>0</v>
      </c>
      <c r="B56" s="251">
        <v>30000</v>
      </c>
      <c r="C56" s="106">
        <f>+B25/B28</f>
        <v>0.32311631932523494</v>
      </c>
      <c r="D56" s="110">
        <f>+B56*C56</f>
        <v>9693.489579757048</v>
      </c>
      <c r="E56" s="64">
        <f>+D56+E15</f>
        <v>-71715.35042024296</v>
      </c>
      <c r="F56" s="64">
        <f>+E56+D68</f>
        <v>-65899.25667238873</v>
      </c>
    </row>
    <row r="57" spans="1:6" ht="18" customHeight="1">
      <c r="A57" s="98" t="s">
        <v>1</v>
      </c>
      <c r="B57" s="249"/>
      <c r="C57" s="106">
        <f>+B26/B28</f>
        <v>0.5127073723088901</v>
      </c>
      <c r="D57" s="110">
        <f>+B56*C57</f>
        <v>15381.221169266702</v>
      </c>
      <c r="E57" s="64">
        <f>+D57+E16</f>
        <v>-113794.8988307333</v>
      </c>
      <c r="F57" s="64">
        <f>+E57+D69</f>
        <v>-104566.16612917329</v>
      </c>
    </row>
    <row r="58" spans="1:6" ht="18" customHeight="1" thickBot="1">
      <c r="A58" s="99" t="s">
        <v>3</v>
      </c>
      <c r="B58" s="249"/>
      <c r="C58" s="106">
        <f>+B27/B28</f>
        <v>0.16417630836587493</v>
      </c>
      <c r="D58" s="110">
        <f>+B56*C58</f>
        <v>4925.289250976248</v>
      </c>
      <c r="E58" s="64">
        <f>+D58+E18</f>
        <v>-36438.77074902375</v>
      </c>
      <c r="F58" s="64">
        <f>+E58+D70</f>
        <v>-33483.597198438</v>
      </c>
    </row>
    <row r="59" spans="1:6" ht="13.5" thickBot="1">
      <c r="A59" s="100" t="s">
        <v>7</v>
      </c>
      <c r="B59" s="105"/>
      <c r="C59" s="112">
        <f>SUM(C56:C58)</f>
        <v>1</v>
      </c>
      <c r="D59" s="105">
        <f>SUM(D56:D58)</f>
        <v>30000</v>
      </c>
      <c r="E59" s="65">
        <f>SUM(E56:E58)</f>
        <v>-221949.02000000002</v>
      </c>
      <c r="F59" s="65">
        <f>SUM(F56:F58)</f>
        <v>-203949.02000000002</v>
      </c>
    </row>
    <row r="60" ht="10.5" customHeight="1"/>
    <row r="61" spans="1:7" ht="15.75" customHeight="1">
      <c r="A61" s="250" t="s">
        <v>106</v>
      </c>
      <c r="B61" s="250"/>
      <c r="C61" s="250"/>
      <c r="D61" s="250"/>
      <c r="E61" s="250"/>
      <c r="F61" s="250"/>
      <c r="G61" s="250"/>
    </row>
    <row r="62" spans="1:7" ht="15.75" customHeight="1">
      <c r="A62" s="250"/>
      <c r="B62" s="250"/>
      <c r="C62" s="250"/>
      <c r="D62" s="250"/>
      <c r="E62" s="250"/>
      <c r="F62" s="250"/>
      <c r="G62" s="250"/>
    </row>
    <row r="63" spans="1:7" ht="15.75" customHeight="1">
      <c r="A63" s="250"/>
      <c r="B63" s="250"/>
      <c r="C63" s="250"/>
      <c r="D63" s="250"/>
      <c r="E63" s="250"/>
      <c r="F63" s="250"/>
      <c r="G63" s="250"/>
    </row>
    <row r="64" ht="15.75" customHeight="1"/>
    <row r="65" ht="13.5" thickBot="1">
      <c r="A65" s="58" t="s">
        <v>108</v>
      </c>
    </row>
    <row r="66" spans="1:6" ht="12.75" customHeight="1">
      <c r="A66" s="238" t="s">
        <v>5</v>
      </c>
      <c r="B66" s="208" t="s">
        <v>53</v>
      </c>
      <c r="C66" s="208" t="s">
        <v>50</v>
      </c>
      <c r="D66" s="208" t="s">
        <v>96</v>
      </c>
      <c r="F66" s="208" t="s">
        <v>109</v>
      </c>
    </row>
    <row r="67" spans="1:6" ht="67.5" customHeight="1" thickBot="1">
      <c r="A67" s="239"/>
      <c r="B67" s="210"/>
      <c r="C67" s="210"/>
      <c r="D67" s="210"/>
      <c r="F67" s="210"/>
    </row>
    <row r="68" spans="1:6" ht="18" customHeight="1">
      <c r="A68" s="97" t="s">
        <v>0</v>
      </c>
      <c r="B68" s="251">
        <v>18000</v>
      </c>
      <c r="C68" s="106">
        <f>+B25/B28</f>
        <v>0.32311631932523494</v>
      </c>
      <c r="D68" s="110">
        <f>+B68*C68</f>
        <v>5816.093747854229</v>
      </c>
      <c r="F68" s="110">
        <f>+D56+D68</f>
        <v>15509.583327611277</v>
      </c>
    </row>
    <row r="69" spans="1:6" ht="18" customHeight="1">
      <c r="A69" s="98" t="s">
        <v>1</v>
      </c>
      <c r="B69" s="249"/>
      <c r="C69" s="106">
        <f>+B26/B28</f>
        <v>0.5127073723088901</v>
      </c>
      <c r="D69" s="110">
        <f>+B68*C69</f>
        <v>9228.732701560022</v>
      </c>
      <c r="F69" s="110">
        <f>+D57+D69</f>
        <v>24609.953870826725</v>
      </c>
    </row>
    <row r="70" spans="1:6" ht="18" customHeight="1" thickBot="1">
      <c r="A70" s="99" t="s">
        <v>3</v>
      </c>
      <c r="B70" s="249"/>
      <c r="C70" s="106">
        <f>+B27/B28</f>
        <v>0.16417630836587493</v>
      </c>
      <c r="D70" s="110">
        <f>+B68*C70</f>
        <v>2955.1735505857487</v>
      </c>
      <c r="F70" s="110">
        <f>+D58+D70</f>
        <v>7880.4628015619965</v>
      </c>
    </row>
    <row r="71" spans="1:6" s="1" customFormat="1" ht="21" customHeight="1" thickBot="1">
      <c r="A71" s="100" t="s">
        <v>7</v>
      </c>
      <c r="B71" s="105"/>
      <c r="C71" s="112">
        <f>SUM(C68:C70)</f>
        <v>1</v>
      </c>
      <c r="D71" s="105">
        <f>SUM(D68:D70)</f>
        <v>18000</v>
      </c>
      <c r="F71" s="105">
        <f>SUM(F68:F70)</f>
        <v>48000</v>
      </c>
    </row>
    <row r="72" ht="12" customHeight="1"/>
    <row r="73" spans="1:7" ht="21" customHeight="1">
      <c r="A73" s="250" t="s">
        <v>107</v>
      </c>
      <c r="B73" s="250"/>
      <c r="C73" s="250"/>
      <c r="D73" s="250"/>
      <c r="E73" s="250"/>
      <c r="F73" s="250"/>
      <c r="G73" s="250"/>
    </row>
    <row r="74" spans="1:7" ht="11.25" customHeight="1">
      <c r="A74" s="250"/>
      <c r="B74" s="250"/>
      <c r="C74" s="250"/>
      <c r="D74" s="250"/>
      <c r="E74" s="250"/>
      <c r="F74" s="250"/>
      <c r="G74" s="250"/>
    </row>
    <row r="75" spans="1:7" ht="9.75" customHeight="1">
      <c r="A75" s="250"/>
      <c r="B75" s="250"/>
      <c r="C75" s="250"/>
      <c r="D75" s="250"/>
      <c r="E75" s="250"/>
      <c r="F75" s="250"/>
      <c r="G75" s="250"/>
    </row>
    <row r="76" ht="9" customHeight="1"/>
    <row r="77" ht="6.75" customHeight="1"/>
  </sheetData>
  <mergeCells count="44">
    <mergeCell ref="C54:C55"/>
    <mergeCell ref="F4:F5"/>
    <mergeCell ref="B68:B70"/>
    <mergeCell ref="D66:D67"/>
    <mergeCell ref="C66:C67"/>
    <mergeCell ref="E54:E55"/>
    <mergeCell ref="D54:D55"/>
    <mergeCell ref="A61:G63"/>
    <mergeCell ref="A66:A67"/>
    <mergeCell ref="B66:B67"/>
    <mergeCell ref="B54:B55"/>
    <mergeCell ref="A4:A5"/>
    <mergeCell ref="A13:A14"/>
    <mergeCell ref="C37:C38"/>
    <mergeCell ref="C39:C41"/>
    <mergeCell ref="A23:A24"/>
    <mergeCell ref="B23:B24"/>
    <mergeCell ref="C23:C24"/>
    <mergeCell ref="D4:D5"/>
    <mergeCell ref="E4:E5"/>
    <mergeCell ref="B4:C4"/>
    <mergeCell ref="B13:B14"/>
    <mergeCell ref="F13:F14"/>
    <mergeCell ref="D23:D24"/>
    <mergeCell ref="E23:E24"/>
    <mergeCell ref="A22:G22"/>
    <mergeCell ref="D13:D14"/>
    <mergeCell ref="E13:E14"/>
    <mergeCell ref="C13:C14"/>
    <mergeCell ref="A47:G49"/>
    <mergeCell ref="C43:C44"/>
    <mergeCell ref="D37:D38"/>
    <mergeCell ref="A73:G75"/>
    <mergeCell ref="F66:F67"/>
    <mergeCell ref="B56:B58"/>
    <mergeCell ref="A52:G52"/>
    <mergeCell ref="A54:A55"/>
    <mergeCell ref="G37:G38"/>
    <mergeCell ref="F54:F55"/>
    <mergeCell ref="A36:G36"/>
    <mergeCell ref="A37:A38"/>
    <mergeCell ref="B37:B38"/>
    <mergeCell ref="E37:E38"/>
    <mergeCell ref="F37:F38"/>
  </mergeCells>
  <printOptions horizontalCentered="1"/>
  <pageMargins left="0.24" right="0.23" top="0.57" bottom="0.5" header="0.2362204724409449" footer="0.1968503937007874"/>
  <pageSetup horizontalDpi="600" verticalDpi="600" orientation="portrait" paperSize="9" scale="90" r:id="rId1"/>
  <headerFooter alignWithMargins="0">
    <oddFooter>&amp;CStránka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9.625" style="0" customWidth="1"/>
    <col min="2" max="3" width="7.75390625" style="0" customWidth="1"/>
    <col min="4" max="4" width="8.125" style="0" customWidth="1"/>
    <col min="5" max="5" width="8.625" style="0" customWidth="1"/>
    <col min="6" max="6" width="7.875" style="0" customWidth="1"/>
    <col min="7" max="7" width="9.25390625" style="0" customWidth="1"/>
    <col min="8" max="8" width="6.00390625" style="0" customWidth="1"/>
    <col min="9" max="9" width="8.25390625" style="0" customWidth="1"/>
    <col min="10" max="10" width="5.75390625" style="0" customWidth="1"/>
    <col min="11" max="11" width="7.25390625" style="0" customWidth="1"/>
    <col min="12" max="13" width="7.875" style="0" customWidth="1"/>
    <col min="14" max="14" width="7.25390625" style="0" customWidth="1"/>
    <col min="15" max="15" width="9.25390625" style="0" customWidth="1"/>
    <col min="16" max="16" width="10.00390625" style="0" customWidth="1"/>
    <col min="17" max="17" width="2.25390625" style="0" customWidth="1"/>
    <col min="18" max="19" width="17.625" style="0" customWidth="1"/>
  </cols>
  <sheetData>
    <row r="1" spans="1:14" ht="4.5" customHeight="1" thickBot="1">
      <c r="A1" s="119"/>
      <c r="B1" s="120"/>
      <c r="C1" s="121"/>
      <c r="D1" s="122"/>
      <c r="E1" s="123"/>
      <c r="F1" s="121"/>
      <c r="G1" s="121"/>
      <c r="H1" s="121"/>
      <c r="I1" s="121"/>
      <c r="J1" s="121"/>
      <c r="K1" s="121"/>
      <c r="L1" s="124"/>
      <c r="M1" s="121"/>
      <c r="N1" s="121"/>
    </row>
    <row r="2" spans="1:19" ht="103.5" customHeight="1" thickBot="1">
      <c r="A2" s="269" t="s">
        <v>110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  <c r="R2" s="188" t="s">
        <v>113</v>
      </c>
      <c r="S2" s="188" t="s">
        <v>114</v>
      </c>
    </row>
    <row r="3" spans="1:19" ht="21" customHeight="1">
      <c r="A3" s="163"/>
      <c r="B3" s="164">
        <v>2004</v>
      </c>
      <c r="C3" s="165">
        <v>2004</v>
      </c>
      <c r="D3" s="166">
        <v>2004</v>
      </c>
      <c r="E3" s="167">
        <v>2004</v>
      </c>
      <c r="F3" s="165">
        <v>2004</v>
      </c>
      <c r="G3" s="166">
        <v>2005</v>
      </c>
      <c r="H3" s="166">
        <v>2005</v>
      </c>
      <c r="I3" s="166">
        <v>2005</v>
      </c>
      <c r="J3" s="165">
        <v>2005</v>
      </c>
      <c r="K3" s="165">
        <v>2005</v>
      </c>
      <c r="L3" s="168" t="s">
        <v>59</v>
      </c>
      <c r="M3" s="169" t="s">
        <v>59</v>
      </c>
      <c r="N3" s="171" t="s">
        <v>59</v>
      </c>
      <c r="O3" s="179">
        <v>2006</v>
      </c>
      <c r="P3" s="170">
        <v>2006</v>
      </c>
      <c r="R3" s="126">
        <v>2006</v>
      </c>
      <c r="S3" s="126">
        <v>2006</v>
      </c>
    </row>
    <row r="4" spans="1:19" ht="87" customHeight="1">
      <c r="A4" s="125" t="s">
        <v>60</v>
      </c>
      <c r="B4" s="127" t="s">
        <v>61</v>
      </c>
      <c r="C4" s="128" t="s">
        <v>62</v>
      </c>
      <c r="D4" s="129" t="s">
        <v>63</v>
      </c>
      <c r="E4" s="129" t="s">
        <v>64</v>
      </c>
      <c r="F4" s="130" t="s">
        <v>65</v>
      </c>
      <c r="G4" s="129" t="s">
        <v>66</v>
      </c>
      <c r="H4" s="129" t="s">
        <v>67</v>
      </c>
      <c r="I4" s="129" t="s">
        <v>68</v>
      </c>
      <c r="J4" s="128" t="s">
        <v>69</v>
      </c>
      <c r="K4" s="128" t="s">
        <v>62</v>
      </c>
      <c r="L4" s="128" t="s">
        <v>70</v>
      </c>
      <c r="M4" s="129" t="s">
        <v>71</v>
      </c>
      <c r="N4" s="172" t="s">
        <v>72</v>
      </c>
      <c r="O4" s="180" t="s">
        <v>73</v>
      </c>
      <c r="P4" s="131" t="s">
        <v>74</v>
      </c>
      <c r="R4" s="187" t="s">
        <v>111</v>
      </c>
      <c r="S4" s="187" t="s">
        <v>112</v>
      </c>
    </row>
    <row r="5" spans="1:19" ht="23.25" customHeight="1">
      <c r="A5" s="189" t="s">
        <v>5</v>
      </c>
      <c r="B5" s="132" t="s">
        <v>75</v>
      </c>
      <c r="C5" s="133">
        <v>1</v>
      </c>
      <c r="D5" s="134">
        <v>2</v>
      </c>
      <c r="E5" s="134">
        <v>3</v>
      </c>
      <c r="F5" s="134" t="s">
        <v>76</v>
      </c>
      <c r="G5" s="134">
        <v>5</v>
      </c>
      <c r="H5" s="134">
        <v>6</v>
      </c>
      <c r="I5" s="134" t="s">
        <v>77</v>
      </c>
      <c r="J5" s="134" t="s">
        <v>78</v>
      </c>
      <c r="K5" s="134" t="s">
        <v>79</v>
      </c>
      <c r="L5" s="134" t="s">
        <v>80</v>
      </c>
      <c r="M5" s="134" t="s">
        <v>81</v>
      </c>
      <c r="N5" s="173" t="s">
        <v>82</v>
      </c>
      <c r="O5" s="181" t="s">
        <v>83</v>
      </c>
      <c r="P5" s="135" t="s">
        <v>84</v>
      </c>
      <c r="R5" s="136" t="s">
        <v>94</v>
      </c>
      <c r="S5" s="136" t="s">
        <v>95</v>
      </c>
    </row>
    <row r="6" spans="1:19" ht="22.5" customHeight="1">
      <c r="A6" s="190" t="s">
        <v>85</v>
      </c>
      <c r="B6" s="137">
        <v>453712</v>
      </c>
      <c r="C6" s="138">
        <v>21997</v>
      </c>
      <c r="D6" s="139">
        <v>20060</v>
      </c>
      <c r="E6" s="140">
        <f>+D6</f>
        <v>20060</v>
      </c>
      <c r="F6" s="140">
        <f>+C6-D6</f>
        <v>1937</v>
      </c>
      <c r="G6" s="139">
        <v>18471</v>
      </c>
      <c r="H6" s="139"/>
      <c r="I6" s="139">
        <v>18471</v>
      </c>
      <c r="J6" s="141">
        <f>+B6/B11</f>
        <v>0.20739565125174617</v>
      </c>
      <c r="K6" s="138">
        <f>+K11*J6</f>
        <v>16799.669938345196</v>
      </c>
      <c r="L6" s="138">
        <f>+K6+C6</f>
        <v>38796.66993834519</v>
      </c>
      <c r="M6" s="139">
        <f>+G6+D6</f>
        <v>38531</v>
      </c>
      <c r="N6" s="174">
        <f>+M6-L6</f>
        <v>-265.66993834519235</v>
      </c>
      <c r="O6" s="182">
        <f>+O11*J6</f>
        <v>16591.652100139694</v>
      </c>
      <c r="P6" s="142">
        <f>+O6-N6</f>
        <v>16857.322038484886</v>
      </c>
      <c r="R6" s="143">
        <f>+P6-6000</f>
        <v>10857.322038484886</v>
      </c>
      <c r="S6" s="143">
        <f>+P6-5816</f>
        <v>11041.322038484886</v>
      </c>
    </row>
    <row r="7" spans="1:19" ht="21.75" customHeight="1">
      <c r="A7" s="190" t="s">
        <v>1</v>
      </c>
      <c r="B7" s="137">
        <v>538285</v>
      </c>
      <c r="C7" s="138">
        <v>25332</v>
      </c>
      <c r="D7" s="139">
        <v>19671</v>
      </c>
      <c r="E7" s="140">
        <f>+D7</f>
        <v>19671</v>
      </c>
      <c r="F7" s="140">
        <f>+C7-D7</f>
        <v>5661</v>
      </c>
      <c r="G7" s="139">
        <v>17549</v>
      </c>
      <c r="H7" s="139"/>
      <c r="I7" s="139">
        <v>17549</v>
      </c>
      <c r="J7" s="141">
        <f>+B7/B11</f>
        <v>0.24605469578509315</v>
      </c>
      <c r="K7" s="138">
        <f>+K11*J7</f>
        <v>19931.1685226799</v>
      </c>
      <c r="L7" s="138">
        <f>+K7+C7</f>
        <v>45263.1685226799</v>
      </c>
      <c r="M7" s="139">
        <f>+G7+D7</f>
        <v>37220</v>
      </c>
      <c r="N7" s="174">
        <f>+M7-L7</f>
        <v>-8043.168522679902</v>
      </c>
      <c r="O7" s="182">
        <f>+O11*J7</f>
        <v>19684.37566280745</v>
      </c>
      <c r="P7" s="142">
        <f>+O7-N7</f>
        <v>27727.544185487353</v>
      </c>
      <c r="R7" s="143">
        <f>+P7-6000</f>
        <v>21727.544185487353</v>
      </c>
      <c r="S7" s="143">
        <f>+P7-9229</f>
        <v>18498.544185487353</v>
      </c>
    </row>
    <row r="8" spans="1:19" ht="20.25" customHeight="1">
      <c r="A8" s="190" t="s">
        <v>86</v>
      </c>
      <c r="B8" s="137">
        <v>438443</v>
      </c>
      <c r="C8" s="138">
        <v>22748</v>
      </c>
      <c r="D8" s="139">
        <v>18526</v>
      </c>
      <c r="E8" s="140">
        <f>+D8</f>
        <v>18526</v>
      </c>
      <c r="F8" s="140">
        <f>+C8-D8</f>
        <v>4222</v>
      </c>
      <c r="G8" s="139">
        <v>17240</v>
      </c>
      <c r="H8" s="139"/>
      <c r="I8" s="139">
        <v>17240</v>
      </c>
      <c r="J8" s="141">
        <f>+B8/B11</f>
        <v>0.20041606023594116</v>
      </c>
      <c r="K8" s="138">
        <f>+K11*J8</f>
        <v>16234.302127291941</v>
      </c>
      <c r="L8" s="138">
        <f>+K8+C8</f>
        <v>38982.30212729194</v>
      </c>
      <c r="M8" s="139">
        <f>+G8+D8</f>
        <v>35766</v>
      </c>
      <c r="N8" s="174">
        <f>+M8-L8</f>
        <v>-3216.302127291943</v>
      </c>
      <c r="O8" s="182">
        <f>+O11*J8</f>
        <v>16033.284818875292</v>
      </c>
      <c r="P8" s="142">
        <f>+O8-N8</f>
        <v>19249.586946167234</v>
      </c>
      <c r="R8" s="143">
        <f>+P8</f>
        <v>19249.586946167234</v>
      </c>
      <c r="S8" s="143">
        <f>+P8</f>
        <v>19249.586946167234</v>
      </c>
    </row>
    <row r="9" spans="1:19" ht="22.5" customHeight="1">
      <c r="A9" s="190" t="s">
        <v>2</v>
      </c>
      <c r="B9" s="137">
        <v>299635</v>
      </c>
      <c r="C9" s="138">
        <v>15843</v>
      </c>
      <c r="D9" s="139">
        <v>10743</v>
      </c>
      <c r="E9" s="140">
        <f>+D9</f>
        <v>10743</v>
      </c>
      <c r="F9" s="140">
        <f>+C9-D9</f>
        <v>5100</v>
      </c>
      <c r="G9" s="139">
        <v>20000</v>
      </c>
      <c r="H9" s="139"/>
      <c r="I9" s="139">
        <v>20000</v>
      </c>
      <c r="J9" s="141">
        <f>+B9/B11</f>
        <v>0.13696573148344535</v>
      </c>
      <c r="K9" s="138">
        <f>+K11*J9</f>
        <v>11094.635147353523</v>
      </c>
      <c r="L9" s="138">
        <f>+K9+C9</f>
        <v>26937.635147353525</v>
      </c>
      <c r="M9" s="139">
        <f>+G9+D9</f>
        <v>30743</v>
      </c>
      <c r="N9" s="174">
        <f>+M9-L9</f>
        <v>3805.364852646475</v>
      </c>
      <c r="O9" s="182">
        <f>+O11*J9</f>
        <v>10957.258518675628</v>
      </c>
      <c r="P9" s="142">
        <f>+O9-N9</f>
        <v>7151.893666029153</v>
      </c>
      <c r="R9" s="143">
        <f>+P9</f>
        <v>7151.893666029153</v>
      </c>
      <c r="S9" s="143">
        <f>+P9</f>
        <v>7151.893666029153</v>
      </c>
    </row>
    <row r="10" spans="1:19" ht="20.25" customHeight="1">
      <c r="A10" s="190" t="s">
        <v>3</v>
      </c>
      <c r="B10" s="137">
        <v>457589</v>
      </c>
      <c r="C10" s="138">
        <v>23079</v>
      </c>
      <c r="D10" s="139">
        <v>1575</v>
      </c>
      <c r="E10" s="140">
        <f>+D10</f>
        <v>1575</v>
      </c>
      <c r="F10" s="140">
        <f>+C10-D10</f>
        <v>21504</v>
      </c>
      <c r="G10" s="139">
        <v>38425</v>
      </c>
      <c r="H10" s="139">
        <v>7743</v>
      </c>
      <c r="I10" s="139">
        <f>SUM(G10:H10)</f>
        <v>46168</v>
      </c>
      <c r="J10" s="141">
        <f>+B10/B11</f>
        <v>0.20916786124377418</v>
      </c>
      <c r="K10" s="138">
        <f>+K11*J10</f>
        <v>16943.22426432944</v>
      </c>
      <c r="L10" s="138">
        <f>+K10+C10</f>
        <v>40022.224264329445</v>
      </c>
      <c r="M10" s="139">
        <f>+D10+G10+H10</f>
        <v>47743</v>
      </c>
      <c r="N10" s="174">
        <f>+M10-L10</f>
        <v>7720.775735670555</v>
      </c>
      <c r="O10" s="182">
        <f>+O11*J10</f>
        <v>16733.428899501934</v>
      </c>
      <c r="P10" s="142">
        <f>+O10-N10</f>
        <v>9012.653163831379</v>
      </c>
      <c r="R10" s="143">
        <f>+P10-6000</f>
        <v>3012.653163831379</v>
      </c>
      <c r="S10" s="143">
        <f>+P10-2955</f>
        <v>6057.653163831379</v>
      </c>
    </row>
    <row r="11" spans="1:19" ht="46.5" customHeight="1">
      <c r="A11" s="191" t="s">
        <v>87</v>
      </c>
      <c r="B11" s="132">
        <f aca="true" t="shared" si="0" ref="B11:G11">SUM(B6:B10)</f>
        <v>2187664</v>
      </c>
      <c r="C11" s="144">
        <f t="shared" si="0"/>
        <v>108999</v>
      </c>
      <c r="D11" s="134">
        <f t="shared" si="0"/>
        <v>70575</v>
      </c>
      <c r="E11" s="144">
        <f t="shared" si="0"/>
        <v>70575</v>
      </c>
      <c r="F11" s="144">
        <f t="shared" si="0"/>
        <v>38424</v>
      </c>
      <c r="G11" s="144">
        <f t="shared" si="0"/>
        <v>111685</v>
      </c>
      <c r="H11" s="144">
        <v>7743</v>
      </c>
      <c r="I11" s="144"/>
      <c r="J11" s="144">
        <f>SUM(J6:J10)</f>
        <v>1</v>
      </c>
      <c r="K11" s="134">
        <f>+G11-G10+H10</f>
        <v>81003</v>
      </c>
      <c r="L11" s="144">
        <f>SUM(L6:L10)</f>
        <v>190002</v>
      </c>
      <c r="M11" s="144">
        <f>SUM(M6:M10)</f>
        <v>190003</v>
      </c>
      <c r="N11" s="175">
        <f>SUM(N6:N10)</f>
        <v>0.999999999992724</v>
      </c>
      <c r="O11" s="183">
        <v>80000</v>
      </c>
      <c r="P11" s="145">
        <v>80000</v>
      </c>
      <c r="R11" s="146">
        <f>CEILING(SUM(R6:R10),1000)</f>
        <v>62000</v>
      </c>
      <c r="S11" s="146">
        <f>CEILING(SUM(S6:S10),1000)</f>
        <v>62000</v>
      </c>
    </row>
    <row r="12" spans="1:19" ht="15.75" customHeight="1">
      <c r="A12" s="192" t="s">
        <v>88</v>
      </c>
      <c r="B12" s="147"/>
      <c r="C12" s="140"/>
      <c r="D12" s="140"/>
      <c r="E12" s="140"/>
      <c r="F12" s="140"/>
      <c r="G12" s="140">
        <v>350</v>
      </c>
      <c r="H12" s="140"/>
      <c r="I12" s="140">
        <v>350</v>
      </c>
      <c r="J12" s="140"/>
      <c r="K12" s="140"/>
      <c r="L12" s="140"/>
      <c r="M12" s="140"/>
      <c r="N12" s="176"/>
      <c r="O12" s="184"/>
      <c r="P12" s="148"/>
      <c r="R12" s="149"/>
      <c r="S12" s="149"/>
    </row>
    <row r="13" spans="1:19" ht="24" customHeight="1">
      <c r="A13" s="193" t="s">
        <v>89</v>
      </c>
      <c r="B13" s="150"/>
      <c r="C13" s="151"/>
      <c r="D13" s="151"/>
      <c r="E13" s="151"/>
      <c r="F13" s="140"/>
      <c r="G13" s="152">
        <v>400</v>
      </c>
      <c r="H13" s="152"/>
      <c r="I13" s="152">
        <v>400</v>
      </c>
      <c r="J13" s="151"/>
      <c r="K13" s="151"/>
      <c r="L13" s="151"/>
      <c r="M13" s="151"/>
      <c r="N13" s="177"/>
      <c r="O13" s="184"/>
      <c r="P13" s="148"/>
      <c r="R13" s="149"/>
      <c r="S13" s="149"/>
    </row>
    <row r="14" spans="1:19" ht="33.75">
      <c r="A14" s="193" t="s">
        <v>90</v>
      </c>
      <c r="B14" s="150"/>
      <c r="C14" s="151"/>
      <c r="D14" s="151"/>
      <c r="E14" s="153"/>
      <c r="F14" s="140"/>
      <c r="G14" s="152">
        <v>0</v>
      </c>
      <c r="H14" s="152"/>
      <c r="I14" s="152">
        <v>0</v>
      </c>
      <c r="J14" s="154"/>
      <c r="K14" s="151"/>
      <c r="L14" s="154"/>
      <c r="M14" s="151"/>
      <c r="N14" s="177"/>
      <c r="O14" s="185"/>
      <c r="P14" s="148"/>
      <c r="R14" s="149"/>
      <c r="S14" s="149"/>
    </row>
    <row r="15" spans="1:19" ht="20.25" customHeight="1" thickBot="1">
      <c r="A15" s="194" t="s">
        <v>7</v>
      </c>
      <c r="B15" s="155"/>
      <c r="C15" s="156"/>
      <c r="D15" s="156"/>
      <c r="E15" s="156"/>
      <c r="F15" s="156"/>
      <c r="G15" s="157">
        <f>SUM(G11:G14)</f>
        <v>112435</v>
      </c>
      <c r="H15" s="157">
        <v>7743</v>
      </c>
      <c r="I15" s="157">
        <f>SUM(I6:I14)</f>
        <v>120178</v>
      </c>
      <c r="J15" s="156"/>
      <c r="K15" s="156"/>
      <c r="L15" s="156"/>
      <c r="M15" s="156"/>
      <c r="N15" s="178"/>
      <c r="O15" s="186">
        <v>0</v>
      </c>
      <c r="P15" s="158">
        <v>0</v>
      </c>
      <c r="R15" s="159">
        <v>0</v>
      </c>
      <c r="S15" s="159">
        <v>0</v>
      </c>
    </row>
    <row r="16" spans="7:9" ht="12.75">
      <c r="G16" s="160"/>
      <c r="H16" s="160"/>
      <c r="I16" s="161"/>
    </row>
    <row r="17" ht="12.75">
      <c r="G17" s="162"/>
    </row>
  </sheetData>
  <mergeCells count="1">
    <mergeCell ref="A2:P2"/>
  </mergeCells>
  <printOptions horizontalCentered="1"/>
  <pageMargins left="0.15748031496062992" right="0.15748031496062992" top="0.8267716535433072" bottom="0.984251968503937" header="0.35433070866141736" footer="0.5118110236220472"/>
  <pageSetup horizontalDpi="600" verticalDpi="600" orientation="landscape" paperSize="9" scale="85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9.625" style="0" customWidth="1"/>
    <col min="2" max="3" width="7.75390625" style="0" customWidth="1"/>
    <col min="4" max="4" width="8.125" style="0" customWidth="1"/>
    <col min="5" max="5" width="8.625" style="0" customWidth="1"/>
    <col min="6" max="6" width="7.875" style="0" customWidth="1"/>
    <col min="7" max="7" width="9.25390625" style="0" customWidth="1"/>
    <col min="8" max="8" width="6.00390625" style="0" customWidth="1"/>
    <col min="9" max="9" width="8.25390625" style="0" customWidth="1"/>
    <col min="10" max="10" width="5.75390625" style="0" customWidth="1"/>
    <col min="11" max="11" width="7.25390625" style="0" customWidth="1"/>
    <col min="12" max="13" width="7.875" style="0" customWidth="1"/>
    <col min="14" max="14" width="7.25390625" style="0" customWidth="1"/>
    <col min="15" max="15" width="9.25390625" style="0" customWidth="1"/>
    <col min="16" max="16" width="10.00390625" style="0" customWidth="1"/>
    <col min="17" max="17" width="2.25390625" style="0" customWidth="1"/>
    <col min="18" max="19" width="17.625" style="0" customWidth="1"/>
  </cols>
  <sheetData>
    <row r="1" spans="1:14" ht="4.5" customHeight="1" thickBot="1">
      <c r="A1" s="119"/>
      <c r="B1" s="120"/>
      <c r="C1" s="121"/>
      <c r="D1" s="122"/>
      <c r="E1" s="123"/>
      <c r="F1" s="121"/>
      <c r="G1" s="121"/>
      <c r="H1" s="121"/>
      <c r="I1" s="121"/>
      <c r="J1" s="121"/>
      <c r="K1" s="121"/>
      <c r="L1" s="124"/>
      <c r="M1" s="121"/>
      <c r="N1" s="121"/>
    </row>
    <row r="2" spans="1:19" ht="103.5" customHeight="1" thickBot="1">
      <c r="A2" s="269" t="s">
        <v>115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  <c r="R2" s="188" t="s">
        <v>116</v>
      </c>
      <c r="S2" s="188" t="s">
        <v>117</v>
      </c>
    </row>
    <row r="3" spans="1:19" ht="21" customHeight="1">
      <c r="A3" s="163"/>
      <c r="B3" s="164">
        <v>2004</v>
      </c>
      <c r="C3" s="165">
        <v>2004</v>
      </c>
      <c r="D3" s="166">
        <v>2004</v>
      </c>
      <c r="E3" s="167">
        <v>2004</v>
      </c>
      <c r="F3" s="165">
        <v>2004</v>
      </c>
      <c r="G3" s="166">
        <v>2005</v>
      </c>
      <c r="H3" s="166">
        <v>2005</v>
      </c>
      <c r="I3" s="166">
        <v>2005</v>
      </c>
      <c r="J3" s="165">
        <v>2005</v>
      </c>
      <c r="K3" s="165">
        <v>2005</v>
      </c>
      <c r="L3" s="168" t="s">
        <v>59</v>
      </c>
      <c r="M3" s="169" t="s">
        <v>59</v>
      </c>
      <c r="N3" s="171" t="s">
        <v>59</v>
      </c>
      <c r="O3" s="179">
        <v>2006</v>
      </c>
      <c r="P3" s="170">
        <v>2006</v>
      </c>
      <c r="R3" s="126">
        <v>2006</v>
      </c>
      <c r="S3" s="126">
        <v>2006</v>
      </c>
    </row>
    <row r="4" spans="1:19" ht="87" customHeight="1">
      <c r="A4" s="125" t="s">
        <v>60</v>
      </c>
      <c r="B4" s="127" t="s">
        <v>61</v>
      </c>
      <c r="C4" s="128" t="s">
        <v>62</v>
      </c>
      <c r="D4" s="129" t="s">
        <v>63</v>
      </c>
      <c r="E4" s="129" t="s">
        <v>64</v>
      </c>
      <c r="F4" s="130" t="s">
        <v>65</v>
      </c>
      <c r="G4" s="129" t="s">
        <v>66</v>
      </c>
      <c r="H4" s="129" t="s">
        <v>67</v>
      </c>
      <c r="I4" s="129" t="s">
        <v>68</v>
      </c>
      <c r="J4" s="128" t="s">
        <v>69</v>
      </c>
      <c r="K4" s="128" t="s">
        <v>62</v>
      </c>
      <c r="L4" s="128" t="s">
        <v>70</v>
      </c>
      <c r="M4" s="129" t="s">
        <v>71</v>
      </c>
      <c r="N4" s="172" t="s">
        <v>72</v>
      </c>
      <c r="O4" s="180" t="s">
        <v>73</v>
      </c>
      <c r="P4" s="131" t="s">
        <v>74</v>
      </c>
      <c r="R4" s="187" t="s">
        <v>111</v>
      </c>
      <c r="S4" s="187" t="s">
        <v>112</v>
      </c>
    </row>
    <row r="5" spans="1:19" ht="23.25" customHeight="1">
      <c r="A5" s="189" t="s">
        <v>5</v>
      </c>
      <c r="B5" s="132" t="s">
        <v>75</v>
      </c>
      <c r="C5" s="133">
        <v>1</v>
      </c>
      <c r="D5" s="134">
        <v>2</v>
      </c>
      <c r="E5" s="134">
        <v>3</v>
      </c>
      <c r="F5" s="134" t="s">
        <v>76</v>
      </c>
      <c r="G5" s="134">
        <v>5</v>
      </c>
      <c r="H5" s="134">
        <v>6</v>
      </c>
      <c r="I5" s="134" t="s">
        <v>77</v>
      </c>
      <c r="J5" s="134" t="s">
        <v>78</v>
      </c>
      <c r="K5" s="134" t="s">
        <v>79</v>
      </c>
      <c r="L5" s="134" t="s">
        <v>80</v>
      </c>
      <c r="M5" s="134" t="s">
        <v>81</v>
      </c>
      <c r="N5" s="173" t="s">
        <v>82</v>
      </c>
      <c r="O5" s="181" t="s">
        <v>83</v>
      </c>
      <c r="P5" s="135" t="s">
        <v>84</v>
      </c>
      <c r="R5" s="136" t="s">
        <v>94</v>
      </c>
      <c r="S5" s="136" t="s">
        <v>95</v>
      </c>
    </row>
    <row r="6" spans="1:19" ht="22.5" customHeight="1">
      <c r="A6" s="190" t="s">
        <v>85</v>
      </c>
      <c r="B6" s="137">
        <v>453712</v>
      </c>
      <c r="C6" s="138">
        <v>21997</v>
      </c>
      <c r="D6" s="139">
        <v>20060</v>
      </c>
      <c r="E6" s="140">
        <f>+D6</f>
        <v>20060</v>
      </c>
      <c r="F6" s="140">
        <f>+C6-D6</f>
        <v>1937</v>
      </c>
      <c r="G6" s="139">
        <v>18471</v>
      </c>
      <c r="H6" s="139"/>
      <c r="I6" s="139">
        <v>18471</v>
      </c>
      <c r="J6" s="141">
        <f>+B6/B11</f>
        <v>0.20739565125174617</v>
      </c>
      <c r="K6" s="138">
        <f>+K11*J6</f>
        <v>16799.669938345196</v>
      </c>
      <c r="L6" s="138">
        <f>+K6+C6</f>
        <v>38796.66993834519</v>
      </c>
      <c r="M6" s="139">
        <f>+G6+D6</f>
        <v>38531</v>
      </c>
      <c r="N6" s="174">
        <f>+M6-L6</f>
        <v>-265.66993834519235</v>
      </c>
      <c r="O6" s="182">
        <f>+O11*J6</f>
        <v>16487.95427451382</v>
      </c>
      <c r="P6" s="142">
        <f>+O6-N6</f>
        <v>16753.624212859013</v>
      </c>
      <c r="R6" s="143">
        <f>+P6-6000</f>
        <v>10753.624212859013</v>
      </c>
      <c r="S6" s="143">
        <f>+P6-5816</f>
        <v>10937.624212859013</v>
      </c>
    </row>
    <row r="7" spans="1:19" ht="21.75" customHeight="1">
      <c r="A7" s="190" t="s">
        <v>1</v>
      </c>
      <c r="B7" s="137">
        <v>538285</v>
      </c>
      <c r="C7" s="138">
        <v>25332</v>
      </c>
      <c r="D7" s="139">
        <v>19671</v>
      </c>
      <c r="E7" s="140">
        <f>+D7</f>
        <v>19671</v>
      </c>
      <c r="F7" s="140">
        <f>+C7-D7</f>
        <v>5661</v>
      </c>
      <c r="G7" s="139">
        <v>17549</v>
      </c>
      <c r="H7" s="139"/>
      <c r="I7" s="139">
        <v>17549</v>
      </c>
      <c r="J7" s="141">
        <f>+B7/B11</f>
        <v>0.24605469578509315</v>
      </c>
      <c r="K7" s="138">
        <f>+K11*J7</f>
        <v>19931.1685226799</v>
      </c>
      <c r="L7" s="138">
        <f>+K7+C7</f>
        <v>45263.1685226799</v>
      </c>
      <c r="M7" s="139">
        <f>+G7+D7</f>
        <v>37220</v>
      </c>
      <c r="N7" s="174">
        <f>+M7-L7</f>
        <v>-8043.168522679902</v>
      </c>
      <c r="O7" s="182">
        <f>+O11*J7</f>
        <v>19561.348314914907</v>
      </c>
      <c r="P7" s="142">
        <f>+O7-N7</f>
        <v>27604.51683759481</v>
      </c>
      <c r="R7" s="143">
        <f>+P7-6000</f>
        <v>21604.51683759481</v>
      </c>
      <c r="S7" s="143">
        <f>+P7-9229</f>
        <v>18375.51683759481</v>
      </c>
    </row>
    <row r="8" spans="1:19" ht="20.25" customHeight="1">
      <c r="A8" s="190" t="s">
        <v>86</v>
      </c>
      <c r="B8" s="137">
        <v>438443</v>
      </c>
      <c r="C8" s="138">
        <v>22748</v>
      </c>
      <c r="D8" s="139">
        <v>18526</v>
      </c>
      <c r="E8" s="140">
        <f>+D8</f>
        <v>18526</v>
      </c>
      <c r="F8" s="140">
        <f>+C8-D8</f>
        <v>4222</v>
      </c>
      <c r="G8" s="139">
        <v>17240</v>
      </c>
      <c r="H8" s="139"/>
      <c r="I8" s="139">
        <v>17240</v>
      </c>
      <c r="J8" s="141">
        <f>+B8/B11</f>
        <v>0.20041606023594116</v>
      </c>
      <c r="K8" s="138">
        <f>+K11*J8</f>
        <v>16234.302127291941</v>
      </c>
      <c r="L8" s="138">
        <f>+K8+C8</f>
        <v>38982.30212729194</v>
      </c>
      <c r="M8" s="139">
        <f>+G8+D8</f>
        <v>35766</v>
      </c>
      <c r="N8" s="174">
        <f>+M8-L8</f>
        <v>-3216.302127291943</v>
      </c>
      <c r="O8" s="182">
        <f>+O11*J8</f>
        <v>15933.076788757322</v>
      </c>
      <c r="P8" s="142">
        <f>+O8-N8</f>
        <v>19149.378916049267</v>
      </c>
      <c r="R8" s="143">
        <f>+P8</f>
        <v>19149.378916049267</v>
      </c>
      <c r="S8" s="143">
        <f>+P8</f>
        <v>19149.378916049267</v>
      </c>
    </row>
    <row r="9" spans="1:19" ht="22.5" customHeight="1">
      <c r="A9" s="190" t="s">
        <v>2</v>
      </c>
      <c r="B9" s="137">
        <v>299635</v>
      </c>
      <c r="C9" s="138">
        <v>15843</v>
      </c>
      <c r="D9" s="139">
        <v>10743</v>
      </c>
      <c r="E9" s="140">
        <f>+D9</f>
        <v>10743</v>
      </c>
      <c r="F9" s="140">
        <f>+C9-D9</f>
        <v>5100</v>
      </c>
      <c r="G9" s="139">
        <v>20000</v>
      </c>
      <c r="H9" s="139"/>
      <c r="I9" s="139">
        <v>20000</v>
      </c>
      <c r="J9" s="141">
        <f>+B9/B11</f>
        <v>0.13696573148344535</v>
      </c>
      <c r="K9" s="138">
        <f>+K11*J9</f>
        <v>11094.635147353523</v>
      </c>
      <c r="L9" s="138">
        <f>+K9+C9</f>
        <v>26937.635147353525</v>
      </c>
      <c r="M9" s="139">
        <f>+G9+D9</f>
        <v>30743</v>
      </c>
      <c r="N9" s="174">
        <f>+M9-L9</f>
        <v>3805.364852646475</v>
      </c>
      <c r="O9" s="182">
        <f>+O11*J9</f>
        <v>10888.775652933906</v>
      </c>
      <c r="P9" s="142">
        <f>+O9-N9</f>
        <v>7083.410800287431</v>
      </c>
      <c r="R9" s="143">
        <f>+P9</f>
        <v>7083.410800287431</v>
      </c>
      <c r="S9" s="143">
        <f>+P9</f>
        <v>7083.410800287431</v>
      </c>
    </row>
    <row r="10" spans="1:19" ht="20.25" customHeight="1">
      <c r="A10" s="190" t="s">
        <v>3</v>
      </c>
      <c r="B10" s="137">
        <v>457589</v>
      </c>
      <c r="C10" s="138">
        <v>23079</v>
      </c>
      <c r="D10" s="139">
        <v>1575</v>
      </c>
      <c r="E10" s="140">
        <f>+D10</f>
        <v>1575</v>
      </c>
      <c r="F10" s="140">
        <f>+C10-D10</f>
        <v>21504</v>
      </c>
      <c r="G10" s="139">
        <v>38425</v>
      </c>
      <c r="H10" s="139">
        <v>7743</v>
      </c>
      <c r="I10" s="139">
        <f>SUM(G10:H10)</f>
        <v>46168</v>
      </c>
      <c r="J10" s="141">
        <f>+B10/B11</f>
        <v>0.20916786124377418</v>
      </c>
      <c r="K10" s="138">
        <f>+K11*J10</f>
        <v>16943.22426432944</v>
      </c>
      <c r="L10" s="138">
        <f>+K10+C10</f>
        <v>40022.224264329445</v>
      </c>
      <c r="M10" s="139">
        <f>+D10+G10+H10</f>
        <v>47743</v>
      </c>
      <c r="N10" s="174">
        <f>+M10-L10</f>
        <v>7720.775735670555</v>
      </c>
      <c r="O10" s="182">
        <f>+O11*J10</f>
        <v>16628.844968880047</v>
      </c>
      <c r="P10" s="142">
        <f>+O10-N10</f>
        <v>8908.069233209491</v>
      </c>
      <c r="R10" s="143">
        <f>+P10-6000</f>
        <v>2908.0692332094914</v>
      </c>
      <c r="S10" s="143">
        <f>+P10-2955</f>
        <v>5953.069233209491</v>
      </c>
    </row>
    <row r="11" spans="1:19" ht="46.5" customHeight="1">
      <c r="A11" s="191" t="s">
        <v>87</v>
      </c>
      <c r="B11" s="132">
        <f aca="true" t="shared" si="0" ref="B11:G11">SUM(B6:B10)</f>
        <v>2187664</v>
      </c>
      <c r="C11" s="144">
        <f t="shared" si="0"/>
        <v>108999</v>
      </c>
      <c r="D11" s="134">
        <f t="shared" si="0"/>
        <v>70575</v>
      </c>
      <c r="E11" s="144">
        <f t="shared" si="0"/>
        <v>70575</v>
      </c>
      <c r="F11" s="144">
        <f t="shared" si="0"/>
        <v>38424</v>
      </c>
      <c r="G11" s="144">
        <f t="shared" si="0"/>
        <v>111685</v>
      </c>
      <c r="H11" s="144">
        <v>7743</v>
      </c>
      <c r="I11" s="144"/>
      <c r="J11" s="144">
        <f>SUM(J6:J10)</f>
        <v>1</v>
      </c>
      <c r="K11" s="134">
        <f>+G11-G10+H10</f>
        <v>81003</v>
      </c>
      <c r="L11" s="144">
        <f>SUM(L6:L10)</f>
        <v>190002</v>
      </c>
      <c r="M11" s="144">
        <f>SUM(M6:M10)</f>
        <v>190003</v>
      </c>
      <c r="N11" s="175">
        <f>SUM(N6:N10)</f>
        <v>0.999999999992724</v>
      </c>
      <c r="O11" s="183">
        <f>80000-500</f>
        <v>79500</v>
      </c>
      <c r="P11" s="145">
        <f>80000-500</f>
        <v>79500</v>
      </c>
      <c r="R11" s="146">
        <f>CEILING(SUM(R6:R10),100)</f>
        <v>61500</v>
      </c>
      <c r="S11" s="146">
        <f>CEILING(SUM(S6:S10),100)</f>
        <v>61500</v>
      </c>
    </row>
    <row r="12" spans="1:19" ht="15.75" customHeight="1">
      <c r="A12" s="192" t="s">
        <v>88</v>
      </c>
      <c r="B12" s="147"/>
      <c r="C12" s="140"/>
      <c r="D12" s="140"/>
      <c r="E12" s="140"/>
      <c r="F12" s="140"/>
      <c r="G12" s="140">
        <v>350</v>
      </c>
      <c r="H12" s="140"/>
      <c r="I12" s="140">
        <v>350</v>
      </c>
      <c r="J12" s="140"/>
      <c r="K12" s="140"/>
      <c r="L12" s="140"/>
      <c r="M12" s="140"/>
      <c r="N12" s="176"/>
      <c r="O12" s="184"/>
      <c r="P12" s="148"/>
      <c r="R12" s="149"/>
      <c r="S12" s="149"/>
    </row>
    <row r="13" spans="1:19" ht="24" customHeight="1">
      <c r="A13" s="193" t="s">
        <v>89</v>
      </c>
      <c r="B13" s="150"/>
      <c r="C13" s="151"/>
      <c r="D13" s="151"/>
      <c r="E13" s="151"/>
      <c r="F13" s="140"/>
      <c r="G13" s="152">
        <v>400</v>
      </c>
      <c r="H13" s="152"/>
      <c r="I13" s="152">
        <v>400</v>
      </c>
      <c r="J13" s="151"/>
      <c r="K13" s="151"/>
      <c r="L13" s="151"/>
      <c r="M13" s="151"/>
      <c r="N13" s="177"/>
      <c r="O13" s="184"/>
      <c r="P13" s="148"/>
      <c r="R13" s="149"/>
      <c r="S13" s="149"/>
    </row>
    <row r="14" spans="1:19" ht="33.75">
      <c r="A14" s="193" t="s">
        <v>90</v>
      </c>
      <c r="B14" s="150"/>
      <c r="C14" s="151"/>
      <c r="D14" s="151"/>
      <c r="E14" s="153"/>
      <c r="F14" s="140"/>
      <c r="G14" s="152">
        <v>0</v>
      </c>
      <c r="H14" s="152"/>
      <c r="I14" s="152">
        <v>0</v>
      </c>
      <c r="J14" s="154"/>
      <c r="K14" s="151"/>
      <c r="L14" s="154"/>
      <c r="M14" s="151"/>
      <c r="N14" s="177"/>
      <c r="O14" s="185">
        <v>500</v>
      </c>
      <c r="P14" s="148">
        <v>500</v>
      </c>
      <c r="R14" s="149">
        <v>500</v>
      </c>
      <c r="S14" s="149">
        <v>500</v>
      </c>
    </row>
    <row r="15" spans="1:19" ht="20.25" customHeight="1" thickBot="1">
      <c r="A15" s="194" t="s">
        <v>7</v>
      </c>
      <c r="B15" s="155"/>
      <c r="C15" s="156"/>
      <c r="D15" s="156"/>
      <c r="E15" s="156"/>
      <c r="F15" s="156"/>
      <c r="G15" s="157">
        <f>SUM(G11:G14)</f>
        <v>112435</v>
      </c>
      <c r="H15" s="157">
        <v>7743</v>
      </c>
      <c r="I15" s="157">
        <f>SUM(I6:I14)</f>
        <v>120178</v>
      </c>
      <c r="J15" s="156"/>
      <c r="K15" s="156"/>
      <c r="L15" s="156"/>
      <c r="M15" s="156"/>
      <c r="N15" s="178"/>
      <c r="O15" s="186">
        <f>+O11+O14</f>
        <v>80000</v>
      </c>
      <c r="P15" s="158">
        <f>+P11+P14</f>
        <v>80000</v>
      </c>
      <c r="R15" s="159">
        <f>+R11+R14</f>
        <v>62000</v>
      </c>
      <c r="S15" s="159">
        <f>+S11+S14</f>
        <v>62000</v>
      </c>
    </row>
    <row r="16" spans="7:9" ht="12.75">
      <c r="G16" s="160"/>
      <c r="H16" s="160"/>
      <c r="I16" s="161"/>
    </row>
    <row r="17" ht="12.75">
      <c r="G17" s="162"/>
    </row>
  </sheetData>
  <mergeCells count="1">
    <mergeCell ref="A2:P2"/>
  </mergeCells>
  <printOptions horizontalCentered="1"/>
  <pageMargins left="0.15748031496062992" right="0.15748031496062992" top="0.8267716535433072" bottom="0.984251968503937" header="0.35433070866141736" footer="0.5118110236220472"/>
  <pageSetup horizontalDpi="600" verticalDpi="6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Buřič</dc:creator>
  <cp:keywords/>
  <dc:description/>
  <cp:lastModifiedBy>jakoubkova</cp:lastModifiedBy>
  <cp:lastPrinted>2006-03-29T19:52:36Z</cp:lastPrinted>
  <dcterms:created xsi:type="dcterms:W3CDTF">2005-10-25T18:04:29Z</dcterms:created>
  <dcterms:modified xsi:type="dcterms:W3CDTF">2006-03-31T07:20:47Z</dcterms:modified>
  <cp:category/>
  <cp:version/>
  <cp:contentType/>
  <cp:contentStatus/>
</cp:coreProperties>
</file>