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85" windowWidth="11880" windowHeight="6810" activeTab="0"/>
  </bookViews>
  <sheets>
    <sheet name="DDK" sheetId="1" r:id="rId1"/>
    <sheet name="mzdy DD" sheetId="2" r:id="rId2"/>
    <sheet name="rozklad" sheetId="3" r:id="rId3"/>
    <sheet name="souhrn mzdové navýšení" sheetId="4" r:id="rId4"/>
  </sheets>
  <definedNames/>
  <calcPr fullCalcOnLoad="1"/>
</workbook>
</file>

<file path=xl/sharedStrings.xml><?xml version="1.0" encoding="utf-8"?>
<sst xmlns="http://schemas.openxmlformats.org/spreadsheetml/2006/main" count="398" uniqueCount="210">
  <si>
    <t>Předpokládané navýšení mzdových prostředků od 1. 1. 2006</t>
  </si>
  <si>
    <t>Mzdy celkem</t>
  </si>
  <si>
    <t>Dětský domov Kamenice nad Lipou</t>
  </si>
  <si>
    <t>Celkem září 2005</t>
  </si>
  <si>
    <t>Procentuální zastoupení</t>
  </si>
  <si>
    <t>Průměrná mzda září</t>
  </si>
  <si>
    <t>Nárůst 5% za měsíc</t>
  </si>
  <si>
    <t>za rok bez odvodů</t>
  </si>
  <si>
    <t>za rok s odvody</t>
  </si>
  <si>
    <t>celkem sestry s odvody</t>
  </si>
  <si>
    <t>celkové navýšení</t>
  </si>
  <si>
    <t>tarifní plat</t>
  </si>
  <si>
    <t>příplatek za vedení</t>
  </si>
  <si>
    <t>nároková složka</t>
  </si>
  <si>
    <t>příplatek za zastupování</t>
  </si>
  <si>
    <t>zvláštní příplatky</t>
  </si>
  <si>
    <t>plat za práci přesčas</t>
  </si>
  <si>
    <t>služby a přesčasy</t>
  </si>
  <si>
    <t>odměna za pracovní pohotovost</t>
  </si>
  <si>
    <t>příplatky za práci v SO a NE</t>
  </si>
  <si>
    <t>příplatek za práci ve svátek</t>
  </si>
  <si>
    <t>příplatek za noční práci</t>
  </si>
  <si>
    <t>příplatek za dělenou směnu</t>
  </si>
  <si>
    <t>náhrady mzdy</t>
  </si>
  <si>
    <t>dovolená</t>
  </si>
  <si>
    <t>osobní příplatek</t>
  </si>
  <si>
    <t>odměny</t>
  </si>
  <si>
    <t>Průměrný přepočtený evidenční počet zaměstnanců</t>
  </si>
  <si>
    <t>Průměrná mzda</t>
  </si>
  <si>
    <t>Data dle skutečbosti 2005</t>
  </si>
  <si>
    <t>rok</t>
  </si>
  <si>
    <t>na měsíc</t>
  </si>
  <si>
    <t>skutečnost září</t>
  </si>
  <si>
    <t>Mzdový limit roku 2005 navýšený o 3%</t>
  </si>
  <si>
    <t>Rozpočet na měsíc</t>
  </si>
  <si>
    <t>Měsíčně chybí</t>
  </si>
  <si>
    <t>Ročně chybí</t>
  </si>
  <si>
    <t>Osobní náklady pro rok 2005</t>
  </si>
  <si>
    <t xml:space="preserve">   z toho mzdové</t>
  </si>
  <si>
    <t>Mzdový limit pro rok 2005</t>
  </si>
  <si>
    <t xml:space="preserve">Mzdový limit pro rok 2005 po navýšení v radě kraje </t>
  </si>
  <si>
    <t>I. Návrh finančního plánu, investičního plánu, odpisového plánu</t>
  </si>
  <si>
    <t>Finanční plán</t>
  </si>
  <si>
    <t>Skutečnost 2003</t>
  </si>
  <si>
    <t>Skutečnost 2004</t>
  </si>
  <si>
    <t>Skutečnost 2005</t>
  </si>
  <si>
    <t>Rozdíl 2005 - 2004</t>
  </si>
  <si>
    <t>Celkem</t>
  </si>
  <si>
    <t xml:space="preserve">v </t>
  </si>
  <si>
    <t xml:space="preserve">Hlavní </t>
  </si>
  <si>
    <t>Doplňková</t>
  </si>
  <si>
    <t>+/-</t>
  </si>
  <si>
    <t>%</t>
  </si>
  <si>
    <t>činnost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</si>
  <si>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</si>
  <si>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</si>
  <si>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</si>
  <si>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</si>
  <si>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</si>
  <si>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</si>
  <si>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</si>
  <si>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</si>
  <si>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</si>
  <si>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</si>
  <si>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</si>
  <si>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</si>
  <si>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</si>
  <si>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</si>
  <si>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</si>
  <si>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</si>
  <si>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</si>
  <si>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</si>
  <si>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</si>
  <si>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</si>
  <si>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</si>
  <si>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</si>
  <si>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</si>
  <si>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</si>
  <si>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</si>
  <si>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</si>
  <si>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</si>
  <si>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</si>
  <si>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</si>
  <si>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</si>
  <si>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</si>
  <si>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</si>
  <si>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Plán čerpání investičního fondu 2006 - z vlastních zdrojů</t>
  </si>
  <si>
    <t>v tis.Kč</t>
  </si>
  <si>
    <t>Závazné ukazatele pro rok 2005</t>
  </si>
  <si>
    <t>v tis. Kč</t>
  </si>
  <si>
    <t>splácení půjčky SFŽP</t>
  </si>
  <si>
    <t>Příspěvek na provoz</t>
  </si>
  <si>
    <t>odvod do rozpočtu zřizovatele</t>
  </si>
  <si>
    <t>Dotace na investice</t>
  </si>
  <si>
    <t>Limit prostředků na platy</t>
  </si>
  <si>
    <t>Pořizovací cena majetku</t>
  </si>
  <si>
    <t>Odpisový plán na rok 2006</t>
  </si>
  <si>
    <t>celkem</t>
  </si>
  <si>
    <t>z toho odpisová skupina:</t>
  </si>
  <si>
    <t>Peněžní fondy v tis. Kč</t>
  </si>
  <si>
    <t>Zůstatek účtu k 1.1.2005</t>
  </si>
  <si>
    <t>Účetní stav 2005</t>
  </si>
  <si>
    <t>Zůstatek účtu k 31.12.2005</t>
  </si>
  <si>
    <t>Deficit (-) BÚ</t>
  </si>
  <si>
    <t>Plán tvorby a čerpání fondů 2006</t>
  </si>
  <si>
    <t>Stav k 1.1.2005</t>
  </si>
  <si>
    <t>Tvorba</t>
  </si>
  <si>
    <t>Čerpání</t>
  </si>
  <si>
    <t>Stav k 31.12.2005</t>
  </si>
  <si>
    <t>Stav k 1.1.2006</t>
  </si>
  <si>
    <t>Stav k 31.12.2006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</si>
  <si>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</si>
  <si>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</si>
  <si>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</si>
  <si>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</si>
  <si>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</si>
  <si>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 xml:space="preserve">          investiční fond</t>
  </si>
  <si>
    <t>Běžný účet FKSP</t>
  </si>
  <si>
    <t>stav k 31.12.2005</t>
  </si>
  <si>
    <t>z toho po lhůtě splatnosti</t>
  </si>
  <si>
    <t>do 30 dnů</t>
  </si>
  <si>
    <t>31-90</t>
  </si>
  <si>
    <t>91-180</t>
  </si>
  <si>
    <t>181-360</t>
  </si>
  <si>
    <t>nad 360</t>
  </si>
  <si>
    <t>Pohledávky (včetně ostatních pohledávkových účtů)</t>
  </si>
  <si>
    <t>Závazky</t>
  </si>
  <si>
    <t>Rozbor mzdových nákladů v Kč</t>
  </si>
  <si>
    <t>Lůžkový fond</t>
  </si>
  <si>
    <t>Jiní VŠ</t>
  </si>
  <si>
    <t>SZP</t>
  </si>
  <si>
    <t>NZP</t>
  </si>
  <si>
    <t>PZP</t>
  </si>
  <si>
    <t>THP</t>
  </si>
  <si>
    <t>dělníci</t>
  </si>
  <si>
    <t>Kapacita</t>
  </si>
  <si>
    <t>mzdy celkem</t>
  </si>
  <si>
    <t>průměrný přepočtený počet</t>
  </si>
  <si>
    <t>průměrný plat zaměstnanců</t>
  </si>
  <si>
    <t>ostatní zdrav. prac. nelékaři s odb. způsob.</t>
  </si>
  <si>
    <t>všeobecné sestry</t>
  </si>
  <si>
    <t>jiní odborní prac. nelékaři</t>
  </si>
  <si>
    <t>zdrav. prac. nelék. pod odbor. dohledem</t>
  </si>
  <si>
    <t>Lékaři</t>
  </si>
  <si>
    <t>Farmaceuti</t>
  </si>
  <si>
    <t>všeobecné sestry, porodní asistentky</t>
  </si>
  <si>
    <t>ostatní zdrav.pracovníci nelékaři s odbornou způsobilostí</t>
  </si>
  <si>
    <t>zdrav.pracovníci nelékaři s odb. a special. způsobilostí</t>
  </si>
  <si>
    <t>zdrav.pracovníci nelékaři pod odborn. dohledem nebo přímým vedením</t>
  </si>
  <si>
    <t>jiní odborní pracovníci nelékaři s odbornou způsobilostí</t>
  </si>
  <si>
    <t>pedagogičtí pracovníci</t>
  </si>
  <si>
    <t>dělníci a provozní pracovníci</t>
  </si>
  <si>
    <t>Mzdy</t>
  </si>
  <si>
    <t>plat při výkonu jiné práce a práce v cizině</t>
  </si>
  <si>
    <t>další plat</t>
  </si>
  <si>
    <t>Mzdové náklady 2005</t>
  </si>
  <si>
    <t>II. Výpočet průměrných odměn a osobního příplatku 2005</t>
  </si>
  <si>
    <t>Mzdové náklady 2004</t>
  </si>
  <si>
    <t>I. Rozbor mzdových nákladů 2005</t>
  </si>
  <si>
    <t>III. Rozbor mzdových nákladů 2004</t>
  </si>
  <si>
    <t>II. Výpočet průměrných odměn a osobního příplatku 2004</t>
  </si>
  <si>
    <t>Celkem na zaměstnance</t>
  </si>
  <si>
    <t>I. Předpokládané navýšení mzdových nákladů ve speciálních zařízeních od 1. 1. 2006</t>
  </si>
  <si>
    <t>Speciální zařízení</t>
  </si>
  <si>
    <t>navýšení 5%</t>
  </si>
  <si>
    <t>navýšení sestry</t>
  </si>
  <si>
    <t xml:space="preserve">Jiné navýšení </t>
  </si>
  <si>
    <t>v Kč</t>
  </si>
  <si>
    <t>osobní příplatek 2005</t>
  </si>
  <si>
    <t>odměny 2005</t>
  </si>
  <si>
    <t>průměr na zaměstnance a měsíc</t>
  </si>
  <si>
    <t xml:space="preserve">III. Rozpočtová opatření </t>
  </si>
  <si>
    <t>varianta 1 - bez úpravy osobního ohodnocení a odměn</t>
  </si>
  <si>
    <t>Rozpočet výdajů celkem</t>
  </si>
  <si>
    <t>Návrh</t>
  </si>
  <si>
    <t xml:space="preserve">Rozpočet </t>
  </si>
  <si>
    <t>ÚZ 00000</t>
  </si>
  <si>
    <t>na změnu</t>
  </si>
  <si>
    <t>výdajů po</t>
  </si>
  <si>
    <t>schválený</t>
  </si>
  <si>
    <t>upravený</t>
  </si>
  <si>
    <t>+  -</t>
  </si>
  <si>
    <t>úpravě</t>
  </si>
  <si>
    <t xml:space="preserve">           Dětský domov Kamenice nad Lipou</t>
  </si>
  <si>
    <t>varianta 2 - osobní ohodnocení a odměny nulové</t>
  </si>
  <si>
    <t>II. Rozklad osobního příplatku a odměn za rok 2005 - všichni zaměstnaci</t>
  </si>
  <si>
    <t>Návrh na rok 2006</t>
  </si>
  <si>
    <t>II. Doplňující údaje z výsledků hospodaření za rok 2005</t>
  </si>
  <si>
    <t>II. Rozklad osobního příplatku a odměn u sester za rok 2005</t>
  </si>
  <si>
    <t>Mzdové náklady LEDEN - ÚNOR 2006</t>
  </si>
  <si>
    <t>tarif na zaměstnance 2005</t>
  </si>
  <si>
    <t>tarif na zaměstnance 2005 navýšený 5% - kontrolní výpočet</t>
  </si>
  <si>
    <t>tarif na zaměstnance 2006</t>
  </si>
  <si>
    <t>změna tarifu na zaměstnance</t>
  </si>
  <si>
    <t>změna průměrné mzdy</t>
  </si>
  <si>
    <t>osobní příplatek 2006</t>
  </si>
  <si>
    <t>Průměrná mzda po snížení o osobní příplatek</t>
  </si>
  <si>
    <t>Mzdové náklady ZÁŘÍ 2005</t>
  </si>
  <si>
    <t>Průměrná mzda v roce 2005</t>
  </si>
  <si>
    <t>Rozdíl</t>
  </si>
  <si>
    <t xml:space="preserve">Celkem na zaměstnance - snížení o osobní příplatek </t>
  </si>
  <si>
    <t>Porovnání  2006 se zářím 2005 - na zaměstnance</t>
  </si>
  <si>
    <t>další navýšení sestry 1 470,- Kč na sestru 11 sester</t>
  </si>
  <si>
    <t>počet stran: 5</t>
  </si>
  <si>
    <t>Rozdíl 2006 - 2005</t>
  </si>
  <si>
    <t>RK-10-2006-61, př. 1upr1</t>
  </si>
  <si>
    <t>Oprávky k 1.1.2006</t>
  </si>
  <si>
    <t>Zůstatková cena k 31.12.2006</t>
  </si>
  <si>
    <t xml:space="preserve"> </t>
  </si>
  <si>
    <t>IV. Závazné ukazatele pro rok 2006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</si>
</sst>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#,##0.0000"/>
    <numFmt numFmtId="171" formatCode="####0"/>
    <numFmt numFmtId="172" formatCode="0000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#,##0.00000"/>
    <numFmt numFmtId="178" formatCode="#.##0.00,&quot;Kč&quot;"/>
    <numFmt numFmtId="179" formatCode="0.E+00"/>
    <numFmt numFmtId="180" formatCode="#,##0_ ;[Red]\-#,##0\ "/>
    <numFmt numFmtId="181" formatCode="0.0E+00"/>
    <numFmt numFmtId="182" formatCode="h\,mm"/>
    <numFmt numFmtId="183" formatCode="d/m/yy"/>
    <numFmt numFmtId="184" formatCode="mmmm\ yy"/>
    <numFmt numFmtId="185" formatCode="[$-405]d\.\ mmmm\ yyyy"/>
    <numFmt numFmtId="186" formatCode="[$-405]mmmm\ yy;@"/>
    <numFmt numFmtId="187" formatCode="d/m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Kč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2" borderId="5" xfId="0" applyNumberFormat="1" applyFont="1" applyFill="1" applyBorder="1" applyAlignment="1">
      <alignment horizontal="right" vertical="center"/>
    </xf>
    <xf numFmtId="10" fontId="6" fillId="2" borderId="6" xfId="0" applyNumberFormat="1" applyFont="1" applyFill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0" fontId="6" fillId="0" borderId="14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10" fontId="6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6" fillId="2" borderId="25" xfId="0" applyNumberFormat="1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2" borderId="29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2" fillId="2" borderId="2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42" xfId="0" applyFont="1" applyFill="1" applyBorder="1" applyAlignment="1" quotePrefix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8" xfId="0" applyFont="1" applyFill="1" applyBorder="1" applyAlignment="1" quotePrefix="1">
      <alignment horizontal="center"/>
    </xf>
    <xf numFmtId="0" fontId="2" fillId="0" borderId="33" xfId="0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4" fillId="3" borderId="11" xfId="0" applyNumberFormat="1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4" fillId="3" borderId="16" xfId="0" applyNumberFormat="1" applyFont="1" applyFill="1" applyBorder="1" applyAlignment="1">
      <alignment vertical="center" wrapText="1"/>
    </xf>
    <xf numFmtId="10" fontId="4" fillId="3" borderId="18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9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3" fontId="4" fillId="3" borderId="21" xfId="0" applyNumberFormat="1" applyFont="1" applyFill="1" applyBorder="1" applyAlignment="1">
      <alignment vertical="center" wrapText="1"/>
    </xf>
    <xf numFmtId="10" fontId="4" fillId="3" borderId="39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0" fontId="4" fillId="2" borderId="30" xfId="0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vertical="center" wrapText="1"/>
    </xf>
    <xf numFmtId="3" fontId="4" fillId="2" borderId="30" xfId="0" applyNumberFormat="1" applyFont="1" applyFill="1" applyBorder="1" applyAlignment="1">
      <alignment vertical="center" wrapText="1"/>
    </xf>
    <xf numFmtId="3" fontId="4" fillId="3" borderId="25" xfId="0" applyNumberFormat="1" applyFont="1" applyFill="1" applyBorder="1" applyAlignment="1">
      <alignment vertical="center" wrapText="1"/>
    </xf>
    <xf numFmtId="10" fontId="4" fillId="3" borderId="29" xfId="0" applyNumberFormat="1" applyFont="1" applyFill="1" applyBorder="1" applyAlignment="1">
      <alignment vertical="center" wrapText="1"/>
    </xf>
    <xf numFmtId="3" fontId="4" fillId="2" borderId="25" xfId="0" applyNumberFormat="1" applyFont="1" applyFill="1" applyBorder="1" applyAlignment="1">
      <alignment vertical="center" wrapText="1"/>
    </xf>
    <xf numFmtId="3" fontId="4" fillId="2" borderId="32" xfId="0" applyNumberFormat="1" applyFont="1" applyFill="1" applyBorder="1" applyAlignment="1">
      <alignment vertical="center" wrapText="1"/>
    </xf>
    <xf numFmtId="3" fontId="4" fillId="2" borderId="31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horizontal="left" vertical="center" wrapText="1"/>
    </xf>
    <xf numFmtId="10" fontId="4" fillId="3" borderId="15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6" xfId="2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4" fillId="0" borderId="42" xfId="20" applyNumberFormat="1" applyFont="1" applyBorder="1" applyAlignment="1">
      <alignment horizontal="center" vertical="center"/>
      <protection/>
    </xf>
    <xf numFmtId="3" fontId="4" fillId="0" borderId="9" xfId="20" applyNumberFormat="1" applyFont="1" applyBorder="1" applyAlignment="1">
      <alignment horizontal="right" vertical="center"/>
      <protection/>
    </xf>
    <xf numFmtId="3" fontId="4" fillId="0" borderId="35" xfId="20" applyNumberFormat="1" applyFont="1" applyBorder="1" applyAlignment="1">
      <alignment horizontal="right" vertical="center"/>
      <protection/>
    </xf>
    <xf numFmtId="3" fontId="4" fillId="0" borderId="10" xfId="20" applyNumberFormat="1" applyFont="1" applyBorder="1" applyAlignment="1">
      <alignment horizontal="right" vertical="center"/>
      <protection/>
    </xf>
    <xf numFmtId="0" fontId="10" fillId="2" borderId="8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 quotePrefix="1">
      <alignment horizontal="center"/>
    </xf>
    <xf numFmtId="3" fontId="4" fillId="0" borderId="15" xfId="0" applyNumberFormat="1" applyFont="1" applyBorder="1" applyAlignment="1" quotePrefix="1">
      <alignment horizontal="center"/>
    </xf>
    <xf numFmtId="3" fontId="4" fillId="0" borderId="33" xfId="0" applyNumberFormat="1" applyFont="1" applyBorder="1" applyAlignment="1">
      <alignment/>
    </xf>
    <xf numFmtId="3" fontId="4" fillId="0" borderId="48" xfId="0" applyNumberFormat="1" applyFont="1" applyBorder="1" applyAlignment="1" quotePrefix="1">
      <alignment horizontal="center"/>
    </xf>
    <xf numFmtId="0" fontId="4" fillId="0" borderId="44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49" xfId="0" applyNumberFormat="1" applyFont="1" applyBorder="1" applyAlignment="1" quotePrefix="1">
      <alignment horizontal="right"/>
    </xf>
    <xf numFmtId="3" fontId="4" fillId="0" borderId="17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 quotePrefix="1">
      <alignment horizontal="right"/>
    </xf>
    <xf numFmtId="0" fontId="4" fillId="0" borderId="4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4" fillId="0" borderId="52" xfId="0" applyNumberFormat="1" applyFont="1" applyFill="1" applyBorder="1" applyAlignment="1">
      <alignment vertical="center" wrapText="1"/>
    </xf>
    <xf numFmtId="3" fontId="4" fillId="4" borderId="53" xfId="0" applyNumberFormat="1" applyFont="1" applyFill="1" applyBorder="1" applyAlignment="1">
      <alignment vertical="center"/>
    </xf>
    <xf numFmtId="3" fontId="4" fillId="4" borderId="54" xfId="0" applyNumberFormat="1" applyFont="1" applyFill="1" applyBorder="1" applyAlignment="1">
      <alignment vertical="center"/>
    </xf>
    <xf numFmtId="3" fontId="4" fillId="4" borderId="55" xfId="0" applyNumberFormat="1" applyFont="1" applyFill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 wrapText="1"/>
    </xf>
    <xf numFmtId="4" fontId="4" fillId="4" borderId="17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3" fontId="4" fillId="2" borderId="25" xfId="0" applyNumberFormat="1" applyFont="1" applyFill="1" applyBorder="1" applyAlignment="1">
      <alignment horizontal="right" vertical="center"/>
    </xf>
    <xf numFmtId="3" fontId="4" fillId="2" borderId="32" xfId="0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10" fillId="2" borderId="32" xfId="0" applyNumberFormat="1" applyFont="1" applyFill="1" applyBorder="1" applyAlignment="1">
      <alignment horizontal="center" vertical="center" wrapText="1"/>
    </xf>
    <xf numFmtId="3" fontId="10" fillId="2" borderId="28" xfId="0" applyNumberFormat="1" applyFont="1" applyFill="1" applyBorder="1" applyAlignment="1">
      <alignment horizontal="center" vertical="center" wrapText="1"/>
    </xf>
    <xf numFmtId="3" fontId="10" fillId="2" borderId="30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3" fontId="2" fillId="0" borderId="44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4" fillId="2" borderId="25" xfId="0" applyNumberFormat="1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2" fontId="4" fillId="3" borderId="40" xfId="0" applyNumberFormat="1" applyFont="1" applyFill="1" applyBorder="1" applyAlignment="1">
      <alignment vertical="center"/>
    </xf>
    <xf numFmtId="2" fontId="4" fillId="3" borderId="41" xfId="0" applyNumberFormat="1" applyFont="1" applyFill="1" applyBorder="1" applyAlignment="1">
      <alignment vertical="center"/>
    </xf>
    <xf numFmtId="2" fontId="4" fillId="3" borderId="22" xfId="0" applyNumberFormat="1" applyFont="1" applyFill="1" applyBorder="1" applyAlignment="1">
      <alignment vertical="center"/>
    </xf>
    <xf numFmtId="2" fontId="4" fillId="3" borderId="57" xfId="0" applyNumberFormat="1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2" borderId="59" xfId="0" applyFont="1" applyFill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2" borderId="27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3" fontId="6" fillId="2" borderId="28" xfId="0" applyNumberFormat="1" applyFont="1" applyFill="1" applyBorder="1" applyAlignment="1">
      <alignment vertical="center"/>
    </xf>
    <xf numFmtId="3" fontId="6" fillId="2" borderId="29" xfId="0" applyNumberFormat="1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2" borderId="60" xfId="0" applyFont="1" applyFill="1" applyBorder="1" applyAlignment="1">
      <alignment horizontal="left"/>
    </xf>
    <xf numFmtId="0" fontId="6" fillId="2" borderId="61" xfId="0" applyFont="1" applyFill="1" applyBorder="1" applyAlignment="1">
      <alignment horizontal="lef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left"/>
    </xf>
    <xf numFmtId="0" fontId="6" fillId="2" borderId="6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left"/>
    </xf>
    <xf numFmtId="0" fontId="6" fillId="2" borderId="6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" fontId="16" fillId="2" borderId="25" xfId="0" applyNumberFormat="1" applyFont="1" applyFill="1" applyBorder="1" applyAlignment="1">
      <alignment vertical="center"/>
    </xf>
    <xf numFmtId="3" fontId="16" fillId="2" borderId="29" xfId="0" applyNumberFormat="1" applyFont="1" applyFill="1" applyBorder="1" applyAlignment="1">
      <alignment vertical="center"/>
    </xf>
    <xf numFmtId="3" fontId="16" fillId="2" borderId="27" xfId="0" applyNumberFormat="1" applyFont="1" applyFill="1" applyBorder="1" applyAlignment="1">
      <alignment vertical="center"/>
    </xf>
    <xf numFmtId="3" fontId="16" fillId="2" borderId="30" xfId="0" applyNumberFormat="1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4" fontId="6" fillId="0" borderId="5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3" fontId="4" fillId="2" borderId="35" xfId="0" applyNumberFormat="1" applyFont="1" applyFill="1" applyBorder="1" applyAlignment="1">
      <alignment vertical="center" wrapText="1"/>
    </xf>
    <xf numFmtId="3" fontId="4" fillId="2" borderId="36" xfId="0" applyNumberFormat="1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3" fontId="4" fillId="3" borderId="42" xfId="0" applyNumberFormat="1" applyFont="1" applyFill="1" applyBorder="1" applyAlignment="1">
      <alignment vertical="center" wrapText="1"/>
    </xf>
    <xf numFmtId="10" fontId="4" fillId="3" borderId="10" xfId="0" applyNumberFormat="1" applyFont="1" applyFill="1" applyBorder="1" applyAlignment="1">
      <alignment vertical="center" wrapText="1"/>
    </xf>
    <xf numFmtId="3" fontId="4" fillId="2" borderId="38" xfId="0" applyNumberFormat="1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68" xfId="0" applyNumberFormat="1" applyFont="1" applyBorder="1" applyAlignment="1">
      <alignment vertical="center" wrapText="1"/>
    </xf>
    <xf numFmtId="3" fontId="4" fillId="3" borderId="59" xfId="0" applyNumberFormat="1" applyFont="1" applyFill="1" applyBorder="1" applyAlignment="1">
      <alignment vertical="center" wrapText="1"/>
    </xf>
    <xf numFmtId="10" fontId="4" fillId="3" borderId="24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2" fontId="4" fillId="0" borderId="40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vertical="center"/>
    </xf>
    <xf numFmtId="2" fontId="4" fillId="0" borderId="57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5" borderId="42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vertical="center"/>
    </xf>
    <xf numFmtId="3" fontId="4" fillId="5" borderId="9" xfId="0" applyNumberFormat="1" applyFont="1" applyFill="1" applyBorder="1" applyAlignment="1">
      <alignment vertical="center"/>
    </xf>
    <xf numFmtId="3" fontId="4" fillId="5" borderId="38" xfId="0" applyNumberFormat="1" applyFont="1" applyFill="1" applyBorder="1" applyAlignment="1">
      <alignment vertical="center"/>
    </xf>
    <xf numFmtId="3" fontId="4" fillId="5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4" fillId="5" borderId="25" xfId="0" applyFont="1" applyFill="1" applyBorder="1" applyAlignment="1">
      <alignment vertical="center" wrapText="1"/>
    </xf>
    <xf numFmtId="3" fontId="4" fillId="5" borderId="27" xfId="0" applyNumberFormat="1" applyFont="1" applyFill="1" applyBorder="1" applyAlignment="1">
      <alignment vertical="center"/>
    </xf>
    <xf numFmtId="3" fontId="4" fillId="5" borderId="32" xfId="0" applyNumberFormat="1" applyFont="1" applyFill="1" applyBorder="1" applyAlignment="1">
      <alignment vertical="center"/>
    </xf>
    <xf numFmtId="3" fontId="4" fillId="5" borderId="28" xfId="0" applyNumberFormat="1" applyFont="1" applyFill="1" applyBorder="1" applyAlignment="1">
      <alignment vertical="center"/>
    </xf>
    <xf numFmtId="3" fontId="4" fillId="5" borderId="30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4" fillId="0" borderId="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3" fontId="4" fillId="0" borderId="2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vertical="center" wrapText="1"/>
    </xf>
    <xf numFmtId="3" fontId="4" fillId="0" borderId="23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3" borderId="69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0" fontId="4" fillId="2" borderId="69" xfId="20" applyFont="1" applyFill="1" applyBorder="1" applyAlignment="1">
      <alignment horizontal="center" vertical="center" wrapText="1"/>
      <protection/>
    </xf>
    <xf numFmtId="0" fontId="6" fillId="2" borderId="70" xfId="20" applyFont="1" applyFill="1" applyBorder="1" applyAlignment="1">
      <alignment horizontal="center" vertical="center"/>
      <protection/>
    </xf>
    <xf numFmtId="0" fontId="6" fillId="2" borderId="71" xfId="20" applyFont="1" applyFill="1" applyBorder="1" applyAlignment="1">
      <alignment horizontal="center" vertical="center"/>
      <protection/>
    </xf>
    <xf numFmtId="0" fontId="4" fillId="2" borderId="41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70" xfId="0" applyFont="1" applyFill="1" applyBorder="1" applyAlignment="1">
      <alignment horizontal="center" vertical="center"/>
    </xf>
    <xf numFmtId="0" fontId="4" fillId="2" borderId="72" xfId="20" applyFont="1" applyFill="1" applyBorder="1" applyAlignment="1">
      <alignment horizontal="center" vertical="center" wrapText="1"/>
      <protection/>
    </xf>
    <xf numFmtId="0" fontId="4" fillId="2" borderId="5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2" borderId="7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3" fontId="4" fillId="2" borderId="72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74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6" fillId="2" borderId="63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0" fillId="2" borderId="6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75" xfId="0" applyFont="1" applyBorder="1" applyAlignment="1">
      <alignment/>
    </xf>
    <xf numFmtId="0" fontId="10" fillId="2" borderId="76" xfId="20" applyFont="1" applyFill="1" applyBorder="1" applyAlignment="1">
      <alignment horizontal="center" vertical="center" wrapText="1"/>
      <protection/>
    </xf>
    <xf numFmtId="0" fontId="9" fillId="0" borderId="7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" borderId="51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4" fillId="2" borderId="6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4" xfId="0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78" xfId="0" applyBorder="1" applyAlignment="1">
      <alignment horizontal="left"/>
    </xf>
    <xf numFmtId="0" fontId="11" fillId="2" borderId="6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75" xfId="0" applyBorder="1" applyAlignment="1">
      <alignment/>
    </xf>
    <xf numFmtId="0" fontId="11" fillId="2" borderId="36" xfId="0" applyFont="1" applyFill="1" applyBorder="1" applyAlignment="1">
      <alignment horizontal="center" vertical="center" wrapText="1"/>
    </xf>
    <xf numFmtId="0" fontId="4" fillId="2" borderId="60" xfId="20" applyFont="1" applyFill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2" borderId="20" xfId="20" applyFont="1" applyFill="1" applyBorder="1" applyAlignment="1">
      <alignment horizontal="center" vertical="center"/>
      <protection/>
    </xf>
    <xf numFmtId="0" fontId="4" fillId="2" borderId="45" xfId="20" applyFont="1" applyFill="1" applyBorder="1" applyAlignment="1">
      <alignment horizontal="center" vertical="center"/>
      <protection/>
    </xf>
    <xf numFmtId="0" fontId="4" fillId="2" borderId="78" xfId="20" applyFont="1" applyFill="1" applyBorder="1" applyAlignment="1">
      <alignment horizontal="center" vertical="center"/>
      <protection/>
    </xf>
    <xf numFmtId="3" fontId="4" fillId="2" borderId="25" xfId="0" applyNumberFormat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2" borderId="25" xfId="0" applyFill="1" applyBorder="1" applyAlignment="1">
      <alignment/>
    </xf>
    <xf numFmtId="0" fontId="0" fillId="2" borderId="75" xfId="0" applyFill="1" applyBorder="1" applyAlignment="1">
      <alignment/>
    </xf>
    <xf numFmtId="3" fontId="11" fillId="2" borderId="60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" fontId="4" fillId="2" borderId="7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" fontId="6" fillId="2" borderId="27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0" fontId="0" fillId="0" borderId="75" xfId="0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2" borderId="60" xfId="0" applyFont="1" applyFill="1" applyBorder="1" applyAlignment="1">
      <alignment horizontal="left" vertical="center"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6" fillId="2" borderId="51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right" vertical="center"/>
    </xf>
    <xf numFmtId="10" fontId="6" fillId="0" borderId="19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0" fillId="0" borderId="75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3" fontId="6" fillId="0" borderId="60" xfId="0" applyNumberFormat="1" applyFont="1" applyFill="1" applyBorder="1" applyAlignment="1">
      <alignment horizontal="left" vertical="center"/>
    </xf>
    <xf numFmtId="3" fontId="0" fillId="0" borderId="79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left" vertical="center"/>
    </xf>
    <xf numFmtId="3" fontId="0" fillId="0" borderId="78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horizontal="left" vertical="center"/>
    </xf>
    <xf numFmtId="3" fontId="0" fillId="0" borderId="37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28.125" style="1" customWidth="1"/>
    <col min="2" max="2" width="9.75390625" style="59" customWidth="1"/>
    <col min="3" max="6" width="8.625" style="59" customWidth="1"/>
    <col min="7" max="7" width="9.00390625" style="59" customWidth="1"/>
    <col min="8" max="8" width="8.125" style="59" customWidth="1"/>
    <col min="9" max="9" width="8.875" style="1" customWidth="1"/>
    <col min="10" max="11" width="8.00390625" style="1" customWidth="1"/>
    <col min="12" max="12" width="9.125" style="1" customWidth="1"/>
    <col min="13" max="14" width="9.25390625" style="1" bestFit="1" customWidth="1"/>
    <col min="15" max="15" width="9.125" style="1" customWidth="1"/>
  </cols>
  <sheetData>
    <row r="1" ht="15">
      <c r="I1" s="60" t="s">
        <v>205</v>
      </c>
    </row>
    <row r="2" spans="9:12" ht="12" customHeight="1">
      <c r="I2" s="60" t="s">
        <v>203</v>
      </c>
      <c r="L2" s="60"/>
    </row>
    <row r="3" spans="1:14" ht="16.5" thickBot="1">
      <c r="A3" s="62" t="s">
        <v>41</v>
      </c>
      <c r="B3" s="63"/>
      <c r="C3" s="63"/>
      <c r="D3" s="63"/>
      <c r="E3" s="63"/>
      <c r="F3" s="63"/>
      <c r="G3" s="63"/>
      <c r="H3" s="63"/>
      <c r="L3" s="60"/>
      <c r="N3" s="61"/>
    </row>
    <row r="4" spans="1:15" ht="15" customHeight="1" thickBot="1">
      <c r="A4" s="425" t="s">
        <v>42</v>
      </c>
      <c r="B4" s="413" t="s">
        <v>2</v>
      </c>
      <c r="C4" s="414"/>
      <c r="D4" s="414"/>
      <c r="E4" s="414"/>
      <c r="F4" s="414"/>
      <c r="G4" s="414"/>
      <c r="H4" s="414"/>
      <c r="I4" s="414"/>
      <c r="J4" s="414"/>
      <c r="K4" s="435"/>
      <c r="L4"/>
      <c r="M4"/>
      <c r="N4"/>
      <c r="O4"/>
    </row>
    <row r="5" spans="1:15" ht="12.75">
      <c r="A5" s="426"/>
      <c r="B5" s="362" t="s">
        <v>43</v>
      </c>
      <c r="C5" s="359" t="s">
        <v>44</v>
      </c>
      <c r="D5" s="362" t="s">
        <v>45</v>
      </c>
      <c r="E5" s="357" t="s">
        <v>46</v>
      </c>
      <c r="F5" s="358"/>
      <c r="G5" s="64" t="s">
        <v>186</v>
      </c>
      <c r="H5" s="65"/>
      <c r="I5" s="66"/>
      <c r="J5" s="357" t="s">
        <v>204</v>
      </c>
      <c r="K5" s="358"/>
      <c r="L5"/>
      <c r="M5"/>
      <c r="N5"/>
      <c r="O5"/>
    </row>
    <row r="6" spans="1:15" ht="12.75">
      <c r="A6" s="426"/>
      <c r="B6" s="363"/>
      <c r="C6" s="360"/>
      <c r="D6" s="363"/>
      <c r="E6" s="67" t="s">
        <v>47</v>
      </c>
      <c r="F6" s="68" t="s">
        <v>48</v>
      </c>
      <c r="G6" s="69" t="s">
        <v>49</v>
      </c>
      <c r="H6" s="70" t="s">
        <v>50</v>
      </c>
      <c r="I6" s="68" t="s">
        <v>47</v>
      </c>
      <c r="J6" s="71" t="s">
        <v>47</v>
      </c>
      <c r="K6" s="68" t="s">
        <v>48</v>
      </c>
      <c r="L6"/>
      <c r="M6"/>
      <c r="N6"/>
      <c r="O6"/>
    </row>
    <row r="7" spans="1:15" ht="9.75" customHeight="1" thickBot="1">
      <c r="A7" s="427"/>
      <c r="B7" s="364"/>
      <c r="C7" s="361"/>
      <c r="D7" s="364"/>
      <c r="E7" s="72" t="s">
        <v>51</v>
      </c>
      <c r="F7" s="73" t="s">
        <v>52</v>
      </c>
      <c r="G7" s="74" t="s">
        <v>53</v>
      </c>
      <c r="H7" s="75" t="s">
        <v>53</v>
      </c>
      <c r="I7" s="73"/>
      <c r="J7" s="76" t="s">
        <v>51</v>
      </c>
      <c r="K7" s="73" t="s">
        <v>52</v>
      </c>
      <c r="L7"/>
      <c r="M7"/>
      <c r="N7"/>
      <c r="O7"/>
    </row>
    <row r="8" spans="1:15" ht="13.5" customHeight="1">
      <c r="A8" s="77" t="s">
        <v>54</v>
      </c>
      <c r="B8" s="78"/>
      <c r="C8" s="79"/>
      <c r="D8" s="78"/>
      <c r="E8" s="80"/>
      <c r="F8" s="81"/>
      <c r="G8" s="82">
        <v>300</v>
      </c>
      <c r="H8" s="83">
        <v>0</v>
      </c>
      <c r="I8" s="84">
        <v>300</v>
      </c>
      <c r="J8" s="80"/>
      <c r="K8" s="81"/>
      <c r="L8"/>
      <c r="M8"/>
      <c r="N8"/>
      <c r="O8"/>
    </row>
    <row r="9" spans="1:15" ht="13.5" customHeight="1">
      <c r="A9" s="85" t="s">
        <v>55</v>
      </c>
      <c r="B9" s="86">
        <v>293</v>
      </c>
      <c r="C9" s="87">
        <v>311</v>
      </c>
      <c r="D9" s="86">
        <v>311.46</v>
      </c>
      <c r="E9" s="88">
        <f>+D9-C9</f>
        <v>0.45999999999997954</v>
      </c>
      <c r="F9" s="89">
        <f>+D9/C9</f>
        <v>1.0014790996784566</v>
      </c>
      <c r="G9" s="90">
        <v>0</v>
      </c>
      <c r="H9" s="91">
        <v>0</v>
      </c>
      <c r="I9" s="84">
        <v>0</v>
      </c>
      <c r="J9" s="88">
        <f aca="true" t="shared" si="0" ref="J9:J36">+I9-D9</f>
        <v>-311.46</v>
      </c>
      <c r="K9" s="89"/>
      <c r="L9"/>
      <c r="M9"/>
      <c r="N9"/>
      <c r="O9"/>
    </row>
    <row r="10" spans="1:15" ht="13.5" customHeight="1">
      <c r="A10" s="85" t="s">
        <v>56</v>
      </c>
      <c r="B10" s="86">
        <v>0</v>
      </c>
      <c r="C10" s="87">
        <v>0</v>
      </c>
      <c r="D10" s="86"/>
      <c r="E10" s="88"/>
      <c r="F10" s="89"/>
      <c r="G10" s="90">
        <v>0</v>
      </c>
      <c r="H10" s="91">
        <v>0</v>
      </c>
      <c r="I10" s="84">
        <v>0</v>
      </c>
      <c r="J10" s="88">
        <f t="shared" si="0"/>
        <v>0</v>
      </c>
      <c r="K10" s="89"/>
      <c r="L10"/>
      <c r="M10"/>
      <c r="N10"/>
      <c r="O10"/>
    </row>
    <row r="11" spans="1:15" ht="13.5" customHeight="1">
      <c r="A11" s="85" t="s">
        <v>57</v>
      </c>
      <c r="B11" s="86">
        <v>0</v>
      </c>
      <c r="C11" s="87">
        <v>0</v>
      </c>
      <c r="D11" s="86"/>
      <c r="E11" s="88"/>
      <c r="F11" s="89"/>
      <c r="G11" s="90">
        <v>0</v>
      </c>
      <c r="H11" s="91">
        <v>0</v>
      </c>
      <c r="I11" s="84">
        <v>0</v>
      </c>
      <c r="J11" s="88">
        <f t="shared" si="0"/>
        <v>0</v>
      </c>
      <c r="K11" s="89"/>
      <c r="L11"/>
      <c r="M11"/>
      <c r="N11"/>
      <c r="O11"/>
    </row>
    <row r="12" spans="1:15" ht="13.5" customHeight="1">
      <c r="A12" s="85" t="s">
        <v>58</v>
      </c>
      <c r="B12" s="86">
        <v>123</v>
      </c>
      <c r="C12" s="87">
        <v>75.93</v>
      </c>
      <c r="D12" s="86">
        <f>0.47+108.78+10.98</f>
        <v>120.23</v>
      </c>
      <c r="E12" s="88">
        <f aca="true" t="shared" si="1" ref="E12:E36">+D12-C12</f>
        <v>44.3</v>
      </c>
      <c r="F12" s="89">
        <f>+D12/C12</f>
        <v>1.5834321085210061</v>
      </c>
      <c r="G12" s="90">
        <v>240</v>
      </c>
      <c r="H12" s="91">
        <v>0</v>
      </c>
      <c r="I12" s="84">
        <v>240</v>
      </c>
      <c r="J12" s="88">
        <f t="shared" si="0"/>
        <v>119.77</v>
      </c>
      <c r="K12" s="89">
        <f>+I12/D12</f>
        <v>1.996173999833652</v>
      </c>
      <c r="L12"/>
      <c r="M12"/>
      <c r="N12"/>
      <c r="O12"/>
    </row>
    <row r="13" spans="1:15" ht="13.5" customHeight="1">
      <c r="A13" s="92" t="s">
        <v>59</v>
      </c>
      <c r="B13" s="86">
        <v>98</v>
      </c>
      <c r="C13" s="87">
        <v>52.73</v>
      </c>
      <c r="D13" s="86">
        <v>108.78</v>
      </c>
      <c r="E13" s="88">
        <f t="shared" si="1"/>
        <v>56.050000000000004</v>
      </c>
      <c r="F13" s="89"/>
      <c r="G13" s="90">
        <v>200</v>
      </c>
      <c r="H13" s="91">
        <v>0</v>
      </c>
      <c r="I13" s="84">
        <v>200</v>
      </c>
      <c r="J13" s="88">
        <f t="shared" si="0"/>
        <v>91.22</v>
      </c>
      <c r="K13" s="89">
        <f>+I13/D13</f>
        <v>1.8385732671446957</v>
      </c>
      <c r="L13"/>
      <c r="M13"/>
      <c r="N13"/>
      <c r="O13"/>
    </row>
    <row r="14" spans="1:15" ht="13.5" customHeight="1">
      <c r="A14" s="92" t="s">
        <v>60</v>
      </c>
      <c r="B14" s="86">
        <v>0</v>
      </c>
      <c r="C14" s="87">
        <v>0</v>
      </c>
      <c r="D14" s="86">
        <v>0</v>
      </c>
      <c r="E14" s="88">
        <f t="shared" si="1"/>
        <v>0</v>
      </c>
      <c r="F14" s="89"/>
      <c r="G14" s="90">
        <v>0</v>
      </c>
      <c r="H14" s="91">
        <v>0</v>
      </c>
      <c r="I14" s="84">
        <v>0</v>
      </c>
      <c r="J14" s="88">
        <f t="shared" si="0"/>
        <v>0</v>
      </c>
      <c r="K14" s="89"/>
      <c r="L14"/>
      <c r="M14"/>
      <c r="N14"/>
      <c r="O14"/>
    </row>
    <row r="15" spans="1:15" ht="20.25" customHeight="1">
      <c r="A15" s="92" t="s">
        <v>61</v>
      </c>
      <c r="B15" s="86">
        <v>0</v>
      </c>
      <c r="C15" s="87">
        <v>0</v>
      </c>
      <c r="D15" s="86">
        <v>0</v>
      </c>
      <c r="E15" s="88">
        <f t="shared" si="1"/>
        <v>0</v>
      </c>
      <c r="F15" s="89"/>
      <c r="G15" s="90">
        <v>0</v>
      </c>
      <c r="H15" s="91">
        <v>0</v>
      </c>
      <c r="I15" s="84">
        <v>0</v>
      </c>
      <c r="J15" s="88">
        <f t="shared" si="0"/>
        <v>0</v>
      </c>
      <c r="K15" s="89"/>
      <c r="L15"/>
      <c r="M15"/>
      <c r="N15"/>
      <c r="O15"/>
    </row>
    <row r="16" spans="1:15" ht="13.5" customHeight="1" thickBot="1">
      <c r="A16" s="93" t="s">
        <v>62</v>
      </c>
      <c r="B16" s="86">
        <v>7313</v>
      </c>
      <c r="C16" s="87">
        <v>8000</v>
      </c>
      <c r="D16" s="86">
        <v>8240</v>
      </c>
      <c r="E16" s="94">
        <f t="shared" si="1"/>
        <v>240</v>
      </c>
      <c r="F16" s="95">
        <f>+D16/C16</f>
        <v>1.03</v>
      </c>
      <c r="G16" s="96">
        <v>9102</v>
      </c>
      <c r="H16" s="97">
        <v>0</v>
      </c>
      <c r="I16" s="84">
        <v>9102</v>
      </c>
      <c r="J16" s="88">
        <f t="shared" si="0"/>
        <v>862</v>
      </c>
      <c r="K16" s="89">
        <f>+I16/D16</f>
        <v>1.1046116504854369</v>
      </c>
      <c r="L16"/>
      <c r="M16"/>
      <c r="N16"/>
      <c r="O16"/>
    </row>
    <row r="17" spans="1:15" ht="13.5" customHeight="1" thickBot="1">
      <c r="A17" s="98" t="s">
        <v>63</v>
      </c>
      <c r="B17" s="99">
        <v>7729</v>
      </c>
      <c r="C17" s="100">
        <v>8386.93</v>
      </c>
      <c r="D17" s="99">
        <f>+D12+D16+D9</f>
        <v>8671.689999999999</v>
      </c>
      <c r="E17" s="101">
        <f t="shared" si="1"/>
        <v>284.7599999999984</v>
      </c>
      <c r="F17" s="102">
        <f>+D17/C17</f>
        <v>1.0339528289850992</v>
      </c>
      <c r="G17" s="103">
        <v>9642</v>
      </c>
      <c r="H17" s="104">
        <v>0</v>
      </c>
      <c r="I17" s="105">
        <v>9642</v>
      </c>
      <c r="J17" s="88">
        <f t="shared" si="0"/>
        <v>970.3100000000013</v>
      </c>
      <c r="K17" s="89">
        <f>+I17/D17</f>
        <v>1.1118939906754048</v>
      </c>
      <c r="L17"/>
      <c r="M17"/>
      <c r="N17"/>
      <c r="O17"/>
    </row>
    <row r="18" spans="1:15" ht="13.5" customHeight="1">
      <c r="A18" s="106" t="s">
        <v>64</v>
      </c>
      <c r="B18" s="78">
        <v>897</v>
      </c>
      <c r="C18" s="79">
        <v>1110.94</v>
      </c>
      <c r="D18" s="86">
        <v>1244.58</v>
      </c>
      <c r="E18" s="80">
        <f t="shared" si="1"/>
        <v>133.63999999999987</v>
      </c>
      <c r="F18" s="107">
        <f>+D18/C18</f>
        <v>1.1202945253569048</v>
      </c>
      <c r="G18" s="82">
        <v>1300</v>
      </c>
      <c r="H18" s="83">
        <v>0</v>
      </c>
      <c r="I18" s="84">
        <v>1300</v>
      </c>
      <c r="J18" s="88">
        <f t="shared" si="0"/>
        <v>55.42000000000007</v>
      </c>
      <c r="K18" s="89">
        <f>+I18/D18</f>
        <v>1.044529078082566</v>
      </c>
      <c r="L18"/>
      <c r="M18"/>
      <c r="N18"/>
      <c r="O18"/>
    </row>
    <row r="19" spans="1:15" ht="22.5" customHeight="1">
      <c r="A19" s="92" t="s">
        <v>65</v>
      </c>
      <c r="B19" s="78">
        <v>172</v>
      </c>
      <c r="C19" s="79">
        <v>323</v>
      </c>
      <c r="D19" s="86"/>
      <c r="E19" s="88">
        <f t="shared" si="1"/>
        <v>-323</v>
      </c>
      <c r="F19" s="89">
        <f>+D19/C19</f>
        <v>0</v>
      </c>
      <c r="G19" s="82">
        <v>235</v>
      </c>
      <c r="H19" s="83">
        <v>0</v>
      </c>
      <c r="I19" s="84">
        <v>235</v>
      </c>
      <c r="J19" s="88">
        <f t="shared" si="0"/>
        <v>235</v>
      </c>
      <c r="K19" s="89"/>
      <c r="L19"/>
      <c r="M19"/>
      <c r="N19"/>
      <c r="O19"/>
    </row>
    <row r="20" spans="1:15" ht="13.5" customHeight="1">
      <c r="A20" s="85" t="s">
        <v>66</v>
      </c>
      <c r="B20" s="78">
        <v>391</v>
      </c>
      <c r="C20" s="79">
        <v>333.1</v>
      </c>
      <c r="D20" s="86">
        <v>319.86</v>
      </c>
      <c r="E20" s="88">
        <f t="shared" si="1"/>
        <v>-13.240000000000009</v>
      </c>
      <c r="F20" s="89">
        <f>+D20/C20</f>
        <v>0.9602521765235664</v>
      </c>
      <c r="G20" s="90">
        <v>430</v>
      </c>
      <c r="H20" s="91">
        <v>0</v>
      </c>
      <c r="I20" s="84">
        <v>430</v>
      </c>
      <c r="J20" s="88">
        <f t="shared" si="0"/>
        <v>110.13999999999999</v>
      </c>
      <c r="K20" s="89">
        <f>+I20/D20</f>
        <v>1.3443381479397236</v>
      </c>
      <c r="L20"/>
      <c r="M20"/>
      <c r="N20"/>
      <c r="O20"/>
    </row>
    <row r="21" spans="1:15" ht="13.5" customHeight="1">
      <c r="A21" s="92" t="s">
        <v>67</v>
      </c>
      <c r="B21" s="78">
        <v>12</v>
      </c>
      <c r="C21" s="79">
        <v>17.51</v>
      </c>
      <c r="D21" s="86">
        <v>0</v>
      </c>
      <c r="E21" s="88">
        <f t="shared" si="1"/>
        <v>-17.51</v>
      </c>
      <c r="F21" s="89"/>
      <c r="G21" s="90">
        <v>20</v>
      </c>
      <c r="H21" s="91">
        <v>0</v>
      </c>
      <c r="I21" s="84">
        <v>20</v>
      </c>
      <c r="J21" s="88">
        <f t="shared" si="0"/>
        <v>20</v>
      </c>
      <c r="K21" s="89"/>
      <c r="L21"/>
      <c r="M21"/>
      <c r="N21"/>
      <c r="O21"/>
    </row>
    <row r="22" spans="1:15" ht="13.5" customHeight="1">
      <c r="A22" s="85" t="s">
        <v>68</v>
      </c>
      <c r="B22" s="78">
        <v>0</v>
      </c>
      <c r="C22" s="79">
        <v>0</v>
      </c>
      <c r="D22" s="86">
        <v>20.11</v>
      </c>
      <c r="E22" s="88">
        <f t="shared" si="1"/>
        <v>20.11</v>
      </c>
      <c r="F22" s="89"/>
      <c r="G22" s="90">
        <v>0</v>
      </c>
      <c r="H22" s="91">
        <v>0</v>
      </c>
      <c r="I22" s="84">
        <v>0</v>
      </c>
      <c r="J22" s="88">
        <f t="shared" si="0"/>
        <v>-20.11</v>
      </c>
      <c r="K22" s="89"/>
      <c r="L22"/>
      <c r="M22"/>
      <c r="N22"/>
      <c r="O22"/>
    </row>
    <row r="23" spans="1:15" ht="13.5" customHeight="1">
      <c r="A23" s="85" t="s">
        <v>69</v>
      </c>
      <c r="B23" s="78">
        <v>401</v>
      </c>
      <c r="C23" s="79">
        <v>449</v>
      </c>
      <c r="D23" s="86">
        <f>177.86+6.55+197.64</f>
        <v>382.05</v>
      </c>
      <c r="E23" s="88">
        <f t="shared" si="1"/>
        <v>-66.94999999999999</v>
      </c>
      <c r="F23" s="89">
        <f aca="true" t="shared" si="2" ref="F23:F30">+D23/C23</f>
        <v>0.850890868596882</v>
      </c>
      <c r="G23" s="90">
        <v>448</v>
      </c>
      <c r="H23" s="91">
        <v>0</v>
      </c>
      <c r="I23" s="84">
        <v>448</v>
      </c>
      <c r="J23" s="88">
        <f t="shared" si="0"/>
        <v>65.94999999999999</v>
      </c>
      <c r="K23" s="89">
        <f aca="true" t="shared" si="3" ref="K23:K30">+I23/D23</f>
        <v>1.172621384635519</v>
      </c>
      <c r="L23"/>
      <c r="M23"/>
      <c r="N23"/>
      <c r="O23"/>
    </row>
    <row r="24" spans="1:15" ht="13.5" customHeight="1">
      <c r="A24" s="92" t="s">
        <v>70</v>
      </c>
      <c r="B24" s="78">
        <v>186</v>
      </c>
      <c r="C24" s="79">
        <v>283.21</v>
      </c>
      <c r="D24" s="86">
        <v>177.86</v>
      </c>
      <c r="E24" s="88">
        <f t="shared" si="1"/>
        <v>-105.34999999999997</v>
      </c>
      <c r="F24" s="89">
        <f t="shared" si="2"/>
        <v>0.6280145475089157</v>
      </c>
      <c r="G24" s="108">
        <v>240</v>
      </c>
      <c r="H24" s="91">
        <v>0</v>
      </c>
      <c r="I24" s="84">
        <v>240</v>
      </c>
      <c r="J24" s="88">
        <f t="shared" si="0"/>
        <v>62.139999999999986</v>
      </c>
      <c r="K24" s="89">
        <f t="shared" si="3"/>
        <v>1.3493759136399415</v>
      </c>
      <c r="L24"/>
      <c r="M24"/>
      <c r="N24"/>
      <c r="O24"/>
    </row>
    <row r="25" spans="1:15" ht="13.5" customHeight="1">
      <c r="A25" s="85" t="s">
        <v>71</v>
      </c>
      <c r="B25" s="78">
        <v>212</v>
      </c>
      <c r="C25" s="79">
        <v>164.71</v>
      </c>
      <c r="D25" s="86">
        <v>197.64</v>
      </c>
      <c r="E25" s="88">
        <f t="shared" si="1"/>
        <v>32.92999999999998</v>
      </c>
      <c r="F25" s="89">
        <f t="shared" si="2"/>
        <v>1.1999271446785258</v>
      </c>
      <c r="G25" s="108">
        <v>198</v>
      </c>
      <c r="H25" s="91">
        <v>0</v>
      </c>
      <c r="I25" s="84">
        <v>198</v>
      </c>
      <c r="J25" s="88">
        <f t="shared" si="0"/>
        <v>0.36000000000001364</v>
      </c>
      <c r="K25" s="89">
        <f t="shared" si="3"/>
        <v>1.0018214936247725</v>
      </c>
      <c r="L25"/>
      <c r="M25"/>
      <c r="N25"/>
      <c r="O25"/>
    </row>
    <row r="26" spans="1:15" ht="13.5" customHeight="1">
      <c r="A26" s="109" t="s">
        <v>72</v>
      </c>
      <c r="B26" s="78">
        <v>5878</v>
      </c>
      <c r="C26" s="79">
        <v>6294.1</v>
      </c>
      <c r="D26" s="86">
        <f>4795+1678.26+95.54</f>
        <v>6568.8</v>
      </c>
      <c r="E26" s="88">
        <f t="shared" si="1"/>
        <v>274.6999999999998</v>
      </c>
      <c r="F26" s="89">
        <f t="shared" si="2"/>
        <v>1.0436440476001334</v>
      </c>
      <c r="G26" s="90">
        <v>7261</v>
      </c>
      <c r="H26" s="91">
        <v>0</v>
      </c>
      <c r="I26" s="84">
        <v>7261</v>
      </c>
      <c r="J26" s="88">
        <f t="shared" si="0"/>
        <v>692.1999999999998</v>
      </c>
      <c r="K26" s="89">
        <f t="shared" si="3"/>
        <v>1.1053769333820485</v>
      </c>
      <c r="L26"/>
      <c r="M26"/>
      <c r="N26"/>
      <c r="O26"/>
    </row>
    <row r="27" spans="1:15" ht="13.5" customHeight="1">
      <c r="A27" s="92" t="s">
        <v>73</v>
      </c>
      <c r="B27" s="78">
        <v>4299</v>
      </c>
      <c r="C27" s="79">
        <v>4599.7</v>
      </c>
      <c r="D27" s="86">
        <v>4795</v>
      </c>
      <c r="E27" s="88">
        <f t="shared" si="1"/>
        <v>195.30000000000018</v>
      </c>
      <c r="F27" s="89">
        <f t="shared" si="2"/>
        <v>1.0424592908233146</v>
      </c>
      <c r="G27" s="108">
        <v>5300.467883211679</v>
      </c>
      <c r="H27" s="110">
        <v>0</v>
      </c>
      <c r="I27" s="84">
        <v>5300.467883211679</v>
      </c>
      <c r="J27" s="88">
        <f t="shared" si="0"/>
        <v>505.4678832116788</v>
      </c>
      <c r="K27" s="89">
        <f t="shared" si="3"/>
        <v>1.1054156169367422</v>
      </c>
      <c r="L27"/>
      <c r="M27"/>
      <c r="N27"/>
      <c r="O27"/>
    </row>
    <row r="28" spans="1:15" ht="13.5" customHeight="1">
      <c r="A28" s="109" t="s">
        <v>74</v>
      </c>
      <c r="B28" s="78">
        <v>4278</v>
      </c>
      <c r="C28" s="79">
        <v>4579</v>
      </c>
      <c r="D28" s="86">
        <v>4777</v>
      </c>
      <c r="E28" s="88">
        <f t="shared" si="1"/>
        <v>198</v>
      </c>
      <c r="F28" s="89">
        <f t="shared" si="2"/>
        <v>1.0432408822887094</v>
      </c>
      <c r="G28" s="90">
        <v>5277.56204379562</v>
      </c>
      <c r="H28" s="91">
        <v>0</v>
      </c>
      <c r="I28" s="84">
        <v>5277.56204379562</v>
      </c>
      <c r="J28" s="88">
        <f t="shared" si="0"/>
        <v>500.5620437956204</v>
      </c>
      <c r="K28" s="89">
        <f t="shared" si="3"/>
        <v>1.1047858580271344</v>
      </c>
      <c r="L28"/>
      <c r="M28"/>
      <c r="N28"/>
      <c r="O28"/>
    </row>
    <row r="29" spans="1:15" ht="13.5" customHeight="1">
      <c r="A29" s="92" t="s">
        <v>75</v>
      </c>
      <c r="B29" s="78">
        <v>21</v>
      </c>
      <c r="C29" s="79">
        <v>21</v>
      </c>
      <c r="D29" s="86">
        <v>18</v>
      </c>
      <c r="E29" s="88">
        <f t="shared" si="1"/>
        <v>-3</v>
      </c>
      <c r="F29" s="89">
        <f t="shared" si="2"/>
        <v>0.8571428571428571</v>
      </c>
      <c r="G29" s="90">
        <v>23</v>
      </c>
      <c r="H29" s="91">
        <v>0</v>
      </c>
      <c r="I29" s="84">
        <v>23</v>
      </c>
      <c r="J29" s="88">
        <f t="shared" si="0"/>
        <v>5</v>
      </c>
      <c r="K29" s="89">
        <f t="shared" si="3"/>
        <v>1.2777777777777777</v>
      </c>
      <c r="L29"/>
      <c r="M29"/>
      <c r="N29"/>
      <c r="O29"/>
    </row>
    <row r="30" spans="1:15" ht="13.5" customHeight="1">
      <c r="A30" s="92" t="s">
        <v>76</v>
      </c>
      <c r="B30" s="78">
        <v>1579</v>
      </c>
      <c r="C30" s="79">
        <v>1694.4</v>
      </c>
      <c r="D30" s="86">
        <f>1678.26+95.54</f>
        <v>1773.8</v>
      </c>
      <c r="E30" s="88">
        <f t="shared" si="1"/>
        <v>79.39999999999986</v>
      </c>
      <c r="F30" s="89">
        <f t="shared" si="2"/>
        <v>1.0468602455146363</v>
      </c>
      <c r="G30" s="90">
        <v>1960.7479562043795</v>
      </c>
      <c r="H30" s="91">
        <v>0</v>
      </c>
      <c r="I30" s="84">
        <v>1960.7479562043795</v>
      </c>
      <c r="J30" s="88">
        <f t="shared" si="0"/>
        <v>186.94795620437958</v>
      </c>
      <c r="K30" s="89">
        <f t="shared" si="3"/>
        <v>1.1053940445396209</v>
      </c>
      <c r="L30"/>
      <c r="M30"/>
      <c r="N30"/>
      <c r="O30"/>
    </row>
    <row r="31" spans="1:15" ht="13.5" customHeight="1">
      <c r="A31" s="109" t="s">
        <v>77</v>
      </c>
      <c r="B31" s="78">
        <v>0</v>
      </c>
      <c r="C31" s="79">
        <v>0</v>
      </c>
      <c r="D31" s="86">
        <v>0</v>
      </c>
      <c r="E31" s="88">
        <f t="shared" si="1"/>
        <v>0</v>
      </c>
      <c r="F31" s="89"/>
      <c r="G31" s="90">
        <v>0</v>
      </c>
      <c r="H31" s="91">
        <v>0</v>
      </c>
      <c r="I31" s="84">
        <v>0</v>
      </c>
      <c r="J31" s="88">
        <f t="shared" si="0"/>
        <v>0</v>
      </c>
      <c r="K31" s="89"/>
      <c r="L31"/>
      <c r="M31"/>
      <c r="N31"/>
      <c r="O31"/>
    </row>
    <row r="32" spans="1:15" ht="13.5" customHeight="1">
      <c r="A32" s="109" t="s">
        <v>78</v>
      </c>
      <c r="B32" s="78">
        <v>51</v>
      </c>
      <c r="C32" s="79">
        <v>54.52</v>
      </c>
      <c r="D32" s="86">
        <f>1.88+50.9</f>
        <v>52.78</v>
      </c>
      <c r="E32" s="88">
        <f t="shared" si="1"/>
        <v>-1.740000000000002</v>
      </c>
      <c r="F32" s="89">
        <f>+D32/C32</f>
        <v>0.9680851063829787</v>
      </c>
      <c r="G32" s="90">
        <v>56</v>
      </c>
      <c r="H32" s="91">
        <v>0</v>
      </c>
      <c r="I32" s="84">
        <v>56</v>
      </c>
      <c r="J32" s="88">
        <f t="shared" si="0"/>
        <v>3.219999999999999</v>
      </c>
      <c r="K32" s="89">
        <f>+I32/D32</f>
        <v>1.0610079575596816</v>
      </c>
      <c r="L32"/>
      <c r="M32"/>
      <c r="N32"/>
      <c r="O32"/>
    </row>
    <row r="33" spans="1:15" ht="13.5" customHeight="1">
      <c r="A33" s="92" t="s">
        <v>79</v>
      </c>
      <c r="B33" s="78">
        <v>47</v>
      </c>
      <c r="C33" s="79">
        <v>67.31</v>
      </c>
      <c r="D33" s="86">
        <v>83.51</v>
      </c>
      <c r="E33" s="88">
        <f t="shared" si="1"/>
        <v>16.200000000000003</v>
      </c>
      <c r="F33" s="89">
        <f>+D33/C33</f>
        <v>1.2406774624870005</v>
      </c>
      <c r="G33" s="108">
        <v>127</v>
      </c>
      <c r="H33" s="91">
        <v>0</v>
      </c>
      <c r="I33" s="84">
        <v>127</v>
      </c>
      <c r="J33" s="88">
        <f t="shared" si="0"/>
        <v>43.489999999999995</v>
      </c>
      <c r="K33" s="89">
        <f>+I33/D33</f>
        <v>1.520775954975452</v>
      </c>
      <c r="L33"/>
      <c r="M33"/>
      <c r="N33"/>
      <c r="O33"/>
    </row>
    <row r="34" spans="1:15" ht="20.25" customHeight="1">
      <c r="A34" s="92" t="s">
        <v>80</v>
      </c>
      <c r="B34" s="78">
        <v>47</v>
      </c>
      <c r="C34" s="79">
        <v>67</v>
      </c>
      <c r="D34" s="86">
        <v>83.51</v>
      </c>
      <c r="E34" s="88">
        <f t="shared" si="1"/>
        <v>16.510000000000005</v>
      </c>
      <c r="F34" s="89">
        <f>+D34/C34</f>
        <v>1.2464179104477613</v>
      </c>
      <c r="G34" s="108">
        <v>127</v>
      </c>
      <c r="H34" s="91">
        <v>0</v>
      </c>
      <c r="I34" s="84">
        <v>127</v>
      </c>
      <c r="J34" s="88">
        <f t="shared" si="0"/>
        <v>43.489999999999995</v>
      </c>
      <c r="K34" s="89">
        <f>+I34/D34</f>
        <v>1.520775954975452</v>
      </c>
      <c r="L34"/>
      <c r="M34"/>
      <c r="N34"/>
      <c r="O34"/>
    </row>
    <row r="35" spans="1:15" ht="13.5" customHeight="1" thickBot="1">
      <c r="A35" s="111" t="s">
        <v>81</v>
      </c>
      <c r="B35" s="290">
        <v>0</v>
      </c>
      <c r="C35" s="291">
        <v>0</v>
      </c>
      <c r="D35" s="292">
        <v>0</v>
      </c>
      <c r="E35" s="293">
        <f t="shared" si="1"/>
        <v>0</v>
      </c>
      <c r="F35" s="294"/>
      <c r="G35" s="295">
        <v>0</v>
      </c>
      <c r="H35" s="296">
        <v>0</v>
      </c>
      <c r="I35" s="297">
        <v>0</v>
      </c>
      <c r="J35" s="293">
        <f t="shared" si="0"/>
        <v>0</v>
      </c>
      <c r="K35" s="294"/>
      <c r="L35"/>
      <c r="M35"/>
      <c r="N35"/>
      <c r="O35"/>
    </row>
    <row r="36" spans="1:15" ht="13.5" customHeight="1" thickBot="1">
      <c r="A36" s="115" t="s">
        <v>82</v>
      </c>
      <c r="B36" s="283">
        <v>7677</v>
      </c>
      <c r="C36" s="284">
        <v>8326.48</v>
      </c>
      <c r="D36" s="285">
        <f>SUM(D18+D20+D21+D22+D23+D26+D31+D32+D33+D35)</f>
        <v>8671.69</v>
      </c>
      <c r="E36" s="286">
        <f t="shared" si="1"/>
        <v>345.21000000000095</v>
      </c>
      <c r="F36" s="287">
        <f>+D36/C36</f>
        <v>1.0414592961251334</v>
      </c>
      <c r="G36" s="285">
        <v>9642</v>
      </c>
      <c r="H36" s="288">
        <v>0</v>
      </c>
      <c r="I36" s="289">
        <v>9642</v>
      </c>
      <c r="J36" s="286">
        <f t="shared" si="0"/>
        <v>970.3099999999995</v>
      </c>
      <c r="K36" s="287"/>
      <c r="L36"/>
      <c r="M36"/>
      <c r="N36"/>
      <c r="O36"/>
    </row>
    <row r="37" spans="1:15" ht="16.5" customHeight="1" thickBot="1">
      <c r="A37" s="98" t="s">
        <v>83</v>
      </c>
      <c r="B37" s="112">
        <f>+B17-B36</f>
        <v>52</v>
      </c>
      <c r="C37" s="113">
        <f>+C17-C36</f>
        <v>60.45000000000073</v>
      </c>
      <c r="D37" s="113">
        <f>+D17-D36</f>
        <v>0</v>
      </c>
      <c r="E37" s="415"/>
      <c r="F37" s="416"/>
      <c r="G37" s="411">
        <f>+I17-I36</f>
        <v>0</v>
      </c>
      <c r="H37" s="381"/>
      <c r="I37" s="412"/>
      <c r="J37" s="415"/>
      <c r="K37" s="416"/>
      <c r="L37"/>
      <c r="M37"/>
      <c r="N37"/>
      <c r="O37"/>
    </row>
    <row r="38" spans="1:15" ht="16.5" customHeight="1" thickBot="1">
      <c r="A38" s="114" t="s">
        <v>84</v>
      </c>
      <c r="B38" s="112">
        <v>0</v>
      </c>
      <c r="C38" s="113">
        <v>0</v>
      </c>
      <c r="D38" s="113">
        <v>0</v>
      </c>
      <c r="E38"/>
      <c r="F38"/>
      <c r="G38"/>
      <c r="H38"/>
      <c r="I38"/>
      <c r="J38"/>
      <c r="K38"/>
      <c r="L38"/>
      <c r="M38"/>
      <c r="N38"/>
      <c r="O38"/>
    </row>
    <row r="39" spans="1:15" ht="15.75" customHeight="1" thickBot="1">
      <c r="A39" s="115" t="s">
        <v>85</v>
      </c>
      <c r="B39" s="112"/>
      <c r="C39" s="113">
        <v>0</v>
      </c>
      <c r="D39" s="113">
        <v>0</v>
      </c>
      <c r="E39"/>
      <c r="F39"/>
      <c r="G39"/>
      <c r="H39"/>
      <c r="I39"/>
      <c r="J39"/>
      <c r="K39"/>
      <c r="L39"/>
      <c r="M39"/>
      <c r="N39"/>
      <c r="O39"/>
    </row>
    <row r="40" spans="2:8" ht="6.75" customHeight="1">
      <c r="B40" s="1"/>
      <c r="C40" s="1"/>
      <c r="D40" s="116"/>
      <c r="E40" s="1"/>
      <c r="F40" s="1"/>
      <c r="G40" s="1"/>
      <c r="H40" s="1"/>
    </row>
    <row r="41" spans="1:15" s="119" customFormat="1" ht="8.25" customHeight="1" thickBot="1">
      <c r="A41" s="117"/>
      <c r="B41" s="117"/>
      <c r="C41" s="117"/>
      <c r="D41" s="117"/>
      <c r="E41" s="117"/>
      <c r="F41" s="117"/>
      <c r="G41" s="117"/>
      <c r="H41" s="117"/>
      <c r="I41" s="118"/>
      <c r="J41" s="118"/>
      <c r="K41" s="118"/>
      <c r="L41" s="118"/>
      <c r="M41" s="118"/>
      <c r="N41" s="118"/>
      <c r="O41" s="118"/>
    </row>
    <row r="42" spans="1:4" s="119" customFormat="1" ht="18" customHeight="1">
      <c r="A42" s="417" t="s">
        <v>86</v>
      </c>
      <c r="B42" s="418"/>
      <c r="C42" s="419"/>
      <c r="D42" s="423" t="s">
        <v>87</v>
      </c>
    </row>
    <row r="43" spans="1:4" s="120" customFormat="1" ht="27" customHeight="1" thickBot="1">
      <c r="A43" s="420"/>
      <c r="B43" s="421"/>
      <c r="C43" s="422"/>
      <c r="D43" s="424"/>
    </row>
    <row r="44" spans="1:4" s="120" customFormat="1" ht="13.5" customHeight="1">
      <c r="A44" s="391" t="s">
        <v>90</v>
      </c>
      <c r="B44" s="392"/>
      <c r="C44" s="393"/>
      <c r="D44" s="121">
        <v>37</v>
      </c>
    </row>
    <row r="45" spans="1:4" s="118" customFormat="1" ht="12.75">
      <c r="A45" s="394" t="s">
        <v>92</v>
      </c>
      <c r="B45" s="395"/>
      <c r="C45" s="396"/>
      <c r="D45" s="121">
        <v>56</v>
      </c>
    </row>
    <row r="46" spans="1:4" s="118" customFormat="1" ht="5.25" customHeight="1" thickBot="1">
      <c r="A46" s="397"/>
      <c r="B46" s="398"/>
      <c r="C46" s="399"/>
      <c r="D46" s="121"/>
    </row>
    <row r="47" spans="1:4" s="119" customFormat="1" ht="13.5" thickBot="1">
      <c r="A47" s="122" t="s">
        <v>47</v>
      </c>
      <c r="B47" s="123"/>
      <c r="C47" s="123"/>
      <c r="D47" s="57">
        <f>SUM(D44:D46)</f>
        <v>93</v>
      </c>
    </row>
    <row r="48" spans="1:7" s="119" customFormat="1" ht="6.75" customHeight="1">
      <c r="A48" s="1"/>
      <c r="B48" s="1"/>
      <c r="C48" s="1"/>
      <c r="D48" s="1"/>
      <c r="E48" s="1"/>
      <c r="F48"/>
      <c r="G48"/>
    </row>
    <row r="49" spans="8:15" ht="6.75" customHeight="1">
      <c r="H49" s="1"/>
      <c r="M49"/>
      <c r="N49"/>
      <c r="O49"/>
    </row>
    <row r="50" spans="13:14" ht="3" customHeight="1" thickBot="1">
      <c r="M50"/>
      <c r="N50"/>
    </row>
    <row r="51" spans="1:14" s="124" customFormat="1" ht="17.25" customHeight="1">
      <c r="A51" s="405" t="s">
        <v>95</v>
      </c>
      <c r="B51" s="356" t="s">
        <v>206</v>
      </c>
      <c r="C51" s="387" t="s">
        <v>96</v>
      </c>
      <c r="D51" s="351"/>
      <c r="E51" s="351"/>
      <c r="F51" s="351"/>
      <c r="G51" s="351"/>
      <c r="H51" s="352"/>
      <c r="I51" s="384" t="s">
        <v>207</v>
      </c>
      <c r="J51" s="1"/>
      <c r="K51" s="1"/>
      <c r="L51" s="1"/>
      <c r="M51" s="1"/>
      <c r="N51" s="1"/>
    </row>
    <row r="52" spans="1:14" s="124" customFormat="1" ht="17.25" customHeight="1">
      <c r="A52" s="406"/>
      <c r="B52" s="350"/>
      <c r="C52" s="353" t="s">
        <v>97</v>
      </c>
      <c r="D52" s="408" t="s">
        <v>98</v>
      </c>
      <c r="E52" s="409"/>
      <c r="F52" s="409"/>
      <c r="G52" s="409"/>
      <c r="H52" s="410"/>
      <c r="I52" s="385"/>
      <c r="J52" s="1"/>
      <c r="K52" s="1"/>
      <c r="L52" s="1"/>
      <c r="M52" s="1"/>
      <c r="N52" s="1"/>
    </row>
    <row r="53" spans="1:14" s="124" customFormat="1" ht="11.25" customHeight="1" thickBot="1">
      <c r="A53" s="407"/>
      <c r="B53" s="388"/>
      <c r="C53" s="354"/>
      <c r="D53" s="125">
        <v>1</v>
      </c>
      <c r="E53" s="125">
        <v>2</v>
      </c>
      <c r="F53" s="125">
        <v>3</v>
      </c>
      <c r="G53" s="125">
        <v>4</v>
      </c>
      <c r="H53" s="125">
        <v>5</v>
      </c>
      <c r="I53" s="386"/>
      <c r="J53" s="126"/>
      <c r="K53" s="126"/>
      <c r="L53" s="126"/>
      <c r="M53" s="126"/>
      <c r="N53" s="126"/>
    </row>
    <row r="54" spans="1:14" s="124" customFormat="1" ht="17.25" customHeight="1" thickBot="1">
      <c r="A54" s="127">
        <v>6256</v>
      </c>
      <c r="B54" s="128">
        <v>1464</v>
      </c>
      <c r="C54" s="129">
        <f>SUM(D54:H54)</f>
        <v>127</v>
      </c>
      <c r="D54" s="128">
        <v>51</v>
      </c>
      <c r="E54" s="128">
        <v>20</v>
      </c>
      <c r="F54" s="128">
        <v>0</v>
      </c>
      <c r="G54" s="128">
        <v>8</v>
      </c>
      <c r="H54" s="128">
        <v>48</v>
      </c>
      <c r="I54" s="130">
        <f>+A54-B54-C54</f>
        <v>4665</v>
      </c>
      <c r="J54" s="1"/>
      <c r="K54" s="1"/>
      <c r="L54" s="1"/>
      <c r="M54" s="1"/>
      <c r="N54" s="1"/>
    </row>
    <row r="55" ht="10.5" customHeight="1" thickBot="1"/>
    <row r="56" spans="1:12" ht="12.75" customHeight="1">
      <c r="A56" s="372" t="s">
        <v>99</v>
      </c>
      <c r="B56" s="374" t="s">
        <v>100</v>
      </c>
      <c r="C56" s="376" t="s">
        <v>101</v>
      </c>
      <c r="D56" s="377"/>
      <c r="E56" s="377"/>
      <c r="F56" s="378"/>
      <c r="G56" s="374" t="s">
        <v>102</v>
      </c>
      <c r="H56" s="389" t="s">
        <v>103</v>
      </c>
      <c r="I56" s="357" t="s">
        <v>104</v>
      </c>
      <c r="J56" s="355"/>
      <c r="K56" s="355"/>
      <c r="L56" s="358"/>
    </row>
    <row r="57" spans="1:12" ht="18.75" thickBot="1">
      <c r="A57" s="373"/>
      <c r="B57" s="375"/>
      <c r="C57" s="131" t="s">
        <v>105</v>
      </c>
      <c r="D57" s="132" t="s">
        <v>106</v>
      </c>
      <c r="E57" s="132" t="s">
        <v>107</v>
      </c>
      <c r="F57" s="133" t="s">
        <v>108</v>
      </c>
      <c r="G57" s="379"/>
      <c r="H57" s="390"/>
      <c r="I57" s="131" t="s">
        <v>109</v>
      </c>
      <c r="J57" s="132" t="s">
        <v>106</v>
      </c>
      <c r="K57" s="132" t="s">
        <v>107</v>
      </c>
      <c r="L57" s="133" t="s">
        <v>110</v>
      </c>
    </row>
    <row r="58" spans="1:12" ht="12.75">
      <c r="A58" s="134" t="s">
        <v>111</v>
      </c>
      <c r="B58" s="135">
        <v>1178.43</v>
      </c>
      <c r="C58" s="136" t="s">
        <v>112</v>
      </c>
      <c r="D58" s="137" t="s">
        <v>112</v>
      </c>
      <c r="E58" s="137" t="s">
        <v>112</v>
      </c>
      <c r="F58" s="138" t="s">
        <v>112</v>
      </c>
      <c r="G58" s="139">
        <v>869.9</v>
      </c>
      <c r="H58" s="140" t="s">
        <v>112</v>
      </c>
      <c r="I58" s="136" t="s">
        <v>112</v>
      </c>
      <c r="J58" s="137" t="s">
        <v>112</v>
      </c>
      <c r="K58" s="137" t="s">
        <v>112</v>
      </c>
      <c r="L58" s="138" t="s">
        <v>112</v>
      </c>
    </row>
    <row r="59" spans="1:12" ht="12.75">
      <c r="A59" s="141" t="s">
        <v>113</v>
      </c>
      <c r="B59" s="142">
        <f>+C59</f>
        <v>52</v>
      </c>
      <c r="C59" s="143">
        <v>52</v>
      </c>
      <c r="D59" s="144">
        <v>0</v>
      </c>
      <c r="E59" s="144">
        <v>52</v>
      </c>
      <c r="F59" s="145">
        <f>+C59+D59-E59</f>
        <v>0</v>
      </c>
      <c r="G59" s="146">
        <v>0</v>
      </c>
      <c r="H59" s="147">
        <f>+G59-F59</f>
        <v>0</v>
      </c>
      <c r="I59" s="143">
        <v>0</v>
      </c>
      <c r="J59" s="144">
        <v>0</v>
      </c>
      <c r="K59" s="144">
        <v>0</v>
      </c>
      <c r="L59" s="145">
        <f>+I59+J59-K59</f>
        <v>0</v>
      </c>
    </row>
    <row r="60" spans="1:12" ht="12.75">
      <c r="A60" s="141" t="s">
        <v>114</v>
      </c>
      <c r="B60" s="142">
        <f>+C60</f>
        <v>564</v>
      </c>
      <c r="C60" s="143">
        <v>564</v>
      </c>
      <c r="D60" s="144">
        <v>238</v>
      </c>
      <c r="E60" s="144">
        <v>57</v>
      </c>
      <c r="F60" s="145">
        <f>+C60+D60-E60</f>
        <v>745</v>
      </c>
      <c r="G60" s="146">
        <f>+I60</f>
        <v>745</v>
      </c>
      <c r="H60" s="147">
        <f>+G60-F60</f>
        <v>0</v>
      </c>
      <c r="I60" s="143">
        <v>745</v>
      </c>
      <c r="J60" s="144">
        <v>50</v>
      </c>
      <c r="K60" s="144">
        <v>300</v>
      </c>
      <c r="L60" s="145">
        <f>+I60+J60-K60</f>
        <v>495</v>
      </c>
    </row>
    <row r="61" spans="1:12" ht="12.75">
      <c r="A61" s="141" t="s">
        <v>115</v>
      </c>
      <c r="B61" s="142">
        <f>+B58-B59-B60-B62</f>
        <v>463.43000000000006</v>
      </c>
      <c r="C61" s="136" t="s">
        <v>112</v>
      </c>
      <c r="D61" s="137" t="s">
        <v>112</v>
      </c>
      <c r="E61" s="137" t="s">
        <v>112</v>
      </c>
      <c r="F61" s="138" t="s">
        <v>112</v>
      </c>
      <c r="G61" s="146">
        <f>+G58-G60-G62</f>
        <v>37.89999999999998</v>
      </c>
      <c r="H61" s="148"/>
      <c r="I61" s="136" t="s">
        <v>112</v>
      </c>
      <c r="J61" s="137" t="s">
        <v>112</v>
      </c>
      <c r="K61" s="137" t="s">
        <v>112</v>
      </c>
      <c r="L61" s="138" t="s">
        <v>112</v>
      </c>
    </row>
    <row r="62" spans="1:12" ht="12.75">
      <c r="A62" s="141" t="s">
        <v>116</v>
      </c>
      <c r="B62" s="142">
        <f>+C62</f>
        <v>99</v>
      </c>
      <c r="C62" s="143">
        <v>99</v>
      </c>
      <c r="D62" s="144">
        <v>530</v>
      </c>
      <c r="E62" s="144">
        <v>542</v>
      </c>
      <c r="F62" s="145">
        <f>+C62+D62-E62</f>
        <v>87</v>
      </c>
      <c r="G62" s="146">
        <f>+F62</f>
        <v>87</v>
      </c>
      <c r="H62" s="147">
        <f>+G62-F62</f>
        <v>0</v>
      </c>
      <c r="I62" s="149">
        <v>87</v>
      </c>
      <c r="J62" s="150">
        <v>127</v>
      </c>
      <c r="K62" s="150">
        <v>93</v>
      </c>
      <c r="L62" s="145">
        <f>+I62+J62-K62</f>
        <v>121</v>
      </c>
    </row>
    <row r="63" spans="1:12" ht="13.5" thickBot="1">
      <c r="A63" s="151" t="s">
        <v>117</v>
      </c>
      <c r="B63" s="152">
        <v>17.02</v>
      </c>
      <c r="C63" s="153">
        <v>28</v>
      </c>
      <c r="D63" s="154">
        <v>97</v>
      </c>
      <c r="E63" s="154">
        <v>125</v>
      </c>
      <c r="F63" s="155">
        <f>+C63+D63-E63</f>
        <v>0</v>
      </c>
      <c r="G63" s="156">
        <v>18.59</v>
      </c>
      <c r="H63" s="157">
        <f>+G63-F63</f>
        <v>18.59</v>
      </c>
      <c r="I63" s="153">
        <v>283</v>
      </c>
      <c r="J63" s="154">
        <v>178</v>
      </c>
      <c r="K63" s="154">
        <v>150</v>
      </c>
      <c r="L63" s="155">
        <f>+I63+J63-K63</f>
        <v>311</v>
      </c>
    </row>
    <row r="64" spans="1:12" ht="9" customHeight="1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2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</row>
    <row r="66" ht="18" customHeight="1" thickBot="1">
      <c r="A66" s="3" t="s">
        <v>187</v>
      </c>
    </row>
    <row r="67" spans="1:12" ht="12.75">
      <c r="A67" s="365" t="s">
        <v>118</v>
      </c>
      <c r="B67" s="367" t="s">
        <v>47</v>
      </c>
      <c r="C67" s="369" t="s">
        <v>119</v>
      </c>
      <c r="D67" s="370"/>
      <c r="E67" s="370"/>
      <c r="F67" s="370"/>
      <c r="G67" s="370"/>
      <c r="H67" s="371"/>
      <c r="I67" s="159"/>
      <c r="J67"/>
      <c r="K67"/>
      <c r="L67"/>
    </row>
    <row r="68" spans="1:12" ht="12.75">
      <c r="A68" s="366"/>
      <c r="B68" s="368"/>
      <c r="C68" s="160" t="s">
        <v>120</v>
      </c>
      <c r="D68" s="161" t="s">
        <v>121</v>
      </c>
      <c r="E68" s="161" t="s">
        <v>122</v>
      </c>
      <c r="F68" s="161" t="s">
        <v>123</v>
      </c>
      <c r="G68" s="162" t="s">
        <v>124</v>
      </c>
      <c r="H68" s="163" t="s">
        <v>97</v>
      </c>
      <c r="I68" s="159"/>
      <c r="J68"/>
      <c r="K68"/>
      <c r="L68"/>
    </row>
    <row r="69" spans="1:15" s="120" customFormat="1" ht="24" customHeight="1">
      <c r="A69" s="164" t="s">
        <v>125</v>
      </c>
      <c r="B69" s="165">
        <v>322.72</v>
      </c>
      <c r="C69" s="166">
        <v>0</v>
      </c>
      <c r="D69" s="166">
        <v>0</v>
      </c>
      <c r="E69" s="166">
        <v>0</v>
      </c>
      <c r="F69" s="166">
        <v>0</v>
      </c>
      <c r="G69" s="165">
        <v>0</v>
      </c>
      <c r="H69" s="167">
        <f>SUM(C69:G69)</f>
        <v>0</v>
      </c>
      <c r="I69" s="168"/>
      <c r="M69" s="126"/>
      <c r="N69" s="126"/>
      <c r="O69" s="126"/>
    </row>
    <row r="70" spans="1:15" s="120" customFormat="1" ht="19.5" customHeight="1" thickBot="1">
      <c r="A70" s="51" t="s">
        <v>126</v>
      </c>
      <c r="B70" s="169">
        <v>0</v>
      </c>
      <c r="C70" s="170">
        <v>0</v>
      </c>
      <c r="D70" s="170">
        <v>0</v>
      </c>
      <c r="E70" s="170">
        <v>0</v>
      </c>
      <c r="F70" s="170">
        <v>0</v>
      </c>
      <c r="G70" s="169">
        <v>0</v>
      </c>
      <c r="H70" s="171">
        <f>SUM(C70:G70)</f>
        <v>0</v>
      </c>
      <c r="I70" s="168"/>
      <c r="M70" s="126"/>
      <c r="N70" s="126"/>
      <c r="O70" s="126"/>
    </row>
    <row r="71" ht="13.5" customHeight="1" thickBot="1"/>
    <row r="72" spans="1:12" ht="21" customHeight="1" thickBot="1">
      <c r="A72" s="400" t="s">
        <v>127</v>
      </c>
      <c r="B72" s="380">
        <v>2003</v>
      </c>
      <c r="C72" s="381"/>
      <c r="D72" s="381"/>
      <c r="E72" s="381"/>
      <c r="F72" s="381"/>
      <c r="G72" s="382"/>
      <c r="H72" s="383"/>
      <c r="J72" s="172" t="s">
        <v>128</v>
      </c>
      <c r="K72" s="173">
        <v>2004</v>
      </c>
      <c r="L72" s="174">
        <v>2005</v>
      </c>
    </row>
    <row r="73" spans="1:12" ht="19.5" customHeight="1" thickBot="1">
      <c r="A73" s="404"/>
      <c r="B73" s="175" t="s">
        <v>129</v>
      </c>
      <c r="C73" s="175" t="s">
        <v>130</v>
      </c>
      <c r="D73" s="175" t="s">
        <v>131</v>
      </c>
      <c r="E73" s="175" t="s">
        <v>132</v>
      </c>
      <c r="F73" s="175" t="s">
        <v>133</v>
      </c>
      <c r="G73" s="176" t="s">
        <v>134</v>
      </c>
      <c r="H73" s="177" t="s">
        <v>97</v>
      </c>
      <c r="J73" s="178" t="s">
        <v>135</v>
      </c>
      <c r="K73" s="179">
        <v>45</v>
      </c>
      <c r="L73" s="180">
        <v>45</v>
      </c>
    </row>
    <row r="74" spans="1:15" s="120" customFormat="1" ht="13.5" thickBot="1">
      <c r="A74" s="181" t="s">
        <v>136</v>
      </c>
      <c r="B74" s="182">
        <v>47057</v>
      </c>
      <c r="C74" s="183">
        <v>2661891</v>
      </c>
      <c r="D74" s="183">
        <v>302914</v>
      </c>
      <c r="E74" s="183"/>
      <c r="F74" s="183">
        <v>421928</v>
      </c>
      <c r="G74" s="184">
        <v>844210</v>
      </c>
      <c r="H74" s="185">
        <f>SUM(B74:G74)</f>
        <v>4278000</v>
      </c>
      <c r="I74" s="126"/>
      <c r="J74" s="126"/>
      <c r="K74" s="126"/>
      <c r="L74" s="126"/>
      <c r="M74" s="126"/>
      <c r="N74" s="126"/>
      <c r="O74" s="126"/>
    </row>
    <row r="75" spans="1:8" ht="14.25" thickBot="1" thickTop="1">
      <c r="A75" s="186" t="s">
        <v>137</v>
      </c>
      <c r="B75" s="187">
        <v>0.2</v>
      </c>
      <c r="C75" s="188">
        <v>12.82</v>
      </c>
      <c r="D75" s="188">
        <v>2.2</v>
      </c>
      <c r="E75" s="188"/>
      <c r="F75" s="188">
        <v>2</v>
      </c>
      <c r="G75" s="189">
        <v>6.9</v>
      </c>
      <c r="H75" s="190">
        <f>SUM(B75:G75)</f>
        <v>24.119999999999997</v>
      </c>
    </row>
    <row r="76" spans="1:8" ht="13.5" thickBot="1">
      <c r="A76" s="103" t="s">
        <v>138</v>
      </c>
      <c r="B76" s="191">
        <f>+B74/B75/12</f>
        <v>19607.083333333332</v>
      </c>
      <c r="C76" s="192">
        <f>+C74/C75/12</f>
        <v>17302.983619344774</v>
      </c>
      <c r="D76" s="193">
        <f>+D74/D75/12</f>
        <v>11474.01515151515</v>
      </c>
      <c r="E76" s="192"/>
      <c r="F76" s="193">
        <f>+F74/F75/12</f>
        <v>17580.333333333332</v>
      </c>
      <c r="G76" s="194">
        <f>+G74/G75/12</f>
        <v>10195.772946859903</v>
      </c>
      <c r="H76" s="195">
        <f>+H74/H75/12</f>
        <v>14780.265339966834</v>
      </c>
    </row>
    <row r="77" spans="1:8" ht="3.75" customHeight="1" thickBot="1">
      <c r="A77" s="196"/>
      <c r="B77" s="2"/>
      <c r="C77" s="2"/>
      <c r="D77" s="2"/>
      <c r="E77" s="2"/>
      <c r="F77" s="2"/>
      <c r="G77" s="2"/>
      <c r="H77" s="2"/>
    </row>
    <row r="78" spans="1:8" ht="13.5" thickBot="1">
      <c r="A78" s="400" t="s">
        <v>127</v>
      </c>
      <c r="B78" s="380">
        <v>2004</v>
      </c>
      <c r="C78" s="381"/>
      <c r="D78" s="381"/>
      <c r="E78" s="381"/>
      <c r="F78" s="381"/>
      <c r="G78" s="382"/>
      <c r="H78" s="383"/>
    </row>
    <row r="79" spans="1:8" ht="35.25" customHeight="1" thickBot="1">
      <c r="A79" s="404"/>
      <c r="B79" s="197" t="s">
        <v>139</v>
      </c>
      <c r="C79" s="197" t="s">
        <v>140</v>
      </c>
      <c r="D79" s="197" t="s">
        <v>141</v>
      </c>
      <c r="E79" s="197" t="s">
        <v>142</v>
      </c>
      <c r="F79" s="197" t="s">
        <v>133</v>
      </c>
      <c r="G79" s="198" t="s">
        <v>134</v>
      </c>
      <c r="H79" s="199" t="s">
        <v>97</v>
      </c>
    </row>
    <row r="80" spans="1:8" ht="13.5" thickBot="1">
      <c r="A80" s="181" t="s">
        <v>136</v>
      </c>
      <c r="B80" s="182">
        <v>56410</v>
      </c>
      <c r="C80" s="183">
        <v>2766838</v>
      </c>
      <c r="D80" s="183">
        <v>54582</v>
      </c>
      <c r="E80" s="183">
        <v>135911</v>
      </c>
      <c r="F80" s="183">
        <v>664886</v>
      </c>
      <c r="G80" s="184">
        <v>900087</v>
      </c>
      <c r="H80" s="185">
        <f>SUM(B80:G80)</f>
        <v>4578714</v>
      </c>
    </row>
    <row r="81" spans="1:8" ht="14.25" thickBot="1" thickTop="1">
      <c r="A81" s="186" t="s">
        <v>137</v>
      </c>
      <c r="B81" s="187">
        <v>0.33</v>
      </c>
      <c r="C81" s="188">
        <v>13.05</v>
      </c>
      <c r="D81" s="188">
        <v>0.2</v>
      </c>
      <c r="E81" s="188">
        <v>1.02</v>
      </c>
      <c r="F81" s="188">
        <v>2.67</v>
      </c>
      <c r="G81" s="189">
        <v>6.93</v>
      </c>
      <c r="H81" s="190">
        <f>SUM(B81:G81)</f>
        <v>24.2</v>
      </c>
    </row>
    <row r="82" spans="1:8" ht="13.5" thickBot="1">
      <c r="A82" s="103" t="s">
        <v>138</v>
      </c>
      <c r="B82" s="191">
        <f aca="true" t="shared" si="4" ref="B82:H82">+B80/B81/12</f>
        <v>14244.949494949493</v>
      </c>
      <c r="C82" s="192">
        <f t="shared" si="4"/>
        <v>17668.186462324393</v>
      </c>
      <c r="D82" s="192">
        <f t="shared" si="4"/>
        <v>22742.5</v>
      </c>
      <c r="E82" s="192">
        <f t="shared" si="4"/>
        <v>11103.839869281046</v>
      </c>
      <c r="F82" s="192">
        <f t="shared" si="4"/>
        <v>20751.74781523096</v>
      </c>
      <c r="G82" s="200">
        <f t="shared" si="4"/>
        <v>10823.556998556998</v>
      </c>
      <c r="H82" s="195">
        <f t="shared" si="4"/>
        <v>15766.921487603306</v>
      </c>
    </row>
    <row r="83" ht="5.25" customHeight="1" thickBot="1">
      <c r="A83"/>
    </row>
    <row r="84" spans="1:8" ht="13.5" thickBot="1">
      <c r="A84" s="400" t="s">
        <v>127</v>
      </c>
      <c r="B84" s="380">
        <v>2005</v>
      </c>
      <c r="C84" s="381"/>
      <c r="D84" s="381"/>
      <c r="E84" s="381"/>
      <c r="F84" s="381"/>
      <c r="G84" s="402"/>
      <c r="H84" s="403"/>
    </row>
    <row r="85" spans="1:8" ht="36.75" thickBot="1">
      <c r="A85" s="401"/>
      <c r="B85" s="197" t="s">
        <v>139</v>
      </c>
      <c r="C85" s="197" t="s">
        <v>140</v>
      </c>
      <c r="D85" s="197" t="s">
        <v>141</v>
      </c>
      <c r="E85" s="197" t="s">
        <v>142</v>
      </c>
      <c r="F85" s="197" t="s">
        <v>133</v>
      </c>
      <c r="G85" s="198" t="s">
        <v>134</v>
      </c>
      <c r="H85" s="199" t="s">
        <v>97</v>
      </c>
    </row>
    <row r="86" spans="1:8" ht="13.5" thickBot="1">
      <c r="A86" s="201" t="s">
        <v>136</v>
      </c>
      <c r="B86" s="182">
        <v>36045</v>
      </c>
      <c r="C86" s="183">
        <f>2380514</f>
        <v>2380514</v>
      </c>
      <c r="D86" s="183">
        <v>186596</v>
      </c>
      <c r="E86" s="184">
        <v>756138</v>
      </c>
      <c r="F86" s="183">
        <v>578070</v>
      </c>
      <c r="G86" s="184">
        <v>839637</v>
      </c>
      <c r="H86" s="185">
        <f>+C86+D86+E86+F86+G86+B86</f>
        <v>4777000</v>
      </c>
    </row>
    <row r="87" spans="1:8" ht="14.25" thickBot="1" thickTop="1">
      <c r="A87" s="202" t="s">
        <v>137</v>
      </c>
      <c r="B87" s="203">
        <v>0.2</v>
      </c>
      <c r="C87" s="204">
        <v>10.93</v>
      </c>
      <c r="D87" s="204">
        <v>1</v>
      </c>
      <c r="E87" s="205">
        <v>5.15</v>
      </c>
      <c r="F87" s="204">
        <v>2</v>
      </c>
      <c r="G87" s="205">
        <v>6.99</v>
      </c>
      <c r="H87" s="190">
        <f>+C87+D87+E87+F87+G87+B87</f>
        <v>26.27</v>
      </c>
    </row>
    <row r="88" spans="1:8" ht="13.5" thickBot="1">
      <c r="A88" s="206" t="s">
        <v>138</v>
      </c>
      <c r="B88" s="191">
        <f>+B86/12/B87</f>
        <v>15018.75</v>
      </c>
      <c r="C88" s="192">
        <f aca="true" t="shared" si="5" ref="C88:H88">+C86/C87/12</f>
        <v>18149.695028972248</v>
      </c>
      <c r="D88" s="192">
        <f t="shared" si="5"/>
        <v>15549.666666666666</v>
      </c>
      <c r="E88" s="192">
        <f t="shared" si="5"/>
        <v>12235.242718446601</v>
      </c>
      <c r="F88" s="192">
        <f t="shared" si="5"/>
        <v>24086.25</v>
      </c>
      <c r="G88" s="200">
        <f t="shared" si="5"/>
        <v>10009.978540772532</v>
      </c>
      <c r="H88" s="195">
        <f t="shared" si="5"/>
        <v>15153.533815505647</v>
      </c>
    </row>
    <row r="89" ht="12.75">
      <c r="A89"/>
    </row>
    <row r="91" ht="19.5" customHeight="1">
      <c r="H91" s="1"/>
    </row>
    <row r="92" spans="4:15" s="120" customFormat="1" ht="17.25" customHeight="1">
      <c r="D92" s="124"/>
      <c r="E92" s="124"/>
      <c r="F92" s="124"/>
      <c r="G92" s="124"/>
      <c r="H92" s="126"/>
      <c r="I92" s="126"/>
      <c r="J92" s="126"/>
      <c r="K92" s="126"/>
      <c r="L92" s="126"/>
      <c r="M92" s="126"/>
      <c r="N92" s="126"/>
      <c r="O92" s="126"/>
    </row>
    <row r="93" spans="4:15" s="120" customFormat="1" ht="17.25" customHeight="1">
      <c r="D93" s="124"/>
      <c r="E93" s="124"/>
      <c r="F93" s="124"/>
      <c r="G93" s="124"/>
      <c r="H93" s="124"/>
      <c r="I93" s="126"/>
      <c r="J93" s="126"/>
      <c r="K93" s="126"/>
      <c r="L93" s="126"/>
      <c r="M93" s="126"/>
      <c r="N93" s="126"/>
      <c r="O93" s="126"/>
    </row>
    <row r="94" spans="4:15" s="120" customFormat="1" ht="17.25" customHeight="1">
      <c r="D94" s="124"/>
      <c r="E94" s="124"/>
      <c r="F94" s="124"/>
      <c r="G94" s="124"/>
      <c r="H94" s="124"/>
      <c r="I94" s="126"/>
      <c r="J94" s="126"/>
      <c r="K94" s="126"/>
      <c r="L94" s="126"/>
      <c r="M94" s="126"/>
      <c r="N94" s="126"/>
      <c r="O94" s="126"/>
    </row>
  </sheetData>
  <mergeCells count="36">
    <mergeCell ref="B4:K4"/>
    <mergeCell ref="J5:K5"/>
    <mergeCell ref="C5:C7"/>
    <mergeCell ref="D5:D7"/>
    <mergeCell ref="A67:A68"/>
    <mergeCell ref="B67:B68"/>
    <mergeCell ref="C67:H67"/>
    <mergeCell ref="A56:A57"/>
    <mergeCell ref="B56:B57"/>
    <mergeCell ref="C56:F56"/>
    <mergeCell ref="G56:G57"/>
    <mergeCell ref="B72:H72"/>
    <mergeCell ref="I51:I53"/>
    <mergeCell ref="C51:H51"/>
    <mergeCell ref="C52:C53"/>
    <mergeCell ref="I56:L56"/>
    <mergeCell ref="B51:B53"/>
    <mergeCell ref="H56:H57"/>
    <mergeCell ref="A44:C44"/>
    <mergeCell ref="A45:C45"/>
    <mergeCell ref="A46:C46"/>
    <mergeCell ref="A84:A85"/>
    <mergeCell ref="B84:H84"/>
    <mergeCell ref="A78:A79"/>
    <mergeCell ref="B78:H78"/>
    <mergeCell ref="A51:A53"/>
    <mergeCell ref="D52:H52"/>
    <mergeCell ref="A72:A73"/>
    <mergeCell ref="J37:K37"/>
    <mergeCell ref="A42:C43"/>
    <mergeCell ref="E5:F5"/>
    <mergeCell ref="D42:D43"/>
    <mergeCell ref="E37:F37"/>
    <mergeCell ref="G37:I37"/>
    <mergeCell ref="A4:A7"/>
    <mergeCell ref="B5:B7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65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3:L29"/>
  <sheetViews>
    <sheetView workbookViewId="0" topLeftCell="A19">
      <selection activeCell="F27" sqref="F27"/>
    </sheetView>
  </sheetViews>
  <sheetFormatPr defaultColWidth="9.00390625" defaultRowHeight="12.75"/>
  <cols>
    <col min="1" max="1" width="24.00390625" style="1" customWidth="1"/>
    <col min="2" max="2" width="8.00390625" style="2" customWidth="1"/>
    <col min="3" max="9" width="11.625" style="0" customWidth="1"/>
    <col min="10" max="10" width="14.75390625" style="0" customWidth="1"/>
    <col min="11" max="12" width="11.625" style="0" customWidth="1"/>
  </cols>
  <sheetData>
    <row r="1" ht="5.25" customHeight="1"/>
    <row r="2" ht="3" customHeight="1"/>
    <row r="3" ht="15.75">
      <c r="A3" s="3" t="s">
        <v>0</v>
      </c>
    </row>
    <row r="4" ht="0.75" customHeight="1" thickBot="1"/>
    <row r="5" spans="1:12" ht="24.75" customHeight="1" thickBot="1">
      <c r="A5" s="442" t="s">
        <v>1</v>
      </c>
      <c r="B5" s="443"/>
      <c r="C5" s="436" t="s">
        <v>2</v>
      </c>
      <c r="D5" s="437"/>
      <c r="E5" s="437"/>
      <c r="F5" s="438"/>
      <c r="G5" s="402"/>
      <c r="H5" s="402"/>
      <c r="I5" s="402"/>
      <c r="J5" s="402"/>
      <c r="K5" s="402"/>
      <c r="L5" s="403"/>
    </row>
    <row r="6" spans="1:12" s="7" customFormat="1" ht="54.75" customHeight="1">
      <c r="A6" s="444"/>
      <c r="B6" s="445"/>
      <c r="C6" s="4" t="s">
        <v>3</v>
      </c>
      <c r="D6" s="448" t="s">
        <v>4</v>
      </c>
      <c r="E6" s="449"/>
      <c r="F6" s="450" t="s">
        <v>5</v>
      </c>
      <c r="G6" s="4" t="s">
        <v>6</v>
      </c>
      <c r="H6" s="5" t="s">
        <v>7</v>
      </c>
      <c r="I6" s="6" t="s">
        <v>8</v>
      </c>
      <c r="J6" s="4" t="s">
        <v>202</v>
      </c>
      <c r="K6" s="5" t="s">
        <v>9</v>
      </c>
      <c r="L6" s="6" t="s">
        <v>10</v>
      </c>
    </row>
    <row r="7" spans="1:12" s="1" customFormat="1" ht="16.5" customHeight="1" thickBot="1">
      <c r="A7" s="446"/>
      <c r="B7" s="447"/>
      <c r="C7" s="8">
        <f>SUM(C8:C20)</f>
        <v>396059</v>
      </c>
      <c r="D7" s="9">
        <f>+D8+D9+D10+D11+D12+D13+D14+D15+D16+D17+D18+D19+D20</f>
        <v>1</v>
      </c>
      <c r="E7" s="10">
        <f>+E9+E8+E12+E18+E19+E20+E21</f>
        <v>0.9999999999999999</v>
      </c>
      <c r="F7" s="451"/>
      <c r="G7" s="11">
        <f>SUM(G8:G20)</f>
        <v>18296.7</v>
      </c>
      <c r="H7" s="12">
        <f>SUM(H8:H20)</f>
        <v>219560.4</v>
      </c>
      <c r="I7" s="13">
        <f>SUM(I8:I20)</f>
        <v>300797.7480000001</v>
      </c>
      <c r="J7" s="11">
        <f>+(J8+J8*0.2245)</f>
        <v>237601.98</v>
      </c>
      <c r="K7" s="12">
        <f>+J7*1.37</f>
        <v>325514.7126</v>
      </c>
      <c r="L7" s="439">
        <f>+I7+K7</f>
        <v>626312.4606000001</v>
      </c>
    </row>
    <row r="8" spans="1:12" ht="21.75" customHeight="1">
      <c r="A8" s="14" t="s">
        <v>11</v>
      </c>
      <c r="B8" s="15"/>
      <c r="C8" s="16">
        <v>298838</v>
      </c>
      <c r="D8" s="17">
        <f aca="true" t="shared" si="0" ref="D8:D20">+C8/$C$7</f>
        <v>0.7545289969423747</v>
      </c>
      <c r="E8" s="18">
        <f>+C8/$C$7</f>
        <v>0.7545289969423747</v>
      </c>
      <c r="F8" s="19">
        <f aca="true" t="shared" si="1" ref="F8:F20">+C8/$C$21</f>
        <v>11419.105846388995</v>
      </c>
      <c r="G8" s="16">
        <f>+C8*0.05</f>
        <v>14941.900000000001</v>
      </c>
      <c r="H8" s="20">
        <f>+G8*12</f>
        <v>179302.80000000002</v>
      </c>
      <c r="I8" s="21">
        <f>+H8*1.37</f>
        <v>245644.83600000004</v>
      </c>
      <c r="J8" s="16">
        <f>11*1470*12</f>
        <v>194040</v>
      </c>
      <c r="K8" s="20"/>
      <c r="L8" s="440"/>
    </row>
    <row r="9" spans="1:12" ht="22.5" customHeight="1">
      <c r="A9" s="22" t="s">
        <v>12</v>
      </c>
      <c r="B9" s="455" t="s">
        <v>13</v>
      </c>
      <c r="C9" s="16">
        <v>8205</v>
      </c>
      <c r="D9" s="17">
        <f t="shared" si="0"/>
        <v>0.020716610404005464</v>
      </c>
      <c r="E9" s="452">
        <f>+(C9+C10+C11)/$C$7</f>
        <v>0.03375254696901219</v>
      </c>
      <c r="F9" s="19">
        <f t="shared" si="1"/>
        <v>313.52693924340844</v>
      </c>
      <c r="G9" s="23"/>
      <c r="H9" s="24"/>
      <c r="I9" s="25"/>
      <c r="J9" s="23"/>
      <c r="K9" s="24"/>
      <c r="L9" s="440"/>
    </row>
    <row r="10" spans="1:12" ht="22.5" customHeight="1">
      <c r="A10" s="22" t="s">
        <v>14</v>
      </c>
      <c r="B10" s="455"/>
      <c r="C10" s="16">
        <v>0</v>
      </c>
      <c r="D10" s="17">
        <f t="shared" si="0"/>
        <v>0</v>
      </c>
      <c r="E10" s="453"/>
      <c r="F10" s="19">
        <f t="shared" si="1"/>
        <v>0</v>
      </c>
      <c r="G10" s="23"/>
      <c r="H10" s="24"/>
      <c r="I10" s="25"/>
      <c r="J10" s="23"/>
      <c r="K10" s="24"/>
      <c r="L10" s="440"/>
    </row>
    <row r="11" spans="1:12" ht="22.5" customHeight="1">
      <c r="A11" s="22" t="s">
        <v>15</v>
      </c>
      <c r="B11" s="455"/>
      <c r="C11" s="16">
        <v>5163</v>
      </c>
      <c r="D11" s="17">
        <f t="shared" si="0"/>
        <v>0.013035936565006729</v>
      </c>
      <c r="E11" s="454"/>
      <c r="F11" s="19">
        <f t="shared" si="1"/>
        <v>197.2869698127627</v>
      </c>
      <c r="G11" s="23"/>
      <c r="H11" s="24"/>
      <c r="I11" s="25"/>
      <c r="J11" s="23"/>
      <c r="K11" s="24"/>
      <c r="L11" s="440"/>
    </row>
    <row r="12" spans="1:12" ht="21.75" customHeight="1">
      <c r="A12" s="22" t="s">
        <v>16</v>
      </c>
      <c r="B12" s="455" t="s">
        <v>17</v>
      </c>
      <c r="C12" s="16">
        <v>0</v>
      </c>
      <c r="D12" s="17">
        <f t="shared" si="0"/>
        <v>0</v>
      </c>
      <c r="E12" s="452">
        <f>+(C12+C13+C14+C15+C16+C17)/$C$7</f>
        <v>0.06408641136800325</v>
      </c>
      <c r="F12" s="19">
        <f t="shared" si="1"/>
        <v>0</v>
      </c>
      <c r="G12" s="23">
        <f aca="true" t="shared" si="2" ref="G12:G18">+C12*0.05</f>
        <v>0</v>
      </c>
      <c r="H12" s="24">
        <f aca="true" t="shared" si="3" ref="H12:H18">+G12*12</f>
        <v>0</v>
      </c>
      <c r="I12" s="25">
        <f aca="true" t="shared" si="4" ref="I12:I18">+H12*1.37</f>
        <v>0</v>
      </c>
      <c r="J12" s="23"/>
      <c r="K12" s="24"/>
      <c r="L12" s="440"/>
    </row>
    <row r="13" spans="1:12" ht="25.5" customHeight="1">
      <c r="A13" s="22" t="s">
        <v>18</v>
      </c>
      <c r="B13" s="455"/>
      <c r="C13" s="16">
        <v>0</v>
      </c>
      <c r="D13" s="17">
        <f t="shared" si="0"/>
        <v>0</v>
      </c>
      <c r="E13" s="453"/>
      <c r="F13" s="19">
        <f t="shared" si="1"/>
        <v>0</v>
      </c>
      <c r="G13" s="23">
        <f t="shared" si="2"/>
        <v>0</v>
      </c>
      <c r="H13" s="24">
        <f t="shared" si="3"/>
        <v>0</v>
      </c>
      <c r="I13" s="25">
        <f t="shared" si="4"/>
        <v>0</v>
      </c>
      <c r="J13" s="23"/>
      <c r="K13" s="24"/>
      <c r="L13" s="440"/>
    </row>
    <row r="14" spans="1:12" ht="25.5" customHeight="1">
      <c r="A14" s="22" t="s">
        <v>19</v>
      </c>
      <c r="B14" s="455"/>
      <c r="C14" s="16">
        <v>14544</v>
      </c>
      <c r="D14" s="17">
        <f t="shared" si="0"/>
        <v>0.0367218015497691</v>
      </c>
      <c r="E14" s="453"/>
      <c r="F14" s="19">
        <f t="shared" si="1"/>
        <v>555.7508597630874</v>
      </c>
      <c r="G14" s="23">
        <f t="shared" si="2"/>
        <v>727.2</v>
      </c>
      <c r="H14" s="24">
        <f t="shared" si="3"/>
        <v>8726.400000000001</v>
      </c>
      <c r="I14" s="25">
        <f t="shared" si="4"/>
        <v>11955.168000000003</v>
      </c>
      <c r="J14" s="23"/>
      <c r="K14" s="24"/>
      <c r="L14" s="440"/>
    </row>
    <row r="15" spans="1:12" ht="25.5" customHeight="1">
      <c r="A15" s="22" t="s">
        <v>20</v>
      </c>
      <c r="B15" s="455"/>
      <c r="C15" s="16">
        <v>5670</v>
      </c>
      <c r="D15" s="17">
        <f t="shared" si="0"/>
        <v>0.014316048871506518</v>
      </c>
      <c r="E15" s="453"/>
      <c r="F15" s="19">
        <f t="shared" si="1"/>
        <v>216.66029805120365</v>
      </c>
      <c r="G15" s="23">
        <f t="shared" si="2"/>
        <v>283.5</v>
      </c>
      <c r="H15" s="24">
        <f t="shared" si="3"/>
        <v>3402</v>
      </c>
      <c r="I15" s="25">
        <f t="shared" si="4"/>
        <v>4660.740000000001</v>
      </c>
      <c r="J15" s="23"/>
      <c r="K15" s="24"/>
      <c r="L15" s="440"/>
    </row>
    <row r="16" spans="1:12" ht="21.75" customHeight="1">
      <c r="A16" s="22" t="s">
        <v>21</v>
      </c>
      <c r="B16" s="455"/>
      <c r="C16" s="16">
        <v>5168</v>
      </c>
      <c r="D16" s="17">
        <f t="shared" si="0"/>
        <v>0.013048560946727635</v>
      </c>
      <c r="E16" s="453"/>
      <c r="F16" s="19">
        <f t="shared" si="1"/>
        <v>197.47802827665265</v>
      </c>
      <c r="G16" s="23">
        <f t="shared" si="2"/>
        <v>258.40000000000003</v>
      </c>
      <c r="H16" s="24">
        <f t="shared" si="3"/>
        <v>3100.8</v>
      </c>
      <c r="I16" s="25">
        <f t="shared" si="4"/>
        <v>4248.0960000000005</v>
      </c>
      <c r="J16" s="23"/>
      <c r="K16" s="24"/>
      <c r="L16" s="440"/>
    </row>
    <row r="17" spans="1:12" ht="23.25" customHeight="1">
      <c r="A17" s="22" t="s">
        <v>22</v>
      </c>
      <c r="B17" s="456"/>
      <c r="C17" s="16">
        <v>0</v>
      </c>
      <c r="D17" s="17">
        <f t="shared" si="0"/>
        <v>0</v>
      </c>
      <c r="E17" s="454"/>
      <c r="F17" s="19">
        <f t="shared" si="1"/>
        <v>0</v>
      </c>
      <c r="G17" s="23">
        <f t="shared" si="2"/>
        <v>0</v>
      </c>
      <c r="H17" s="24">
        <f t="shared" si="3"/>
        <v>0</v>
      </c>
      <c r="I17" s="25">
        <f t="shared" si="4"/>
        <v>0</v>
      </c>
      <c r="J17" s="23"/>
      <c r="K17" s="24"/>
      <c r="L17" s="440"/>
    </row>
    <row r="18" spans="1:12" ht="21.75" customHeight="1">
      <c r="A18" s="22" t="s">
        <v>23</v>
      </c>
      <c r="B18" s="27" t="s">
        <v>24</v>
      </c>
      <c r="C18" s="16">
        <v>41714</v>
      </c>
      <c r="D18" s="17">
        <f t="shared" si="0"/>
        <v>0.10532269182116806</v>
      </c>
      <c r="E18" s="18">
        <f>+C18/C7</f>
        <v>0.10532269182116806</v>
      </c>
      <c r="F18" s="19">
        <f t="shared" si="1"/>
        <v>1593.9625525410775</v>
      </c>
      <c r="G18" s="23">
        <f t="shared" si="2"/>
        <v>2085.7000000000003</v>
      </c>
      <c r="H18" s="24">
        <f t="shared" si="3"/>
        <v>25028.4</v>
      </c>
      <c r="I18" s="25">
        <f t="shared" si="4"/>
        <v>34288.908</v>
      </c>
      <c r="J18" s="23"/>
      <c r="K18" s="24"/>
      <c r="L18" s="440"/>
    </row>
    <row r="19" spans="1:12" ht="21.75" customHeight="1">
      <c r="A19" s="22" t="s">
        <v>25</v>
      </c>
      <c r="B19" s="28"/>
      <c r="C19" s="16">
        <v>16757</v>
      </c>
      <c r="D19" s="17">
        <f t="shared" si="0"/>
        <v>0.04230935289944175</v>
      </c>
      <c r="E19" s="18">
        <f>+C19/C7</f>
        <v>0.04230935289944175</v>
      </c>
      <c r="F19" s="19">
        <f t="shared" si="1"/>
        <v>640.3133358807795</v>
      </c>
      <c r="G19" s="23"/>
      <c r="H19" s="24"/>
      <c r="I19" s="25"/>
      <c r="J19" s="23"/>
      <c r="K19" s="24"/>
      <c r="L19" s="440"/>
    </row>
    <row r="20" spans="1:12" ht="16.5" customHeight="1" thickBot="1">
      <c r="A20" s="29" t="s">
        <v>26</v>
      </c>
      <c r="B20" s="30"/>
      <c r="C20" s="31">
        <v>0</v>
      </c>
      <c r="D20" s="17">
        <f t="shared" si="0"/>
        <v>0</v>
      </c>
      <c r="E20" s="26">
        <f>+C20/C7</f>
        <v>0</v>
      </c>
      <c r="F20" s="32">
        <f t="shared" si="1"/>
        <v>0</v>
      </c>
      <c r="G20" s="33"/>
      <c r="H20" s="34"/>
      <c r="I20" s="35"/>
      <c r="J20" s="33"/>
      <c r="K20" s="34"/>
      <c r="L20" s="441"/>
    </row>
    <row r="21" spans="1:8" ht="24.75" customHeight="1" thickBot="1">
      <c r="A21" s="434" t="s">
        <v>27</v>
      </c>
      <c r="B21" s="435"/>
      <c r="C21" s="428">
        <v>26.17</v>
      </c>
      <c r="D21" s="429"/>
      <c r="E21" s="429"/>
      <c r="F21" s="430"/>
      <c r="H21" s="36"/>
    </row>
    <row r="22" spans="1:6" ht="17.25" customHeight="1" thickBot="1">
      <c r="A22" s="37" t="s">
        <v>28</v>
      </c>
      <c r="B22" s="38"/>
      <c r="C22" s="431">
        <f>+C7/C21</f>
        <v>15134.084829957967</v>
      </c>
      <c r="D22" s="432"/>
      <c r="E22" s="432"/>
      <c r="F22" s="433"/>
    </row>
    <row r="23" ht="6" customHeight="1"/>
    <row r="24" ht="6" customHeight="1" thickBot="1"/>
    <row r="25" spans="1:8" ht="47.25" customHeight="1" thickBot="1">
      <c r="A25" s="39" t="s">
        <v>29</v>
      </c>
      <c r="B25" s="40" t="s">
        <v>30</v>
      </c>
      <c r="C25" s="41" t="s">
        <v>31</v>
      </c>
      <c r="D25" s="42" t="s">
        <v>32</v>
      </c>
      <c r="E25" s="43" t="s">
        <v>33</v>
      </c>
      <c r="F25" s="44" t="s">
        <v>34</v>
      </c>
      <c r="G25" s="45" t="s">
        <v>35</v>
      </c>
      <c r="H25" s="41" t="s">
        <v>36</v>
      </c>
    </row>
    <row r="26" spans="1:8" ht="19.5" customHeight="1">
      <c r="A26" s="46" t="s">
        <v>37</v>
      </c>
      <c r="B26" s="47">
        <v>6569</v>
      </c>
      <c r="C26" s="48">
        <f>+B26/12</f>
        <v>547.4166666666666</v>
      </c>
      <c r="D26" s="49">
        <f>+D27*1.37</f>
        <v>542.6008300000001</v>
      </c>
      <c r="E26" s="50">
        <f>+E27*1.37</f>
        <v>6660.392000000001</v>
      </c>
      <c r="F26" s="47">
        <f>+E26/12</f>
        <v>555.0326666666667</v>
      </c>
      <c r="G26" s="47">
        <v>0</v>
      </c>
      <c r="H26" s="48">
        <f>+G26*12</f>
        <v>0</v>
      </c>
    </row>
    <row r="27" spans="1:8" ht="19.5" customHeight="1" thickBot="1">
      <c r="A27" s="51" t="s">
        <v>38</v>
      </c>
      <c r="B27" s="52">
        <v>4795</v>
      </c>
      <c r="C27" s="53">
        <f>+B27/12</f>
        <v>399.5833333333333</v>
      </c>
      <c r="D27" s="54">
        <f>+C7/1000</f>
        <v>396.059</v>
      </c>
      <c r="E27" s="55">
        <f>+B28*1.03</f>
        <v>4861.6</v>
      </c>
      <c r="F27" s="56">
        <f>+E27/12</f>
        <v>405.1333333333334</v>
      </c>
      <c r="G27" s="56">
        <v>0</v>
      </c>
      <c r="H27" s="53">
        <f>+G27*12</f>
        <v>0</v>
      </c>
    </row>
    <row r="28" spans="1:5" ht="19.5" customHeight="1" thickBot="1">
      <c r="A28" s="39" t="s">
        <v>39</v>
      </c>
      <c r="B28" s="57">
        <v>4720</v>
      </c>
      <c r="E28" s="36"/>
    </row>
    <row r="29" spans="1:5" ht="27" customHeight="1" thickBot="1">
      <c r="A29" s="58" t="s">
        <v>40</v>
      </c>
      <c r="B29" s="57">
        <v>4777</v>
      </c>
      <c r="E29" s="36"/>
    </row>
  </sheetData>
  <mergeCells count="12">
    <mergeCell ref="B12:B17"/>
    <mergeCell ref="E12:E17"/>
    <mergeCell ref="C21:F21"/>
    <mergeCell ref="C22:F22"/>
    <mergeCell ref="A21:B21"/>
    <mergeCell ref="C5:L5"/>
    <mergeCell ref="L7:L20"/>
    <mergeCell ref="A5:B7"/>
    <mergeCell ref="D6:E6"/>
    <mergeCell ref="F6:F7"/>
    <mergeCell ref="E9:E11"/>
    <mergeCell ref="B9:B11"/>
  </mergeCells>
  <printOptions horizontalCentered="1"/>
  <pageMargins left="0.2755905511811024" right="0.1968503937007874" top="0.4724409448818898" bottom="0.35433070866141736" header="0.31496062992125984" footer="0.2362204724409449"/>
  <pageSetup horizontalDpi="600" verticalDpi="600" orientation="landscape" paperSize="9" scale="90" r:id="rId1"/>
  <headerFooter alignWithMargins="0">
    <oddFooter>&amp;Cstr.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19"/>
  <sheetViews>
    <sheetView workbookViewId="0" topLeftCell="A1">
      <selection activeCell="E129" sqref="E129"/>
    </sheetView>
  </sheetViews>
  <sheetFormatPr defaultColWidth="9.00390625" defaultRowHeight="12.75"/>
  <cols>
    <col min="1" max="1" width="25.125" style="0" customWidth="1"/>
    <col min="2" max="2" width="10.125" style="0" bestFit="1" customWidth="1"/>
  </cols>
  <sheetData>
    <row r="1" ht="3.75" customHeight="1"/>
    <row r="2" ht="16.5" thickBot="1">
      <c r="A2" s="3" t="s">
        <v>158</v>
      </c>
    </row>
    <row r="3" spans="1:12" ht="18.75" thickBot="1">
      <c r="A3" s="457" t="s">
        <v>155</v>
      </c>
      <c r="B3" s="459" t="s">
        <v>2</v>
      </c>
      <c r="C3" s="460"/>
      <c r="D3" s="460"/>
      <c r="E3" s="460"/>
      <c r="F3" s="460"/>
      <c r="G3" s="460"/>
      <c r="H3" s="461"/>
      <c r="I3" s="461"/>
      <c r="J3" s="461"/>
      <c r="K3" s="461"/>
      <c r="L3" s="403"/>
    </row>
    <row r="4" spans="1:12" ht="42" thickBot="1">
      <c r="A4" s="458"/>
      <c r="B4" s="234" t="s">
        <v>143</v>
      </c>
      <c r="C4" s="235" t="s">
        <v>144</v>
      </c>
      <c r="D4" s="235" t="s">
        <v>145</v>
      </c>
      <c r="E4" s="235" t="s">
        <v>146</v>
      </c>
      <c r="F4" s="235" t="s">
        <v>147</v>
      </c>
      <c r="G4" s="235" t="s">
        <v>148</v>
      </c>
      <c r="H4" s="235" t="s">
        <v>149</v>
      </c>
      <c r="I4" s="235" t="s">
        <v>150</v>
      </c>
      <c r="J4" s="235" t="s">
        <v>133</v>
      </c>
      <c r="K4" s="236" t="s">
        <v>151</v>
      </c>
      <c r="L4" s="237" t="s">
        <v>97</v>
      </c>
    </row>
    <row r="5" spans="1:12" s="239" customFormat="1" ht="18.75" customHeight="1">
      <c r="A5" s="212" t="s">
        <v>152</v>
      </c>
      <c r="B5" s="238">
        <f aca="true" t="shared" si="0" ref="B5:K5">SUM(B6:B20)</f>
        <v>0</v>
      </c>
      <c r="C5" s="215">
        <f t="shared" si="0"/>
        <v>0</v>
      </c>
      <c r="D5" s="215">
        <f t="shared" si="0"/>
        <v>2380514</v>
      </c>
      <c r="E5" s="215">
        <f t="shared" si="0"/>
        <v>0</v>
      </c>
      <c r="F5" s="215">
        <f t="shared" si="0"/>
        <v>36045</v>
      </c>
      <c r="G5" s="215">
        <f t="shared" si="0"/>
        <v>756138</v>
      </c>
      <c r="H5" s="215">
        <f t="shared" si="0"/>
        <v>186596</v>
      </c>
      <c r="I5" s="215">
        <f t="shared" si="0"/>
        <v>0</v>
      </c>
      <c r="J5" s="215">
        <f t="shared" si="0"/>
        <v>578070</v>
      </c>
      <c r="K5" s="47">
        <f t="shared" si="0"/>
        <v>839637</v>
      </c>
      <c r="L5" s="49">
        <f aca="true" t="shared" si="1" ref="L5:L21">SUM(B5:K5)</f>
        <v>4777000</v>
      </c>
    </row>
    <row r="6" spans="1:12" s="124" customFormat="1" ht="18.75" customHeight="1">
      <c r="A6" s="213" t="s">
        <v>11</v>
      </c>
      <c r="B6" s="214"/>
      <c r="C6" s="215"/>
      <c r="D6" s="215">
        <v>1739756</v>
      </c>
      <c r="E6" s="215"/>
      <c r="F6" s="215">
        <v>28443</v>
      </c>
      <c r="G6" s="215">
        <v>569126</v>
      </c>
      <c r="H6" s="215">
        <v>152769</v>
      </c>
      <c r="I6" s="215"/>
      <c r="J6" s="215">
        <v>325702</v>
      </c>
      <c r="K6" s="47">
        <v>652032</v>
      </c>
      <c r="L6" s="211">
        <f t="shared" si="1"/>
        <v>3467828</v>
      </c>
    </row>
    <row r="7" spans="1:12" s="124" customFormat="1" ht="18.75" customHeight="1">
      <c r="A7" s="213" t="s">
        <v>12</v>
      </c>
      <c r="B7" s="216"/>
      <c r="C7" s="166"/>
      <c r="D7" s="166">
        <v>17260</v>
      </c>
      <c r="E7" s="166"/>
      <c r="F7" s="166">
        <v>0</v>
      </c>
      <c r="G7" s="166">
        <v>0</v>
      </c>
      <c r="H7" s="166"/>
      <c r="I7" s="166"/>
      <c r="J7" s="166">
        <v>78855</v>
      </c>
      <c r="K7" s="165">
        <v>5438</v>
      </c>
      <c r="L7" s="211">
        <f t="shared" si="1"/>
        <v>101553</v>
      </c>
    </row>
    <row r="8" spans="1:12" s="124" customFormat="1" ht="18.75" customHeight="1">
      <c r="A8" s="213" t="s">
        <v>14</v>
      </c>
      <c r="B8" s="217"/>
      <c r="C8" s="166"/>
      <c r="D8" s="166">
        <v>0</v>
      </c>
      <c r="E8" s="166"/>
      <c r="F8" s="166">
        <v>0</v>
      </c>
      <c r="G8" s="166">
        <v>0</v>
      </c>
      <c r="H8" s="166"/>
      <c r="I8" s="166"/>
      <c r="J8" s="166">
        <v>0</v>
      </c>
      <c r="K8" s="165">
        <v>0</v>
      </c>
      <c r="L8" s="211">
        <f t="shared" si="1"/>
        <v>0</v>
      </c>
    </row>
    <row r="9" spans="1:12" s="124" customFormat="1" ht="18.75" customHeight="1">
      <c r="A9" s="213" t="s">
        <v>15</v>
      </c>
      <c r="B9" s="217"/>
      <c r="C9" s="166"/>
      <c r="D9" s="166">
        <v>34007</v>
      </c>
      <c r="E9" s="166"/>
      <c r="F9" s="166">
        <v>0</v>
      </c>
      <c r="G9" s="166">
        <v>14642</v>
      </c>
      <c r="H9" s="166"/>
      <c r="I9" s="166"/>
      <c r="J9" s="166">
        <v>3158</v>
      </c>
      <c r="K9" s="165">
        <v>9262</v>
      </c>
      <c r="L9" s="211">
        <f t="shared" si="1"/>
        <v>61069</v>
      </c>
    </row>
    <row r="10" spans="1:12" s="124" customFormat="1" ht="18.75" customHeight="1">
      <c r="A10" s="213" t="s">
        <v>16</v>
      </c>
      <c r="B10" s="217"/>
      <c r="C10" s="166"/>
      <c r="D10" s="166">
        <v>3426</v>
      </c>
      <c r="E10" s="166"/>
      <c r="F10" s="166">
        <v>0</v>
      </c>
      <c r="G10" s="166">
        <v>4752</v>
      </c>
      <c r="H10" s="166"/>
      <c r="I10" s="166"/>
      <c r="J10" s="166">
        <v>0</v>
      </c>
      <c r="K10" s="165">
        <v>0</v>
      </c>
      <c r="L10" s="211">
        <f t="shared" si="1"/>
        <v>8178</v>
      </c>
    </row>
    <row r="11" spans="1:12" s="124" customFormat="1" ht="18.75" customHeight="1">
      <c r="A11" s="213" t="s">
        <v>18</v>
      </c>
      <c r="B11" s="217"/>
      <c r="C11" s="166"/>
      <c r="D11" s="166">
        <v>0</v>
      </c>
      <c r="E11" s="166"/>
      <c r="F11" s="166">
        <v>0</v>
      </c>
      <c r="G11" s="166">
        <v>0</v>
      </c>
      <c r="H11" s="166"/>
      <c r="I11" s="166"/>
      <c r="J11" s="166">
        <v>0</v>
      </c>
      <c r="K11" s="165">
        <v>0</v>
      </c>
      <c r="L11" s="211">
        <f t="shared" si="1"/>
        <v>0</v>
      </c>
    </row>
    <row r="12" spans="1:12" s="124" customFormat="1" ht="18.75" customHeight="1">
      <c r="A12" s="213" t="s">
        <v>19</v>
      </c>
      <c r="B12" s="217"/>
      <c r="C12" s="166"/>
      <c r="D12" s="166">
        <v>149138</v>
      </c>
      <c r="E12" s="166"/>
      <c r="F12" s="166">
        <v>0</v>
      </c>
      <c r="G12" s="166">
        <v>45129</v>
      </c>
      <c r="H12" s="166"/>
      <c r="I12" s="166"/>
      <c r="J12" s="166">
        <v>283</v>
      </c>
      <c r="K12" s="165">
        <v>23368</v>
      </c>
      <c r="L12" s="211">
        <f t="shared" si="1"/>
        <v>217918</v>
      </c>
    </row>
    <row r="13" spans="1:12" s="124" customFormat="1" ht="18.75" customHeight="1">
      <c r="A13" s="213" t="s">
        <v>20</v>
      </c>
      <c r="B13" s="217"/>
      <c r="C13" s="166"/>
      <c r="D13" s="166">
        <v>59196</v>
      </c>
      <c r="E13" s="166"/>
      <c r="F13" s="166">
        <v>0</v>
      </c>
      <c r="G13" s="166">
        <v>20894</v>
      </c>
      <c r="H13" s="166"/>
      <c r="I13" s="166"/>
      <c r="J13" s="166">
        <v>0</v>
      </c>
      <c r="K13" s="165">
        <v>6823</v>
      </c>
      <c r="L13" s="211">
        <f t="shared" si="1"/>
        <v>86913</v>
      </c>
    </row>
    <row r="14" spans="1:12" s="124" customFormat="1" ht="18.75" customHeight="1">
      <c r="A14" s="213" t="s">
        <v>21</v>
      </c>
      <c r="B14" s="217"/>
      <c r="C14" s="166"/>
      <c r="D14" s="166">
        <v>59933</v>
      </c>
      <c r="E14" s="166"/>
      <c r="F14" s="166">
        <v>0</v>
      </c>
      <c r="G14" s="166">
        <v>1607</v>
      </c>
      <c r="H14" s="166"/>
      <c r="I14" s="166"/>
      <c r="J14" s="166">
        <v>0</v>
      </c>
      <c r="K14" s="165">
        <v>0</v>
      </c>
      <c r="L14" s="211">
        <f t="shared" si="1"/>
        <v>61540</v>
      </c>
    </row>
    <row r="15" spans="1:12" s="124" customFormat="1" ht="18.75" customHeight="1">
      <c r="A15" s="213" t="s">
        <v>22</v>
      </c>
      <c r="B15" s="217"/>
      <c r="C15" s="166"/>
      <c r="D15" s="166">
        <v>0</v>
      </c>
      <c r="E15" s="166"/>
      <c r="F15" s="166"/>
      <c r="G15" s="166">
        <v>0</v>
      </c>
      <c r="H15" s="166"/>
      <c r="I15" s="166"/>
      <c r="J15" s="166">
        <v>0</v>
      </c>
      <c r="K15" s="165">
        <v>0</v>
      </c>
      <c r="L15" s="211">
        <f t="shared" si="1"/>
        <v>0</v>
      </c>
    </row>
    <row r="16" spans="1:12" s="124" customFormat="1" ht="18.75" customHeight="1">
      <c r="A16" s="213" t="s">
        <v>153</v>
      </c>
      <c r="B16" s="217"/>
      <c r="C16" s="166"/>
      <c r="D16" s="166">
        <v>0</v>
      </c>
      <c r="E16" s="166"/>
      <c r="F16" s="166"/>
      <c r="G16" s="166">
        <v>0</v>
      </c>
      <c r="H16" s="166"/>
      <c r="I16" s="166"/>
      <c r="J16" s="166">
        <v>0</v>
      </c>
      <c r="K16" s="165">
        <v>0</v>
      </c>
      <c r="L16" s="211">
        <f t="shared" si="1"/>
        <v>0</v>
      </c>
    </row>
    <row r="17" spans="1:12" s="124" customFormat="1" ht="18.75" customHeight="1">
      <c r="A17" s="213" t="s">
        <v>154</v>
      </c>
      <c r="B17" s="217"/>
      <c r="C17" s="166"/>
      <c r="D17" s="166">
        <v>0</v>
      </c>
      <c r="E17" s="166"/>
      <c r="F17" s="166"/>
      <c r="G17" s="166">
        <v>0</v>
      </c>
      <c r="H17" s="166"/>
      <c r="I17" s="166"/>
      <c r="J17" s="166">
        <v>0</v>
      </c>
      <c r="K17" s="165">
        <v>0</v>
      </c>
      <c r="L17" s="211">
        <f t="shared" si="1"/>
        <v>0</v>
      </c>
    </row>
    <row r="18" spans="1:12" s="124" customFormat="1" ht="18.75" customHeight="1">
      <c r="A18" s="213" t="s">
        <v>23</v>
      </c>
      <c r="B18" s="217"/>
      <c r="C18" s="166"/>
      <c r="D18" s="166">
        <v>257389</v>
      </c>
      <c r="E18" s="166"/>
      <c r="F18" s="166">
        <v>7602</v>
      </c>
      <c r="G18" s="166">
        <v>70786</v>
      </c>
      <c r="H18" s="166">
        <v>17469</v>
      </c>
      <c r="I18" s="166"/>
      <c r="J18" s="166">
        <v>68560</v>
      </c>
      <c r="K18" s="165">
        <v>83090</v>
      </c>
      <c r="L18" s="211">
        <f t="shared" si="1"/>
        <v>504896</v>
      </c>
    </row>
    <row r="19" spans="1:12" s="124" customFormat="1" ht="18.75" customHeight="1">
      <c r="A19" s="213" t="s">
        <v>25</v>
      </c>
      <c r="B19" s="303"/>
      <c r="C19" s="304"/>
      <c r="D19" s="304">
        <v>59407</v>
      </c>
      <c r="E19" s="304"/>
      <c r="F19" s="304"/>
      <c r="G19" s="304">
        <v>20448</v>
      </c>
      <c r="H19" s="304">
        <v>10858</v>
      </c>
      <c r="I19" s="304"/>
      <c r="J19" s="304">
        <v>76512</v>
      </c>
      <c r="K19" s="305">
        <v>32865</v>
      </c>
      <c r="L19" s="306">
        <f t="shared" si="1"/>
        <v>200090</v>
      </c>
    </row>
    <row r="20" spans="1:12" s="124" customFormat="1" ht="18.75" customHeight="1">
      <c r="A20" s="213" t="s">
        <v>26</v>
      </c>
      <c r="B20" s="303"/>
      <c r="C20" s="304"/>
      <c r="D20" s="304">
        <v>1002</v>
      </c>
      <c r="E20" s="304"/>
      <c r="F20" s="304"/>
      <c r="G20" s="304">
        <v>8754</v>
      </c>
      <c r="H20" s="304">
        <v>5500</v>
      </c>
      <c r="I20" s="304"/>
      <c r="J20" s="304">
        <v>25000</v>
      </c>
      <c r="K20" s="305">
        <v>26759</v>
      </c>
      <c r="L20" s="306">
        <f t="shared" si="1"/>
        <v>67015</v>
      </c>
    </row>
    <row r="21" spans="1:12" s="124" customFormat="1" ht="23.25" customHeight="1" thickBot="1">
      <c r="A21" s="298" t="s">
        <v>27</v>
      </c>
      <c r="B21" s="299"/>
      <c r="C21" s="300"/>
      <c r="D21" s="300">
        <v>10.93</v>
      </c>
      <c r="E21" s="300"/>
      <c r="F21" s="300">
        <v>0.2</v>
      </c>
      <c r="G21" s="300">
        <v>5.15</v>
      </c>
      <c r="H21" s="300">
        <v>1</v>
      </c>
      <c r="I21" s="300"/>
      <c r="J21" s="300">
        <v>2</v>
      </c>
      <c r="K21" s="301">
        <v>6.99</v>
      </c>
      <c r="L21" s="302">
        <f t="shared" si="1"/>
        <v>26.270000000000003</v>
      </c>
    </row>
    <row r="22" spans="1:12" s="124" customFormat="1" ht="18.75" customHeight="1" thickBot="1">
      <c r="A22" s="103" t="s">
        <v>28</v>
      </c>
      <c r="B22" s="218"/>
      <c r="C22" s="220"/>
      <c r="D22" s="219">
        <f>+D5/12/D21</f>
        <v>18149.695028972248</v>
      </c>
      <c r="E22" s="219"/>
      <c r="F22" s="219">
        <f>+F5/12/F21</f>
        <v>15018.75</v>
      </c>
      <c r="G22" s="219">
        <f>+G5/12/G21</f>
        <v>12235.242718446601</v>
      </c>
      <c r="H22" s="219">
        <f>+H5/12/H21</f>
        <v>15549.666666666666</v>
      </c>
      <c r="I22" s="38"/>
      <c r="J22" s="220">
        <f>+J5/12/J21</f>
        <v>24086.25</v>
      </c>
      <c r="K22" s="57">
        <f>+K5/12/K21</f>
        <v>10009.978540772532</v>
      </c>
      <c r="L22" s="226">
        <f>+L5/12/L21</f>
        <v>15153.533815505643</v>
      </c>
    </row>
    <row r="23" ht="4.5" customHeight="1"/>
    <row r="24" ht="3.75" customHeight="1"/>
    <row r="25" ht="16.5" thickBot="1">
      <c r="A25" s="3" t="s">
        <v>156</v>
      </c>
    </row>
    <row r="26" spans="1:12" s="124" customFormat="1" ht="18.75" customHeight="1">
      <c r="A26" s="227" t="str">
        <f>+A19</f>
        <v>osobní příplatek</v>
      </c>
      <c r="B26" s="228"/>
      <c r="C26" s="229"/>
      <c r="D26" s="232">
        <f>+D19/D21/12</f>
        <v>452.9353461421165</v>
      </c>
      <c r="E26" s="229"/>
      <c r="F26" s="229">
        <f>+F19/F21/12</f>
        <v>0</v>
      </c>
      <c r="G26" s="229">
        <f>+G19/G21/12</f>
        <v>330.873786407767</v>
      </c>
      <c r="H26" s="229">
        <f>+H19/H21/12</f>
        <v>904.8333333333334</v>
      </c>
      <c r="I26" s="229"/>
      <c r="J26" s="229">
        <f>+J19/J21/12</f>
        <v>3188</v>
      </c>
      <c r="K26" s="240">
        <f>+K19/K21/12</f>
        <v>391.80972818311875</v>
      </c>
      <c r="L26" s="241">
        <f>+L19/L21/12</f>
        <v>634.7227509199339</v>
      </c>
    </row>
    <row r="27" spans="1:12" s="124" customFormat="1" ht="18.75" customHeight="1" thickBot="1">
      <c r="A27" s="230" t="str">
        <f>+A20</f>
        <v>odměny</v>
      </c>
      <c r="B27" s="231"/>
      <c r="C27" s="170"/>
      <c r="D27" s="233">
        <f>+D20/12/D21</f>
        <v>7.639524245196706</v>
      </c>
      <c r="E27" s="170"/>
      <c r="F27" s="170">
        <f>+F20/12/F21</f>
        <v>0</v>
      </c>
      <c r="G27" s="170">
        <f>+G20/12/G21</f>
        <v>141.6504854368932</v>
      </c>
      <c r="H27" s="170">
        <f>+H20/12/H21</f>
        <v>458.3333333333333</v>
      </c>
      <c r="I27" s="170"/>
      <c r="J27" s="170">
        <f>+J20/12/J21</f>
        <v>1041.6666666666667</v>
      </c>
      <c r="K27" s="169">
        <f>+K20/12/K21</f>
        <v>319.0152598950882</v>
      </c>
      <c r="L27" s="242">
        <f>+L20/12/L21</f>
        <v>212.58406293617557</v>
      </c>
    </row>
    <row r="28" spans="1:12" s="124" customFormat="1" ht="18.75" customHeight="1" thickBot="1">
      <c r="A28" s="230" t="s">
        <v>161</v>
      </c>
      <c r="B28" s="231"/>
      <c r="C28" s="170"/>
      <c r="D28" s="233">
        <f>+D26+D27</f>
        <v>460.5748703873132</v>
      </c>
      <c r="E28" s="170"/>
      <c r="F28" s="170">
        <f>+F26+F27</f>
        <v>0</v>
      </c>
      <c r="G28" s="170">
        <f>+G26+G27</f>
        <v>472.52427184466023</v>
      </c>
      <c r="H28" s="170">
        <f>+H26+H27</f>
        <v>1363.1666666666667</v>
      </c>
      <c r="I28" s="170"/>
      <c r="J28" s="170">
        <f>+J26+J27</f>
        <v>4229.666666666667</v>
      </c>
      <c r="K28" s="169">
        <f>+K26+K27</f>
        <v>710.824988078207</v>
      </c>
      <c r="L28" s="242">
        <f>+L26+L27</f>
        <v>847.3068138561094</v>
      </c>
    </row>
    <row r="29" ht="4.5" customHeight="1"/>
    <row r="30" ht="13.5" customHeight="1"/>
    <row r="31" ht="16.5" thickBot="1">
      <c r="A31" s="3" t="s">
        <v>159</v>
      </c>
    </row>
    <row r="32" spans="1:12" ht="18.75" thickBot="1">
      <c r="A32" s="457" t="s">
        <v>157</v>
      </c>
      <c r="B32" s="459" t="s">
        <v>2</v>
      </c>
      <c r="C32" s="460"/>
      <c r="D32" s="460"/>
      <c r="E32" s="460"/>
      <c r="F32" s="460"/>
      <c r="G32" s="460"/>
      <c r="H32" s="461"/>
      <c r="I32" s="461"/>
      <c r="J32" s="461"/>
      <c r="K32" s="461"/>
      <c r="L32" s="403"/>
    </row>
    <row r="33" spans="1:12" ht="42" thickBot="1">
      <c r="A33" s="458"/>
      <c r="B33" s="207" t="s">
        <v>143</v>
      </c>
      <c r="C33" s="208" t="s">
        <v>144</v>
      </c>
      <c r="D33" s="208" t="s">
        <v>145</v>
      </c>
      <c r="E33" s="208" t="s">
        <v>146</v>
      </c>
      <c r="F33" s="208" t="s">
        <v>147</v>
      </c>
      <c r="G33" s="208" t="s">
        <v>148</v>
      </c>
      <c r="H33" s="208" t="s">
        <v>149</v>
      </c>
      <c r="I33" s="208" t="s">
        <v>150</v>
      </c>
      <c r="J33" s="208" t="s">
        <v>133</v>
      </c>
      <c r="K33" s="209" t="s">
        <v>151</v>
      </c>
      <c r="L33" s="210" t="s">
        <v>97</v>
      </c>
    </row>
    <row r="34" spans="1:12" s="196" customFormat="1" ht="12.75">
      <c r="A34" s="212" t="s">
        <v>152</v>
      </c>
      <c r="B34" s="238">
        <f aca="true" t="shared" si="2" ref="B34:K34">SUM(B35:B49)</f>
        <v>0</v>
      </c>
      <c r="C34" s="215">
        <f t="shared" si="2"/>
        <v>0</v>
      </c>
      <c r="D34" s="215">
        <f t="shared" si="2"/>
        <v>2766838</v>
      </c>
      <c r="E34" s="215">
        <f t="shared" si="2"/>
        <v>56410</v>
      </c>
      <c r="F34" s="215">
        <f t="shared" si="2"/>
        <v>0</v>
      </c>
      <c r="G34" s="215">
        <f t="shared" si="2"/>
        <v>135912</v>
      </c>
      <c r="H34" s="215">
        <f t="shared" si="2"/>
        <v>54582</v>
      </c>
      <c r="I34" s="215">
        <f t="shared" si="2"/>
        <v>0</v>
      </c>
      <c r="J34" s="215">
        <f t="shared" si="2"/>
        <v>664886</v>
      </c>
      <c r="K34" s="47">
        <f t="shared" si="2"/>
        <v>900087</v>
      </c>
      <c r="L34" s="49">
        <f>SUM(B34:K34)-1</f>
        <v>4578714</v>
      </c>
    </row>
    <row r="35" spans="1:12" ht="12.75">
      <c r="A35" s="213" t="s">
        <v>11</v>
      </c>
      <c r="B35" s="214"/>
      <c r="C35" s="215"/>
      <c r="D35" s="215">
        <v>1883182</v>
      </c>
      <c r="E35" s="215">
        <v>47338</v>
      </c>
      <c r="F35" s="215"/>
      <c r="G35" s="215">
        <v>90369</v>
      </c>
      <c r="H35" s="215">
        <v>44888</v>
      </c>
      <c r="I35" s="215"/>
      <c r="J35" s="215">
        <v>371350</v>
      </c>
      <c r="K35" s="47">
        <v>608009</v>
      </c>
      <c r="L35" s="211">
        <f aca="true" t="shared" si="3" ref="L35:L50">SUM(B35:K35)</f>
        <v>3045136</v>
      </c>
    </row>
    <row r="36" spans="1:12" ht="12.75">
      <c r="A36" s="213" t="s">
        <v>12</v>
      </c>
      <c r="B36" s="216"/>
      <c r="C36" s="166"/>
      <c r="D36" s="166">
        <v>18688</v>
      </c>
      <c r="E36" s="166">
        <v>0</v>
      </c>
      <c r="F36" s="166"/>
      <c r="G36" s="166">
        <v>1</v>
      </c>
      <c r="H36" s="166">
        <v>0</v>
      </c>
      <c r="I36" s="166"/>
      <c r="J36" s="166">
        <v>78542</v>
      </c>
      <c r="K36" s="165">
        <v>5427</v>
      </c>
      <c r="L36" s="211">
        <f t="shared" si="3"/>
        <v>102658</v>
      </c>
    </row>
    <row r="37" spans="1:12" ht="12.75">
      <c r="A37" s="213" t="s">
        <v>14</v>
      </c>
      <c r="B37" s="217"/>
      <c r="C37" s="166"/>
      <c r="D37" s="166">
        <v>0</v>
      </c>
      <c r="E37" s="166">
        <v>0</v>
      </c>
      <c r="F37" s="166"/>
      <c r="G37" s="166">
        <v>0</v>
      </c>
      <c r="H37" s="166">
        <v>0</v>
      </c>
      <c r="I37" s="166"/>
      <c r="J37" s="166">
        <v>0</v>
      </c>
      <c r="K37" s="165">
        <v>0</v>
      </c>
      <c r="L37" s="211">
        <f t="shared" si="3"/>
        <v>0</v>
      </c>
    </row>
    <row r="38" spans="1:12" ht="12.75">
      <c r="A38" s="213" t="s">
        <v>15</v>
      </c>
      <c r="B38" s="217"/>
      <c r="C38" s="166"/>
      <c r="D38" s="166">
        <v>40500</v>
      </c>
      <c r="E38" s="166">
        <v>0</v>
      </c>
      <c r="F38" s="166"/>
      <c r="G38" s="166">
        <v>2127</v>
      </c>
      <c r="H38" s="166">
        <v>0</v>
      </c>
      <c r="I38" s="166"/>
      <c r="J38" s="166">
        <v>3127</v>
      </c>
      <c r="K38" s="165">
        <v>9453</v>
      </c>
      <c r="L38" s="211">
        <f t="shared" si="3"/>
        <v>55207</v>
      </c>
    </row>
    <row r="39" spans="1:12" ht="12.75">
      <c r="A39" s="213" t="s">
        <v>16</v>
      </c>
      <c r="B39" s="217"/>
      <c r="C39" s="166"/>
      <c r="D39" s="166">
        <v>0</v>
      </c>
      <c r="E39" s="166">
        <v>0</v>
      </c>
      <c r="F39" s="166"/>
      <c r="G39" s="166">
        <v>0</v>
      </c>
      <c r="H39" s="166">
        <v>0</v>
      </c>
      <c r="I39" s="166"/>
      <c r="J39" s="166">
        <v>0</v>
      </c>
      <c r="K39" s="165">
        <v>0</v>
      </c>
      <c r="L39" s="211">
        <f t="shared" si="3"/>
        <v>0</v>
      </c>
    </row>
    <row r="40" spans="1:12" ht="22.5">
      <c r="A40" s="213" t="s">
        <v>18</v>
      </c>
      <c r="B40" s="217"/>
      <c r="C40" s="166"/>
      <c r="D40" s="166">
        <v>0</v>
      </c>
      <c r="E40" s="166">
        <v>0</v>
      </c>
      <c r="F40" s="166"/>
      <c r="G40" s="166">
        <v>0</v>
      </c>
      <c r="H40" s="166">
        <v>0</v>
      </c>
      <c r="I40" s="166"/>
      <c r="J40" s="166">
        <v>0</v>
      </c>
      <c r="K40" s="165">
        <v>0</v>
      </c>
      <c r="L40" s="211">
        <f t="shared" si="3"/>
        <v>0</v>
      </c>
    </row>
    <row r="41" spans="1:12" ht="12.75">
      <c r="A41" s="213" t="s">
        <v>19</v>
      </c>
      <c r="B41" s="217"/>
      <c r="C41" s="166"/>
      <c r="D41" s="166">
        <v>170315</v>
      </c>
      <c r="E41" s="166">
        <v>0</v>
      </c>
      <c r="F41" s="166"/>
      <c r="G41" s="166">
        <v>7174</v>
      </c>
      <c r="H41" s="166">
        <v>0</v>
      </c>
      <c r="I41" s="166"/>
      <c r="J41" s="166">
        <v>0</v>
      </c>
      <c r="K41" s="165">
        <v>21471</v>
      </c>
      <c r="L41" s="211">
        <f t="shared" si="3"/>
        <v>198960</v>
      </c>
    </row>
    <row r="42" spans="1:12" ht="12.75">
      <c r="A42" s="213" t="s">
        <v>20</v>
      </c>
      <c r="B42" s="217"/>
      <c r="C42" s="166"/>
      <c r="D42" s="166">
        <v>69729</v>
      </c>
      <c r="E42" s="166">
        <v>0</v>
      </c>
      <c r="F42" s="166"/>
      <c r="G42" s="166">
        <v>3074</v>
      </c>
      <c r="H42" s="166">
        <v>0</v>
      </c>
      <c r="I42" s="166"/>
      <c r="J42" s="166">
        <v>0</v>
      </c>
      <c r="K42" s="165">
        <v>6380</v>
      </c>
      <c r="L42" s="211">
        <f t="shared" si="3"/>
        <v>79183</v>
      </c>
    </row>
    <row r="43" spans="1:12" ht="12.75">
      <c r="A43" s="213" t="s">
        <v>21</v>
      </c>
      <c r="B43" s="217"/>
      <c r="C43" s="166"/>
      <c r="D43" s="166">
        <v>61092</v>
      </c>
      <c r="E43" s="166"/>
      <c r="F43" s="166"/>
      <c r="G43" s="166">
        <v>0</v>
      </c>
      <c r="H43" s="166">
        <v>0</v>
      </c>
      <c r="I43" s="166"/>
      <c r="J43" s="166">
        <v>0</v>
      </c>
      <c r="K43" s="165">
        <v>0</v>
      </c>
      <c r="L43" s="211">
        <f t="shared" si="3"/>
        <v>61092</v>
      </c>
    </row>
    <row r="44" spans="1:12" ht="12.75">
      <c r="A44" s="213" t="s">
        <v>22</v>
      </c>
      <c r="B44" s="217"/>
      <c r="C44" s="166"/>
      <c r="D44" s="166">
        <v>0</v>
      </c>
      <c r="E44" s="166"/>
      <c r="F44" s="166"/>
      <c r="G44" s="166">
        <v>0</v>
      </c>
      <c r="H44" s="166">
        <v>0</v>
      </c>
      <c r="I44" s="166"/>
      <c r="J44" s="166">
        <v>0</v>
      </c>
      <c r="K44" s="165">
        <v>0</v>
      </c>
      <c r="L44" s="211">
        <f t="shared" si="3"/>
        <v>0</v>
      </c>
    </row>
    <row r="45" spans="1:12" ht="22.5">
      <c r="A45" s="213" t="s">
        <v>153</v>
      </c>
      <c r="B45" s="217"/>
      <c r="C45" s="166"/>
      <c r="D45" s="166">
        <v>0</v>
      </c>
      <c r="E45" s="166"/>
      <c r="F45" s="166"/>
      <c r="G45" s="166">
        <v>0</v>
      </c>
      <c r="H45" s="166">
        <v>0</v>
      </c>
      <c r="I45" s="166"/>
      <c r="J45" s="166">
        <v>0</v>
      </c>
      <c r="K45" s="165">
        <v>0</v>
      </c>
      <c r="L45" s="211">
        <f t="shared" si="3"/>
        <v>0</v>
      </c>
    </row>
    <row r="46" spans="1:12" ht="12.75">
      <c r="A46" s="213" t="s">
        <v>154</v>
      </c>
      <c r="B46" s="217"/>
      <c r="C46" s="166"/>
      <c r="D46" s="166">
        <v>64000</v>
      </c>
      <c r="E46" s="166"/>
      <c r="F46" s="166"/>
      <c r="G46" s="166">
        <v>3700</v>
      </c>
      <c r="H46" s="166">
        <v>1600</v>
      </c>
      <c r="I46" s="166"/>
      <c r="J46" s="166">
        <v>18600</v>
      </c>
      <c r="K46" s="165">
        <v>22800</v>
      </c>
      <c r="L46" s="211">
        <f t="shared" si="3"/>
        <v>110700</v>
      </c>
    </row>
    <row r="47" spans="1:12" ht="12.75">
      <c r="A47" s="213" t="s">
        <v>23</v>
      </c>
      <c r="B47" s="217"/>
      <c r="C47" s="166"/>
      <c r="D47" s="166">
        <v>263015</v>
      </c>
      <c r="E47" s="166">
        <v>5388</v>
      </c>
      <c r="F47" s="166"/>
      <c r="G47" s="166">
        <v>12214</v>
      </c>
      <c r="H47" s="166">
        <v>5094</v>
      </c>
      <c r="I47" s="166"/>
      <c r="J47" s="166">
        <v>85820</v>
      </c>
      <c r="K47" s="165">
        <v>88759</v>
      </c>
      <c r="L47" s="211">
        <f t="shared" si="3"/>
        <v>460290</v>
      </c>
    </row>
    <row r="48" spans="1:12" ht="12.75">
      <c r="A48" s="213" t="s">
        <v>25</v>
      </c>
      <c r="B48" s="217"/>
      <c r="C48" s="166"/>
      <c r="D48" s="166">
        <v>77317</v>
      </c>
      <c r="E48" s="166">
        <v>3684</v>
      </c>
      <c r="F48" s="166"/>
      <c r="G48" s="166">
        <v>4253</v>
      </c>
      <c r="H48" s="166">
        <v>0</v>
      </c>
      <c r="I48" s="166"/>
      <c r="J48" s="166">
        <v>78447</v>
      </c>
      <c r="K48" s="165">
        <v>39588</v>
      </c>
      <c r="L48" s="211">
        <f t="shared" si="3"/>
        <v>203289</v>
      </c>
    </row>
    <row r="49" spans="1:12" ht="12.75">
      <c r="A49" s="213" t="s">
        <v>26</v>
      </c>
      <c r="B49" s="217"/>
      <c r="C49" s="166"/>
      <c r="D49" s="166">
        <v>119000</v>
      </c>
      <c r="E49" s="166">
        <v>0</v>
      </c>
      <c r="F49" s="166"/>
      <c r="G49" s="166">
        <v>13000</v>
      </c>
      <c r="H49" s="166">
        <v>3000</v>
      </c>
      <c r="I49" s="166"/>
      <c r="J49" s="166">
        <v>29000</v>
      </c>
      <c r="K49" s="165">
        <v>98200</v>
      </c>
      <c r="L49" s="211">
        <f t="shared" si="3"/>
        <v>262200</v>
      </c>
    </row>
    <row r="50" spans="1:12" ht="23.25" thickBot="1">
      <c r="A50" s="221" t="s">
        <v>27</v>
      </c>
      <c r="B50" s="222"/>
      <c r="C50" s="223"/>
      <c r="D50" s="223">
        <v>13.05</v>
      </c>
      <c r="E50" s="223">
        <v>0.33</v>
      </c>
      <c r="F50" s="223"/>
      <c r="G50" s="223">
        <v>1.02</v>
      </c>
      <c r="H50" s="223">
        <v>0.2</v>
      </c>
      <c r="I50" s="223"/>
      <c r="J50" s="223">
        <v>2.67</v>
      </c>
      <c r="K50" s="224">
        <v>6.93</v>
      </c>
      <c r="L50" s="225">
        <f t="shared" si="3"/>
        <v>24.2</v>
      </c>
    </row>
    <row r="51" spans="1:12" ht="13.5" thickBot="1">
      <c r="A51" s="103" t="s">
        <v>28</v>
      </c>
      <c r="B51" s="218"/>
      <c r="C51" s="220"/>
      <c r="D51" s="219">
        <f>+D34/12/D50</f>
        <v>17668.186462324393</v>
      </c>
      <c r="E51" s="219">
        <f>+E34/12/E50</f>
        <v>14244.949494949493</v>
      </c>
      <c r="F51" s="219"/>
      <c r="G51" s="219">
        <f>+G34/12/G50</f>
        <v>11103.921568627451</v>
      </c>
      <c r="H51" s="219">
        <f>+H34/12/H50</f>
        <v>22742.5</v>
      </c>
      <c r="I51" s="38"/>
      <c r="J51" s="220">
        <f>+J34/12/J50</f>
        <v>20751.74781523096</v>
      </c>
      <c r="K51" s="57">
        <f>+K34/12/K50</f>
        <v>10823.556998556998</v>
      </c>
      <c r="L51" s="226">
        <f>+L34/12/L50</f>
        <v>15766.921487603306</v>
      </c>
    </row>
    <row r="52" ht="6.75" customHeight="1"/>
    <row r="53" ht="3.75" customHeight="1"/>
    <row r="54" ht="16.5" thickBot="1">
      <c r="A54" s="3" t="s">
        <v>160</v>
      </c>
    </row>
    <row r="55" spans="1:12" ht="17.25" customHeight="1">
      <c r="A55" s="227" t="str">
        <f>+A48</f>
        <v>osobní příplatek</v>
      </c>
      <c r="B55" s="228"/>
      <c r="C55" s="229"/>
      <c r="D55" s="232">
        <f>+D48/D50/12</f>
        <v>493.72286079182624</v>
      </c>
      <c r="E55" s="229">
        <f>+E48/E50/12</f>
        <v>930.3030303030304</v>
      </c>
      <c r="F55" s="229"/>
      <c r="G55" s="229">
        <f>+G48/G50/12</f>
        <v>347.4673202614379</v>
      </c>
      <c r="H55" s="229">
        <f>+H48/H50/12</f>
        <v>0</v>
      </c>
      <c r="I55" s="229"/>
      <c r="J55" s="229">
        <f>+J48/J50/12</f>
        <v>2448.4082397003745</v>
      </c>
      <c r="K55" s="240">
        <f>+K48/K50/12</f>
        <v>476.0461760461761</v>
      </c>
      <c r="L55" s="241">
        <f>+L48/L50/12</f>
        <v>700.0309917355372</v>
      </c>
    </row>
    <row r="56" spans="1:12" ht="17.25" customHeight="1" thickBot="1">
      <c r="A56" s="230" t="str">
        <f>+A49</f>
        <v>odměny</v>
      </c>
      <c r="B56" s="231"/>
      <c r="C56" s="170"/>
      <c r="D56" s="233">
        <f>+D49/12/D50</f>
        <v>759.897828863346</v>
      </c>
      <c r="E56" s="170">
        <f>+E49/12/E50</f>
        <v>0</v>
      </c>
      <c r="F56" s="170"/>
      <c r="G56" s="170">
        <f>+G49/12/G50</f>
        <v>1062.0915032679738</v>
      </c>
      <c r="H56" s="170">
        <f>+H49/12/H50</f>
        <v>1250</v>
      </c>
      <c r="I56" s="170"/>
      <c r="J56" s="170">
        <f>+J49/12/J50</f>
        <v>905.1186017478152</v>
      </c>
      <c r="K56" s="169">
        <f>+K49/12/K50</f>
        <v>1180.8561808561808</v>
      </c>
      <c r="L56" s="242">
        <f>+L49/12/L50</f>
        <v>902.8925619834711</v>
      </c>
    </row>
    <row r="57" spans="1:12" ht="17.25" customHeight="1" thickBot="1">
      <c r="A57" s="230" t="s">
        <v>161</v>
      </c>
      <c r="B57" s="231"/>
      <c r="C57" s="170"/>
      <c r="D57" s="233">
        <f>+D55+D56</f>
        <v>1253.6206896551723</v>
      </c>
      <c r="E57" s="170">
        <f>+E55+E56</f>
        <v>930.3030303030304</v>
      </c>
      <c r="F57" s="170"/>
      <c r="G57" s="170">
        <f>+G55+G56</f>
        <v>1409.5588235294117</v>
      </c>
      <c r="H57" s="170">
        <f>+H55+H56</f>
        <v>1250</v>
      </c>
      <c r="I57" s="170"/>
      <c r="J57" s="170">
        <f>+J55+J56</f>
        <v>3353.5268414481898</v>
      </c>
      <c r="K57" s="169">
        <f>+K55+K56</f>
        <v>1656.9023569023568</v>
      </c>
      <c r="L57" s="242">
        <f>+L55+L56</f>
        <v>1602.9235537190084</v>
      </c>
    </row>
    <row r="61" ht="13.5" thickBot="1"/>
    <row r="62" spans="1:12" ht="18.75" thickBot="1">
      <c r="A62" s="462" t="s">
        <v>189</v>
      </c>
      <c r="B62" s="459" t="s">
        <v>2</v>
      </c>
      <c r="C62" s="460"/>
      <c r="D62" s="460"/>
      <c r="E62" s="460"/>
      <c r="F62" s="460"/>
      <c r="G62" s="460"/>
      <c r="H62" s="461"/>
      <c r="I62" s="461"/>
      <c r="J62" s="461"/>
      <c r="K62" s="461"/>
      <c r="L62" s="403"/>
    </row>
    <row r="63" spans="1:12" ht="42" thickBot="1">
      <c r="A63" s="463"/>
      <c r="B63" s="207" t="s">
        <v>143</v>
      </c>
      <c r="C63" s="208" t="s">
        <v>144</v>
      </c>
      <c r="D63" s="208" t="s">
        <v>145</v>
      </c>
      <c r="E63" s="208" t="s">
        <v>146</v>
      </c>
      <c r="F63" s="208" t="s">
        <v>147</v>
      </c>
      <c r="G63" s="208" t="s">
        <v>148</v>
      </c>
      <c r="H63" s="208" t="s">
        <v>149</v>
      </c>
      <c r="I63" s="208" t="s">
        <v>150</v>
      </c>
      <c r="J63" s="208" t="s">
        <v>133</v>
      </c>
      <c r="K63" s="209" t="s">
        <v>151</v>
      </c>
      <c r="L63" s="210" t="s">
        <v>97</v>
      </c>
    </row>
    <row r="64" spans="1:12" ht="12.75">
      <c r="A64" s="212" t="s">
        <v>152</v>
      </c>
      <c r="B64" s="238">
        <f aca="true" t="shared" si="4" ref="B64:K64">SUM(B65:B79)</f>
        <v>0</v>
      </c>
      <c r="C64" s="215">
        <f t="shared" si="4"/>
        <v>0</v>
      </c>
      <c r="D64" s="215">
        <f>SUM(D65:D79)</f>
        <v>440693</v>
      </c>
      <c r="E64" s="215">
        <f t="shared" si="4"/>
        <v>0</v>
      </c>
      <c r="F64" s="215">
        <f t="shared" si="4"/>
        <v>10416</v>
      </c>
      <c r="G64" s="215">
        <f t="shared" si="4"/>
        <v>98225</v>
      </c>
      <c r="H64" s="215">
        <f t="shared" si="4"/>
        <v>32059</v>
      </c>
      <c r="I64" s="215">
        <f t="shared" si="4"/>
        <v>0</v>
      </c>
      <c r="J64" s="215">
        <f t="shared" si="4"/>
        <v>107742</v>
      </c>
      <c r="K64" s="47">
        <f t="shared" si="4"/>
        <v>142791</v>
      </c>
      <c r="L64" s="49">
        <f>SUM(B64:K64)</f>
        <v>831926</v>
      </c>
    </row>
    <row r="65" spans="1:12" ht="12.75">
      <c r="A65" s="213" t="s">
        <v>11</v>
      </c>
      <c r="B65" s="214"/>
      <c r="C65" s="215"/>
      <c r="D65" s="215">
        <v>366825</v>
      </c>
      <c r="E65" s="215"/>
      <c r="F65" s="215">
        <v>10416</v>
      </c>
      <c r="G65" s="215">
        <v>83953</v>
      </c>
      <c r="H65" s="215">
        <v>28557</v>
      </c>
      <c r="I65" s="215"/>
      <c r="J65" s="215">
        <v>69189</v>
      </c>
      <c r="K65" s="47">
        <v>126699</v>
      </c>
      <c r="L65" s="211">
        <f aca="true" t="shared" si="5" ref="L65:L80">SUM(B65:K65)</f>
        <v>685639</v>
      </c>
    </row>
    <row r="66" spans="1:12" ht="12.75">
      <c r="A66" s="213" t="s">
        <v>12</v>
      </c>
      <c r="B66" s="216"/>
      <c r="C66" s="166"/>
      <c r="D66" s="166"/>
      <c r="E66" s="166"/>
      <c r="F66" s="166"/>
      <c r="G66" s="166"/>
      <c r="H66" s="166"/>
      <c r="I66" s="166"/>
      <c r="J66" s="166">
        <v>9000</v>
      </c>
      <c r="K66" s="165">
        <v>1000</v>
      </c>
      <c r="L66" s="211">
        <f t="shared" si="5"/>
        <v>10000</v>
      </c>
    </row>
    <row r="67" spans="1:12" ht="12.75">
      <c r="A67" s="213" t="s">
        <v>14</v>
      </c>
      <c r="B67" s="217"/>
      <c r="C67" s="166"/>
      <c r="D67" s="166"/>
      <c r="E67" s="166"/>
      <c r="F67" s="166"/>
      <c r="G67" s="166"/>
      <c r="H67" s="166"/>
      <c r="I67" s="166"/>
      <c r="J67" s="166"/>
      <c r="K67" s="165"/>
      <c r="L67" s="211">
        <f t="shared" si="5"/>
        <v>0</v>
      </c>
    </row>
    <row r="68" spans="1:12" ht="12.75">
      <c r="A68" s="213" t="s">
        <v>15</v>
      </c>
      <c r="B68" s="217"/>
      <c r="C68" s="166"/>
      <c r="D68" s="166">
        <v>4235</v>
      </c>
      <c r="E68" s="166"/>
      <c r="F68" s="166"/>
      <c r="G68" s="166">
        <v>1442</v>
      </c>
      <c r="H68" s="166"/>
      <c r="I68" s="166"/>
      <c r="J68" s="166">
        <v>600</v>
      </c>
      <c r="K68" s="165">
        <v>1136</v>
      </c>
      <c r="L68" s="211">
        <f t="shared" si="5"/>
        <v>7413</v>
      </c>
    </row>
    <row r="69" spans="1:12" ht="12.75">
      <c r="A69" s="213" t="s">
        <v>16</v>
      </c>
      <c r="B69" s="217"/>
      <c r="C69" s="166"/>
      <c r="D69" s="166"/>
      <c r="E69" s="166"/>
      <c r="F69" s="166"/>
      <c r="G69" s="166"/>
      <c r="H69" s="166"/>
      <c r="I69" s="166"/>
      <c r="J69" s="166"/>
      <c r="K69" s="165"/>
      <c r="L69" s="211">
        <f t="shared" si="5"/>
        <v>0</v>
      </c>
    </row>
    <row r="70" spans="1:12" ht="22.5">
      <c r="A70" s="213" t="s">
        <v>18</v>
      </c>
      <c r="B70" s="217"/>
      <c r="C70" s="166"/>
      <c r="D70" s="166"/>
      <c r="E70" s="166"/>
      <c r="F70" s="166"/>
      <c r="G70" s="166"/>
      <c r="H70" s="166"/>
      <c r="I70" s="166"/>
      <c r="J70" s="166"/>
      <c r="K70" s="165"/>
      <c r="L70" s="211">
        <f t="shared" si="5"/>
        <v>0</v>
      </c>
    </row>
    <row r="71" spans="1:12" ht="12.75">
      <c r="A71" s="213" t="s">
        <v>19</v>
      </c>
      <c r="B71" s="217"/>
      <c r="C71" s="166"/>
      <c r="D71" s="166">
        <v>24305</v>
      </c>
      <c r="E71" s="166"/>
      <c r="F71" s="166"/>
      <c r="G71" s="166">
        <v>5954</v>
      </c>
      <c r="H71" s="166"/>
      <c r="I71" s="166"/>
      <c r="J71" s="166"/>
      <c r="K71" s="165">
        <v>3821</v>
      </c>
      <c r="L71" s="211">
        <f t="shared" si="5"/>
        <v>34080</v>
      </c>
    </row>
    <row r="72" spans="1:12" ht="12.75">
      <c r="A72" s="213" t="s">
        <v>20</v>
      </c>
      <c r="B72" s="217"/>
      <c r="C72" s="166"/>
      <c r="D72" s="166">
        <v>5108</v>
      </c>
      <c r="E72" s="166"/>
      <c r="F72" s="166"/>
      <c r="G72" s="166">
        <v>1401</v>
      </c>
      <c r="H72" s="166"/>
      <c r="I72" s="166"/>
      <c r="J72" s="166"/>
      <c r="K72" s="165">
        <v>521</v>
      </c>
      <c r="L72" s="211">
        <f t="shared" si="5"/>
        <v>7030</v>
      </c>
    </row>
    <row r="73" spans="1:12" ht="12.75">
      <c r="A73" s="213" t="s">
        <v>21</v>
      </c>
      <c r="B73" s="217"/>
      <c r="C73" s="166"/>
      <c r="D73" s="166">
        <v>10259</v>
      </c>
      <c r="E73" s="166"/>
      <c r="F73" s="166"/>
      <c r="G73" s="166"/>
      <c r="H73" s="166"/>
      <c r="I73" s="166"/>
      <c r="J73" s="166"/>
      <c r="K73" s="165"/>
      <c r="L73" s="211">
        <f t="shared" si="5"/>
        <v>10259</v>
      </c>
    </row>
    <row r="74" spans="1:12" ht="12.75">
      <c r="A74" s="213" t="s">
        <v>22</v>
      </c>
      <c r="B74" s="217"/>
      <c r="C74" s="166"/>
      <c r="D74" s="166"/>
      <c r="E74" s="166"/>
      <c r="F74" s="166"/>
      <c r="G74" s="166"/>
      <c r="H74" s="166"/>
      <c r="I74" s="166"/>
      <c r="J74" s="166"/>
      <c r="K74" s="165"/>
      <c r="L74" s="211">
        <f t="shared" si="5"/>
        <v>0</v>
      </c>
    </row>
    <row r="75" spans="1:12" ht="22.5">
      <c r="A75" s="213" t="s">
        <v>153</v>
      </c>
      <c r="B75" s="217"/>
      <c r="C75" s="166"/>
      <c r="D75" s="166"/>
      <c r="E75" s="166"/>
      <c r="F75" s="166"/>
      <c r="G75" s="166"/>
      <c r="H75" s="166"/>
      <c r="I75" s="166"/>
      <c r="J75" s="166"/>
      <c r="K75" s="165"/>
      <c r="L75" s="211">
        <f t="shared" si="5"/>
        <v>0</v>
      </c>
    </row>
    <row r="76" spans="1:12" ht="12.75">
      <c r="A76" s="213" t="s">
        <v>154</v>
      </c>
      <c r="B76" s="217"/>
      <c r="C76" s="166"/>
      <c r="D76" s="166"/>
      <c r="E76" s="166"/>
      <c r="F76" s="166"/>
      <c r="G76" s="166"/>
      <c r="H76" s="166"/>
      <c r="I76" s="166"/>
      <c r="J76" s="166"/>
      <c r="K76" s="165"/>
      <c r="L76" s="211">
        <f t="shared" si="5"/>
        <v>0</v>
      </c>
    </row>
    <row r="77" spans="1:12" ht="12.75">
      <c r="A77" s="213" t="s">
        <v>23</v>
      </c>
      <c r="B77" s="217"/>
      <c r="C77" s="166"/>
      <c r="D77" s="166">
        <v>13395</v>
      </c>
      <c r="E77" s="166"/>
      <c r="F77" s="166"/>
      <c r="G77" s="166">
        <v>1209</v>
      </c>
      <c r="H77" s="166">
        <v>1602</v>
      </c>
      <c r="I77" s="166"/>
      <c r="J77" s="166">
        <v>2138</v>
      </c>
      <c r="K77" s="165">
        <v>2141</v>
      </c>
      <c r="L77" s="211">
        <f t="shared" si="5"/>
        <v>20485</v>
      </c>
    </row>
    <row r="78" spans="1:12" ht="12.75">
      <c r="A78" s="213" t="s">
        <v>25</v>
      </c>
      <c r="B78" s="217"/>
      <c r="C78" s="166"/>
      <c r="D78" s="166">
        <v>14449</v>
      </c>
      <c r="E78" s="166"/>
      <c r="F78" s="166"/>
      <c r="G78" s="166">
        <v>3545</v>
      </c>
      <c r="H78" s="166">
        <v>1900</v>
      </c>
      <c r="I78" s="166"/>
      <c r="J78" s="166">
        <v>26815</v>
      </c>
      <c r="K78" s="165">
        <v>6888</v>
      </c>
      <c r="L78" s="211">
        <f t="shared" si="5"/>
        <v>53597</v>
      </c>
    </row>
    <row r="79" spans="1:12" ht="12.75">
      <c r="A79" s="213" t="s">
        <v>26</v>
      </c>
      <c r="B79" s="217"/>
      <c r="C79" s="166"/>
      <c r="D79" s="166">
        <v>2117</v>
      </c>
      <c r="E79" s="166"/>
      <c r="F79" s="166"/>
      <c r="G79" s="166">
        <v>721</v>
      </c>
      <c r="H79" s="166"/>
      <c r="I79" s="166"/>
      <c r="J79" s="166"/>
      <c r="K79" s="165">
        <v>585</v>
      </c>
      <c r="L79" s="211">
        <f t="shared" si="5"/>
        <v>3423</v>
      </c>
    </row>
    <row r="80" spans="1:12" ht="23.25" thickBot="1">
      <c r="A80" s="221" t="s">
        <v>27</v>
      </c>
      <c r="B80" s="222"/>
      <c r="C80" s="223"/>
      <c r="D80" s="223">
        <v>11</v>
      </c>
      <c r="E80" s="223"/>
      <c r="F80" s="223">
        <v>0.2</v>
      </c>
      <c r="G80" s="223">
        <v>4</v>
      </c>
      <c r="H80" s="223">
        <v>1</v>
      </c>
      <c r="I80" s="223"/>
      <c r="J80" s="223">
        <v>2</v>
      </c>
      <c r="K80" s="224">
        <v>7</v>
      </c>
      <c r="L80" s="225">
        <f t="shared" si="5"/>
        <v>25.2</v>
      </c>
    </row>
    <row r="81" spans="1:12" ht="13.5" thickBot="1">
      <c r="A81" s="103" t="s">
        <v>28</v>
      </c>
      <c r="B81" s="218"/>
      <c r="C81" s="220"/>
      <c r="D81" s="219">
        <f>+D64/D80/2</f>
        <v>20031.5</v>
      </c>
      <c r="E81" s="219"/>
      <c r="F81" s="219">
        <f>+F64/F80/2</f>
        <v>26040</v>
      </c>
      <c r="G81" s="219">
        <f>+G64/G80/2</f>
        <v>12278.125</v>
      </c>
      <c r="H81" s="219">
        <f>+H64/H80/2</f>
        <v>16029.5</v>
      </c>
      <c r="I81" s="38"/>
      <c r="J81" s="219">
        <f>+J64/J80/2</f>
        <v>26935.5</v>
      </c>
      <c r="K81" s="219">
        <f>+K64/K80/2</f>
        <v>10199.357142857143</v>
      </c>
      <c r="L81" s="219">
        <f>+L64/L80/2</f>
        <v>16506.468253968254</v>
      </c>
    </row>
    <row r="82" ht="10.5" customHeight="1"/>
    <row r="83" ht="3.75" customHeight="1" thickBot="1">
      <c r="D83" s="36"/>
    </row>
    <row r="84" spans="1:12" ht="18.75" thickBot="1">
      <c r="A84" s="462" t="s">
        <v>197</v>
      </c>
      <c r="B84" s="459" t="s">
        <v>2</v>
      </c>
      <c r="C84" s="460"/>
      <c r="D84" s="460"/>
      <c r="E84" s="460"/>
      <c r="F84" s="460"/>
      <c r="G84" s="460"/>
      <c r="H84" s="461"/>
      <c r="I84" s="461"/>
      <c r="J84" s="461"/>
      <c r="K84" s="461"/>
      <c r="L84" s="403"/>
    </row>
    <row r="85" spans="1:12" ht="42" thickBot="1">
      <c r="A85" s="463"/>
      <c r="B85" s="207" t="s">
        <v>143</v>
      </c>
      <c r="C85" s="208" t="s">
        <v>144</v>
      </c>
      <c r="D85" s="208" t="s">
        <v>145</v>
      </c>
      <c r="E85" s="208" t="s">
        <v>146</v>
      </c>
      <c r="F85" s="208" t="s">
        <v>147</v>
      </c>
      <c r="G85" s="208" t="s">
        <v>148</v>
      </c>
      <c r="H85" s="208" t="s">
        <v>149</v>
      </c>
      <c r="I85" s="208" t="s">
        <v>150</v>
      </c>
      <c r="J85" s="208" t="s">
        <v>133</v>
      </c>
      <c r="K85" s="209" t="s">
        <v>151</v>
      </c>
      <c r="L85" s="210" t="s">
        <v>97</v>
      </c>
    </row>
    <row r="86" spans="1:12" ht="12.75">
      <c r="A86" s="212" t="s">
        <v>152</v>
      </c>
      <c r="B86" s="238">
        <f>SUM(B87:B101)</f>
        <v>0</v>
      </c>
      <c r="C86" s="215">
        <f>SUM(C87:C101)</f>
        <v>0</v>
      </c>
      <c r="D86" s="215">
        <f>SUM(D87:D101)</f>
        <v>201167</v>
      </c>
      <c r="E86" s="215">
        <f aca="true" t="shared" si="6" ref="E86:K86">SUM(E87:E101)</f>
        <v>0</v>
      </c>
      <c r="F86" s="215">
        <f t="shared" si="6"/>
        <v>1127</v>
      </c>
      <c r="G86" s="215">
        <f t="shared" si="6"/>
        <v>65243</v>
      </c>
      <c r="H86" s="215">
        <f t="shared" si="6"/>
        <v>15310</v>
      </c>
      <c r="I86" s="215">
        <f t="shared" si="6"/>
        <v>0</v>
      </c>
      <c r="J86" s="215">
        <f t="shared" si="6"/>
        <v>48868</v>
      </c>
      <c r="K86" s="47">
        <f t="shared" si="6"/>
        <v>64344</v>
      </c>
      <c r="L86" s="49">
        <f>SUM(B86:K86)</f>
        <v>396059</v>
      </c>
    </row>
    <row r="87" spans="1:12" ht="12.75">
      <c r="A87" s="213" t="s">
        <v>11</v>
      </c>
      <c r="B87" s="214"/>
      <c r="C87" s="215"/>
      <c r="D87" s="215">
        <v>144682</v>
      </c>
      <c r="E87" s="215"/>
      <c r="F87" s="215">
        <v>1127</v>
      </c>
      <c r="G87" s="215">
        <v>52286</v>
      </c>
      <c r="H87" s="215">
        <v>14310</v>
      </c>
      <c r="I87" s="215"/>
      <c r="J87" s="215">
        <v>29305</v>
      </c>
      <c r="K87" s="47">
        <v>57128</v>
      </c>
      <c r="L87" s="211">
        <f aca="true" t="shared" si="7" ref="L87:L102">SUM(B87:K87)</f>
        <v>298838</v>
      </c>
    </row>
    <row r="88" spans="1:12" ht="12.75">
      <c r="A88" s="213" t="s">
        <v>12</v>
      </c>
      <c r="B88" s="216"/>
      <c r="C88" s="166"/>
      <c r="D88" s="166">
        <v>1160</v>
      </c>
      <c r="E88" s="166"/>
      <c r="F88" s="166"/>
      <c r="G88" s="166">
        <v>0</v>
      </c>
      <c r="H88" s="166"/>
      <c r="I88" s="166"/>
      <c r="J88" s="166">
        <v>6545</v>
      </c>
      <c r="K88" s="165">
        <v>500</v>
      </c>
      <c r="L88" s="211">
        <f t="shared" si="7"/>
        <v>8205</v>
      </c>
    </row>
    <row r="89" spans="1:12" ht="12.75">
      <c r="A89" s="213" t="s">
        <v>14</v>
      </c>
      <c r="B89" s="217"/>
      <c r="C89" s="166"/>
      <c r="D89" s="166">
        <v>0</v>
      </c>
      <c r="E89" s="166"/>
      <c r="F89" s="166"/>
      <c r="G89" s="166">
        <v>0</v>
      </c>
      <c r="H89" s="166"/>
      <c r="I89" s="166"/>
      <c r="J89" s="166">
        <v>0</v>
      </c>
      <c r="K89" s="165">
        <v>0</v>
      </c>
      <c r="L89" s="211">
        <f t="shared" si="7"/>
        <v>0</v>
      </c>
    </row>
    <row r="90" spans="1:12" ht="12.75">
      <c r="A90" s="213" t="s">
        <v>15</v>
      </c>
      <c r="B90" s="217"/>
      <c r="C90" s="166"/>
      <c r="D90" s="166">
        <v>2769</v>
      </c>
      <c r="E90" s="166"/>
      <c r="F90" s="166"/>
      <c r="G90" s="166">
        <v>1231</v>
      </c>
      <c r="H90" s="166"/>
      <c r="I90" s="166"/>
      <c r="J90" s="166">
        <v>300</v>
      </c>
      <c r="K90" s="165">
        <v>863</v>
      </c>
      <c r="L90" s="211">
        <f t="shared" si="7"/>
        <v>5163</v>
      </c>
    </row>
    <row r="91" spans="1:12" ht="12.75">
      <c r="A91" s="213" t="s">
        <v>16</v>
      </c>
      <c r="B91" s="217"/>
      <c r="C91" s="166"/>
      <c r="D91" s="166"/>
      <c r="E91" s="166"/>
      <c r="F91" s="166"/>
      <c r="G91" s="166">
        <v>0</v>
      </c>
      <c r="H91" s="166"/>
      <c r="I91" s="166"/>
      <c r="J91" s="166"/>
      <c r="K91" s="165">
        <v>0</v>
      </c>
      <c r="L91" s="211">
        <f t="shared" si="7"/>
        <v>0</v>
      </c>
    </row>
    <row r="92" spans="1:12" ht="22.5">
      <c r="A92" s="213" t="s">
        <v>18</v>
      </c>
      <c r="B92" s="217"/>
      <c r="C92" s="166"/>
      <c r="D92" s="333"/>
      <c r="E92" s="166"/>
      <c r="F92" s="166"/>
      <c r="G92" s="166">
        <v>0</v>
      </c>
      <c r="H92" s="166"/>
      <c r="I92" s="166"/>
      <c r="J92" s="166"/>
      <c r="K92" s="165">
        <v>0</v>
      </c>
      <c r="L92" s="211">
        <f t="shared" si="7"/>
        <v>0</v>
      </c>
    </row>
    <row r="93" spans="1:12" ht="12.75">
      <c r="A93" s="213" t="s">
        <v>19</v>
      </c>
      <c r="B93" s="217"/>
      <c r="C93" s="166"/>
      <c r="D93" s="166">
        <v>9858</v>
      </c>
      <c r="E93" s="166"/>
      <c r="F93" s="166"/>
      <c r="G93" s="166">
        <v>3125</v>
      </c>
      <c r="H93" s="166"/>
      <c r="I93" s="166"/>
      <c r="J93" s="166"/>
      <c r="K93" s="165">
        <v>1561</v>
      </c>
      <c r="L93" s="211">
        <f t="shared" si="7"/>
        <v>14544</v>
      </c>
    </row>
    <row r="94" spans="1:12" ht="12.75">
      <c r="A94" s="213" t="s">
        <v>20</v>
      </c>
      <c r="B94" s="217"/>
      <c r="C94" s="166"/>
      <c r="D94" s="166">
        <v>1289</v>
      </c>
      <c r="E94" s="166"/>
      <c r="F94" s="166"/>
      <c r="G94" s="166">
        <v>3929</v>
      </c>
      <c r="H94" s="166"/>
      <c r="I94" s="166"/>
      <c r="J94" s="166"/>
      <c r="K94" s="165">
        <v>452</v>
      </c>
      <c r="L94" s="211">
        <f t="shared" si="7"/>
        <v>5670</v>
      </c>
    </row>
    <row r="95" spans="1:12" ht="12.75">
      <c r="A95" s="213" t="s">
        <v>21</v>
      </c>
      <c r="B95" s="217"/>
      <c r="C95" s="166"/>
      <c r="D95" s="166">
        <v>4933</v>
      </c>
      <c r="E95" s="166"/>
      <c r="F95" s="166"/>
      <c r="G95" s="166">
        <v>235</v>
      </c>
      <c r="H95" s="166"/>
      <c r="I95" s="166"/>
      <c r="J95" s="166"/>
      <c r="K95" s="165">
        <v>0</v>
      </c>
      <c r="L95" s="211">
        <f t="shared" si="7"/>
        <v>5168</v>
      </c>
    </row>
    <row r="96" spans="1:12" ht="12.75">
      <c r="A96" s="213" t="s">
        <v>22</v>
      </c>
      <c r="B96" s="217"/>
      <c r="C96" s="166"/>
      <c r="D96" s="166"/>
      <c r="E96" s="166"/>
      <c r="F96" s="166"/>
      <c r="G96" s="166">
        <v>0</v>
      </c>
      <c r="H96" s="166"/>
      <c r="I96" s="166"/>
      <c r="J96" s="166"/>
      <c r="K96" s="165">
        <v>0</v>
      </c>
      <c r="L96" s="211">
        <f t="shared" si="7"/>
        <v>0</v>
      </c>
    </row>
    <row r="97" spans="1:12" ht="22.5">
      <c r="A97" s="213" t="s">
        <v>153</v>
      </c>
      <c r="B97" s="217"/>
      <c r="C97" s="166"/>
      <c r="D97" s="166"/>
      <c r="E97" s="166"/>
      <c r="F97" s="166"/>
      <c r="G97" s="166">
        <v>0</v>
      </c>
      <c r="H97" s="166"/>
      <c r="I97" s="166"/>
      <c r="J97" s="166"/>
      <c r="K97" s="165">
        <v>0</v>
      </c>
      <c r="L97" s="211">
        <f t="shared" si="7"/>
        <v>0</v>
      </c>
    </row>
    <row r="98" spans="1:12" ht="12.75">
      <c r="A98" s="213" t="s">
        <v>154</v>
      </c>
      <c r="B98" s="217"/>
      <c r="C98" s="166"/>
      <c r="D98" s="333"/>
      <c r="E98" s="166"/>
      <c r="F98" s="166"/>
      <c r="G98" s="166">
        <v>0</v>
      </c>
      <c r="H98" s="166"/>
      <c r="I98" s="166"/>
      <c r="J98" s="166"/>
      <c r="K98" s="165">
        <v>0</v>
      </c>
      <c r="L98" s="211">
        <f t="shared" si="7"/>
        <v>0</v>
      </c>
    </row>
    <row r="99" spans="1:12" ht="12.75">
      <c r="A99" s="213" t="s">
        <v>23</v>
      </c>
      <c r="B99" s="217"/>
      <c r="C99" s="166"/>
      <c r="D99" s="166">
        <v>31799</v>
      </c>
      <c r="E99" s="166"/>
      <c r="F99" s="166"/>
      <c r="G99" s="166">
        <v>2823</v>
      </c>
      <c r="H99" s="166"/>
      <c r="I99" s="166"/>
      <c r="J99" s="166">
        <v>6102</v>
      </c>
      <c r="K99" s="165">
        <v>990</v>
      </c>
      <c r="L99" s="211">
        <f t="shared" si="7"/>
        <v>41714</v>
      </c>
    </row>
    <row r="100" spans="1:12" ht="12.75">
      <c r="A100" s="213" t="s">
        <v>25</v>
      </c>
      <c r="B100" s="217"/>
      <c r="C100" s="166"/>
      <c r="D100" s="166">
        <v>4677</v>
      </c>
      <c r="E100" s="166"/>
      <c r="F100" s="166"/>
      <c r="G100" s="166">
        <v>1614</v>
      </c>
      <c r="H100" s="166">
        <v>1000</v>
      </c>
      <c r="I100" s="166"/>
      <c r="J100" s="166">
        <v>6616</v>
      </c>
      <c r="K100" s="165">
        <v>2850</v>
      </c>
      <c r="L100" s="211">
        <f t="shared" si="7"/>
        <v>16757</v>
      </c>
    </row>
    <row r="101" spans="1:12" ht="12.75">
      <c r="A101" s="213" t="s">
        <v>26</v>
      </c>
      <c r="B101" s="217"/>
      <c r="C101" s="166"/>
      <c r="D101" s="166">
        <v>0</v>
      </c>
      <c r="E101" s="166"/>
      <c r="F101" s="166"/>
      <c r="G101" s="166">
        <v>0</v>
      </c>
      <c r="H101" s="166">
        <v>0</v>
      </c>
      <c r="I101" s="166"/>
      <c r="J101" s="166">
        <v>0</v>
      </c>
      <c r="K101" s="165">
        <v>0</v>
      </c>
      <c r="L101" s="211">
        <f t="shared" si="7"/>
        <v>0</v>
      </c>
    </row>
    <row r="102" spans="1:12" ht="23.25" thickBot="1">
      <c r="A102" s="221" t="s">
        <v>27</v>
      </c>
      <c r="B102" s="222"/>
      <c r="C102" s="223"/>
      <c r="D102" s="223">
        <v>11</v>
      </c>
      <c r="E102" s="223"/>
      <c r="F102" s="223">
        <v>0.2</v>
      </c>
      <c r="G102" s="223">
        <v>4.97</v>
      </c>
      <c r="H102" s="223">
        <v>1</v>
      </c>
      <c r="I102" s="223"/>
      <c r="J102" s="223">
        <v>2</v>
      </c>
      <c r="K102" s="224">
        <v>7</v>
      </c>
      <c r="L102" s="225">
        <f t="shared" si="7"/>
        <v>26.169999999999998</v>
      </c>
    </row>
    <row r="103" spans="1:12" ht="13.5" thickBot="1">
      <c r="A103" s="103" t="s">
        <v>28</v>
      </c>
      <c r="B103" s="218"/>
      <c r="C103" s="220"/>
      <c r="D103" s="219">
        <f>+D86/D102</f>
        <v>18287.909090909092</v>
      </c>
      <c r="E103" s="219"/>
      <c r="F103" s="219">
        <f aca="true" t="shared" si="8" ref="F103:L103">+F86/F102</f>
        <v>5635</v>
      </c>
      <c r="G103" s="219">
        <f t="shared" si="8"/>
        <v>13127.364185110664</v>
      </c>
      <c r="H103" s="219">
        <f t="shared" si="8"/>
        <v>15310</v>
      </c>
      <c r="I103" s="219"/>
      <c r="J103" s="219">
        <f t="shared" si="8"/>
        <v>24434</v>
      </c>
      <c r="K103" s="219">
        <f t="shared" si="8"/>
        <v>9192</v>
      </c>
      <c r="L103" s="57">
        <f t="shared" si="8"/>
        <v>15134.084829957968</v>
      </c>
    </row>
    <row r="105" ht="2.25" customHeight="1"/>
    <row r="107" ht="16.5" thickBot="1">
      <c r="A107" s="3" t="s">
        <v>201</v>
      </c>
    </row>
    <row r="108" spans="1:13" s="313" customFormat="1" ht="18.75" customHeight="1">
      <c r="A108" s="307" t="s">
        <v>190</v>
      </c>
      <c r="B108" s="308"/>
      <c r="C108" s="309"/>
      <c r="D108" s="309">
        <f>+D87/D102</f>
        <v>13152.90909090909</v>
      </c>
      <c r="E108" s="309"/>
      <c r="F108" s="309">
        <f>+F87/F102</f>
        <v>5635</v>
      </c>
      <c r="G108" s="309">
        <f>+G87/G102</f>
        <v>10520.321931589539</v>
      </c>
      <c r="H108" s="309">
        <f>+H87/H102</f>
        <v>14310</v>
      </c>
      <c r="I108" s="309"/>
      <c r="J108" s="309">
        <f>+J87/J102</f>
        <v>14652.5</v>
      </c>
      <c r="K108" s="310">
        <f>+K87/K102</f>
        <v>8161.142857142857</v>
      </c>
      <c r="L108" s="311">
        <f>+L87/L102</f>
        <v>11419.105846388997</v>
      </c>
      <c r="M108" s="312"/>
    </row>
    <row r="109" spans="1:13" s="313" customFormat="1" ht="23.25" customHeight="1" hidden="1" thickBot="1">
      <c r="A109" s="314" t="s">
        <v>191</v>
      </c>
      <c r="B109" s="315"/>
      <c r="C109" s="316"/>
      <c r="D109" s="316">
        <f>+D108*1.05</f>
        <v>13810.554545454544</v>
      </c>
      <c r="E109" s="316"/>
      <c r="F109" s="316">
        <f aca="true" t="shared" si="9" ref="F109:L109">+F108*1.05</f>
        <v>5916.75</v>
      </c>
      <c r="G109" s="316">
        <f t="shared" si="9"/>
        <v>11046.338028169015</v>
      </c>
      <c r="H109" s="316">
        <f t="shared" si="9"/>
        <v>15025.5</v>
      </c>
      <c r="I109" s="316">
        <f t="shared" si="9"/>
        <v>0</v>
      </c>
      <c r="J109" s="316">
        <f t="shared" si="9"/>
        <v>15385.125</v>
      </c>
      <c r="K109" s="317">
        <f t="shared" si="9"/>
        <v>8569.2</v>
      </c>
      <c r="L109" s="318">
        <f t="shared" si="9"/>
        <v>11990.061138708446</v>
      </c>
      <c r="M109" s="312"/>
    </row>
    <row r="110" spans="1:12" s="313" customFormat="1" ht="18.75" customHeight="1">
      <c r="A110" s="319" t="s">
        <v>192</v>
      </c>
      <c r="B110" s="320"/>
      <c r="C110" s="321"/>
      <c r="D110" s="321">
        <f>+D65/2/D80</f>
        <v>16673.863636363636</v>
      </c>
      <c r="E110" s="321"/>
      <c r="F110" s="321">
        <f>+F65/2/F80</f>
        <v>26040</v>
      </c>
      <c r="G110" s="321">
        <f>+G65/2/G80</f>
        <v>10494.125</v>
      </c>
      <c r="H110" s="321">
        <f>+H65/2/H80</f>
        <v>14278.5</v>
      </c>
      <c r="I110" s="321"/>
      <c r="J110" s="321">
        <f>+J65/2/J80</f>
        <v>17297.25</v>
      </c>
      <c r="K110" s="322">
        <f>+K65/2/K80</f>
        <v>9049.92857142857</v>
      </c>
      <c r="L110" s="323">
        <f>+L65/2/L80</f>
        <v>13603.948412698413</v>
      </c>
    </row>
    <row r="111" spans="1:13" s="313" customFormat="1" ht="18.75" customHeight="1" thickBot="1">
      <c r="A111" s="329" t="s">
        <v>193</v>
      </c>
      <c r="B111" s="334"/>
      <c r="C111" s="330"/>
      <c r="D111" s="330">
        <f>+D110-D108</f>
        <v>3520.954545454546</v>
      </c>
      <c r="E111" s="330"/>
      <c r="F111" s="330">
        <f>+F110-F108</f>
        <v>20405</v>
      </c>
      <c r="G111" s="330">
        <f>+G110-G108</f>
        <v>-26.196931589538508</v>
      </c>
      <c r="H111" s="330">
        <f>+H110-H108</f>
        <v>-31.5</v>
      </c>
      <c r="I111" s="330"/>
      <c r="J111" s="330">
        <f>+J110-J108</f>
        <v>2644.75</v>
      </c>
      <c r="K111" s="331">
        <f>+K110-K108</f>
        <v>888.7857142857138</v>
      </c>
      <c r="L111" s="332">
        <f>+L110-L108</f>
        <v>2184.8425663094167</v>
      </c>
      <c r="M111" s="312"/>
    </row>
    <row r="112" spans="1:12" s="313" customFormat="1" ht="18.75" customHeight="1" thickBot="1">
      <c r="A112" s="324" t="s">
        <v>194</v>
      </c>
      <c r="B112" s="325"/>
      <c r="C112" s="326"/>
      <c r="D112" s="326">
        <f>+D81-D103</f>
        <v>1743.590909090908</v>
      </c>
      <c r="E112" s="326"/>
      <c r="F112" s="326">
        <f aca="true" t="shared" si="10" ref="F112:L112">+F81-F103</f>
        <v>20405</v>
      </c>
      <c r="G112" s="326">
        <f t="shared" si="10"/>
        <v>-849.239185110664</v>
      </c>
      <c r="H112" s="326">
        <f t="shared" si="10"/>
        <v>719.5</v>
      </c>
      <c r="I112" s="326"/>
      <c r="J112" s="326">
        <f t="shared" si="10"/>
        <v>2501.5</v>
      </c>
      <c r="K112" s="327">
        <f t="shared" si="10"/>
        <v>1007.3571428571431</v>
      </c>
      <c r="L112" s="328">
        <f t="shared" si="10"/>
        <v>1372.383424010286</v>
      </c>
    </row>
    <row r="113" spans="1:12" ht="18.75" customHeight="1">
      <c r="A113" s="307" t="s">
        <v>168</v>
      </c>
      <c r="B113" s="228"/>
      <c r="C113" s="229"/>
      <c r="D113" s="232">
        <f>+D100/D102</f>
        <v>425.1818181818182</v>
      </c>
      <c r="E113" s="309"/>
      <c r="F113" s="309">
        <f aca="true" t="shared" si="11" ref="F113:L113">+F100/F102</f>
        <v>0</v>
      </c>
      <c r="G113" s="309">
        <f t="shared" si="11"/>
        <v>324.74849094567406</v>
      </c>
      <c r="H113" s="309">
        <f t="shared" si="11"/>
        <v>1000</v>
      </c>
      <c r="I113" s="309"/>
      <c r="J113" s="309">
        <f t="shared" si="11"/>
        <v>3308</v>
      </c>
      <c r="K113" s="310">
        <f t="shared" si="11"/>
        <v>407.14285714285717</v>
      </c>
      <c r="L113" s="311">
        <f t="shared" si="11"/>
        <v>640.3133358807796</v>
      </c>
    </row>
    <row r="114" spans="1:12" ht="18.75" customHeight="1" thickBot="1">
      <c r="A114" s="343" t="s">
        <v>195</v>
      </c>
      <c r="B114" s="344"/>
      <c r="C114" s="345"/>
      <c r="D114" s="346">
        <f>+D78/2/D80</f>
        <v>656.7727272727273</v>
      </c>
      <c r="E114" s="347"/>
      <c r="F114" s="347">
        <f>+F78/2/F80</f>
        <v>0</v>
      </c>
      <c r="G114" s="347">
        <f>+G78/2/G80</f>
        <v>443.125</v>
      </c>
      <c r="H114" s="347">
        <f>+H78/2/H80</f>
        <v>950</v>
      </c>
      <c r="I114" s="347"/>
      <c r="J114" s="347">
        <f>+J78/2/J80</f>
        <v>6703.75</v>
      </c>
      <c r="K114" s="348">
        <f>+K78/2/K80</f>
        <v>492</v>
      </c>
      <c r="L114" s="349">
        <f>+L78/2/L80</f>
        <v>1063.4325396825398</v>
      </c>
    </row>
    <row r="115" spans="1:12" ht="24" customHeight="1" thickBot="1">
      <c r="A115" s="335" t="s">
        <v>200</v>
      </c>
      <c r="B115" s="336"/>
      <c r="C115" s="337"/>
      <c r="D115" s="338">
        <f>+D112-D114</f>
        <v>1086.8181818181808</v>
      </c>
      <c r="E115" s="337"/>
      <c r="F115" s="340"/>
      <c r="G115" s="337"/>
      <c r="H115" s="340"/>
      <c r="I115" s="337"/>
      <c r="J115" s="340"/>
      <c r="K115" s="341"/>
      <c r="L115" s="342"/>
    </row>
    <row r="116" spans="1:12" ht="27.75" customHeight="1" thickBot="1">
      <c r="A116" s="329" t="s">
        <v>196</v>
      </c>
      <c r="B116" s="231"/>
      <c r="C116" s="170"/>
      <c r="D116" s="233">
        <f>+D81-D114</f>
        <v>19374.727272727272</v>
      </c>
      <c r="E116" s="170"/>
      <c r="F116" s="330">
        <f>+F81</f>
        <v>26040</v>
      </c>
      <c r="G116" s="330">
        <f aca="true" t="shared" si="12" ref="G116:L116">+G81</f>
        <v>12278.125</v>
      </c>
      <c r="H116" s="330">
        <f t="shared" si="12"/>
        <v>16029.5</v>
      </c>
      <c r="I116" s="330"/>
      <c r="J116" s="330">
        <f t="shared" si="12"/>
        <v>26935.5</v>
      </c>
      <c r="K116" s="331">
        <f t="shared" si="12"/>
        <v>10199.357142857143</v>
      </c>
      <c r="L116" s="332">
        <f t="shared" si="12"/>
        <v>16506.468253968254</v>
      </c>
    </row>
    <row r="117" ht="5.25" customHeight="1" thickBot="1"/>
    <row r="118" spans="1:12" ht="21.75" customHeight="1" thickBot="1">
      <c r="A118" s="335" t="s">
        <v>198</v>
      </c>
      <c r="B118" s="339"/>
      <c r="C118" s="340"/>
      <c r="D118" s="340">
        <f>+D22</f>
        <v>18149.695028972248</v>
      </c>
      <c r="E118" s="340"/>
      <c r="F118" s="340">
        <f>+F22</f>
        <v>15018.75</v>
      </c>
      <c r="G118" s="340">
        <f>+G22</f>
        <v>12235.242718446601</v>
      </c>
      <c r="H118" s="340">
        <f>+H22</f>
        <v>15549.666666666666</v>
      </c>
      <c r="I118" s="340"/>
      <c r="J118" s="340">
        <f>+J22</f>
        <v>24086.25</v>
      </c>
      <c r="K118" s="341">
        <f>+K22</f>
        <v>10009.978540772532</v>
      </c>
      <c r="L118" s="342">
        <f>+L22</f>
        <v>15153.533815505643</v>
      </c>
    </row>
    <row r="119" spans="1:12" ht="27.75" customHeight="1" thickBot="1">
      <c r="A119" s="335" t="s">
        <v>199</v>
      </c>
      <c r="B119" s="339"/>
      <c r="C119" s="340"/>
      <c r="D119" s="340">
        <f>+D116-D118</f>
        <v>1225.032243755024</v>
      </c>
      <c r="E119" s="340"/>
      <c r="F119" s="340">
        <f aca="true" t="shared" si="13" ref="F119:L119">+F116-F118</f>
        <v>11021.25</v>
      </c>
      <c r="G119" s="340">
        <f t="shared" si="13"/>
        <v>42.88228155339857</v>
      </c>
      <c r="H119" s="340">
        <f t="shared" si="13"/>
        <v>479.83333333333394</v>
      </c>
      <c r="I119" s="340">
        <f t="shared" si="13"/>
        <v>0</v>
      </c>
      <c r="J119" s="340">
        <f t="shared" si="13"/>
        <v>2849.25</v>
      </c>
      <c r="K119" s="341">
        <f t="shared" si="13"/>
        <v>189.37860208461097</v>
      </c>
      <c r="L119" s="342">
        <f t="shared" si="13"/>
        <v>1352.934438462611</v>
      </c>
    </row>
  </sheetData>
  <mergeCells count="8">
    <mergeCell ref="A62:A63"/>
    <mergeCell ref="B62:L62"/>
    <mergeCell ref="A84:A85"/>
    <mergeCell ref="B84:L84"/>
    <mergeCell ref="A3:A4"/>
    <mergeCell ref="B3:L3"/>
    <mergeCell ref="A32:A33"/>
    <mergeCell ref="B32:L32"/>
  </mergeCells>
  <printOptions/>
  <pageMargins left="0.25" right="0.2" top="0.79" bottom="0.48" header="0.4921259845" footer="0.28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7">
      <selection activeCell="D36" sqref="D36:E36"/>
    </sheetView>
  </sheetViews>
  <sheetFormatPr defaultColWidth="9.00390625" defaultRowHeight="12.75"/>
  <cols>
    <col min="1" max="1" width="27.375" style="0" customWidth="1"/>
    <col min="2" max="5" width="14.375" style="0" customWidth="1"/>
    <col min="6" max="6" width="15.25390625" style="0" customWidth="1"/>
  </cols>
  <sheetData>
    <row r="3" ht="15">
      <c r="A3" s="243" t="s">
        <v>162</v>
      </c>
    </row>
    <row r="4" spans="1:5" ht="15.75" thickBot="1">
      <c r="A4" s="243"/>
      <c r="E4" s="244" t="s">
        <v>89</v>
      </c>
    </row>
    <row r="5" spans="1:5" ht="29.25" customHeight="1" thickBot="1">
      <c r="A5" s="245" t="s">
        <v>163</v>
      </c>
      <c r="B5" s="246" t="s">
        <v>164</v>
      </c>
      <c r="C5" s="246" t="s">
        <v>165</v>
      </c>
      <c r="D5" s="247" t="s">
        <v>166</v>
      </c>
      <c r="E5" s="248" t="s">
        <v>47</v>
      </c>
    </row>
    <row r="6" spans="1:5" ht="23.25" customHeight="1" thickBot="1">
      <c r="A6" s="249" t="s">
        <v>2</v>
      </c>
      <c r="B6" s="250">
        <v>300.79774800000007</v>
      </c>
      <c r="C6" s="250">
        <v>326</v>
      </c>
      <c r="D6" s="251">
        <v>0</v>
      </c>
      <c r="E6" s="252">
        <f>+B6+C6+D6</f>
        <v>626.7977480000001</v>
      </c>
    </row>
    <row r="7" spans="1:5" ht="23.25" customHeight="1" thickBot="1">
      <c r="A7" s="245" t="s">
        <v>47</v>
      </c>
      <c r="B7" s="253">
        <f>SUM(B6:B6)</f>
        <v>300.79774800000007</v>
      </c>
      <c r="C7" s="253">
        <f>SUM(C6:C6)</f>
        <v>326</v>
      </c>
      <c r="D7" s="254">
        <f>SUM(D6:D6)</f>
        <v>0</v>
      </c>
      <c r="E7" s="255">
        <f>SUM(E6:E6)</f>
        <v>626.7977480000001</v>
      </c>
    </row>
    <row r="8" ht="16.5" customHeight="1"/>
    <row r="9" ht="15.75" customHeight="1" hidden="1">
      <c r="A9" s="243" t="s">
        <v>185</v>
      </c>
    </row>
    <row r="10" ht="13.5" hidden="1" thickBot="1">
      <c r="E10" s="244" t="s">
        <v>167</v>
      </c>
    </row>
    <row r="11" spans="1:5" ht="48" customHeight="1" hidden="1" thickBot="1">
      <c r="A11" s="245" t="s">
        <v>163</v>
      </c>
      <c r="B11" s="256" t="s">
        <v>168</v>
      </c>
      <c r="C11" s="256" t="s">
        <v>169</v>
      </c>
      <c r="D11" s="247" t="s">
        <v>97</v>
      </c>
      <c r="E11" s="257" t="s">
        <v>170</v>
      </c>
    </row>
    <row r="12" spans="1:5" ht="23.25" customHeight="1" hidden="1" thickBot="1">
      <c r="A12" s="249" t="s">
        <v>2</v>
      </c>
      <c r="B12" s="250">
        <v>200090</v>
      </c>
      <c r="C12" s="250">
        <v>67015</v>
      </c>
      <c r="D12" s="251">
        <f>+B12+C12</f>
        <v>267105</v>
      </c>
      <c r="E12" s="252">
        <f>+D12/26.27/12</f>
        <v>847.3068138561097</v>
      </c>
    </row>
    <row r="13" spans="1:5" ht="23.25" customHeight="1" hidden="1" thickBot="1">
      <c r="A13" s="245" t="s">
        <v>47</v>
      </c>
      <c r="B13" s="253">
        <f>SUM(B12:B12)</f>
        <v>200090</v>
      </c>
      <c r="C13" s="253">
        <f>SUM(C12:C12)</f>
        <v>67015</v>
      </c>
      <c r="D13" s="254">
        <f>SUM(D12:D12)</f>
        <v>267105</v>
      </c>
      <c r="E13" s="255"/>
    </row>
    <row r="15" ht="15.75" customHeight="1">
      <c r="A15" s="243" t="s">
        <v>188</v>
      </c>
    </row>
    <row r="16" spans="1:5" ht="11.25" customHeight="1" thickBot="1">
      <c r="A16" s="243"/>
      <c r="E16" s="258" t="s">
        <v>167</v>
      </c>
    </row>
    <row r="17" spans="1:5" ht="39" thickBot="1">
      <c r="A17" s="245" t="s">
        <v>163</v>
      </c>
      <c r="B17" s="256" t="s">
        <v>168</v>
      </c>
      <c r="C17" s="256" t="s">
        <v>169</v>
      </c>
      <c r="D17" s="247" t="s">
        <v>97</v>
      </c>
      <c r="E17" s="257" t="s">
        <v>170</v>
      </c>
    </row>
    <row r="18" spans="1:5" ht="26.25" thickBot="1">
      <c r="A18" s="249" t="s">
        <v>2</v>
      </c>
      <c r="B18" s="250">
        <f>59407+0</f>
        <v>59407</v>
      </c>
      <c r="C18" s="250">
        <v>1002</v>
      </c>
      <c r="D18" s="251">
        <f>+B18+C18</f>
        <v>60409</v>
      </c>
      <c r="E18" s="252">
        <f>+D18/10.93/12</f>
        <v>460.57487038731324</v>
      </c>
    </row>
    <row r="19" spans="1:5" ht="18" customHeight="1" thickBot="1">
      <c r="A19" s="245" t="s">
        <v>47</v>
      </c>
      <c r="B19" s="253">
        <f>SUM(B18:B18)</f>
        <v>59407</v>
      </c>
      <c r="C19" s="253">
        <f>SUM(C18:C18)</f>
        <v>1002</v>
      </c>
      <c r="D19" s="254">
        <f>SUM(D18:D18)</f>
        <v>60409</v>
      </c>
      <c r="E19" s="255"/>
    </row>
    <row r="22" ht="15.75">
      <c r="A22" s="3" t="s">
        <v>171</v>
      </c>
    </row>
    <row r="23" spans="1:6" ht="13.5" thickBot="1">
      <c r="A23" s="196" t="s">
        <v>172</v>
      </c>
      <c r="F23" s="244" t="s">
        <v>89</v>
      </c>
    </row>
    <row r="24" spans="1:6" ht="12.75">
      <c r="A24" s="259"/>
      <c r="B24" s="260"/>
      <c r="C24" s="466" t="s">
        <v>173</v>
      </c>
      <c r="D24" s="467"/>
      <c r="E24" s="261" t="s">
        <v>174</v>
      </c>
      <c r="F24" s="262" t="s">
        <v>175</v>
      </c>
    </row>
    <row r="25" spans="1:6" ht="12.75">
      <c r="A25" s="263" t="s">
        <v>176</v>
      </c>
      <c r="B25" s="264"/>
      <c r="C25" s="468"/>
      <c r="D25" s="469"/>
      <c r="E25" s="265" t="s">
        <v>177</v>
      </c>
      <c r="F25" s="266" t="s">
        <v>178</v>
      </c>
    </row>
    <row r="26" spans="1:6" ht="13.5" thickBot="1">
      <c r="A26" s="267"/>
      <c r="B26" s="268"/>
      <c r="C26" s="269" t="s">
        <v>179</v>
      </c>
      <c r="D26" s="270" t="s">
        <v>180</v>
      </c>
      <c r="E26" s="271" t="s">
        <v>181</v>
      </c>
      <c r="F26" s="272" t="s">
        <v>182</v>
      </c>
    </row>
    <row r="27" spans="1:6" ht="15.75" customHeight="1" thickBot="1">
      <c r="A27" s="434" t="s">
        <v>47</v>
      </c>
      <c r="B27" s="470"/>
      <c r="C27" s="273">
        <f>SUM(C28:C28)</f>
        <v>0</v>
      </c>
      <c r="D27" s="274">
        <f>SUM(D28:D28)</f>
        <v>8535</v>
      </c>
      <c r="E27" s="275">
        <f>SUM(E28:E28)</f>
        <v>626.7977480000001</v>
      </c>
      <c r="F27" s="276">
        <f>SUM(F28:F28)</f>
        <v>9161.797748</v>
      </c>
    </row>
    <row r="28" spans="1:6" s="7" customFormat="1" ht="20.25" customHeight="1" thickBot="1">
      <c r="A28" s="277" t="s">
        <v>183</v>
      </c>
      <c r="B28" s="278"/>
      <c r="C28" s="279">
        <v>0</v>
      </c>
      <c r="D28" s="280">
        <v>8535</v>
      </c>
      <c r="E28" s="281">
        <f>+E6</f>
        <v>626.7977480000001</v>
      </c>
      <c r="F28" s="282">
        <f>SUM(D28:E28)</f>
        <v>9161.797748</v>
      </c>
    </row>
    <row r="31" spans="1:6" ht="13.5" thickBot="1">
      <c r="A31" s="196" t="s">
        <v>184</v>
      </c>
      <c r="F31" s="244" t="s">
        <v>89</v>
      </c>
    </row>
    <row r="32" spans="1:6" ht="12.75">
      <c r="A32" s="259"/>
      <c r="B32" s="260"/>
      <c r="C32" s="466" t="s">
        <v>173</v>
      </c>
      <c r="D32" s="467"/>
      <c r="E32" s="261" t="s">
        <v>174</v>
      </c>
      <c r="F32" s="262" t="s">
        <v>175</v>
      </c>
    </row>
    <row r="33" spans="1:6" ht="12.75">
      <c r="A33" s="263" t="s">
        <v>176</v>
      </c>
      <c r="B33" s="264"/>
      <c r="C33" s="468"/>
      <c r="D33" s="469"/>
      <c r="E33" s="265" t="s">
        <v>177</v>
      </c>
      <c r="F33" s="266" t="s">
        <v>178</v>
      </c>
    </row>
    <row r="34" spans="1:6" ht="13.5" thickBot="1">
      <c r="A34" s="267"/>
      <c r="B34" s="268"/>
      <c r="C34" s="269" t="s">
        <v>179</v>
      </c>
      <c r="D34" s="270" t="s">
        <v>180</v>
      </c>
      <c r="E34" s="271" t="s">
        <v>181</v>
      </c>
      <c r="F34" s="272" t="s">
        <v>182</v>
      </c>
    </row>
    <row r="35" spans="1:6" ht="13.5" thickBot="1">
      <c r="A35" s="434" t="s">
        <v>47</v>
      </c>
      <c r="B35" s="470"/>
      <c r="C35" s="273">
        <f>SUM(C36:C36)</f>
        <v>0</v>
      </c>
      <c r="D35" s="274">
        <f>SUM(D36:D36)</f>
        <v>8535</v>
      </c>
      <c r="E35" s="275">
        <f>SUM(E36:E36)</f>
        <v>567.390748</v>
      </c>
      <c r="F35" s="276">
        <f>SUM(F36:F36)</f>
        <v>9102.390748</v>
      </c>
    </row>
    <row r="36" spans="1:6" s="7" customFormat="1" ht="20.25" customHeight="1" thickBot="1">
      <c r="A36" s="277" t="s">
        <v>183</v>
      </c>
      <c r="B36" s="278"/>
      <c r="C36" s="279">
        <v>0</v>
      </c>
      <c r="D36" s="280">
        <v>8535</v>
      </c>
      <c r="E36" s="281">
        <f>+E28-B18/1000</f>
        <v>567.390748</v>
      </c>
      <c r="F36" s="282">
        <f>SUM(D36:E36)</f>
        <v>9102.390748</v>
      </c>
    </row>
    <row r="38" ht="12.75">
      <c r="A38" s="196" t="s">
        <v>208</v>
      </c>
    </row>
    <row r="39" spans="1:7" ht="16.5" thickBot="1">
      <c r="A39" s="3" t="s">
        <v>209</v>
      </c>
      <c r="B39" s="59"/>
      <c r="C39" s="59"/>
      <c r="D39" s="119"/>
      <c r="E39" s="119"/>
      <c r="F39" s="119"/>
      <c r="G39" s="119"/>
    </row>
    <row r="40" spans="1:4" ht="19.5" customHeight="1" thickBot="1">
      <c r="A40" s="473" t="s">
        <v>88</v>
      </c>
      <c r="B40" s="474"/>
      <c r="C40" s="471" t="s">
        <v>89</v>
      </c>
      <c r="D40" s="472"/>
    </row>
    <row r="41" spans="1:4" s="116" customFormat="1" ht="18" customHeight="1">
      <c r="A41" s="475" t="s">
        <v>91</v>
      </c>
      <c r="B41" s="476"/>
      <c r="C41" s="464">
        <f>+F36</f>
        <v>9102.390748</v>
      </c>
      <c r="D41" s="465"/>
    </row>
    <row r="42" spans="1:4" s="116" customFormat="1" ht="18" customHeight="1">
      <c r="A42" s="479" t="s">
        <v>93</v>
      </c>
      <c r="B42" s="480"/>
      <c r="C42" s="477">
        <v>0</v>
      </c>
      <c r="D42" s="478"/>
    </row>
    <row r="43" spans="1:4" s="116" customFormat="1" ht="18" customHeight="1" thickBot="1">
      <c r="A43" s="481" t="s">
        <v>94</v>
      </c>
      <c r="B43" s="482"/>
      <c r="C43" s="483">
        <f>+DDK!G28</f>
        <v>5277.56204379562</v>
      </c>
      <c r="D43" s="484"/>
    </row>
  </sheetData>
  <mergeCells count="12">
    <mergeCell ref="C42:D42"/>
    <mergeCell ref="A42:B42"/>
    <mergeCell ref="A43:B43"/>
    <mergeCell ref="C43:D43"/>
    <mergeCell ref="C41:D41"/>
    <mergeCell ref="C24:D25"/>
    <mergeCell ref="A27:B27"/>
    <mergeCell ref="C32:D33"/>
    <mergeCell ref="A35:B35"/>
    <mergeCell ref="C40:D40"/>
    <mergeCell ref="A40:B40"/>
    <mergeCell ref="A41:B41"/>
  </mergeCells>
  <printOptions/>
  <pageMargins left="0.34" right="0.2" top="0.71" bottom="0.52" header="0.38" footer="0.26"/>
  <pageSetup horizontalDpi="600" verticalDpi="600" orientation="portrait" paperSize="9" r:id="rId1"/>
  <headerFooter alignWithMargins="0">
    <oddFooter>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Buřič</dc:creator>
  <cp:keywords/>
  <dc:description/>
  <cp:lastModifiedBy>buricova</cp:lastModifiedBy>
  <cp:lastPrinted>2006-04-07T09:59:08Z</cp:lastPrinted>
  <dcterms:created xsi:type="dcterms:W3CDTF">2006-03-15T18:37:21Z</dcterms:created>
  <dcterms:modified xsi:type="dcterms:W3CDTF">2006-04-07T11:57:14Z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