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25" windowWidth="11115" windowHeight="6540" activeTab="0"/>
  </bookViews>
  <sheets>
    <sheet name="V+N 2006" sheetId="1" r:id="rId1"/>
    <sheet name="pohl.+záv. 2006" sheetId="2" r:id="rId2"/>
    <sheet name="fondy 2006" sheetId="3" r:id="rId3"/>
  </sheets>
  <definedNames/>
  <calcPr fullCalcOnLoad="1"/>
</workbook>
</file>

<file path=xl/comments1.xml><?xml version="1.0" encoding="utf-8"?>
<comments xmlns="http://schemas.openxmlformats.org/spreadsheetml/2006/main">
  <authors>
    <author>Fašina Aleš DiS.</author>
  </authors>
  <commentList>
    <comment ref="A14" authorId="0">
      <text>
        <r>
          <rPr>
            <sz val="8"/>
            <rFont val="Tahoma"/>
            <family val="2"/>
          </rPr>
          <t>účty 71 až 77</t>
        </r>
      </text>
    </comment>
  </commentList>
</comments>
</file>

<file path=xl/sharedStrings.xml><?xml version="1.0" encoding="utf-8"?>
<sst xmlns="http://schemas.openxmlformats.org/spreadsheetml/2006/main" count="474" uniqueCount="224">
  <si>
    <r>
      <t>Organizace</t>
    </r>
    <r>
      <rPr>
        <b/>
        <sz val="10"/>
        <rFont val="Arial CE"/>
        <family val="2"/>
      </rPr>
      <t xml:space="preserve">: </t>
    </r>
  </si>
  <si>
    <t>I. Výnosové ukazatele</t>
  </si>
  <si>
    <t>/v tis. Kč/</t>
  </si>
  <si>
    <t>Hlavní činnost</t>
  </si>
  <si>
    <t>Doplňková činnost</t>
  </si>
  <si>
    <t>Činnosti celkem</t>
  </si>
  <si>
    <t>Celkem</t>
  </si>
  <si>
    <t>Ukazatel</t>
  </si>
  <si>
    <t>Rok 2002</t>
  </si>
  <si>
    <t>Skutečnost</t>
  </si>
  <si>
    <t>%</t>
  </si>
  <si>
    <t>plán</t>
  </si>
  <si>
    <t>Index</t>
  </si>
  <si>
    <t>Rozdíl</t>
  </si>
  <si>
    <t>skut.</t>
  </si>
  <si>
    <t>k 31.12.</t>
  </si>
  <si>
    <t>plnění</t>
  </si>
  <si>
    <t>"+  -"</t>
  </si>
  <si>
    <t>3=2/1*100</t>
  </si>
  <si>
    <t>6=5/4*100</t>
  </si>
  <si>
    <t>7=5/2*100</t>
  </si>
  <si>
    <t>8=5-2</t>
  </si>
  <si>
    <t>11=10-9</t>
  </si>
  <si>
    <t>14=13/12*100</t>
  </si>
  <si>
    <t>17=16/15*100</t>
  </si>
  <si>
    <t>18=16/13*100</t>
  </si>
  <si>
    <t>19=16-13</t>
  </si>
  <si>
    <t>Tržby z prodeje služeb /úč.602/</t>
  </si>
  <si>
    <t>- tržby od zdrav.pojišťoven</t>
  </si>
  <si>
    <t>- tržby mimo zdrav. pojištění</t>
  </si>
  <si>
    <t>Tržby za prodané zboží /úč.604/</t>
  </si>
  <si>
    <t>- tržby za prodej v lékárnách</t>
  </si>
  <si>
    <t>Ostatní výnosy /sesk. 64/</t>
  </si>
  <si>
    <t>- zúčtování fondů</t>
  </si>
  <si>
    <t>Ostatní výnosy /sesk. 65/</t>
  </si>
  <si>
    <t>Provozní dotace /úč.691/</t>
  </si>
  <si>
    <t>VÝNOSY celkem</t>
  </si>
  <si>
    <t>Výsledky hospodaření za období 01 - 02/2003</t>
  </si>
  <si>
    <t>II. Náklady a hospodářský výsledek</t>
  </si>
  <si>
    <t>Spotřeba materiálu /úč.501/</t>
  </si>
  <si>
    <t>- krev a krevní výrobky</t>
  </si>
  <si>
    <t>- spec.zdravotnický materiál</t>
  </si>
  <si>
    <t>- potraviny</t>
  </si>
  <si>
    <t>- PHM</t>
  </si>
  <si>
    <t>- DDH majetek</t>
  </si>
  <si>
    <t>Spotřeba energie /úč.502 a 503/</t>
  </si>
  <si>
    <t>Prodané zboží /úč.504/</t>
  </si>
  <si>
    <t>Opravy a údržba /úč. 511/</t>
  </si>
  <si>
    <t>Cestovné /512/</t>
  </si>
  <si>
    <t>Náklady reprezentace /513/</t>
  </si>
  <si>
    <t>Ostatní služby /518/</t>
  </si>
  <si>
    <t>- služby spojů</t>
  </si>
  <si>
    <t xml:space="preserve">- dopravné </t>
  </si>
  <si>
    <t>- nájemné</t>
  </si>
  <si>
    <t>- úklid (dodavatelsky)</t>
  </si>
  <si>
    <t>- ostatní služby</t>
  </si>
  <si>
    <t>Osobní náklady /sesk. 52/</t>
  </si>
  <si>
    <t>- mzdové náklady /521/</t>
  </si>
  <si>
    <t>- OON</t>
  </si>
  <si>
    <t>- civilní služba</t>
  </si>
  <si>
    <t>Ostatní sociální pojištění /525/</t>
  </si>
  <si>
    <t>Zákonné sociální náklady /527/</t>
  </si>
  <si>
    <t>Ostatní sociální náklady /528/</t>
  </si>
  <si>
    <t>Daně a poplatky /sesk. 53/</t>
  </si>
  <si>
    <t>- ostatní pokuty a penále /542/</t>
  </si>
  <si>
    <t>Odpisy /551/</t>
  </si>
  <si>
    <t>- odpisy dl. majetku /551/</t>
  </si>
  <si>
    <t>Daň z příjmů /sesk. 59/</t>
  </si>
  <si>
    <t>- daň z příjmů /591/</t>
  </si>
  <si>
    <t>NÁKLADY celkem</t>
  </si>
  <si>
    <t>HOSPODÁŘSKÝ VÝSLEDEK</t>
  </si>
  <si>
    <t>Druh pohledávky</t>
  </si>
  <si>
    <t xml:space="preserve">Stav k </t>
  </si>
  <si>
    <t>Poskytnuté provozní zálohy</t>
  </si>
  <si>
    <t>Pohledávky celkem</t>
  </si>
  <si>
    <t>II. Pohledávky z obchodních vztahů po lhůtě splatnosti</t>
  </si>
  <si>
    <t>Období</t>
  </si>
  <si>
    <t>do 30 dnů</t>
  </si>
  <si>
    <t>31 - 90 dnů</t>
  </si>
  <si>
    <t xml:space="preserve">91 - 180 dnů </t>
  </si>
  <si>
    <t xml:space="preserve">181-360 dnů </t>
  </si>
  <si>
    <t>nad 360 dnů</t>
  </si>
  <si>
    <t>k 31.12.2002</t>
  </si>
  <si>
    <t>Druh závazku</t>
  </si>
  <si>
    <t>Závazky celkem</t>
  </si>
  <si>
    <t>Účetní zůstatky fondů:</t>
  </si>
  <si>
    <t>Zůstatek</t>
  </si>
  <si>
    <t>z toho:</t>
  </si>
  <si>
    <t xml:space="preserve">Zůstatek </t>
  </si>
  <si>
    <t>fond</t>
  </si>
  <si>
    <t>na běžném</t>
  </si>
  <si>
    <t>provozní</t>
  </si>
  <si>
    <t>FKSP</t>
  </si>
  <si>
    <t>odměn</t>
  </si>
  <si>
    <t>rezervní</t>
  </si>
  <si>
    <t>investiční</t>
  </si>
  <si>
    <t>prostředky</t>
  </si>
  <si>
    <t>na b. ú.</t>
  </si>
  <si>
    <t>úč. 911</t>
  </si>
  <si>
    <t>úč. 912</t>
  </si>
  <si>
    <t>úč. 914</t>
  </si>
  <si>
    <t>úč. 916</t>
  </si>
  <si>
    <t>úč. 243</t>
  </si>
  <si>
    <t>k 31.12.2003</t>
  </si>
  <si>
    <t>5=4-3</t>
  </si>
  <si>
    <t xml:space="preserve">  </t>
  </si>
  <si>
    <t>k 31.12.2004</t>
  </si>
  <si>
    <t>Skut</t>
  </si>
  <si>
    <t>roční</t>
  </si>
  <si>
    <t>Meziroční vývoj</t>
  </si>
  <si>
    <t>Skut.</t>
  </si>
  <si>
    <t>Aktivace /sesk.62/</t>
  </si>
  <si>
    <t>Reprezentace /513/</t>
  </si>
  <si>
    <t>Daně /sesk.53/</t>
  </si>
  <si>
    <t>Tel.:</t>
  </si>
  <si>
    <t>I. Pohledávky z obchodního styku</t>
  </si>
  <si>
    <t>Odběratelé (311)</t>
  </si>
  <si>
    <t>Ostatní pohledávky (316)</t>
  </si>
  <si>
    <t>Jiné pohledávky (378)</t>
  </si>
  <si>
    <t>1=2+6</t>
  </si>
  <si>
    <t>celkem</t>
  </si>
  <si>
    <t>III. Závazky z obchodního styku</t>
  </si>
  <si>
    <t>Dodavatelé (321)</t>
  </si>
  <si>
    <t>Přijaté zálohy (324)</t>
  </si>
  <si>
    <t>Ostatní závazky (325)</t>
  </si>
  <si>
    <t>Jiné závazky (379)</t>
  </si>
  <si>
    <t>Ost.dlouhodobé závazky (959)</t>
  </si>
  <si>
    <t>Krát.bankovní úvěry (281)</t>
  </si>
  <si>
    <t>Pohledávky z obchodního styku po lhůtě splatnosti:</t>
  </si>
  <si>
    <t>IV. Závazky z obchodních styku po lhůtě splatnosti</t>
  </si>
  <si>
    <r>
      <t xml:space="preserve">Dlouh.bankovní úvěry </t>
    </r>
    <r>
      <rPr>
        <sz val="9"/>
        <rFont val="Arial CE"/>
        <family val="2"/>
      </rPr>
      <t>(951)</t>
    </r>
  </si>
  <si>
    <t>úč.241</t>
  </si>
  <si>
    <t>1=2 až 5</t>
  </si>
  <si>
    <t>Účetní</t>
  </si>
  <si>
    <t xml:space="preserve">zůstatek </t>
  </si>
  <si>
    <t>II. Účet 245 dle analytického členění</t>
  </si>
  <si>
    <t>úč.245</t>
  </si>
  <si>
    <t>ostatní</t>
  </si>
  <si>
    <t>zdroje</t>
  </si>
  <si>
    <t>I. Účet 241 dle analytického členění a účet 243</t>
  </si>
  <si>
    <r>
      <t xml:space="preserve">241 </t>
    </r>
    <r>
      <rPr>
        <sz val="8"/>
        <color indexed="10"/>
        <rFont val="Arial CE"/>
        <family val="2"/>
      </rPr>
      <t xml:space="preserve">xx </t>
    </r>
    <r>
      <rPr>
        <b/>
        <vertAlign val="superscript"/>
        <sz val="8"/>
        <rFont val="Arial CE"/>
        <family val="2"/>
      </rPr>
      <t>xx)</t>
    </r>
  </si>
  <si>
    <r>
      <t xml:space="preserve">245 </t>
    </r>
    <r>
      <rPr>
        <sz val="8"/>
        <color indexed="10"/>
        <rFont val="Arial CE"/>
        <family val="2"/>
      </rPr>
      <t xml:space="preserve">xx </t>
    </r>
    <r>
      <rPr>
        <b/>
        <vertAlign val="superscript"/>
        <sz val="8"/>
        <rFont val="Arial CE"/>
        <family val="2"/>
      </rPr>
      <t>xx)</t>
    </r>
  </si>
  <si>
    <r>
      <t>xx)</t>
    </r>
    <r>
      <rPr>
        <sz val="10"/>
        <rFont val="Arial CE"/>
        <family val="0"/>
      </rPr>
      <t xml:space="preserve"> - </t>
    </r>
    <r>
      <rPr>
        <sz val="8"/>
        <rFont val="Arial CE"/>
        <family val="2"/>
      </rPr>
      <t>analytické členění účtu 241 a 245 organizace uvede minimálně pro rok 2005 (viz usnesení RK č. 1501/39/2004 ze dne 14.12.2004) s tím, že vykázané zůstatky se budou shodovat i</t>
    </r>
  </si>
  <si>
    <t xml:space="preserve">        v analytice na analytické stavy v účetnictví. Pokud organizace žádnou analytiku do konce roku 2004 nevedla či jen omezeně, pak nebude analytické údaje v tabulce uvádět, resp. </t>
  </si>
  <si>
    <t xml:space="preserve">       uvede data jen za ty účty, které mají oporu v analytickém účetnictví.   </t>
  </si>
  <si>
    <t>1. Roční údaje</t>
  </si>
  <si>
    <t>Kategorie pracovníků</t>
  </si>
  <si>
    <t>Počet</t>
  </si>
  <si>
    <t>pracovníků</t>
  </si>
  <si>
    <t>ř. 38 výkazu</t>
  </si>
  <si>
    <t>E(MZ)2-04</t>
  </si>
  <si>
    <t>Průměrná</t>
  </si>
  <si>
    <t>mzda</t>
  </si>
  <si>
    <t xml:space="preserve">platy z </t>
  </si>
  <si>
    <t>výkazu</t>
  </si>
  <si>
    <t>Náklady na</t>
  </si>
  <si>
    <t>v Kč</t>
  </si>
  <si>
    <t>Pracovníci</t>
  </si>
  <si>
    <t>Meziroční</t>
  </si>
  <si>
    <t>indexový</t>
  </si>
  <si>
    <t xml:space="preserve">vývoj </t>
  </si>
  <si>
    <t>průměrné</t>
  </si>
  <si>
    <t>mzdy</t>
  </si>
  <si>
    <t xml:space="preserve">platy v tis. Kč </t>
  </si>
  <si>
    <t>6=5/4/12*1000</t>
  </si>
  <si>
    <t>3=2/1/12*1000</t>
  </si>
  <si>
    <t>7=4-1</t>
  </si>
  <si>
    <t>8=6-3</t>
  </si>
  <si>
    <t>9=6/3*100</t>
  </si>
  <si>
    <t>12=11/10/12*1</t>
  </si>
  <si>
    <t>13=10-4</t>
  </si>
  <si>
    <t>14=12-6</t>
  </si>
  <si>
    <t>15=12/6*100</t>
  </si>
  <si>
    <t>Lékaři</t>
  </si>
  <si>
    <t>Všeobecné sestry</t>
  </si>
  <si>
    <t>THP</t>
  </si>
  <si>
    <t>Dělnicí a provozní prac.</t>
  </si>
  <si>
    <t>Nemocnice celkem</t>
  </si>
  <si>
    <t>Skutečnost za rok 2003</t>
  </si>
  <si>
    <t>Skutečnost za rok 2004</t>
  </si>
  <si>
    <t>2. Čtvrtletní údaje</t>
  </si>
  <si>
    <t xml:space="preserve">III. Vývoj pracovníků a průměrných mezd  </t>
  </si>
  <si>
    <t>9=8/7/9*1000</t>
  </si>
  <si>
    <t>3=2/1/3*1000</t>
  </si>
  <si>
    <t>6=5/4/6*1000</t>
  </si>
  <si>
    <t>ř. 21 výkazu</t>
  </si>
  <si>
    <r>
      <t>Organizace</t>
    </r>
    <r>
      <rPr>
        <b/>
        <sz val="10"/>
        <rFont val="Arial CE"/>
        <family val="2"/>
      </rPr>
      <t xml:space="preserve">:  </t>
    </r>
    <r>
      <rPr>
        <b/>
        <sz val="10"/>
        <color indexed="12"/>
        <rFont val="Arial CE"/>
        <family val="0"/>
      </rPr>
      <t>Nemocnice Třebíč</t>
    </r>
  </si>
  <si>
    <t>Tržby za vlastní výrobky /úč.601/</t>
  </si>
  <si>
    <r>
      <t>Organizace</t>
    </r>
    <r>
      <rPr>
        <b/>
        <sz val="10"/>
        <rFont val="Arial CE"/>
        <family val="2"/>
      </rPr>
      <t xml:space="preserve">: </t>
    </r>
    <r>
      <rPr>
        <b/>
        <sz val="10"/>
        <color indexed="12"/>
        <rFont val="Arial CE"/>
        <family val="0"/>
      </rPr>
      <t>Nemocnice Třebíč</t>
    </r>
  </si>
  <si>
    <t>- materiál všeobecný + údržba</t>
  </si>
  <si>
    <t>- spotřeba léků + reagencií</t>
  </si>
  <si>
    <r>
      <t>245 41</t>
    </r>
    <r>
      <rPr>
        <sz val="8"/>
        <color indexed="10"/>
        <rFont val="Arial CE"/>
        <family val="2"/>
      </rPr>
      <t xml:space="preserve"> </t>
    </r>
    <r>
      <rPr>
        <b/>
        <vertAlign val="superscript"/>
        <sz val="8"/>
        <rFont val="Arial CE"/>
        <family val="2"/>
      </rPr>
      <t>xx)</t>
    </r>
  </si>
  <si>
    <r>
      <t>245 10</t>
    </r>
    <r>
      <rPr>
        <sz val="8"/>
        <color indexed="10"/>
        <rFont val="Arial CE"/>
        <family val="2"/>
      </rPr>
      <t xml:space="preserve"> </t>
    </r>
    <r>
      <rPr>
        <b/>
        <vertAlign val="superscript"/>
        <sz val="8"/>
        <rFont val="Arial CE"/>
        <family val="2"/>
      </rPr>
      <t>xx)</t>
    </r>
  </si>
  <si>
    <r>
      <t>241 30</t>
    </r>
    <r>
      <rPr>
        <sz val="8"/>
        <color indexed="10"/>
        <rFont val="Arial CE"/>
        <family val="2"/>
      </rPr>
      <t xml:space="preserve"> </t>
    </r>
    <r>
      <rPr>
        <b/>
        <vertAlign val="superscript"/>
        <sz val="8"/>
        <rFont val="Arial CE"/>
        <family val="2"/>
      </rPr>
      <t>xx)</t>
    </r>
  </si>
  <si>
    <r>
      <t>241 20</t>
    </r>
    <r>
      <rPr>
        <sz val="8"/>
        <color indexed="10"/>
        <rFont val="Arial CE"/>
        <family val="2"/>
      </rPr>
      <t xml:space="preserve"> </t>
    </r>
    <r>
      <rPr>
        <b/>
        <vertAlign val="superscript"/>
        <sz val="8"/>
        <rFont val="Arial CE"/>
        <family val="2"/>
      </rPr>
      <t>xx)</t>
    </r>
  </si>
  <si>
    <r>
      <t>241 10</t>
    </r>
    <r>
      <rPr>
        <sz val="8"/>
        <color indexed="10"/>
        <rFont val="Arial CE"/>
        <family val="2"/>
      </rPr>
      <t xml:space="preserve"> </t>
    </r>
    <r>
      <rPr>
        <b/>
        <vertAlign val="superscript"/>
        <sz val="8"/>
        <rFont val="Arial CE"/>
        <family val="2"/>
      </rPr>
      <t>xx)</t>
    </r>
  </si>
  <si>
    <t>zrušen</t>
  </si>
  <si>
    <t>Krátkodobé závazky z obchodního styku po lhůtě splatnoszi</t>
  </si>
  <si>
    <t>1=2 až 6</t>
  </si>
  <si>
    <t>Dlouhodobé závazky z obchodního styku po lhůtě splatnoszi</t>
  </si>
  <si>
    <t>Oostatní účty tř. 55</t>
  </si>
  <si>
    <t xml:space="preserve">Z podkladů zpracoval: </t>
  </si>
  <si>
    <t>Aleš Fašina, DiS.</t>
  </si>
  <si>
    <t>Z podkladů zpracoval:</t>
  </si>
  <si>
    <t>účtu</t>
  </si>
  <si>
    <t>k 31.12.2005</t>
  </si>
  <si>
    <t>Rok 2006</t>
  </si>
  <si>
    <t>Skutečnost za 1.čtvrtrletí 2006</t>
  </si>
  <si>
    <t>Skutečnost za 1.pololetí 2006</t>
  </si>
  <si>
    <t>Skutečnost k 30.9.2006</t>
  </si>
  <si>
    <t>Skutečnost za rok 2005</t>
  </si>
  <si>
    <t>Vývoj cash flow a peněžních fondů k 28.2.2006</t>
  </si>
  <si>
    <t>k 28.2.2006</t>
  </si>
  <si>
    <t>vývoj za 01/2004 až 02/2006</t>
  </si>
  <si>
    <t>vývoj za 01 až 02/2006</t>
  </si>
  <si>
    <t>Výsledky hospodaření k 28.2.2006</t>
  </si>
  <si>
    <t>k 28.2.</t>
  </si>
  <si>
    <t>Vývoj pohledávek a závazků k 28.2.2006</t>
  </si>
  <si>
    <t>Vývoj za 01 až 02/2006</t>
  </si>
  <si>
    <t>Seskupení 54 (pokuty a penále)</t>
  </si>
  <si>
    <t>Změna stavu zásob výrobků /613/</t>
  </si>
  <si>
    <t>2006/2005</t>
  </si>
  <si>
    <t>Počet stran: 4</t>
  </si>
  <si>
    <t>RK-10-2006-60,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</si>
</sst>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b/>
      <vertAlign val="superscript"/>
      <sz val="10"/>
      <name val="Arial CE"/>
      <family val="2"/>
    </font>
    <font>
      <b/>
      <vertAlign val="superscript"/>
      <sz val="8"/>
      <name val="Arial CE"/>
      <family val="2"/>
    </font>
    <font>
      <sz val="9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0"/>
    </font>
    <font>
      <sz val="8"/>
      <name val="Tahoma"/>
      <family val="2"/>
    </font>
    <font>
      <i/>
      <sz val="10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" fontId="3" fillId="0" borderId="3" xfId="0" applyNumberFormat="1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" fontId="8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9" fontId="10" fillId="2" borderId="13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15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0" fillId="2" borderId="8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10" fillId="2" borderId="20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2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3" fillId="0" borderId="24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11" fillId="2" borderId="6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1" fillId="2" borderId="25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1" fillId="2" borderId="9" xfId="0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9" fontId="2" fillId="2" borderId="29" xfId="0" applyNumberFormat="1" applyFont="1" applyFill="1" applyBorder="1" applyAlignment="1">
      <alignment/>
    </xf>
    <xf numFmtId="49" fontId="5" fillId="2" borderId="7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0" fontId="3" fillId="2" borderId="30" xfId="0" applyFont="1" applyFill="1" applyBorder="1" applyAlignment="1">
      <alignment horizontal="centerContinuous"/>
    </xf>
    <xf numFmtId="0" fontId="0" fillId="2" borderId="31" xfId="0" applyFill="1" applyBorder="1" applyAlignment="1">
      <alignment/>
    </xf>
    <xf numFmtId="1" fontId="3" fillId="2" borderId="32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9" fillId="0" borderId="36" xfId="0" applyNumberFormat="1" applyFont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3" fillId="2" borderId="31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3" fontId="10" fillId="2" borderId="37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9" fillId="0" borderId="37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10" fillId="2" borderId="38" xfId="0" applyNumberFormat="1" applyFont="1" applyFill="1" applyBorder="1" applyAlignment="1">
      <alignment/>
    </xf>
    <xf numFmtId="1" fontId="3" fillId="2" borderId="32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9" fillId="0" borderId="40" xfId="0" applyNumberFormat="1" applyFont="1" applyBorder="1" applyAlignment="1">
      <alignment/>
    </xf>
    <xf numFmtId="3" fontId="10" fillId="2" borderId="39" xfId="0" applyNumberFormat="1" applyFont="1" applyFill="1" applyBorder="1" applyAlignment="1">
      <alignment/>
    </xf>
    <xf numFmtId="0" fontId="3" fillId="2" borderId="41" xfId="0" applyFont="1" applyFill="1" applyBorder="1" applyAlignment="1">
      <alignment horizontal="center"/>
    </xf>
    <xf numFmtId="4" fontId="9" fillId="0" borderId="24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Continuous"/>
    </xf>
    <xf numFmtId="0" fontId="3" fillId="2" borderId="42" xfId="0" applyFont="1" applyFill="1" applyBorder="1" applyAlignment="1">
      <alignment horizontal="centerContinuous"/>
    </xf>
    <xf numFmtId="0" fontId="3" fillId="2" borderId="43" xfId="0" applyFont="1" applyFill="1" applyBorder="1" applyAlignment="1">
      <alignment horizontal="left"/>
    </xf>
    <xf numFmtId="0" fontId="0" fillId="2" borderId="44" xfId="0" applyFill="1" applyBorder="1" applyAlignment="1">
      <alignment/>
    </xf>
    <xf numFmtId="0" fontId="3" fillId="2" borderId="4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2" borderId="44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0" fillId="2" borderId="30" xfId="0" applyFill="1" applyBorder="1" applyAlignment="1">
      <alignment/>
    </xf>
    <xf numFmtId="3" fontId="9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7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0" fillId="0" borderId="42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47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14" fontId="3" fillId="2" borderId="6" xfId="0" applyNumberFormat="1" applyFont="1" applyFill="1" applyBorder="1" applyAlignment="1">
      <alignment horizontal="center"/>
    </xf>
    <xf numFmtId="14" fontId="3" fillId="2" borderId="25" xfId="0" applyNumberFormat="1" applyFont="1" applyFill="1" applyBorder="1" applyAlignment="1">
      <alignment horizontal="center"/>
    </xf>
    <xf numFmtId="14" fontId="3" fillId="2" borderId="14" xfId="0" applyNumberFormat="1" applyFont="1" applyFill="1" applyBorder="1" applyAlignment="1">
      <alignment horizontal="center"/>
    </xf>
    <xf numFmtId="14" fontId="3" fillId="2" borderId="48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3" fontId="13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3" fontId="11" fillId="2" borderId="49" xfId="0" applyNumberFormat="1" applyFont="1" applyFill="1" applyBorder="1" applyAlignment="1">
      <alignment/>
    </xf>
    <xf numFmtId="3" fontId="11" fillId="2" borderId="50" xfId="0" applyNumberFormat="1" applyFont="1" applyFill="1" applyBorder="1" applyAlignment="1">
      <alignment/>
    </xf>
    <xf numFmtId="3" fontId="11" fillId="2" borderId="48" xfId="0" applyNumberFormat="1" applyFont="1" applyFill="1" applyBorder="1" applyAlignment="1">
      <alignment/>
    </xf>
    <xf numFmtId="0" fontId="11" fillId="2" borderId="5" xfId="0" applyFont="1" applyFill="1" applyBorder="1" applyAlignment="1">
      <alignment/>
    </xf>
    <xf numFmtId="3" fontId="11" fillId="2" borderId="51" xfId="0" applyNumberFormat="1" applyFont="1" applyFill="1" applyBorder="1" applyAlignment="1">
      <alignment/>
    </xf>
    <xf numFmtId="14" fontId="3" fillId="2" borderId="52" xfId="0" applyNumberFormat="1" applyFont="1" applyFill="1" applyBorder="1" applyAlignment="1">
      <alignment horizontal="center"/>
    </xf>
    <xf numFmtId="14" fontId="3" fillId="2" borderId="53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1" fillId="2" borderId="11" xfId="0" applyNumberFormat="1" applyFont="1" applyFill="1" applyBorder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2" borderId="24" xfId="0" applyNumberFormat="1" applyFont="1" applyFill="1" applyBorder="1" applyAlignment="1">
      <alignment/>
    </xf>
    <xf numFmtId="0" fontId="7" fillId="0" borderId="55" xfId="0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3" fontId="11" fillId="2" borderId="36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11" fillId="2" borderId="56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3" fontId="13" fillId="0" borderId="9" xfId="0" applyNumberFormat="1" applyFont="1" applyBorder="1" applyAlignment="1">
      <alignment/>
    </xf>
    <xf numFmtId="0" fontId="5" fillId="2" borderId="3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2" borderId="55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64" fontId="16" fillId="0" borderId="24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6" fillId="0" borderId="13" xfId="0" applyFont="1" applyBorder="1" applyAlignment="1">
      <alignment/>
    </xf>
    <xf numFmtId="3" fontId="16" fillId="0" borderId="24" xfId="0" applyNumberFormat="1" applyFont="1" applyBorder="1" applyAlignment="1">
      <alignment/>
    </xf>
    <xf numFmtId="4" fontId="16" fillId="0" borderId="24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164" fontId="12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36" xfId="0" applyFont="1" applyBorder="1" applyAlignment="1">
      <alignment/>
    </xf>
    <xf numFmtId="3" fontId="16" fillId="0" borderId="12" xfId="0" applyNumberFormat="1" applyFont="1" applyBorder="1" applyAlignment="1">
      <alignment/>
    </xf>
    <xf numFmtId="0" fontId="12" fillId="0" borderId="56" xfId="0" applyFont="1" applyBorder="1" applyAlignment="1">
      <alignment/>
    </xf>
    <xf numFmtId="3" fontId="12" fillId="0" borderId="15" xfId="0" applyNumberFormat="1" applyFont="1" applyBorder="1" applyAlignment="1">
      <alignment/>
    </xf>
    <xf numFmtId="0" fontId="16" fillId="0" borderId="40" xfId="0" applyFont="1" applyBorder="1" applyAlignment="1">
      <alignment/>
    </xf>
    <xf numFmtId="0" fontId="12" fillId="0" borderId="39" xfId="0" applyFont="1" applyBorder="1" applyAlignment="1">
      <alignment/>
    </xf>
    <xf numFmtId="0" fontId="0" fillId="2" borderId="29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59" xfId="0" applyFill="1" applyBorder="1" applyAlignment="1">
      <alignment horizontal="center"/>
    </xf>
    <xf numFmtId="0" fontId="0" fillId="2" borderId="47" xfId="0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2" fillId="2" borderId="59" xfId="0" applyFont="1" applyFill="1" applyBorder="1" applyAlignment="1">
      <alignment/>
    </xf>
    <xf numFmtId="0" fontId="3" fillId="2" borderId="59" xfId="0" applyFont="1" applyFill="1" applyBorder="1" applyAlignment="1">
      <alignment/>
    </xf>
    <xf numFmtId="0" fontId="2" fillId="2" borderId="4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61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39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8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6" fillId="0" borderId="48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" fontId="3" fillId="3" borderId="4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17" fillId="0" borderId="0" xfId="0" applyNumberFormat="1" applyFont="1" applyAlignment="1">
      <alignment/>
    </xf>
    <xf numFmtId="4" fontId="8" fillId="0" borderId="40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10" fillId="2" borderId="62" xfId="0" applyNumberFormat="1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3" fontId="2" fillId="0" borderId="36" xfId="0" applyNumberFormat="1" applyFont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0" fillId="3" borderId="64" xfId="0" applyNumberFormat="1" applyFont="1" applyFill="1" applyBorder="1" applyAlignment="1">
      <alignment/>
    </xf>
    <xf numFmtId="3" fontId="10" fillId="3" borderId="56" xfId="0" applyNumberFormat="1" applyFont="1" applyFill="1" applyBorder="1" applyAlignment="1">
      <alignment/>
    </xf>
    <xf numFmtId="3" fontId="10" fillId="4" borderId="49" xfId="0" applyNumberFormat="1" applyFont="1" applyFill="1" applyBorder="1" applyAlignment="1">
      <alignment/>
    </xf>
    <xf numFmtId="3" fontId="10" fillId="4" borderId="36" xfId="0" applyNumberFormat="1" applyFont="1" applyFill="1" applyBorder="1" applyAlignment="1">
      <alignment/>
    </xf>
    <xf numFmtId="3" fontId="10" fillId="3" borderId="9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3" fontId="0" fillId="0" borderId="37" xfId="0" applyNumberFormat="1" applyBorder="1" applyAlignment="1">
      <alignment horizontal="center"/>
    </xf>
    <xf numFmtId="0" fontId="7" fillId="0" borderId="65" xfId="0" applyFont="1" applyBorder="1" applyAlignment="1">
      <alignment/>
    </xf>
    <xf numFmtId="2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4" fontId="3" fillId="2" borderId="4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0" fillId="2" borderId="26" xfId="0" applyNumberFormat="1" applyFont="1" applyFill="1" applyBorder="1" applyAlignment="1">
      <alignment/>
    </xf>
    <xf numFmtId="3" fontId="10" fillId="2" borderId="53" xfId="0" applyNumberFormat="1" applyFont="1" applyFill="1" applyBorder="1" applyAlignment="1">
      <alignment/>
    </xf>
    <xf numFmtId="3" fontId="10" fillId="2" borderId="52" xfId="0" applyNumberFormat="1" applyFont="1" applyFill="1" applyBorder="1" applyAlignment="1">
      <alignment horizontal="right"/>
    </xf>
    <xf numFmtId="3" fontId="10" fillId="2" borderId="56" xfId="0" applyNumberFormat="1" applyFont="1" applyFill="1" applyBorder="1" applyAlignment="1">
      <alignment/>
    </xf>
    <xf numFmtId="3" fontId="10" fillId="2" borderId="24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9" fillId="0" borderId="60" xfId="0" applyNumberFormat="1" applyFont="1" applyBorder="1" applyAlignment="1">
      <alignment/>
    </xf>
    <xf numFmtId="3" fontId="10" fillId="2" borderId="66" xfId="0" applyNumberFormat="1" applyFont="1" applyFill="1" applyBorder="1" applyAlignment="1">
      <alignment/>
    </xf>
    <xf numFmtId="3" fontId="10" fillId="2" borderId="64" xfId="0" applyNumberFormat="1" applyFont="1" applyFill="1" applyBorder="1" applyAlignment="1">
      <alignment/>
    </xf>
    <xf numFmtId="4" fontId="8" fillId="0" borderId="36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0" fontId="22" fillId="0" borderId="0" xfId="0" applyFont="1" applyAlignment="1">
      <alignment/>
    </xf>
    <xf numFmtId="166" fontId="10" fillId="2" borderId="13" xfId="0" applyNumberFormat="1" applyFont="1" applyFill="1" applyBorder="1" applyAlignment="1">
      <alignment/>
    </xf>
    <xf numFmtId="166" fontId="10" fillId="2" borderId="25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11" fillId="2" borderId="13" xfId="0" applyFont="1" applyFill="1" applyBorder="1" applyAlignment="1">
      <alignment/>
    </xf>
    <xf numFmtId="0" fontId="23" fillId="0" borderId="0" xfId="0" applyFont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3" fillId="2" borderId="46" xfId="0" applyFont="1" applyFill="1" applyBorder="1" applyAlignment="1">
      <alignment horizontal="left"/>
    </xf>
    <xf numFmtId="0" fontId="3" fillId="2" borderId="59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showGridLines="0" tabSelected="1" workbookViewId="0" topLeftCell="G1">
      <selection activeCell="S1" sqref="S1"/>
    </sheetView>
  </sheetViews>
  <sheetFormatPr defaultColWidth="9.00390625" defaultRowHeight="12.75"/>
  <cols>
    <col min="1" max="1" width="24.75390625" style="0" customWidth="1"/>
    <col min="2" max="2" width="2.00390625" style="0" hidden="1" customWidth="1"/>
    <col min="4" max="4" width="8.00390625" style="0" hidden="1" customWidth="1"/>
    <col min="5" max="5" width="11.125" style="0" customWidth="1"/>
    <col min="8" max="8" width="10.125" style="0" customWidth="1"/>
    <col min="9" max="9" width="8.875" style="0" customWidth="1"/>
    <col min="10" max="10" width="8.375" style="0" customWidth="1"/>
    <col min="11" max="11" width="9.625" style="0" customWidth="1"/>
    <col min="12" max="12" width="8.00390625" style="0" customWidth="1"/>
    <col min="13" max="13" width="0.12890625" style="0" customWidth="1"/>
    <col min="15" max="15" width="7.125" style="0" hidden="1" customWidth="1"/>
    <col min="16" max="16" width="9.875" style="0" bestFit="1" customWidth="1"/>
    <col min="18" max="18" width="0.12890625" style="0" customWidth="1"/>
    <col min="20" max="20" width="8.75390625" style="0" customWidth="1"/>
  </cols>
  <sheetData>
    <row r="1" spans="1:19" s="2" customFormat="1" ht="18">
      <c r="A1" s="1" t="s">
        <v>215</v>
      </c>
      <c r="S1" s="342" t="s">
        <v>223</v>
      </c>
    </row>
    <row r="2" spans="1:19" ht="12" customHeight="1">
      <c r="A2" s="3"/>
      <c r="S2" s="342" t="s">
        <v>222</v>
      </c>
    </row>
    <row r="3" ht="12.75">
      <c r="A3" s="3" t="s">
        <v>188</v>
      </c>
    </row>
    <row r="4" ht="9.75" customHeight="1">
      <c r="A4" s="3"/>
    </row>
    <row r="5" spans="1:6" ht="16.5" thickBot="1">
      <c r="A5" s="287" t="s">
        <v>1</v>
      </c>
      <c r="F5" s="33"/>
    </row>
    <row r="6" spans="1:21" ht="13.5" customHeight="1" thickBot="1">
      <c r="A6" s="82"/>
      <c r="B6" s="6"/>
      <c r="C6" s="86" t="s">
        <v>3</v>
      </c>
      <c r="D6" s="86"/>
      <c r="E6" s="86"/>
      <c r="F6" s="86"/>
      <c r="G6" s="86"/>
      <c r="H6" s="86"/>
      <c r="I6" s="110"/>
      <c r="J6" s="346" t="s">
        <v>4</v>
      </c>
      <c r="K6" s="347"/>
      <c r="L6" s="348"/>
      <c r="M6" s="138" t="s">
        <v>5</v>
      </c>
      <c r="N6" s="86" t="s">
        <v>6</v>
      </c>
      <c r="O6" s="86"/>
      <c r="P6" s="86"/>
      <c r="Q6" s="86"/>
      <c r="R6" s="86"/>
      <c r="S6" s="86"/>
      <c r="T6" s="139"/>
      <c r="U6" s="87"/>
    </row>
    <row r="7" spans="1:21" ht="12.75">
      <c r="A7" s="83" t="s">
        <v>7</v>
      </c>
      <c r="B7" s="7" t="s">
        <v>8</v>
      </c>
      <c r="C7" s="129" t="s">
        <v>107</v>
      </c>
      <c r="D7" s="130"/>
      <c r="E7" s="343" t="s">
        <v>206</v>
      </c>
      <c r="F7" s="344"/>
      <c r="G7" s="345"/>
      <c r="H7" s="131" t="s">
        <v>109</v>
      </c>
      <c r="I7" s="132"/>
      <c r="J7" s="133"/>
      <c r="K7" s="134" t="s">
        <v>9</v>
      </c>
      <c r="L7" s="135"/>
      <c r="M7" s="136"/>
      <c r="N7" s="129" t="s">
        <v>110</v>
      </c>
      <c r="O7" s="137"/>
      <c r="P7" s="343" t="s">
        <v>206</v>
      </c>
      <c r="Q7" s="344"/>
      <c r="R7" s="344"/>
      <c r="S7" s="345"/>
      <c r="T7" s="131" t="s">
        <v>109</v>
      </c>
      <c r="U7" s="132"/>
    </row>
    <row r="8" spans="1:21" ht="12.75">
      <c r="A8" s="84"/>
      <c r="B8" s="9"/>
      <c r="C8" s="88" t="s">
        <v>216</v>
      </c>
      <c r="D8" s="89" t="s">
        <v>10</v>
      </c>
      <c r="E8" s="285" t="s">
        <v>108</v>
      </c>
      <c r="F8" s="90" t="s">
        <v>14</v>
      </c>
      <c r="G8" s="91" t="s">
        <v>10</v>
      </c>
      <c r="H8" s="89" t="s">
        <v>12</v>
      </c>
      <c r="I8" s="92" t="s">
        <v>13</v>
      </c>
      <c r="J8" s="111" t="s">
        <v>216</v>
      </c>
      <c r="K8" s="112" t="s">
        <v>216</v>
      </c>
      <c r="L8" s="113" t="s">
        <v>13</v>
      </c>
      <c r="M8" s="10" t="s">
        <v>14</v>
      </c>
      <c r="N8" s="122" t="s">
        <v>216</v>
      </c>
      <c r="O8" s="89" t="s">
        <v>10</v>
      </c>
      <c r="P8" s="283" t="s">
        <v>108</v>
      </c>
      <c r="Q8" s="90" t="s">
        <v>14</v>
      </c>
      <c r="R8" s="89" t="s">
        <v>10</v>
      </c>
      <c r="S8" s="127" t="s">
        <v>10</v>
      </c>
      <c r="T8" s="89" t="s">
        <v>12</v>
      </c>
      <c r="U8" s="92" t="s">
        <v>13</v>
      </c>
    </row>
    <row r="9" spans="1:21" ht="12.75" customHeight="1" thickBot="1">
      <c r="A9" s="85"/>
      <c r="B9" s="12" t="s">
        <v>15</v>
      </c>
      <c r="C9" s="93">
        <v>2005</v>
      </c>
      <c r="D9" s="94" t="s">
        <v>16</v>
      </c>
      <c r="E9" s="286" t="s">
        <v>11</v>
      </c>
      <c r="F9" s="93" t="s">
        <v>216</v>
      </c>
      <c r="G9" s="96" t="s">
        <v>16</v>
      </c>
      <c r="H9" s="97" t="s">
        <v>221</v>
      </c>
      <c r="I9" s="98" t="s">
        <v>17</v>
      </c>
      <c r="J9" s="95">
        <v>2005</v>
      </c>
      <c r="K9" s="93">
        <v>2006</v>
      </c>
      <c r="L9" s="114" t="s">
        <v>17</v>
      </c>
      <c r="M9" s="13" t="s">
        <v>15</v>
      </c>
      <c r="N9" s="123">
        <v>2005</v>
      </c>
      <c r="O9" s="94" t="s">
        <v>16</v>
      </c>
      <c r="P9" s="284" t="s">
        <v>11</v>
      </c>
      <c r="Q9" s="93" t="s">
        <v>216</v>
      </c>
      <c r="R9" s="94" t="s">
        <v>16</v>
      </c>
      <c r="S9" s="96" t="s">
        <v>16</v>
      </c>
      <c r="T9" s="97" t="s">
        <v>221</v>
      </c>
      <c r="U9" s="98" t="s">
        <v>17</v>
      </c>
    </row>
    <row r="10" spans="1:21" s="104" customFormat="1" ht="9.75">
      <c r="A10" s="99"/>
      <c r="B10" s="100">
        <v>1</v>
      </c>
      <c r="C10" s="290">
        <v>2</v>
      </c>
      <c r="D10" s="17" t="s">
        <v>18</v>
      </c>
      <c r="E10" s="100">
        <v>4</v>
      </c>
      <c r="F10" s="101">
        <v>5</v>
      </c>
      <c r="G10" s="102" t="s">
        <v>19</v>
      </c>
      <c r="H10" s="17" t="s">
        <v>20</v>
      </c>
      <c r="I10" s="103" t="s">
        <v>21</v>
      </c>
      <c r="J10" s="100">
        <v>9</v>
      </c>
      <c r="K10" s="101">
        <v>10</v>
      </c>
      <c r="L10" s="17" t="s">
        <v>22</v>
      </c>
      <c r="M10" s="100">
        <v>12</v>
      </c>
      <c r="N10" s="124">
        <v>13</v>
      </c>
      <c r="O10" s="17" t="s">
        <v>23</v>
      </c>
      <c r="P10" s="293">
        <v>15</v>
      </c>
      <c r="Q10" s="294">
        <v>16</v>
      </c>
      <c r="R10" s="295" t="s">
        <v>24</v>
      </c>
      <c r="S10" s="296" t="s">
        <v>24</v>
      </c>
      <c r="T10" s="106" t="s">
        <v>25</v>
      </c>
      <c r="U10" s="107" t="s">
        <v>26</v>
      </c>
    </row>
    <row r="11" spans="1:21" ht="12.75">
      <c r="A11" s="19" t="s">
        <v>187</v>
      </c>
      <c r="B11" s="21"/>
      <c r="C11" s="291">
        <v>157.602</v>
      </c>
      <c r="D11" s="23"/>
      <c r="E11" s="22">
        <v>862</v>
      </c>
      <c r="F11" s="22">
        <v>153.556</v>
      </c>
      <c r="G11" s="80">
        <f aca="true" t="shared" si="0" ref="G11:G22">F11/E11*100</f>
        <v>17.813921113689098</v>
      </c>
      <c r="H11" s="81">
        <f aca="true" t="shared" si="1" ref="H11:H22">F11/C11*100</f>
        <v>97.43277369576529</v>
      </c>
      <c r="I11" s="25">
        <f aca="true" t="shared" si="2" ref="I11:I23">F11-C11</f>
        <v>-4.045999999999992</v>
      </c>
      <c r="J11" s="24">
        <v>0</v>
      </c>
      <c r="K11" s="22">
        <v>0</v>
      </c>
      <c r="L11" s="23">
        <f aca="true" t="shared" si="3" ref="L11:L23">K11-J11</f>
        <v>0</v>
      </c>
      <c r="M11" s="24"/>
      <c r="N11" s="125">
        <f>SUM(C11+J11)</f>
        <v>157.602</v>
      </c>
      <c r="O11" s="23" t="e">
        <f aca="true" t="shared" si="4" ref="O11:O22">N11/M11*100</f>
        <v>#DIV/0!</v>
      </c>
      <c r="P11" s="24">
        <v>862</v>
      </c>
      <c r="Q11" s="26">
        <f>SUM(F11+K11)</f>
        <v>153.556</v>
      </c>
      <c r="R11" s="105">
        <f aca="true" t="shared" si="5" ref="R11:R17">Q11/P11*100</f>
        <v>17.813921113689098</v>
      </c>
      <c r="S11" s="128">
        <f>SUM(Q11/P11*100)</f>
        <v>17.813921113689098</v>
      </c>
      <c r="T11" s="108">
        <f>SUM(Q11/N11*100)</f>
        <v>97.43277369576529</v>
      </c>
      <c r="U11" s="25">
        <f>SUM(Q11-N11)</f>
        <v>-4.045999999999992</v>
      </c>
    </row>
    <row r="12" spans="1:21" ht="12.75">
      <c r="A12" s="19" t="s">
        <v>27</v>
      </c>
      <c r="B12" s="21"/>
      <c r="C12" s="291">
        <v>77836.748</v>
      </c>
      <c r="D12" s="23"/>
      <c r="E12" s="22">
        <v>490692</v>
      </c>
      <c r="F12" s="22">
        <v>82318.182</v>
      </c>
      <c r="G12" s="80">
        <f>F12/E12*100</f>
        <v>16.77593724780514</v>
      </c>
      <c r="H12" s="81">
        <f>F12/C12*100</f>
        <v>105.75747845991714</v>
      </c>
      <c r="I12" s="25">
        <f>F12-C12</f>
        <v>4481.433999999994</v>
      </c>
      <c r="J12" s="24">
        <v>144.347</v>
      </c>
      <c r="K12" s="22">
        <v>171.906</v>
      </c>
      <c r="L12" s="23">
        <f>K12-J12</f>
        <v>27.558999999999997</v>
      </c>
      <c r="M12" s="24"/>
      <c r="N12" s="125">
        <f>SUM(C12+J12)</f>
        <v>77981.095</v>
      </c>
      <c r="O12" s="23" t="e">
        <f>N12/M12*100</f>
        <v>#DIV/0!</v>
      </c>
      <c r="P12" s="24">
        <v>491662</v>
      </c>
      <c r="Q12" s="26">
        <f>SUM(F12+K12)</f>
        <v>82490.088</v>
      </c>
      <c r="R12" s="105">
        <f>Q12/P12*100</f>
        <v>16.777804263904876</v>
      </c>
      <c r="S12" s="128">
        <f>SUM(Q12/P12*100)</f>
        <v>16.777804263904876</v>
      </c>
      <c r="T12" s="108">
        <f>SUM(Q12/N12*100)</f>
        <v>105.78216168931714</v>
      </c>
      <c r="U12" s="25">
        <f>SUM(Q12-N12)</f>
        <v>4508.993000000002</v>
      </c>
    </row>
    <row r="13" spans="1:21" ht="12.75">
      <c r="A13" s="19" t="s">
        <v>28</v>
      </c>
      <c r="B13" s="21"/>
      <c r="C13" s="291">
        <v>76304.334</v>
      </c>
      <c r="D13" s="23"/>
      <c r="E13" s="22">
        <v>485000</v>
      </c>
      <c r="F13" s="22">
        <v>80662.572</v>
      </c>
      <c r="G13" s="80">
        <f t="shared" si="0"/>
        <v>16.631458144329898</v>
      </c>
      <c r="H13" s="81">
        <f t="shared" si="1"/>
        <v>105.71165197510275</v>
      </c>
      <c r="I13" s="25">
        <f t="shared" si="2"/>
        <v>4358.237999999998</v>
      </c>
      <c r="J13" s="24">
        <v>0</v>
      </c>
      <c r="K13" s="22">
        <v>0</v>
      </c>
      <c r="L13" s="23">
        <f t="shared" si="3"/>
        <v>0</v>
      </c>
      <c r="M13" s="24"/>
      <c r="N13" s="125">
        <f aca="true" t="shared" si="6" ref="N13:N22">SUM(C13+J13)</f>
        <v>76304.334</v>
      </c>
      <c r="O13" s="23" t="e">
        <f t="shared" si="4"/>
        <v>#DIV/0!</v>
      </c>
      <c r="P13" s="24">
        <v>485000</v>
      </c>
      <c r="Q13" s="26">
        <f aca="true" t="shared" si="7" ref="Q13:Q22">SUM(F13+K13)</f>
        <v>80662.572</v>
      </c>
      <c r="R13" s="105">
        <f t="shared" si="5"/>
        <v>16.631458144329898</v>
      </c>
      <c r="S13" s="128">
        <f aca="true" t="shared" si="8" ref="S13:S23">SUM(Q13/P13*100)</f>
        <v>16.631458144329898</v>
      </c>
      <c r="T13" s="108">
        <f aca="true" t="shared" si="9" ref="T13:T23">SUM(Q13/N13*100)</f>
        <v>105.71165197510275</v>
      </c>
      <c r="U13" s="25">
        <f aca="true" t="shared" si="10" ref="U13:U23">SUM(Q13-N13)</f>
        <v>4358.237999999998</v>
      </c>
    </row>
    <row r="14" spans="1:21" ht="12.75">
      <c r="A14" s="19" t="s">
        <v>29</v>
      </c>
      <c r="B14" s="21"/>
      <c r="C14" s="291">
        <f>976.831+45.1+4.288+3.684+98.365+111.727+33.022</f>
        <v>1273.017</v>
      </c>
      <c r="D14" s="23"/>
      <c r="E14" s="22">
        <v>5000</v>
      </c>
      <c r="F14" s="22">
        <f>1004.187+40.07+4.589+4.191+5.241+67.414+24.711</f>
        <v>1150.403</v>
      </c>
      <c r="G14" s="80">
        <f t="shared" si="0"/>
        <v>23.00806</v>
      </c>
      <c r="H14" s="81">
        <f t="shared" si="1"/>
        <v>90.36823545954216</v>
      </c>
      <c r="I14" s="25">
        <f t="shared" si="2"/>
        <v>-122.61400000000003</v>
      </c>
      <c r="J14" s="24">
        <f>1.17+1.273</f>
        <v>2.4429999999999996</v>
      </c>
      <c r="K14" s="22">
        <f>1.36+4.048+7.965+7.965+7.965</f>
        <v>29.303</v>
      </c>
      <c r="L14" s="23">
        <f t="shared" si="3"/>
        <v>26.86</v>
      </c>
      <c r="M14" s="24"/>
      <c r="N14" s="125">
        <f t="shared" si="6"/>
        <v>1275.46</v>
      </c>
      <c r="O14" s="23" t="e">
        <f t="shared" si="4"/>
        <v>#DIV/0!</v>
      </c>
      <c r="P14" s="297">
        <v>6500</v>
      </c>
      <c r="Q14" s="26">
        <f t="shared" si="7"/>
        <v>1179.7060000000001</v>
      </c>
      <c r="R14" s="105">
        <f t="shared" si="5"/>
        <v>18.14932307692308</v>
      </c>
      <c r="S14" s="128">
        <f t="shared" si="8"/>
        <v>18.14932307692308</v>
      </c>
      <c r="T14" s="108">
        <f t="shared" si="9"/>
        <v>92.49259090837816</v>
      </c>
      <c r="U14" s="25">
        <f t="shared" si="10"/>
        <v>-95.7539999999999</v>
      </c>
    </row>
    <row r="15" spans="1:21" ht="12.75">
      <c r="A15" s="19" t="s">
        <v>30</v>
      </c>
      <c r="B15" s="21"/>
      <c r="C15" s="291">
        <v>5550.662</v>
      </c>
      <c r="D15" s="23"/>
      <c r="E15" s="22">
        <v>39000</v>
      </c>
      <c r="F15" s="22">
        <v>6199.617</v>
      </c>
      <c r="G15" s="80">
        <f t="shared" si="0"/>
        <v>15.896453846153847</v>
      </c>
      <c r="H15" s="81">
        <f t="shared" si="1"/>
        <v>111.69148833058111</v>
      </c>
      <c r="I15" s="25">
        <f t="shared" si="2"/>
        <v>648.9549999999999</v>
      </c>
      <c r="J15" s="24">
        <v>1.2</v>
      </c>
      <c r="K15" s="22">
        <v>133.971</v>
      </c>
      <c r="L15" s="23">
        <f t="shared" si="3"/>
        <v>132.77100000000002</v>
      </c>
      <c r="M15" s="24"/>
      <c r="N15" s="125">
        <f t="shared" si="6"/>
        <v>5551.862</v>
      </c>
      <c r="O15" s="23" t="e">
        <f t="shared" si="4"/>
        <v>#DIV/0!</v>
      </c>
      <c r="P15" s="24">
        <v>39100</v>
      </c>
      <c r="Q15" s="26">
        <f t="shared" si="7"/>
        <v>6333.588</v>
      </c>
      <c r="R15" s="105">
        <f t="shared" si="5"/>
        <v>16.198434782608693</v>
      </c>
      <c r="S15" s="128">
        <f t="shared" si="8"/>
        <v>16.198434782608693</v>
      </c>
      <c r="T15" s="108">
        <f t="shared" si="9"/>
        <v>114.08042923257098</v>
      </c>
      <c r="U15" s="25">
        <f t="shared" si="10"/>
        <v>781.7259999999997</v>
      </c>
    </row>
    <row r="16" spans="1:21" ht="12.75">
      <c r="A16" s="19" t="s">
        <v>31</v>
      </c>
      <c r="B16" s="21"/>
      <c r="C16" s="291">
        <v>5550.662</v>
      </c>
      <c r="D16" s="23"/>
      <c r="E16" s="22">
        <v>38500</v>
      </c>
      <c r="F16" s="22">
        <v>6199.617</v>
      </c>
      <c r="G16" s="80">
        <f t="shared" si="0"/>
        <v>16.1029012987013</v>
      </c>
      <c r="H16" s="81">
        <f t="shared" si="1"/>
        <v>111.69148833058111</v>
      </c>
      <c r="I16" s="25">
        <f t="shared" si="2"/>
        <v>648.9549999999999</v>
      </c>
      <c r="J16" s="24">
        <v>0</v>
      </c>
      <c r="K16" s="22">
        <v>0</v>
      </c>
      <c r="L16" s="23">
        <f t="shared" si="3"/>
        <v>0</v>
      </c>
      <c r="M16" s="24"/>
      <c r="N16" s="125">
        <f t="shared" si="6"/>
        <v>5550.662</v>
      </c>
      <c r="O16" s="23" t="e">
        <f t="shared" si="4"/>
        <v>#DIV/0!</v>
      </c>
      <c r="P16" s="24">
        <v>38500</v>
      </c>
      <c r="Q16" s="26">
        <f t="shared" si="7"/>
        <v>6199.617</v>
      </c>
      <c r="R16" s="105">
        <f t="shared" si="5"/>
        <v>16.1029012987013</v>
      </c>
      <c r="S16" s="128">
        <f t="shared" si="8"/>
        <v>16.1029012987013</v>
      </c>
      <c r="T16" s="108">
        <f t="shared" si="9"/>
        <v>111.69148833058111</v>
      </c>
      <c r="U16" s="25">
        <f t="shared" si="10"/>
        <v>648.9549999999999</v>
      </c>
    </row>
    <row r="17" spans="1:21" ht="13.5" customHeight="1">
      <c r="A17" s="19" t="s">
        <v>220</v>
      </c>
      <c r="B17" s="21"/>
      <c r="C17" s="291">
        <v>0</v>
      </c>
      <c r="D17" s="23"/>
      <c r="E17" s="22">
        <v>0</v>
      </c>
      <c r="F17" s="22">
        <v>0.396</v>
      </c>
      <c r="G17" s="80" t="e">
        <f t="shared" si="0"/>
        <v>#DIV/0!</v>
      </c>
      <c r="H17" s="81" t="e">
        <f t="shared" si="1"/>
        <v>#DIV/0!</v>
      </c>
      <c r="I17" s="25">
        <f t="shared" si="2"/>
        <v>0.396</v>
      </c>
      <c r="J17" s="24">
        <v>0</v>
      </c>
      <c r="K17" s="22">
        <v>0</v>
      </c>
      <c r="L17" s="23">
        <f t="shared" si="3"/>
        <v>0</v>
      </c>
      <c r="M17" s="24"/>
      <c r="N17" s="125">
        <f t="shared" si="6"/>
        <v>0</v>
      </c>
      <c r="O17" s="23" t="e">
        <f t="shared" si="4"/>
        <v>#DIV/0!</v>
      </c>
      <c r="P17" s="24">
        <v>0</v>
      </c>
      <c r="Q17" s="26">
        <f t="shared" si="7"/>
        <v>0.396</v>
      </c>
      <c r="R17" s="105" t="e">
        <f t="shared" si="5"/>
        <v>#DIV/0!</v>
      </c>
      <c r="S17" s="128" t="e">
        <f t="shared" si="8"/>
        <v>#DIV/0!</v>
      </c>
      <c r="T17" s="108" t="e">
        <f t="shared" si="9"/>
        <v>#DIV/0!</v>
      </c>
      <c r="U17" s="25">
        <f t="shared" si="10"/>
        <v>0.396</v>
      </c>
    </row>
    <row r="18" spans="1:21" ht="12.75">
      <c r="A18" s="19" t="s">
        <v>111</v>
      </c>
      <c r="B18" s="21"/>
      <c r="C18" s="291">
        <v>21.318</v>
      </c>
      <c r="D18" s="23"/>
      <c r="E18" s="22">
        <v>145</v>
      </c>
      <c r="F18" s="22">
        <v>54.758</v>
      </c>
      <c r="G18" s="80">
        <f t="shared" si="0"/>
        <v>37.76413793103448</v>
      </c>
      <c r="H18" s="81">
        <f t="shared" si="1"/>
        <v>256.86274509803917</v>
      </c>
      <c r="I18" s="25">
        <f t="shared" si="2"/>
        <v>33.44</v>
      </c>
      <c r="J18" s="24">
        <v>0</v>
      </c>
      <c r="K18" s="22">
        <v>12.124</v>
      </c>
      <c r="L18" s="23">
        <f t="shared" si="3"/>
        <v>12.124</v>
      </c>
      <c r="M18" s="24"/>
      <c r="N18" s="125">
        <f t="shared" si="6"/>
        <v>21.318</v>
      </c>
      <c r="O18" s="23"/>
      <c r="P18" s="24">
        <v>153</v>
      </c>
      <c r="Q18" s="26">
        <f t="shared" si="7"/>
        <v>66.882</v>
      </c>
      <c r="R18" s="105"/>
      <c r="S18" s="128">
        <f t="shared" si="8"/>
        <v>43.71372549019608</v>
      </c>
      <c r="T18" s="108">
        <f t="shared" si="9"/>
        <v>313.7348719392063</v>
      </c>
      <c r="U18" s="25">
        <f t="shared" si="10"/>
        <v>45.56400000000001</v>
      </c>
    </row>
    <row r="19" spans="1:21" ht="12.75">
      <c r="A19" s="19" t="s">
        <v>32</v>
      </c>
      <c r="B19" s="21"/>
      <c r="C19" s="291">
        <f>4.108+14.869+12.815+58.382</f>
        <v>90.174</v>
      </c>
      <c r="D19" s="23"/>
      <c r="E19" s="22">
        <v>3500</v>
      </c>
      <c r="F19" s="22">
        <f>20.457+74.544+0.987</f>
        <v>95.988</v>
      </c>
      <c r="G19" s="80">
        <f t="shared" si="0"/>
        <v>2.7425142857142855</v>
      </c>
      <c r="H19" s="81">
        <f t="shared" si="1"/>
        <v>106.44753476611884</v>
      </c>
      <c r="I19" s="25">
        <f t="shared" si="2"/>
        <v>5.813999999999993</v>
      </c>
      <c r="J19" s="24">
        <v>0</v>
      </c>
      <c r="K19" s="22">
        <v>0</v>
      </c>
      <c r="L19" s="23">
        <f t="shared" si="3"/>
        <v>0</v>
      </c>
      <c r="M19" s="24"/>
      <c r="N19" s="125">
        <f t="shared" si="6"/>
        <v>90.174</v>
      </c>
      <c r="O19" s="23" t="e">
        <f t="shared" si="4"/>
        <v>#DIV/0!</v>
      </c>
      <c r="P19" s="24">
        <v>3500</v>
      </c>
      <c r="Q19" s="26">
        <f t="shared" si="7"/>
        <v>95.988</v>
      </c>
      <c r="R19" s="105">
        <f>Q19/P19*100</f>
        <v>2.7425142857142855</v>
      </c>
      <c r="S19" s="128">
        <f t="shared" si="8"/>
        <v>2.7425142857142855</v>
      </c>
      <c r="T19" s="108">
        <f t="shared" si="9"/>
        <v>106.44753476611884</v>
      </c>
      <c r="U19" s="25">
        <f t="shared" si="10"/>
        <v>5.813999999999993</v>
      </c>
    </row>
    <row r="20" spans="1:21" ht="12.75">
      <c r="A20" s="19" t="s">
        <v>33</v>
      </c>
      <c r="B20" s="21"/>
      <c r="C20" s="291">
        <v>12.815</v>
      </c>
      <c r="D20" s="23"/>
      <c r="E20" s="22">
        <v>500</v>
      </c>
      <c r="F20" s="22">
        <v>74.544</v>
      </c>
      <c r="G20" s="80">
        <f t="shared" si="0"/>
        <v>14.9088</v>
      </c>
      <c r="H20" s="81">
        <f t="shared" si="1"/>
        <v>581.6933281310963</v>
      </c>
      <c r="I20" s="25">
        <f t="shared" si="2"/>
        <v>61.729</v>
      </c>
      <c r="J20" s="24">
        <v>0</v>
      </c>
      <c r="K20" s="22">
        <v>0</v>
      </c>
      <c r="L20" s="23">
        <f t="shared" si="3"/>
        <v>0</v>
      </c>
      <c r="M20" s="24"/>
      <c r="N20" s="125">
        <f t="shared" si="6"/>
        <v>12.815</v>
      </c>
      <c r="O20" s="23" t="e">
        <f t="shared" si="4"/>
        <v>#DIV/0!</v>
      </c>
      <c r="P20" s="24">
        <v>500</v>
      </c>
      <c r="Q20" s="26">
        <f t="shared" si="7"/>
        <v>74.544</v>
      </c>
      <c r="R20" s="105">
        <f>Q20/P20*100</f>
        <v>14.9088</v>
      </c>
      <c r="S20" s="128">
        <f t="shared" si="8"/>
        <v>14.9088</v>
      </c>
      <c r="T20" s="108">
        <f t="shared" si="9"/>
        <v>581.6933281310963</v>
      </c>
      <c r="U20" s="25">
        <f t="shared" si="10"/>
        <v>61.729</v>
      </c>
    </row>
    <row r="21" spans="1:21" ht="12.75">
      <c r="A21" s="19" t="s">
        <v>34</v>
      </c>
      <c r="B21" s="21"/>
      <c r="C21" s="291">
        <v>0</v>
      </c>
      <c r="D21" s="23"/>
      <c r="E21" s="22">
        <v>0</v>
      </c>
      <c r="F21" s="22">
        <v>0</v>
      </c>
      <c r="G21" s="80" t="e">
        <f t="shared" si="0"/>
        <v>#DIV/0!</v>
      </c>
      <c r="H21" s="81" t="e">
        <f t="shared" si="1"/>
        <v>#DIV/0!</v>
      </c>
      <c r="I21" s="25">
        <f t="shared" si="2"/>
        <v>0</v>
      </c>
      <c r="J21" s="24">
        <v>0</v>
      </c>
      <c r="K21" s="22">
        <v>0</v>
      </c>
      <c r="L21" s="23">
        <f t="shared" si="3"/>
        <v>0</v>
      </c>
      <c r="M21" s="24"/>
      <c r="N21" s="125">
        <f t="shared" si="6"/>
        <v>0</v>
      </c>
      <c r="O21" s="23" t="e">
        <f t="shared" si="4"/>
        <v>#DIV/0!</v>
      </c>
      <c r="P21" s="24">
        <v>0</v>
      </c>
      <c r="Q21" s="26">
        <f t="shared" si="7"/>
        <v>0</v>
      </c>
      <c r="R21" s="105" t="e">
        <f>Q21/P21*100</f>
        <v>#DIV/0!</v>
      </c>
      <c r="S21" s="128" t="e">
        <f t="shared" si="8"/>
        <v>#DIV/0!</v>
      </c>
      <c r="T21" s="108" t="e">
        <f t="shared" si="9"/>
        <v>#DIV/0!</v>
      </c>
      <c r="U21" s="25">
        <f t="shared" si="10"/>
        <v>0</v>
      </c>
    </row>
    <row r="22" spans="1:21" ht="12.75">
      <c r="A22" s="19" t="s">
        <v>35</v>
      </c>
      <c r="B22" s="21"/>
      <c r="C22" s="291">
        <v>258</v>
      </c>
      <c r="D22" s="23"/>
      <c r="E22" s="22">
        <v>1457</v>
      </c>
      <c r="F22" s="22">
        <v>242</v>
      </c>
      <c r="G22" s="80">
        <f t="shared" si="0"/>
        <v>16.609471516815375</v>
      </c>
      <c r="H22" s="81">
        <f t="shared" si="1"/>
        <v>93.7984496124031</v>
      </c>
      <c r="I22" s="25">
        <f t="shared" si="2"/>
        <v>-16</v>
      </c>
      <c r="J22" s="24">
        <v>0</v>
      </c>
      <c r="K22" s="22">
        <v>0</v>
      </c>
      <c r="L22" s="23">
        <f t="shared" si="3"/>
        <v>0</v>
      </c>
      <c r="M22" s="24"/>
      <c r="N22" s="125">
        <f t="shared" si="6"/>
        <v>258</v>
      </c>
      <c r="O22" s="23" t="e">
        <f t="shared" si="4"/>
        <v>#DIV/0!</v>
      </c>
      <c r="P22" s="24">
        <v>1457</v>
      </c>
      <c r="Q22" s="26">
        <f t="shared" si="7"/>
        <v>242</v>
      </c>
      <c r="R22" s="105">
        <f>Q22/P22*100</f>
        <v>16.609471516815375</v>
      </c>
      <c r="S22" s="128">
        <f t="shared" si="8"/>
        <v>16.609471516815375</v>
      </c>
      <c r="T22" s="108">
        <f t="shared" si="9"/>
        <v>93.7984496124031</v>
      </c>
      <c r="U22" s="25">
        <f t="shared" si="10"/>
        <v>-16</v>
      </c>
    </row>
    <row r="23" spans="1:21" s="32" customFormat="1" ht="12.75" customHeight="1" thickBot="1">
      <c r="A23" s="27" t="s">
        <v>36</v>
      </c>
      <c r="B23" s="28"/>
      <c r="C23" s="338">
        <f>C11+C12+C15+C17+C18+C19+C21+C22</f>
        <v>83914.504</v>
      </c>
      <c r="D23" s="29">
        <f>D11+D15+D18+D19+D21+D22</f>
        <v>0</v>
      </c>
      <c r="E23" s="301">
        <f>E11+E12+E15+E17+E18+E19+E21+E22</f>
        <v>535656</v>
      </c>
      <c r="F23" s="339">
        <f>F11+F12+F15+F17+F18+F19+F21+F22</f>
        <v>89064.49699999999</v>
      </c>
      <c r="G23" s="324">
        <f>F23/E23*100</f>
        <v>16.627181810714337</v>
      </c>
      <c r="H23" s="29">
        <f>F23/C23*100</f>
        <v>106.13719053859865</v>
      </c>
      <c r="I23" s="30">
        <f t="shared" si="2"/>
        <v>5149.992999999988</v>
      </c>
      <c r="J23" s="339">
        <f>J11+J12+J15+J17+J18+J19+J21+J22</f>
        <v>145.547</v>
      </c>
      <c r="K23" s="339">
        <f>K11+K12+K15+K17+K18+K19+K21+K22</f>
        <v>318.00100000000003</v>
      </c>
      <c r="L23" s="29">
        <f t="shared" si="3"/>
        <v>172.45400000000004</v>
      </c>
      <c r="M23" s="31"/>
      <c r="N23" s="126">
        <f>N11+N12+N15+N17+N18+N19+N21+N22</f>
        <v>84060.05099999999</v>
      </c>
      <c r="O23" s="292">
        <f>SUM(D23+I23)</f>
        <v>5149.992999999988</v>
      </c>
      <c r="P23" s="300">
        <f>P11+P12+P15+P17+P18+P19+P21+P22</f>
        <v>536734</v>
      </c>
      <c r="Q23" s="109">
        <f>Q11+Q12+Q15+Q17+Q18+Q19+Q21+Q22</f>
        <v>89382.49799999999</v>
      </c>
      <c r="R23" s="325">
        <f>Q23/P23*100</f>
        <v>16.653034463998925</v>
      </c>
      <c r="S23" s="326">
        <f t="shared" si="8"/>
        <v>16.653034463998925</v>
      </c>
      <c r="T23" s="327">
        <f t="shared" si="9"/>
        <v>106.33171992722204</v>
      </c>
      <c r="U23" s="30">
        <f t="shared" si="10"/>
        <v>5322.447</v>
      </c>
    </row>
    <row r="24" spans="1:16" ht="12.75">
      <c r="A24" s="3"/>
      <c r="B24" s="33"/>
      <c r="C24" s="33"/>
      <c r="D24" s="33">
        <f>SUM(D56:D62)</f>
        <v>0</v>
      </c>
      <c r="E24" s="33"/>
      <c r="F24" s="33"/>
      <c r="G24" s="33"/>
      <c r="H24" s="33"/>
      <c r="I24" s="33"/>
      <c r="J24" s="33"/>
      <c r="K24" s="33"/>
      <c r="P24" s="33"/>
    </row>
    <row r="25" spans="1:9" ht="12.75" hidden="1">
      <c r="A25" s="3"/>
      <c r="B25" s="33"/>
      <c r="C25" s="33"/>
      <c r="D25" s="34"/>
      <c r="E25" s="33"/>
      <c r="F25" s="33"/>
      <c r="G25" s="35"/>
      <c r="H25" s="34"/>
      <c r="I25" s="33"/>
    </row>
    <row r="26" spans="1:9" ht="12.75" hidden="1">
      <c r="A26" s="3"/>
      <c r="B26" s="33"/>
      <c r="C26" s="33"/>
      <c r="D26" s="34"/>
      <c r="E26" s="33"/>
      <c r="F26" s="33"/>
      <c r="G26" s="35"/>
      <c r="H26" s="34"/>
      <c r="I26" s="33"/>
    </row>
    <row r="27" spans="1:9" ht="12.75" hidden="1">
      <c r="A27" s="3"/>
      <c r="B27" s="33"/>
      <c r="C27" s="33"/>
      <c r="D27" s="34"/>
      <c r="E27" s="33"/>
      <c r="F27" s="33"/>
      <c r="G27" s="35"/>
      <c r="H27" s="34"/>
      <c r="I27" s="33"/>
    </row>
    <row r="28" spans="1:9" ht="12.75" hidden="1">
      <c r="A28" s="3"/>
      <c r="B28" s="33"/>
      <c r="C28" s="33"/>
      <c r="D28" s="34"/>
      <c r="E28" s="33"/>
      <c r="F28" s="33"/>
      <c r="G28" s="35"/>
      <c r="H28" s="34"/>
      <c r="I28" s="33"/>
    </row>
    <row r="29" spans="1:9" ht="12.75" hidden="1">
      <c r="A29" s="3"/>
      <c r="B29" s="33"/>
      <c r="C29" s="33"/>
      <c r="D29" s="34"/>
      <c r="E29" s="33"/>
      <c r="F29" s="33"/>
      <c r="G29" s="35"/>
      <c r="H29" s="34"/>
      <c r="I29" s="33"/>
    </row>
    <row r="30" spans="1:9" ht="12.75" hidden="1">
      <c r="A30" s="3"/>
      <c r="B30" s="33"/>
      <c r="C30" s="33"/>
      <c r="D30" s="34"/>
      <c r="E30" s="33"/>
      <c r="F30" s="33"/>
      <c r="G30" s="35"/>
      <c r="H30" s="34"/>
      <c r="I30" s="33"/>
    </row>
    <row r="31" spans="1:9" ht="12.75" hidden="1">
      <c r="A31" s="3"/>
      <c r="B31" s="33"/>
      <c r="C31" s="33"/>
      <c r="D31" s="34"/>
      <c r="E31" s="33"/>
      <c r="F31" s="33"/>
      <c r="G31" s="35"/>
      <c r="H31" s="34"/>
      <c r="I31" s="33"/>
    </row>
    <row r="32" spans="1:9" ht="12.75" hidden="1">
      <c r="A32" s="3"/>
      <c r="B32" s="33"/>
      <c r="C32" s="33"/>
      <c r="D32" s="34"/>
      <c r="E32" s="33"/>
      <c r="F32" s="33"/>
      <c r="G32" s="35"/>
      <c r="H32" s="34"/>
      <c r="I32" s="33"/>
    </row>
    <row r="33" spans="1:9" ht="12.75" hidden="1">
      <c r="A33" s="3"/>
      <c r="B33" s="33"/>
      <c r="C33" s="33"/>
      <c r="D33" s="34"/>
      <c r="E33" s="33"/>
      <c r="F33" s="33"/>
      <c r="G33" s="35"/>
      <c r="H33" s="34"/>
      <c r="I33" s="33"/>
    </row>
    <row r="34" spans="1:9" ht="12.75" hidden="1">
      <c r="A34" s="3"/>
      <c r="B34" s="33"/>
      <c r="C34" s="33"/>
      <c r="D34" s="34"/>
      <c r="E34" s="33"/>
      <c r="F34" s="33"/>
      <c r="G34" s="35"/>
      <c r="H34" s="34"/>
      <c r="I34" s="33"/>
    </row>
    <row r="35" spans="1:9" ht="12.75" hidden="1">
      <c r="A35" s="3"/>
      <c r="B35" s="33"/>
      <c r="C35" s="33"/>
      <c r="D35" s="34"/>
      <c r="E35" s="33"/>
      <c r="F35" s="33"/>
      <c r="G35" s="35"/>
      <c r="H35" s="34"/>
      <c r="I35" s="33"/>
    </row>
    <row r="36" spans="1:9" ht="12.75" hidden="1">
      <c r="A36" s="3"/>
      <c r="B36" s="33"/>
      <c r="C36" s="33"/>
      <c r="D36" s="34"/>
      <c r="E36" s="33"/>
      <c r="F36" s="33"/>
      <c r="G36" s="35"/>
      <c r="H36" s="34"/>
      <c r="I36" s="33"/>
    </row>
    <row r="37" spans="1:9" ht="12.75" hidden="1">
      <c r="A37" s="3"/>
      <c r="B37" s="33"/>
      <c r="C37" s="33"/>
      <c r="D37" s="34"/>
      <c r="E37" s="33"/>
      <c r="F37" s="33"/>
      <c r="G37" s="35"/>
      <c r="H37" s="34"/>
      <c r="I37" s="33"/>
    </row>
    <row r="38" spans="1:9" ht="12.75" hidden="1">
      <c r="A38" s="3"/>
      <c r="B38" s="33"/>
      <c r="C38" s="33"/>
      <c r="D38" s="34"/>
      <c r="E38" s="33"/>
      <c r="F38" s="33"/>
      <c r="G38" s="35"/>
      <c r="H38" s="34"/>
      <c r="I38" s="33"/>
    </row>
    <row r="39" spans="1:9" ht="12.75" hidden="1">
      <c r="A39" s="3"/>
      <c r="B39" s="33"/>
      <c r="C39" s="33"/>
      <c r="D39" s="34"/>
      <c r="E39" s="33"/>
      <c r="F39" s="33"/>
      <c r="G39" s="35"/>
      <c r="H39" s="34"/>
      <c r="I39" s="33"/>
    </row>
    <row r="40" spans="1:9" ht="12.75" hidden="1">
      <c r="A40" s="3"/>
      <c r="B40" s="33"/>
      <c r="C40" s="33"/>
      <c r="D40" s="34"/>
      <c r="E40" s="33"/>
      <c r="F40" s="33"/>
      <c r="G40" s="35"/>
      <c r="H40" s="34"/>
      <c r="I40" s="33"/>
    </row>
    <row r="41" spans="1:9" ht="12.75" hidden="1">
      <c r="A41" s="3"/>
      <c r="B41" s="33"/>
      <c r="C41" s="33"/>
      <c r="D41" s="34"/>
      <c r="E41" s="33"/>
      <c r="F41" s="33"/>
      <c r="G41" s="35"/>
      <c r="H41" s="34"/>
      <c r="I41" s="33"/>
    </row>
    <row r="42" spans="1:9" ht="12.75" hidden="1">
      <c r="A42" s="3"/>
      <c r="B42" s="33"/>
      <c r="C42" s="33"/>
      <c r="D42" s="34"/>
      <c r="E42" s="33"/>
      <c r="F42" s="33"/>
      <c r="G42" s="35"/>
      <c r="H42" s="34"/>
      <c r="I42" s="33"/>
    </row>
    <row r="43" spans="1:9" ht="12.75" hidden="1">
      <c r="A43" s="3"/>
      <c r="B43" s="33"/>
      <c r="C43" s="33"/>
      <c r="D43" s="34"/>
      <c r="E43" s="33"/>
      <c r="F43" s="33"/>
      <c r="G43" s="35"/>
      <c r="H43" s="34"/>
      <c r="I43" s="33"/>
    </row>
    <row r="44" spans="1:9" ht="12.75" hidden="1">
      <c r="A44" s="3"/>
      <c r="B44" s="33"/>
      <c r="C44" s="33"/>
      <c r="D44" s="34"/>
      <c r="E44" s="33"/>
      <c r="F44" s="33"/>
      <c r="G44" s="35"/>
      <c r="H44" s="34"/>
      <c r="I44" s="33"/>
    </row>
    <row r="45" s="2" customFormat="1" ht="18" hidden="1">
      <c r="A45" s="1" t="s">
        <v>37</v>
      </c>
    </row>
    <row r="46" ht="12.75" hidden="1">
      <c r="A46" s="3"/>
    </row>
    <row r="47" ht="12.75" hidden="1">
      <c r="A47" s="36" t="s">
        <v>0</v>
      </c>
    </row>
    <row r="48" ht="12.75" hidden="1">
      <c r="A48" s="3"/>
    </row>
    <row r="49" spans="1:16" ht="16.5" thickBot="1">
      <c r="A49" s="287" t="s">
        <v>38</v>
      </c>
      <c r="E49" s="33"/>
      <c r="F49" s="33"/>
      <c r="P49" s="33"/>
    </row>
    <row r="50" spans="1:21" ht="13.5" thickBot="1">
      <c r="A50" s="82"/>
      <c r="B50" s="6"/>
      <c r="C50" s="86" t="s">
        <v>3</v>
      </c>
      <c r="D50" s="86"/>
      <c r="E50" s="86"/>
      <c r="F50" s="86"/>
      <c r="G50" s="86"/>
      <c r="H50" s="86"/>
      <c r="I50" s="110"/>
      <c r="J50" s="346" t="s">
        <v>4</v>
      </c>
      <c r="K50" s="347"/>
      <c r="L50" s="348"/>
      <c r="M50" s="138" t="s">
        <v>5</v>
      </c>
      <c r="N50" s="86" t="s">
        <v>6</v>
      </c>
      <c r="O50" s="86"/>
      <c r="P50" s="86"/>
      <c r="Q50" s="86"/>
      <c r="R50" s="86"/>
      <c r="S50" s="86"/>
      <c r="T50" s="139"/>
      <c r="U50" s="87"/>
    </row>
    <row r="51" spans="1:21" ht="12.75">
      <c r="A51" s="83" t="s">
        <v>7</v>
      </c>
      <c r="B51" s="7" t="s">
        <v>8</v>
      </c>
      <c r="C51" s="129" t="s">
        <v>107</v>
      </c>
      <c r="D51" s="130"/>
      <c r="E51" s="343" t="s">
        <v>206</v>
      </c>
      <c r="F51" s="344"/>
      <c r="G51" s="345"/>
      <c r="H51" s="131" t="s">
        <v>109</v>
      </c>
      <c r="I51" s="132"/>
      <c r="J51" s="133"/>
      <c r="K51" s="134" t="s">
        <v>9</v>
      </c>
      <c r="L51" s="135"/>
      <c r="M51" s="136"/>
      <c r="N51" s="129" t="s">
        <v>110</v>
      </c>
      <c r="O51" s="137"/>
      <c r="P51" s="343" t="s">
        <v>206</v>
      </c>
      <c r="Q51" s="344"/>
      <c r="R51" s="344"/>
      <c r="S51" s="345"/>
      <c r="T51" s="131" t="s">
        <v>109</v>
      </c>
      <c r="U51" s="132"/>
    </row>
    <row r="52" spans="1:21" ht="12.75">
      <c r="A52" s="84"/>
      <c r="B52" s="9"/>
      <c r="C52" s="88" t="s">
        <v>216</v>
      </c>
      <c r="D52" s="89" t="s">
        <v>10</v>
      </c>
      <c r="E52" s="285" t="s">
        <v>108</v>
      </c>
      <c r="F52" s="90" t="s">
        <v>14</v>
      </c>
      <c r="G52" s="91" t="s">
        <v>10</v>
      </c>
      <c r="H52" s="89" t="s">
        <v>12</v>
      </c>
      <c r="I52" s="92" t="s">
        <v>13</v>
      </c>
      <c r="J52" s="111" t="s">
        <v>216</v>
      </c>
      <c r="K52" s="112" t="s">
        <v>216</v>
      </c>
      <c r="L52" s="113" t="s">
        <v>13</v>
      </c>
      <c r="M52" s="10" t="s">
        <v>14</v>
      </c>
      <c r="N52" s="122" t="s">
        <v>216</v>
      </c>
      <c r="O52" s="89" t="s">
        <v>10</v>
      </c>
      <c r="P52" s="283" t="s">
        <v>108</v>
      </c>
      <c r="Q52" s="90" t="s">
        <v>14</v>
      </c>
      <c r="R52" s="89" t="s">
        <v>10</v>
      </c>
      <c r="S52" s="127" t="s">
        <v>10</v>
      </c>
      <c r="T52" s="89" t="s">
        <v>12</v>
      </c>
      <c r="U52" s="92" t="s">
        <v>13</v>
      </c>
    </row>
    <row r="53" spans="1:21" ht="13.5" thickBot="1">
      <c r="A53" s="85"/>
      <c r="B53" s="12" t="s">
        <v>15</v>
      </c>
      <c r="C53" s="93">
        <v>2005</v>
      </c>
      <c r="D53" s="94" t="s">
        <v>16</v>
      </c>
      <c r="E53" s="286" t="s">
        <v>11</v>
      </c>
      <c r="F53" s="93" t="s">
        <v>216</v>
      </c>
      <c r="G53" s="96" t="s">
        <v>16</v>
      </c>
      <c r="H53" s="97" t="s">
        <v>221</v>
      </c>
      <c r="I53" s="98" t="s">
        <v>17</v>
      </c>
      <c r="J53" s="95">
        <v>2005</v>
      </c>
      <c r="K53" s="93">
        <v>2006</v>
      </c>
      <c r="L53" s="114" t="s">
        <v>17</v>
      </c>
      <c r="M53" s="13" t="s">
        <v>15</v>
      </c>
      <c r="N53" s="123">
        <v>2005</v>
      </c>
      <c r="O53" s="94" t="s">
        <v>16</v>
      </c>
      <c r="P53" s="284" t="s">
        <v>11</v>
      </c>
      <c r="Q53" s="93" t="s">
        <v>216</v>
      </c>
      <c r="R53" s="94" t="s">
        <v>16</v>
      </c>
      <c r="S53" s="96" t="s">
        <v>16</v>
      </c>
      <c r="T53" s="97" t="s">
        <v>221</v>
      </c>
      <c r="U53" s="98" t="s">
        <v>17</v>
      </c>
    </row>
    <row r="54" spans="1:21" s="18" customFormat="1" ht="11.25">
      <c r="A54" s="14"/>
      <c r="B54" s="15">
        <v>1</v>
      </c>
      <c r="C54" s="101">
        <v>2</v>
      </c>
      <c r="D54" s="17" t="s">
        <v>18</v>
      </c>
      <c r="E54" s="100">
        <v>4</v>
      </c>
      <c r="F54" s="101">
        <v>5</v>
      </c>
      <c r="G54" s="102" t="s">
        <v>19</v>
      </c>
      <c r="H54" s="17" t="s">
        <v>20</v>
      </c>
      <c r="I54" s="103" t="s">
        <v>21</v>
      </c>
      <c r="J54" s="100">
        <v>9</v>
      </c>
      <c r="K54" s="101">
        <v>10</v>
      </c>
      <c r="L54" s="101" t="s">
        <v>22</v>
      </c>
      <c r="M54" s="16">
        <v>12</v>
      </c>
      <c r="N54" s="101">
        <v>13</v>
      </c>
      <c r="O54" s="17" t="s">
        <v>23</v>
      </c>
      <c r="P54" s="100">
        <v>15</v>
      </c>
      <c r="Q54" s="101">
        <v>16</v>
      </c>
      <c r="R54" s="17" t="s">
        <v>24</v>
      </c>
      <c r="S54" s="120" t="s">
        <v>24</v>
      </c>
      <c r="T54" s="106" t="s">
        <v>25</v>
      </c>
      <c r="U54" s="107" t="s">
        <v>26</v>
      </c>
    </row>
    <row r="55" spans="1:21" ht="12.75">
      <c r="A55" s="19" t="s">
        <v>39</v>
      </c>
      <c r="B55" s="21"/>
      <c r="C55" s="22">
        <v>19092.252</v>
      </c>
      <c r="D55" s="23"/>
      <c r="E55" s="24">
        <v>110000</v>
      </c>
      <c r="F55" s="22">
        <v>20458.147</v>
      </c>
      <c r="G55" s="80">
        <f aca="true" t="shared" si="11" ref="G55:G69">F55/E55*100</f>
        <v>18.598315454545457</v>
      </c>
      <c r="H55" s="81">
        <f aca="true" t="shared" si="12" ref="H55:H69">F55/C55*100</f>
        <v>107.15418484943527</v>
      </c>
      <c r="I55" s="25">
        <f aca="true" t="shared" si="13" ref="I55:I92">F55-C55</f>
        <v>1365.8950000000004</v>
      </c>
      <c r="J55" s="24">
        <v>11.455</v>
      </c>
      <c r="K55" s="22">
        <v>75.153</v>
      </c>
      <c r="L55" s="26">
        <f aca="true" t="shared" si="14" ref="L55:L92">K55-J55</f>
        <v>63.69800000000001</v>
      </c>
      <c r="M55" s="116"/>
      <c r="N55" s="26">
        <f aca="true" t="shared" si="15" ref="N55:N92">SUM(C55+J55)</f>
        <v>19103.707000000002</v>
      </c>
      <c r="O55" s="23" t="e">
        <f aca="true" t="shared" si="16" ref="O55:O63">N55/M55*100</f>
        <v>#DIV/0!</v>
      </c>
      <c r="P55" s="24">
        <v>110100</v>
      </c>
      <c r="Q55" s="26">
        <f>SUM(F55+K55)</f>
        <v>20533.3</v>
      </c>
      <c r="R55" s="119">
        <f aca="true" t="shared" si="17" ref="R55:R88">Q55/P55*100</f>
        <v>18.649682107175295</v>
      </c>
      <c r="S55" s="81">
        <f>Q55/P55*100</f>
        <v>18.649682107175295</v>
      </c>
      <c r="T55" s="108">
        <f>Q55/N55*100</f>
        <v>107.48332771226023</v>
      </c>
      <c r="U55" s="25">
        <f>Q55-N55</f>
        <v>1429.5929999999971</v>
      </c>
    </row>
    <row r="56" spans="1:21" ht="12.75">
      <c r="A56" s="19" t="s">
        <v>190</v>
      </c>
      <c r="B56" s="21"/>
      <c r="C56" s="22">
        <f>2396.492+4676.47</f>
        <v>7072.962</v>
      </c>
      <c r="D56" s="23"/>
      <c r="E56" s="24">
        <v>41457.07229999999</v>
      </c>
      <c r="F56" s="22">
        <f>2032.314+5591.7</f>
        <v>7624.014</v>
      </c>
      <c r="G56" s="80">
        <f t="shared" si="11"/>
        <v>18.390140878327294</v>
      </c>
      <c r="H56" s="81">
        <f t="shared" si="12"/>
        <v>107.79096508648003</v>
      </c>
      <c r="I56" s="25">
        <f t="shared" si="13"/>
        <v>551.0519999999997</v>
      </c>
      <c r="J56" s="24">
        <v>0</v>
      </c>
      <c r="K56" s="22">
        <v>0</v>
      </c>
      <c r="L56" s="26">
        <f t="shared" si="14"/>
        <v>0</v>
      </c>
      <c r="M56" s="116"/>
      <c r="N56" s="26">
        <f t="shared" si="15"/>
        <v>7072.962</v>
      </c>
      <c r="O56" s="23" t="e">
        <f t="shared" si="16"/>
        <v>#DIV/0!</v>
      </c>
      <c r="P56" s="24">
        <f>(12218.212+30084.923)*0.98</f>
        <v>41457.07229999999</v>
      </c>
      <c r="Q56" s="26">
        <f aca="true" t="shared" si="18" ref="Q56:Q91">SUM(F56+K56)</f>
        <v>7624.014</v>
      </c>
      <c r="R56" s="119">
        <f t="shared" si="17"/>
        <v>18.390140878327294</v>
      </c>
      <c r="S56" s="81">
        <f aca="true" t="shared" si="19" ref="S56:S94">Q56/P56*100</f>
        <v>18.390140878327294</v>
      </c>
      <c r="T56" s="108">
        <f aca="true" t="shared" si="20" ref="T56:T91">Q56/N56*100</f>
        <v>107.79096508648003</v>
      </c>
      <c r="U56" s="25">
        <f aca="true" t="shared" si="21" ref="U56:U94">Q56-N56</f>
        <v>551.0519999999997</v>
      </c>
    </row>
    <row r="57" spans="1:21" ht="12.75">
      <c r="A57" s="19" t="s">
        <v>40</v>
      </c>
      <c r="B57" s="21"/>
      <c r="C57" s="22">
        <v>1472.531</v>
      </c>
      <c r="D57" s="23"/>
      <c r="E57" s="24">
        <v>7972.2451200000005</v>
      </c>
      <c r="F57" s="22">
        <v>905.262</v>
      </c>
      <c r="G57" s="80">
        <f t="shared" si="11"/>
        <v>11.355170173192064</v>
      </c>
      <c r="H57" s="81">
        <f t="shared" si="12"/>
        <v>61.4766004926212</v>
      </c>
      <c r="I57" s="25">
        <f t="shared" si="13"/>
        <v>-567.269</v>
      </c>
      <c r="J57" s="24">
        <v>0</v>
      </c>
      <c r="K57" s="22">
        <v>0</v>
      </c>
      <c r="L57" s="26">
        <f t="shared" si="14"/>
        <v>0</v>
      </c>
      <c r="M57" s="116"/>
      <c r="N57" s="26">
        <f t="shared" si="15"/>
        <v>1472.531</v>
      </c>
      <c r="O57" s="23" t="e">
        <f t="shared" si="16"/>
        <v>#DIV/0!</v>
      </c>
      <c r="P57" s="24">
        <f>8134.944*0.98</f>
        <v>7972.2451200000005</v>
      </c>
      <c r="Q57" s="26">
        <f t="shared" si="18"/>
        <v>905.262</v>
      </c>
      <c r="R57" s="105">
        <f t="shared" si="17"/>
        <v>11.355170173192064</v>
      </c>
      <c r="S57" s="81">
        <f t="shared" si="19"/>
        <v>11.355170173192064</v>
      </c>
      <c r="T57" s="108">
        <f t="shared" si="20"/>
        <v>61.4766004926212</v>
      </c>
      <c r="U57" s="25">
        <f t="shared" si="21"/>
        <v>-567.269</v>
      </c>
    </row>
    <row r="58" spans="1:21" ht="12.75">
      <c r="A58" s="19" t="s">
        <v>41</v>
      </c>
      <c r="B58" s="21"/>
      <c r="C58" s="22">
        <v>7733.155</v>
      </c>
      <c r="D58" s="23"/>
      <c r="E58" s="24">
        <v>39791.92</v>
      </c>
      <c r="F58" s="22">
        <v>7879.332</v>
      </c>
      <c r="G58" s="80">
        <f t="shared" si="11"/>
        <v>19.801336552747394</v>
      </c>
      <c r="H58" s="81">
        <f t="shared" si="12"/>
        <v>101.89026341771243</v>
      </c>
      <c r="I58" s="25">
        <f t="shared" si="13"/>
        <v>146.1770000000006</v>
      </c>
      <c r="J58" s="24">
        <v>0</v>
      </c>
      <c r="K58" s="22">
        <v>3.324</v>
      </c>
      <c r="L58" s="26">
        <f t="shared" si="14"/>
        <v>3.324</v>
      </c>
      <c r="M58" s="116"/>
      <c r="N58" s="26">
        <f t="shared" si="15"/>
        <v>7733.155</v>
      </c>
      <c r="O58" s="23" t="e">
        <f t="shared" si="16"/>
        <v>#DIV/0!</v>
      </c>
      <c r="P58" s="24">
        <f>40604*0.98</f>
        <v>39791.92</v>
      </c>
      <c r="Q58" s="26">
        <f t="shared" si="18"/>
        <v>7882.656</v>
      </c>
      <c r="R58" s="105">
        <f t="shared" si="17"/>
        <v>19.80969000741859</v>
      </c>
      <c r="S58" s="81">
        <f t="shared" si="19"/>
        <v>19.80969000741859</v>
      </c>
      <c r="T58" s="108">
        <f t="shared" si="20"/>
        <v>101.9332471675532</v>
      </c>
      <c r="U58" s="25">
        <f t="shared" si="21"/>
        <v>149.5010000000002</v>
      </c>
    </row>
    <row r="59" spans="1:21" ht="12.75">
      <c r="A59" s="19" t="s">
        <v>42</v>
      </c>
      <c r="B59" s="21"/>
      <c r="C59" s="22">
        <v>1518.704</v>
      </c>
      <c r="D59" s="23"/>
      <c r="E59" s="24">
        <v>9600</v>
      </c>
      <c r="F59" s="22">
        <f>1810.283+26.682</f>
        <v>1836.965</v>
      </c>
      <c r="G59" s="80">
        <f t="shared" si="11"/>
        <v>19.13505208333333</v>
      </c>
      <c r="H59" s="81">
        <f t="shared" si="12"/>
        <v>120.95609150960291</v>
      </c>
      <c r="I59" s="25">
        <f t="shared" si="13"/>
        <v>318.26099999999997</v>
      </c>
      <c r="J59" s="24">
        <v>11.455</v>
      </c>
      <c r="K59" s="22">
        <v>15.648</v>
      </c>
      <c r="L59" s="26">
        <f t="shared" si="14"/>
        <v>4.193</v>
      </c>
      <c r="M59" s="116"/>
      <c r="N59" s="26">
        <f t="shared" si="15"/>
        <v>1530.1589999999999</v>
      </c>
      <c r="O59" s="23" t="e">
        <f t="shared" si="16"/>
        <v>#DIV/0!</v>
      </c>
      <c r="P59" s="24">
        <v>9650</v>
      </c>
      <c r="Q59" s="26">
        <f t="shared" si="18"/>
        <v>1852.6129999999998</v>
      </c>
      <c r="R59" s="105">
        <f t="shared" si="17"/>
        <v>19.198062176165802</v>
      </c>
      <c r="S59" s="81">
        <f t="shared" si="19"/>
        <v>19.198062176165802</v>
      </c>
      <c r="T59" s="108">
        <f t="shared" si="20"/>
        <v>121.07323487297725</v>
      </c>
      <c r="U59" s="25">
        <f t="shared" si="21"/>
        <v>322.45399999999995</v>
      </c>
    </row>
    <row r="60" spans="1:21" ht="12.75">
      <c r="A60" s="19" t="s">
        <v>43</v>
      </c>
      <c r="B60" s="21"/>
      <c r="C60" s="22">
        <v>46.148</v>
      </c>
      <c r="D60" s="23"/>
      <c r="E60" s="24">
        <v>100</v>
      </c>
      <c r="F60" s="22">
        <v>53.702</v>
      </c>
      <c r="G60" s="80">
        <f t="shared" si="11"/>
        <v>53.70199999999999</v>
      </c>
      <c r="H60" s="81">
        <f t="shared" si="12"/>
        <v>116.369073415966</v>
      </c>
      <c r="I60" s="25">
        <f t="shared" si="13"/>
        <v>7.553999999999995</v>
      </c>
      <c r="J60" s="24">
        <v>0</v>
      </c>
      <c r="K60" s="22">
        <v>0</v>
      </c>
      <c r="L60" s="26">
        <f t="shared" si="14"/>
        <v>0</v>
      </c>
      <c r="M60" s="116"/>
      <c r="N60" s="26">
        <f t="shared" si="15"/>
        <v>46.148</v>
      </c>
      <c r="O60" s="23" t="e">
        <f t="shared" si="16"/>
        <v>#DIV/0!</v>
      </c>
      <c r="P60" s="24">
        <v>100</v>
      </c>
      <c r="Q60" s="26">
        <f t="shared" si="18"/>
        <v>53.702</v>
      </c>
      <c r="R60" s="105">
        <f t="shared" si="17"/>
        <v>53.70199999999999</v>
      </c>
      <c r="S60" s="81">
        <f t="shared" si="19"/>
        <v>53.70199999999999</v>
      </c>
      <c r="T60" s="108">
        <f t="shared" si="20"/>
        <v>116.369073415966</v>
      </c>
      <c r="U60" s="25">
        <f t="shared" si="21"/>
        <v>7.553999999999995</v>
      </c>
    </row>
    <row r="61" spans="1:21" ht="12.75">
      <c r="A61" s="19" t="s">
        <v>44</v>
      </c>
      <c r="B61" s="21"/>
      <c r="C61" s="22">
        <f>47.507+5.4+122.855</f>
        <v>175.762</v>
      </c>
      <c r="D61" s="23"/>
      <c r="E61" s="24">
        <v>4500</v>
      </c>
      <c r="F61" s="22">
        <f>222.553+272.822+14.559</f>
        <v>509.934</v>
      </c>
      <c r="G61" s="80">
        <f t="shared" si="11"/>
        <v>11.331866666666668</v>
      </c>
      <c r="H61" s="81">
        <f t="shared" si="12"/>
        <v>290.1275588580012</v>
      </c>
      <c r="I61" s="25">
        <f t="shared" si="13"/>
        <v>334.172</v>
      </c>
      <c r="J61" s="24">
        <v>0</v>
      </c>
      <c r="K61" s="22">
        <f>34+18.034</f>
        <v>52.034</v>
      </c>
      <c r="L61" s="26">
        <f t="shared" si="14"/>
        <v>52.034</v>
      </c>
      <c r="M61" s="116"/>
      <c r="N61" s="26">
        <f t="shared" si="15"/>
        <v>175.762</v>
      </c>
      <c r="O61" s="23" t="e">
        <f t="shared" si="16"/>
        <v>#DIV/0!</v>
      </c>
      <c r="P61" s="24">
        <v>4545</v>
      </c>
      <c r="Q61" s="26">
        <f t="shared" si="18"/>
        <v>561.9680000000001</v>
      </c>
      <c r="R61" s="105">
        <f t="shared" si="17"/>
        <v>12.364532453245326</v>
      </c>
      <c r="S61" s="81">
        <f t="shared" si="19"/>
        <v>12.364532453245326</v>
      </c>
      <c r="T61" s="108">
        <f t="shared" si="20"/>
        <v>319.7323653576996</v>
      </c>
      <c r="U61" s="25">
        <f t="shared" si="21"/>
        <v>386.2060000000001</v>
      </c>
    </row>
    <row r="62" spans="1:21" ht="12.75">
      <c r="A62" s="19" t="s">
        <v>189</v>
      </c>
      <c r="B62" s="21"/>
      <c r="C62" s="22">
        <f>533.178+134.965</f>
        <v>668.143</v>
      </c>
      <c r="D62" s="23"/>
      <c r="E62" s="24">
        <f>(3905+848)*0.95</f>
        <v>4515.349999999999</v>
      </c>
      <c r="F62" s="22">
        <f>807.864+192.237</f>
        <v>1000.101</v>
      </c>
      <c r="G62" s="80">
        <f t="shared" si="11"/>
        <v>22.148914259138273</v>
      </c>
      <c r="H62" s="81">
        <f t="shared" si="12"/>
        <v>149.6836755006039</v>
      </c>
      <c r="I62" s="25">
        <f t="shared" si="13"/>
        <v>331.95799999999997</v>
      </c>
      <c r="J62" s="24">
        <v>0</v>
      </c>
      <c r="K62" s="22">
        <v>3.418</v>
      </c>
      <c r="L62" s="26">
        <f t="shared" si="14"/>
        <v>3.418</v>
      </c>
      <c r="M62" s="116"/>
      <c r="N62" s="26">
        <f t="shared" si="15"/>
        <v>668.143</v>
      </c>
      <c r="O62" s="23" t="e">
        <f t="shared" si="16"/>
        <v>#DIV/0!</v>
      </c>
      <c r="P62" s="24">
        <v>4520</v>
      </c>
      <c r="Q62" s="26">
        <f t="shared" si="18"/>
        <v>1003.519</v>
      </c>
      <c r="R62" s="105">
        <f t="shared" si="17"/>
        <v>22.20174778761062</v>
      </c>
      <c r="S62" s="81">
        <f t="shared" si="19"/>
        <v>22.20174778761062</v>
      </c>
      <c r="T62" s="108">
        <f t="shared" si="20"/>
        <v>150.19524263518437</v>
      </c>
      <c r="U62" s="25">
        <f t="shared" si="21"/>
        <v>335.376</v>
      </c>
    </row>
    <row r="63" spans="1:21" ht="12.75">
      <c r="A63" s="19" t="s">
        <v>45</v>
      </c>
      <c r="B63" s="21"/>
      <c r="C63" s="22">
        <v>3841.48</v>
      </c>
      <c r="D63" s="23"/>
      <c r="E63" s="24">
        <v>22500</v>
      </c>
      <c r="F63" s="22">
        <v>5451.095</v>
      </c>
      <c r="G63" s="80">
        <f t="shared" si="11"/>
        <v>24.22708888888889</v>
      </c>
      <c r="H63" s="81">
        <f t="shared" si="12"/>
        <v>141.90090798338142</v>
      </c>
      <c r="I63" s="25">
        <f t="shared" si="13"/>
        <v>1609.6150000000002</v>
      </c>
      <c r="J63" s="24">
        <v>42.734</v>
      </c>
      <c r="K63" s="22">
        <v>-3.919</v>
      </c>
      <c r="L63" s="26">
        <f t="shared" si="14"/>
        <v>-46.653</v>
      </c>
      <c r="M63" s="116"/>
      <c r="N63" s="26">
        <f t="shared" si="15"/>
        <v>3884.214</v>
      </c>
      <c r="O63" s="23" t="e">
        <f t="shared" si="16"/>
        <v>#DIV/0!</v>
      </c>
      <c r="P63" s="24">
        <v>22520</v>
      </c>
      <c r="Q63" s="26">
        <f t="shared" si="18"/>
        <v>5447.176</v>
      </c>
      <c r="R63" s="105">
        <f t="shared" si="17"/>
        <v>24.188170515097692</v>
      </c>
      <c r="S63" s="81">
        <f t="shared" si="19"/>
        <v>24.188170515097692</v>
      </c>
      <c r="T63" s="108">
        <f t="shared" si="20"/>
        <v>140.23882309265144</v>
      </c>
      <c r="U63" s="25">
        <f t="shared" si="21"/>
        <v>1562.9620000000004</v>
      </c>
    </row>
    <row r="64" spans="1:21" ht="12.75">
      <c r="A64" s="19" t="s">
        <v>46</v>
      </c>
      <c r="B64" s="21"/>
      <c r="C64" s="22">
        <v>4804.988</v>
      </c>
      <c r="D64" s="23"/>
      <c r="E64" s="24">
        <v>33000</v>
      </c>
      <c r="F64" s="22">
        <v>5430.42</v>
      </c>
      <c r="G64" s="80">
        <f t="shared" si="11"/>
        <v>16.45581818181818</v>
      </c>
      <c r="H64" s="81">
        <f t="shared" si="12"/>
        <v>113.01630722074643</v>
      </c>
      <c r="I64" s="25">
        <f t="shared" si="13"/>
        <v>625.4319999999998</v>
      </c>
      <c r="J64" s="24">
        <v>1.438</v>
      </c>
      <c r="K64" s="22">
        <v>113.039</v>
      </c>
      <c r="L64" s="26">
        <f t="shared" si="14"/>
        <v>111.601</v>
      </c>
      <c r="M64" s="116"/>
      <c r="N64" s="26">
        <f t="shared" si="15"/>
        <v>4806.426</v>
      </c>
      <c r="O64" s="23"/>
      <c r="P64" s="24">
        <v>33092</v>
      </c>
      <c r="Q64" s="26">
        <f t="shared" si="18"/>
        <v>5543.459</v>
      </c>
      <c r="R64" s="105">
        <f t="shared" si="17"/>
        <v>16.751659011241387</v>
      </c>
      <c r="S64" s="81">
        <f t="shared" si="19"/>
        <v>16.751659011241387</v>
      </c>
      <c r="T64" s="108">
        <f t="shared" si="20"/>
        <v>115.33432533861958</v>
      </c>
      <c r="U64" s="25">
        <f t="shared" si="21"/>
        <v>737.0329999999994</v>
      </c>
    </row>
    <row r="65" spans="1:21" ht="12.75">
      <c r="A65" s="19" t="s">
        <v>47</v>
      </c>
      <c r="B65" s="21"/>
      <c r="C65" s="22">
        <v>1727.978</v>
      </c>
      <c r="D65" s="23"/>
      <c r="E65" s="24">
        <v>12100</v>
      </c>
      <c r="F65" s="22">
        <v>2401.095</v>
      </c>
      <c r="G65" s="80">
        <f t="shared" si="11"/>
        <v>19.84376033057851</v>
      </c>
      <c r="H65" s="81">
        <f t="shared" si="12"/>
        <v>138.95402603505366</v>
      </c>
      <c r="I65" s="25">
        <f t="shared" si="13"/>
        <v>673.1169999999997</v>
      </c>
      <c r="J65" s="24">
        <v>0</v>
      </c>
      <c r="K65" s="22">
        <v>1.682</v>
      </c>
      <c r="L65" s="26">
        <f t="shared" si="14"/>
        <v>1.682</v>
      </c>
      <c r="M65" s="116"/>
      <c r="N65" s="26">
        <f t="shared" si="15"/>
        <v>1727.978</v>
      </c>
      <c r="O65" s="23"/>
      <c r="P65" s="24">
        <v>12100</v>
      </c>
      <c r="Q65" s="26">
        <f t="shared" si="18"/>
        <v>2402.7769999999996</v>
      </c>
      <c r="R65" s="105">
        <f t="shared" si="17"/>
        <v>19.85766115702479</v>
      </c>
      <c r="S65" s="81">
        <f t="shared" si="19"/>
        <v>19.85766115702479</v>
      </c>
      <c r="T65" s="108">
        <f t="shared" si="20"/>
        <v>139.05136523728888</v>
      </c>
      <c r="U65" s="25">
        <f t="shared" si="21"/>
        <v>674.7989999999995</v>
      </c>
    </row>
    <row r="66" spans="1:21" ht="12.75" hidden="1">
      <c r="A66" s="19" t="s">
        <v>48</v>
      </c>
      <c r="B66" s="21"/>
      <c r="C66" s="22"/>
      <c r="D66" s="23"/>
      <c r="E66" s="24"/>
      <c r="F66" s="22"/>
      <c r="G66" s="80" t="e">
        <f t="shared" si="11"/>
        <v>#DIV/0!</v>
      </c>
      <c r="H66" s="81" t="e">
        <f t="shared" si="12"/>
        <v>#DIV/0!</v>
      </c>
      <c r="I66" s="25">
        <f t="shared" si="13"/>
        <v>0</v>
      </c>
      <c r="J66" s="24"/>
      <c r="K66" s="22"/>
      <c r="L66" s="26">
        <f t="shared" si="14"/>
        <v>0</v>
      </c>
      <c r="M66" s="116"/>
      <c r="N66" s="26">
        <f t="shared" si="15"/>
        <v>0</v>
      </c>
      <c r="O66" s="23"/>
      <c r="P66" s="24"/>
      <c r="Q66" s="26">
        <f t="shared" si="18"/>
        <v>0</v>
      </c>
      <c r="R66" s="105" t="e">
        <f t="shared" si="17"/>
        <v>#DIV/0!</v>
      </c>
      <c r="S66" s="81" t="e">
        <f t="shared" si="19"/>
        <v>#DIV/0!</v>
      </c>
      <c r="T66" s="108" t="e">
        <f t="shared" si="20"/>
        <v>#DIV/0!</v>
      </c>
      <c r="U66" s="25">
        <f t="shared" si="21"/>
        <v>0</v>
      </c>
    </row>
    <row r="67" spans="1:21" ht="12.75" hidden="1">
      <c r="A67" s="19" t="s">
        <v>49</v>
      </c>
      <c r="B67" s="21"/>
      <c r="C67" s="22"/>
      <c r="D67" s="23"/>
      <c r="E67" s="24"/>
      <c r="F67" s="22"/>
      <c r="G67" s="80" t="e">
        <f t="shared" si="11"/>
        <v>#DIV/0!</v>
      </c>
      <c r="H67" s="81" t="e">
        <f t="shared" si="12"/>
        <v>#DIV/0!</v>
      </c>
      <c r="I67" s="25">
        <f t="shared" si="13"/>
        <v>0</v>
      </c>
      <c r="J67" s="24"/>
      <c r="K67" s="22"/>
      <c r="L67" s="26">
        <f t="shared" si="14"/>
        <v>0</v>
      </c>
      <c r="M67" s="116"/>
      <c r="N67" s="26">
        <f t="shared" si="15"/>
        <v>0</v>
      </c>
      <c r="O67" s="23"/>
      <c r="P67" s="24"/>
      <c r="Q67" s="26">
        <f t="shared" si="18"/>
        <v>0</v>
      </c>
      <c r="R67" s="105" t="e">
        <f t="shared" si="17"/>
        <v>#DIV/0!</v>
      </c>
      <c r="S67" s="81" t="e">
        <f t="shared" si="19"/>
        <v>#DIV/0!</v>
      </c>
      <c r="T67" s="108" t="e">
        <f t="shared" si="20"/>
        <v>#DIV/0!</v>
      </c>
      <c r="U67" s="25">
        <f t="shared" si="21"/>
        <v>0</v>
      </c>
    </row>
    <row r="68" spans="1:21" ht="12.75">
      <c r="A68" s="19" t="s">
        <v>48</v>
      </c>
      <c r="B68" s="21"/>
      <c r="C68" s="22">
        <v>43.626</v>
      </c>
      <c r="D68" s="23"/>
      <c r="E68" s="24">
        <v>490</v>
      </c>
      <c r="F68" s="22">
        <v>40.294</v>
      </c>
      <c r="G68" s="80">
        <f t="shared" si="11"/>
        <v>8.223265306122448</v>
      </c>
      <c r="H68" s="81">
        <f t="shared" si="12"/>
        <v>92.36235272543895</v>
      </c>
      <c r="I68" s="25">
        <f t="shared" si="13"/>
        <v>-3.3320000000000007</v>
      </c>
      <c r="J68" s="24">
        <v>0</v>
      </c>
      <c r="K68" s="22">
        <v>0</v>
      </c>
      <c r="L68" s="26">
        <f t="shared" si="14"/>
        <v>0</v>
      </c>
      <c r="M68" s="116"/>
      <c r="N68" s="26">
        <f t="shared" si="15"/>
        <v>43.626</v>
      </c>
      <c r="O68" s="23"/>
      <c r="P68" s="24">
        <v>490</v>
      </c>
      <c r="Q68" s="26">
        <f t="shared" si="18"/>
        <v>40.294</v>
      </c>
      <c r="R68" s="105">
        <f t="shared" si="17"/>
        <v>8.223265306122448</v>
      </c>
      <c r="S68" s="81">
        <f t="shared" si="19"/>
        <v>8.223265306122448</v>
      </c>
      <c r="T68" s="108">
        <f t="shared" si="20"/>
        <v>92.36235272543895</v>
      </c>
      <c r="U68" s="25">
        <f t="shared" si="21"/>
        <v>-3.3320000000000007</v>
      </c>
    </row>
    <row r="69" spans="1:21" ht="12.75">
      <c r="A69" s="19" t="s">
        <v>112</v>
      </c>
      <c r="B69" s="21"/>
      <c r="C69" s="22">
        <v>4.086</v>
      </c>
      <c r="D69" s="23"/>
      <c r="E69" s="24">
        <v>30</v>
      </c>
      <c r="F69" s="22">
        <v>5.399</v>
      </c>
      <c r="G69" s="80">
        <f t="shared" si="11"/>
        <v>17.996666666666666</v>
      </c>
      <c r="H69" s="81">
        <f t="shared" si="12"/>
        <v>132.13411649534996</v>
      </c>
      <c r="I69" s="25">
        <f t="shared" si="13"/>
        <v>1.3129999999999997</v>
      </c>
      <c r="J69" s="24">
        <v>0</v>
      </c>
      <c r="K69" s="22">
        <v>0</v>
      </c>
      <c r="L69" s="26">
        <f t="shared" si="14"/>
        <v>0</v>
      </c>
      <c r="M69" s="116"/>
      <c r="N69" s="26">
        <f t="shared" si="15"/>
        <v>4.086</v>
      </c>
      <c r="O69" s="23"/>
      <c r="P69" s="24">
        <v>30</v>
      </c>
      <c r="Q69" s="26">
        <f t="shared" si="18"/>
        <v>5.399</v>
      </c>
      <c r="R69" s="105">
        <f t="shared" si="17"/>
        <v>17.996666666666666</v>
      </c>
      <c r="S69" s="81">
        <f t="shared" si="19"/>
        <v>17.996666666666666</v>
      </c>
      <c r="T69" s="108">
        <f t="shared" si="20"/>
        <v>132.13411649534996</v>
      </c>
      <c r="U69" s="25">
        <f t="shared" si="21"/>
        <v>1.3129999999999997</v>
      </c>
    </row>
    <row r="70" spans="1:21" ht="12.75">
      <c r="A70" s="19" t="s">
        <v>50</v>
      </c>
      <c r="B70" s="21"/>
      <c r="C70" s="22">
        <v>9915.275</v>
      </c>
      <c r="D70" s="23"/>
      <c r="E70" s="24">
        <v>66200</v>
      </c>
      <c r="F70" s="22">
        <v>10276.571</v>
      </c>
      <c r="G70" s="80">
        <f aca="true" t="shared" si="22" ref="G70:G84">F70/E70*100</f>
        <v>15.523521148036254</v>
      </c>
      <c r="H70" s="81">
        <f aca="true" t="shared" si="23" ref="H70:H84">F70/C70*100</f>
        <v>103.64383236975274</v>
      </c>
      <c r="I70" s="25">
        <f t="shared" si="13"/>
        <v>361.2960000000003</v>
      </c>
      <c r="J70" s="24">
        <v>11.191</v>
      </c>
      <c r="K70" s="22">
        <v>10.594</v>
      </c>
      <c r="L70" s="26">
        <f t="shared" si="14"/>
        <v>-0.5970000000000013</v>
      </c>
      <c r="M70" s="116"/>
      <c r="N70" s="26">
        <f t="shared" si="15"/>
        <v>9926.466</v>
      </c>
      <c r="O70" s="23"/>
      <c r="P70" s="24">
        <v>66280</v>
      </c>
      <c r="Q70" s="26">
        <f t="shared" si="18"/>
        <v>10287.164999999999</v>
      </c>
      <c r="R70" s="105">
        <f t="shared" si="17"/>
        <v>15.520767954133976</v>
      </c>
      <c r="S70" s="81">
        <f t="shared" si="19"/>
        <v>15.520767954133976</v>
      </c>
      <c r="T70" s="108">
        <f t="shared" si="20"/>
        <v>103.633710124026</v>
      </c>
      <c r="U70" s="25">
        <f t="shared" si="21"/>
        <v>360.6989999999987</v>
      </c>
    </row>
    <row r="71" spans="1:21" ht="12.75">
      <c r="A71" s="19" t="s">
        <v>51</v>
      </c>
      <c r="B71" s="21"/>
      <c r="C71" s="22">
        <f>72.861+173.514</f>
        <v>246.375</v>
      </c>
      <c r="D71" s="23"/>
      <c r="E71" s="24">
        <v>1450</v>
      </c>
      <c r="F71" s="22">
        <f>-9.264+169.56</f>
        <v>160.296</v>
      </c>
      <c r="G71" s="80">
        <f t="shared" si="22"/>
        <v>11.054896551724138</v>
      </c>
      <c r="H71" s="81">
        <f t="shared" si="23"/>
        <v>65.06179604261796</v>
      </c>
      <c r="I71" s="25">
        <f t="shared" si="13"/>
        <v>-86.07900000000001</v>
      </c>
      <c r="J71" s="24">
        <v>1.328</v>
      </c>
      <c r="K71" s="22">
        <v>0</v>
      </c>
      <c r="L71" s="26">
        <f t="shared" si="14"/>
        <v>-1.328</v>
      </c>
      <c r="M71" s="116"/>
      <c r="N71" s="26">
        <f t="shared" si="15"/>
        <v>247.703</v>
      </c>
      <c r="O71" s="23"/>
      <c r="P71" s="24">
        <v>1452</v>
      </c>
      <c r="Q71" s="26">
        <f t="shared" si="18"/>
        <v>160.296</v>
      </c>
      <c r="R71" s="105">
        <f t="shared" si="17"/>
        <v>11.039669421487602</v>
      </c>
      <c r="S71" s="81">
        <f t="shared" si="19"/>
        <v>11.039669421487602</v>
      </c>
      <c r="T71" s="108">
        <f t="shared" si="20"/>
        <v>64.71298288676358</v>
      </c>
      <c r="U71" s="25">
        <f t="shared" si="21"/>
        <v>-87.40700000000001</v>
      </c>
    </row>
    <row r="72" spans="1:21" ht="12.75">
      <c r="A72" s="19" t="s">
        <v>52</v>
      </c>
      <c r="B72" s="21"/>
      <c r="C72" s="22">
        <v>254.107</v>
      </c>
      <c r="D72" s="23"/>
      <c r="E72" s="24">
        <v>1700</v>
      </c>
      <c r="F72" s="22">
        <v>242.153</v>
      </c>
      <c r="G72" s="80">
        <f t="shared" si="22"/>
        <v>14.244294117647058</v>
      </c>
      <c r="H72" s="81">
        <f t="shared" si="23"/>
        <v>95.29568252743923</v>
      </c>
      <c r="I72" s="25">
        <f t="shared" si="13"/>
        <v>-11.954000000000008</v>
      </c>
      <c r="J72" s="24">
        <v>0</v>
      </c>
      <c r="K72" s="22">
        <v>0</v>
      </c>
      <c r="L72" s="26">
        <f t="shared" si="14"/>
        <v>0</v>
      </c>
      <c r="M72" s="116"/>
      <c r="N72" s="26">
        <f t="shared" si="15"/>
        <v>254.107</v>
      </c>
      <c r="O72" s="23"/>
      <c r="P72" s="24">
        <v>1700</v>
      </c>
      <c r="Q72" s="26">
        <f t="shared" si="18"/>
        <v>242.153</v>
      </c>
      <c r="R72" s="105">
        <f t="shared" si="17"/>
        <v>14.244294117647058</v>
      </c>
      <c r="S72" s="81">
        <f t="shared" si="19"/>
        <v>14.244294117647058</v>
      </c>
      <c r="T72" s="108">
        <f t="shared" si="20"/>
        <v>95.29568252743923</v>
      </c>
      <c r="U72" s="25">
        <f t="shared" si="21"/>
        <v>-11.954000000000008</v>
      </c>
    </row>
    <row r="73" spans="1:21" ht="12.75">
      <c r="A73" s="19" t="s">
        <v>53</v>
      </c>
      <c r="B73" s="21"/>
      <c r="C73" s="22">
        <f>164.586+1216.667+2500</f>
        <v>3881.2529999999997</v>
      </c>
      <c r="D73" s="23"/>
      <c r="E73" s="24">
        <v>25700</v>
      </c>
      <c r="F73" s="22">
        <f>148.282+1233.333+2833.333</f>
        <v>4214.948</v>
      </c>
      <c r="G73" s="80">
        <f t="shared" si="22"/>
        <v>16.400575875486382</v>
      </c>
      <c r="H73" s="81">
        <f t="shared" si="23"/>
        <v>108.59761010168624</v>
      </c>
      <c r="I73" s="25">
        <f t="shared" si="13"/>
        <v>333.6950000000006</v>
      </c>
      <c r="J73" s="24">
        <v>0</v>
      </c>
      <c r="K73" s="22">
        <v>0</v>
      </c>
      <c r="L73" s="26">
        <f t="shared" si="14"/>
        <v>0</v>
      </c>
      <c r="M73" s="116"/>
      <c r="N73" s="26">
        <f t="shared" si="15"/>
        <v>3881.2529999999997</v>
      </c>
      <c r="O73" s="23"/>
      <c r="P73" s="24">
        <v>25700</v>
      </c>
      <c r="Q73" s="26">
        <f t="shared" si="18"/>
        <v>4214.948</v>
      </c>
      <c r="R73" s="105">
        <f t="shared" si="17"/>
        <v>16.400575875486382</v>
      </c>
      <c r="S73" s="81">
        <f t="shared" si="19"/>
        <v>16.400575875486382</v>
      </c>
      <c r="T73" s="108">
        <f t="shared" si="20"/>
        <v>108.59761010168624</v>
      </c>
      <c r="U73" s="25">
        <f t="shared" si="21"/>
        <v>333.6950000000006</v>
      </c>
    </row>
    <row r="74" spans="1:21" ht="12.75" hidden="1">
      <c r="A74" s="19" t="s">
        <v>54</v>
      </c>
      <c r="B74" s="21"/>
      <c r="C74" s="22"/>
      <c r="D74" s="23"/>
      <c r="E74" s="24"/>
      <c r="F74" s="22"/>
      <c r="G74" s="80" t="e">
        <f t="shared" si="22"/>
        <v>#DIV/0!</v>
      </c>
      <c r="H74" s="81" t="e">
        <f t="shared" si="23"/>
        <v>#DIV/0!</v>
      </c>
      <c r="I74" s="25">
        <f t="shared" si="13"/>
        <v>0</v>
      </c>
      <c r="J74" s="24"/>
      <c r="K74" s="22"/>
      <c r="L74" s="26">
        <f t="shared" si="14"/>
        <v>0</v>
      </c>
      <c r="M74" s="116"/>
      <c r="N74" s="26">
        <f t="shared" si="15"/>
        <v>0</v>
      </c>
      <c r="O74" s="23"/>
      <c r="P74" s="24"/>
      <c r="Q74" s="26">
        <f t="shared" si="18"/>
        <v>0</v>
      </c>
      <c r="R74" s="105" t="e">
        <f t="shared" si="17"/>
        <v>#DIV/0!</v>
      </c>
      <c r="S74" s="81" t="e">
        <f t="shared" si="19"/>
        <v>#DIV/0!</v>
      </c>
      <c r="T74" s="108" t="e">
        <f t="shared" si="20"/>
        <v>#DIV/0!</v>
      </c>
      <c r="U74" s="25">
        <f t="shared" si="21"/>
        <v>0</v>
      </c>
    </row>
    <row r="75" spans="1:21" ht="12.75">
      <c r="A75" s="19" t="s">
        <v>55</v>
      </c>
      <c r="B75" s="21"/>
      <c r="C75" s="22">
        <f>C70-C71-C72-C73</f>
        <v>5533.54</v>
      </c>
      <c r="D75" s="23"/>
      <c r="E75" s="24">
        <f>E70-E71-E72-E73</f>
        <v>37350</v>
      </c>
      <c r="F75" s="22">
        <f>F70-F71-F72-F73</f>
        <v>5659.173999999999</v>
      </c>
      <c r="G75" s="80">
        <f t="shared" si="22"/>
        <v>15.151737617135206</v>
      </c>
      <c r="H75" s="81">
        <f t="shared" si="23"/>
        <v>102.27040917748853</v>
      </c>
      <c r="I75" s="25">
        <f t="shared" si="13"/>
        <v>125.6339999999991</v>
      </c>
      <c r="J75" s="22">
        <f>J70-J71-J72-J73</f>
        <v>9.863000000000001</v>
      </c>
      <c r="K75" s="22">
        <f>K70-K71-K72-K73</f>
        <v>10.594</v>
      </c>
      <c r="L75" s="26">
        <f t="shared" si="14"/>
        <v>0.7309999999999981</v>
      </c>
      <c r="M75" s="116"/>
      <c r="N75" s="26">
        <f t="shared" si="15"/>
        <v>5543.403</v>
      </c>
      <c r="O75" s="23"/>
      <c r="P75" s="24">
        <f>P70-P71-P72-P73</f>
        <v>37428</v>
      </c>
      <c r="Q75" s="26">
        <f t="shared" si="18"/>
        <v>5669.767999999999</v>
      </c>
      <c r="R75" s="105">
        <f t="shared" si="17"/>
        <v>15.148466388799827</v>
      </c>
      <c r="S75" s="81">
        <f t="shared" si="19"/>
        <v>15.148466388799827</v>
      </c>
      <c r="T75" s="108">
        <f t="shared" si="20"/>
        <v>102.279556438527</v>
      </c>
      <c r="U75" s="25">
        <f t="shared" si="21"/>
        <v>126.36499999999887</v>
      </c>
    </row>
    <row r="76" spans="1:21" ht="12.75">
      <c r="A76" s="19" t="s">
        <v>56</v>
      </c>
      <c r="B76" s="21"/>
      <c r="C76" s="22">
        <v>41581.744</v>
      </c>
      <c r="D76" s="23"/>
      <c r="E76" s="24">
        <v>302169</v>
      </c>
      <c r="F76" s="22">
        <v>47430.546</v>
      </c>
      <c r="G76" s="80">
        <f t="shared" si="22"/>
        <v>15.696694895902624</v>
      </c>
      <c r="H76" s="81">
        <f t="shared" si="23"/>
        <v>114.06579291142769</v>
      </c>
      <c r="I76" s="25">
        <f t="shared" si="13"/>
        <v>5848.802000000003</v>
      </c>
      <c r="J76" s="24">
        <v>21.741</v>
      </c>
      <c r="K76" s="22">
        <v>25.257</v>
      </c>
      <c r="L76" s="26">
        <f t="shared" si="14"/>
        <v>3.516000000000002</v>
      </c>
      <c r="M76" s="116"/>
      <c r="N76" s="26">
        <f t="shared" si="15"/>
        <v>41603.485</v>
      </c>
      <c r="O76" s="23"/>
      <c r="P76" s="24">
        <v>302306.6</v>
      </c>
      <c r="Q76" s="26">
        <f t="shared" si="18"/>
        <v>47455.803</v>
      </c>
      <c r="R76" s="105">
        <f t="shared" si="17"/>
        <v>15.697905040776483</v>
      </c>
      <c r="S76" s="81">
        <f t="shared" si="19"/>
        <v>15.697905040776483</v>
      </c>
      <c r="T76" s="108">
        <f t="shared" si="20"/>
        <v>114.06689367489287</v>
      </c>
      <c r="U76" s="25">
        <f t="shared" si="21"/>
        <v>5852.317999999999</v>
      </c>
    </row>
    <row r="77" spans="1:21" ht="12.75">
      <c r="A77" s="19" t="s">
        <v>57</v>
      </c>
      <c r="B77" s="21"/>
      <c r="C77" s="22">
        <v>30110.747</v>
      </c>
      <c r="D77" s="23"/>
      <c r="E77" s="24">
        <v>219924</v>
      </c>
      <c r="F77" s="22">
        <v>34340.077</v>
      </c>
      <c r="G77" s="80">
        <f t="shared" si="22"/>
        <v>15.614520016005528</v>
      </c>
      <c r="H77" s="81">
        <f t="shared" si="23"/>
        <v>114.04591523418533</v>
      </c>
      <c r="I77" s="25">
        <f t="shared" si="13"/>
        <v>4229.329999999998</v>
      </c>
      <c r="J77" s="24">
        <v>15.827</v>
      </c>
      <c r="K77" s="22">
        <v>18.436</v>
      </c>
      <c r="L77" s="26">
        <f t="shared" si="14"/>
        <v>2.609</v>
      </c>
      <c r="M77" s="116"/>
      <c r="N77" s="26">
        <f t="shared" si="15"/>
        <v>30126.574</v>
      </c>
      <c r="O77" s="23"/>
      <c r="P77" s="24">
        <v>220024</v>
      </c>
      <c r="Q77" s="26">
        <f t="shared" si="18"/>
        <v>34358.513</v>
      </c>
      <c r="R77" s="105">
        <f t="shared" si="17"/>
        <v>15.615802367014506</v>
      </c>
      <c r="S77" s="81">
        <f t="shared" si="19"/>
        <v>15.615802367014506</v>
      </c>
      <c r="T77" s="108">
        <f t="shared" si="20"/>
        <v>114.0471963390195</v>
      </c>
      <c r="U77" s="25">
        <f t="shared" si="21"/>
        <v>4231.9389999999985</v>
      </c>
    </row>
    <row r="78" spans="1:21" ht="12.75" hidden="1">
      <c r="A78" s="19" t="s">
        <v>58</v>
      </c>
      <c r="B78" s="21"/>
      <c r="C78" s="22"/>
      <c r="D78" s="23"/>
      <c r="E78" s="24"/>
      <c r="F78" s="22"/>
      <c r="G78" s="80" t="e">
        <f t="shared" si="22"/>
        <v>#DIV/0!</v>
      </c>
      <c r="H78" s="81" t="e">
        <f t="shared" si="23"/>
        <v>#DIV/0!</v>
      </c>
      <c r="I78" s="25">
        <f t="shared" si="13"/>
        <v>0</v>
      </c>
      <c r="J78" s="24"/>
      <c r="K78" s="22"/>
      <c r="L78" s="26">
        <f t="shared" si="14"/>
        <v>0</v>
      </c>
      <c r="M78" s="116"/>
      <c r="N78" s="26">
        <f t="shared" si="15"/>
        <v>0</v>
      </c>
      <c r="O78" s="23"/>
      <c r="P78" s="24"/>
      <c r="Q78" s="26">
        <f t="shared" si="18"/>
        <v>0</v>
      </c>
      <c r="R78" s="105" t="e">
        <f t="shared" si="17"/>
        <v>#DIV/0!</v>
      </c>
      <c r="S78" s="81" t="e">
        <f t="shared" si="19"/>
        <v>#DIV/0!</v>
      </c>
      <c r="T78" s="108" t="e">
        <f t="shared" si="20"/>
        <v>#DIV/0!</v>
      </c>
      <c r="U78" s="25">
        <f t="shared" si="21"/>
        <v>0</v>
      </c>
    </row>
    <row r="79" spans="1:21" ht="12.75" hidden="1">
      <c r="A79" s="19" t="s">
        <v>59</v>
      </c>
      <c r="B79" s="21"/>
      <c r="C79" s="22"/>
      <c r="D79" s="23"/>
      <c r="E79" s="24"/>
      <c r="F79" s="22"/>
      <c r="G79" s="80" t="e">
        <f t="shared" si="22"/>
        <v>#DIV/0!</v>
      </c>
      <c r="H79" s="81" t="e">
        <f t="shared" si="23"/>
        <v>#DIV/0!</v>
      </c>
      <c r="I79" s="25">
        <f t="shared" si="13"/>
        <v>0</v>
      </c>
      <c r="J79" s="24"/>
      <c r="K79" s="22"/>
      <c r="L79" s="26">
        <f t="shared" si="14"/>
        <v>0</v>
      </c>
      <c r="M79" s="116"/>
      <c r="N79" s="26">
        <f t="shared" si="15"/>
        <v>0</v>
      </c>
      <c r="O79" s="23"/>
      <c r="P79" s="24"/>
      <c r="Q79" s="26">
        <f t="shared" si="18"/>
        <v>0</v>
      </c>
      <c r="R79" s="105" t="e">
        <f t="shared" si="17"/>
        <v>#DIV/0!</v>
      </c>
      <c r="S79" s="81" t="e">
        <f t="shared" si="19"/>
        <v>#DIV/0!</v>
      </c>
      <c r="T79" s="108" t="e">
        <f t="shared" si="20"/>
        <v>#DIV/0!</v>
      </c>
      <c r="U79" s="25">
        <f t="shared" si="21"/>
        <v>0</v>
      </c>
    </row>
    <row r="80" spans="1:21" ht="12.75" hidden="1">
      <c r="A80" s="19" t="s">
        <v>60</v>
      </c>
      <c r="B80" s="21"/>
      <c r="C80" s="22"/>
      <c r="D80" s="23"/>
      <c r="E80" s="24"/>
      <c r="F80" s="22"/>
      <c r="G80" s="80" t="e">
        <f t="shared" si="22"/>
        <v>#DIV/0!</v>
      </c>
      <c r="H80" s="81" t="e">
        <f t="shared" si="23"/>
        <v>#DIV/0!</v>
      </c>
      <c r="I80" s="25">
        <f t="shared" si="13"/>
        <v>0</v>
      </c>
      <c r="J80" s="24"/>
      <c r="K80" s="22"/>
      <c r="L80" s="26">
        <f t="shared" si="14"/>
        <v>0</v>
      </c>
      <c r="M80" s="116"/>
      <c r="N80" s="26">
        <f t="shared" si="15"/>
        <v>0</v>
      </c>
      <c r="O80" s="23"/>
      <c r="P80" s="24"/>
      <c r="Q80" s="26">
        <f t="shared" si="18"/>
        <v>0</v>
      </c>
      <c r="R80" s="105" t="e">
        <f t="shared" si="17"/>
        <v>#DIV/0!</v>
      </c>
      <c r="S80" s="81" t="e">
        <f t="shared" si="19"/>
        <v>#DIV/0!</v>
      </c>
      <c r="T80" s="108" t="e">
        <f t="shared" si="20"/>
        <v>#DIV/0!</v>
      </c>
      <c r="U80" s="25">
        <f t="shared" si="21"/>
        <v>0</v>
      </c>
    </row>
    <row r="81" spans="1:21" ht="12.75" hidden="1">
      <c r="A81" s="19" t="s">
        <v>61</v>
      </c>
      <c r="B81" s="21"/>
      <c r="C81" s="22"/>
      <c r="D81" s="23"/>
      <c r="E81" s="24"/>
      <c r="F81" s="22"/>
      <c r="G81" s="80" t="e">
        <f t="shared" si="22"/>
        <v>#DIV/0!</v>
      </c>
      <c r="H81" s="81" t="e">
        <f t="shared" si="23"/>
        <v>#DIV/0!</v>
      </c>
      <c r="I81" s="25">
        <f t="shared" si="13"/>
        <v>0</v>
      </c>
      <c r="J81" s="24"/>
      <c r="K81" s="22"/>
      <c r="L81" s="26">
        <f t="shared" si="14"/>
        <v>0</v>
      </c>
      <c r="M81" s="116"/>
      <c r="N81" s="26">
        <f t="shared" si="15"/>
        <v>0</v>
      </c>
      <c r="O81" s="23"/>
      <c r="P81" s="24"/>
      <c r="Q81" s="26">
        <f t="shared" si="18"/>
        <v>0</v>
      </c>
      <c r="R81" s="105" t="e">
        <f t="shared" si="17"/>
        <v>#DIV/0!</v>
      </c>
      <c r="S81" s="81" t="e">
        <f t="shared" si="19"/>
        <v>#DIV/0!</v>
      </c>
      <c r="T81" s="108" t="e">
        <f t="shared" si="20"/>
        <v>#DIV/0!</v>
      </c>
      <c r="U81" s="25">
        <f t="shared" si="21"/>
        <v>0</v>
      </c>
    </row>
    <row r="82" spans="1:21" ht="12.75" hidden="1">
      <c r="A82" s="19" t="s">
        <v>62</v>
      </c>
      <c r="B82" s="21"/>
      <c r="C82" s="22"/>
      <c r="D82" s="23"/>
      <c r="E82" s="24"/>
      <c r="F82" s="22"/>
      <c r="G82" s="80" t="e">
        <f t="shared" si="22"/>
        <v>#DIV/0!</v>
      </c>
      <c r="H82" s="81" t="e">
        <f t="shared" si="23"/>
        <v>#DIV/0!</v>
      </c>
      <c r="I82" s="25">
        <f t="shared" si="13"/>
        <v>0</v>
      </c>
      <c r="J82" s="24"/>
      <c r="K82" s="22"/>
      <c r="L82" s="26">
        <f t="shared" si="14"/>
        <v>0</v>
      </c>
      <c r="M82" s="116"/>
      <c r="N82" s="26">
        <f t="shared" si="15"/>
        <v>0</v>
      </c>
      <c r="O82" s="23"/>
      <c r="P82" s="24"/>
      <c r="Q82" s="26">
        <f t="shared" si="18"/>
        <v>0</v>
      </c>
      <c r="R82" s="105" t="e">
        <f t="shared" si="17"/>
        <v>#DIV/0!</v>
      </c>
      <c r="S82" s="81" t="e">
        <f t="shared" si="19"/>
        <v>#DIV/0!</v>
      </c>
      <c r="T82" s="108" t="e">
        <f t="shared" si="20"/>
        <v>#DIV/0!</v>
      </c>
      <c r="U82" s="25">
        <f t="shared" si="21"/>
        <v>0</v>
      </c>
    </row>
    <row r="83" spans="1:21" ht="12.75" hidden="1">
      <c r="A83" s="19" t="s">
        <v>63</v>
      </c>
      <c r="B83" s="21"/>
      <c r="C83" s="22"/>
      <c r="D83" s="23"/>
      <c r="E83" s="24"/>
      <c r="F83" s="22"/>
      <c r="G83" s="80" t="e">
        <f t="shared" si="22"/>
        <v>#DIV/0!</v>
      </c>
      <c r="H83" s="81" t="e">
        <f t="shared" si="23"/>
        <v>#DIV/0!</v>
      </c>
      <c r="I83" s="25">
        <f t="shared" si="13"/>
        <v>0</v>
      </c>
      <c r="J83" s="24"/>
      <c r="K83" s="22"/>
      <c r="L83" s="26">
        <f t="shared" si="14"/>
        <v>0</v>
      </c>
      <c r="M83" s="116"/>
      <c r="N83" s="26">
        <f t="shared" si="15"/>
        <v>0</v>
      </c>
      <c r="O83" s="23"/>
      <c r="P83" s="24"/>
      <c r="Q83" s="26">
        <f t="shared" si="18"/>
        <v>0</v>
      </c>
      <c r="R83" s="105" t="e">
        <f t="shared" si="17"/>
        <v>#DIV/0!</v>
      </c>
      <c r="S83" s="81" t="e">
        <f t="shared" si="19"/>
        <v>#DIV/0!</v>
      </c>
      <c r="T83" s="108" t="e">
        <f t="shared" si="20"/>
        <v>#DIV/0!</v>
      </c>
      <c r="U83" s="25">
        <f t="shared" si="21"/>
        <v>0</v>
      </c>
    </row>
    <row r="84" spans="1:21" ht="12.75">
      <c r="A84" s="19" t="s">
        <v>113</v>
      </c>
      <c r="B84" s="21"/>
      <c r="C84" s="22">
        <v>0</v>
      </c>
      <c r="D84" s="23"/>
      <c r="E84" s="24">
        <v>1</v>
      </c>
      <c r="F84" s="22">
        <v>22.365</v>
      </c>
      <c r="G84" s="80">
        <f t="shared" si="22"/>
        <v>2236.5</v>
      </c>
      <c r="H84" s="81" t="e">
        <f t="shared" si="23"/>
        <v>#DIV/0!</v>
      </c>
      <c r="I84" s="25">
        <f t="shared" si="13"/>
        <v>22.365</v>
      </c>
      <c r="J84" s="24">
        <v>0</v>
      </c>
      <c r="K84" s="22">
        <v>0</v>
      </c>
      <c r="L84" s="26">
        <f t="shared" si="14"/>
        <v>0</v>
      </c>
      <c r="M84" s="116"/>
      <c r="N84" s="26">
        <f t="shared" si="15"/>
        <v>0</v>
      </c>
      <c r="O84" s="23"/>
      <c r="P84" s="24">
        <v>1</v>
      </c>
      <c r="Q84" s="26">
        <f t="shared" si="18"/>
        <v>22.365</v>
      </c>
      <c r="R84" s="105">
        <f t="shared" si="17"/>
        <v>2236.5</v>
      </c>
      <c r="S84" s="81">
        <f t="shared" si="19"/>
        <v>2236.5</v>
      </c>
      <c r="T84" s="108" t="e">
        <f t="shared" si="20"/>
        <v>#DIV/0!</v>
      </c>
      <c r="U84" s="25">
        <f t="shared" si="21"/>
        <v>22.365</v>
      </c>
    </row>
    <row r="85" spans="1:21" ht="12.75">
      <c r="A85" s="19" t="s">
        <v>219</v>
      </c>
      <c r="B85" s="21"/>
      <c r="C85" s="22">
        <f>7.512+5.925+250.764</f>
        <v>264.201</v>
      </c>
      <c r="D85" s="23"/>
      <c r="E85" s="24">
        <v>2100</v>
      </c>
      <c r="F85" s="22">
        <f>6.508+455.262+14.95+249.86</f>
        <v>726.5799999999999</v>
      </c>
      <c r="G85" s="80">
        <f aca="true" t="shared" si="24" ref="G85:G92">F85/E85*100</f>
        <v>34.59904761904762</v>
      </c>
      <c r="H85" s="81">
        <f aca="true" t="shared" si="25" ref="H85:H92">F85/C85*100</f>
        <v>275.0103141169034</v>
      </c>
      <c r="I85" s="25">
        <f t="shared" si="13"/>
        <v>462.3789999999999</v>
      </c>
      <c r="J85" s="24">
        <v>0.372</v>
      </c>
      <c r="K85" s="22">
        <v>0.162</v>
      </c>
      <c r="L85" s="26">
        <f t="shared" si="14"/>
        <v>-0.21</v>
      </c>
      <c r="M85" s="116"/>
      <c r="N85" s="26">
        <f t="shared" si="15"/>
        <v>264.57300000000004</v>
      </c>
      <c r="O85" s="23"/>
      <c r="P85" s="24">
        <v>2100.6</v>
      </c>
      <c r="Q85" s="26">
        <f t="shared" si="18"/>
        <v>726.742</v>
      </c>
      <c r="R85" s="105">
        <f t="shared" si="17"/>
        <v>34.59687708273827</v>
      </c>
      <c r="S85" s="81">
        <f t="shared" si="19"/>
        <v>34.59687708273827</v>
      </c>
      <c r="T85" s="108">
        <f>Q85/N85*100</f>
        <v>274.68486958230807</v>
      </c>
      <c r="U85" s="25">
        <f t="shared" si="21"/>
        <v>462.1689999999999</v>
      </c>
    </row>
    <row r="86" spans="1:21" ht="12.75" hidden="1">
      <c r="A86" s="19" t="s">
        <v>64</v>
      </c>
      <c r="B86" s="21"/>
      <c r="C86" s="22"/>
      <c r="D86" s="23"/>
      <c r="E86" s="24"/>
      <c r="F86" s="22"/>
      <c r="G86" s="80" t="e">
        <f t="shared" si="24"/>
        <v>#DIV/0!</v>
      </c>
      <c r="H86" s="81" t="e">
        <f t="shared" si="25"/>
        <v>#DIV/0!</v>
      </c>
      <c r="I86" s="25">
        <f t="shared" si="13"/>
        <v>0</v>
      </c>
      <c r="J86" s="24"/>
      <c r="K86" s="22"/>
      <c r="L86" s="26">
        <f t="shared" si="14"/>
        <v>0</v>
      </c>
      <c r="M86" s="116"/>
      <c r="N86" s="26">
        <f t="shared" si="15"/>
        <v>0</v>
      </c>
      <c r="O86" s="23"/>
      <c r="P86" s="24"/>
      <c r="Q86" s="26">
        <f t="shared" si="18"/>
        <v>0</v>
      </c>
      <c r="R86" s="105" t="e">
        <f t="shared" si="17"/>
        <v>#DIV/0!</v>
      </c>
      <c r="S86" s="81" t="e">
        <f t="shared" si="19"/>
        <v>#DIV/0!</v>
      </c>
      <c r="T86" s="108" t="e">
        <f t="shared" si="20"/>
        <v>#DIV/0!</v>
      </c>
      <c r="U86" s="25">
        <f t="shared" si="21"/>
        <v>0</v>
      </c>
    </row>
    <row r="87" spans="1:21" ht="12.75">
      <c r="A87" s="19" t="s">
        <v>65</v>
      </c>
      <c r="B87" s="21"/>
      <c r="C87" s="22">
        <v>675.62</v>
      </c>
      <c r="D87" s="23"/>
      <c r="E87" s="24">
        <v>5214</v>
      </c>
      <c r="F87" s="22">
        <v>602.831</v>
      </c>
      <c r="G87" s="80">
        <f t="shared" si="24"/>
        <v>11.561775987725355</v>
      </c>
      <c r="H87" s="81">
        <f t="shared" si="25"/>
        <v>89.22634025043664</v>
      </c>
      <c r="I87" s="25">
        <f t="shared" si="13"/>
        <v>-72.78899999999999</v>
      </c>
      <c r="J87" s="24">
        <v>0</v>
      </c>
      <c r="K87" s="22">
        <v>0</v>
      </c>
      <c r="L87" s="26">
        <f t="shared" si="14"/>
        <v>0</v>
      </c>
      <c r="M87" s="116"/>
      <c r="N87" s="26">
        <f t="shared" si="15"/>
        <v>675.62</v>
      </c>
      <c r="O87" s="23"/>
      <c r="P87" s="24">
        <v>5214</v>
      </c>
      <c r="Q87" s="26">
        <f t="shared" si="18"/>
        <v>602.831</v>
      </c>
      <c r="R87" s="105">
        <f t="shared" si="17"/>
        <v>11.561775987725355</v>
      </c>
      <c r="S87" s="81">
        <f t="shared" si="19"/>
        <v>11.561775987725355</v>
      </c>
      <c r="T87" s="108">
        <f t="shared" si="20"/>
        <v>89.22634025043664</v>
      </c>
      <c r="U87" s="25">
        <f t="shared" si="21"/>
        <v>-72.78899999999999</v>
      </c>
    </row>
    <row r="88" spans="1:21" ht="12.75" hidden="1">
      <c r="A88" s="19" t="s">
        <v>66</v>
      </c>
      <c r="B88" s="21"/>
      <c r="C88" s="22"/>
      <c r="D88" s="23"/>
      <c r="E88" s="24"/>
      <c r="F88" s="22"/>
      <c r="G88" s="80" t="e">
        <f t="shared" si="24"/>
        <v>#DIV/0!</v>
      </c>
      <c r="H88" s="81" t="e">
        <f t="shared" si="25"/>
        <v>#DIV/0!</v>
      </c>
      <c r="I88" s="25">
        <f t="shared" si="13"/>
        <v>0</v>
      </c>
      <c r="J88" s="24"/>
      <c r="K88" s="22"/>
      <c r="L88" s="26">
        <f t="shared" si="14"/>
        <v>0</v>
      </c>
      <c r="M88" s="116"/>
      <c r="N88" s="26">
        <f t="shared" si="15"/>
        <v>0</v>
      </c>
      <c r="O88" s="23"/>
      <c r="P88" s="24"/>
      <c r="Q88" s="26">
        <f t="shared" si="18"/>
        <v>0</v>
      </c>
      <c r="R88" s="105" t="e">
        <f t="shared" si="17"/>
        <v>#DIV/0!</v>
      </c>
      <c r="S88" s="81" t="e">
        <f t="shared" si="19"/>
        <v>#DIV/0!</v>
      </c>
      <c r="T88" s="108" t="e">
        <f t="shared" si="20"/>
        <v>#DIV/0!</v>
      </c>
      <c r="U88" s="25">
        <f t="shared" si="21"/>
        <v>0</v>
      </c>
    </row>
    <row r="89" spans="1:21" ht="12.75">
      <c r="A89" s="19" t="s">
        <v>200</v>
      </c>
      <c r="B89" s="21"/>
      <c r="C89" s="22">
        <v>0</v>
      </c>
      <c r="D89" s="23"/>
      <c r="E89" s="24">
        <v>0</v>
      </c>
      <c r="F89" s="22">
        <v>0</v>
      </c>
      <c r="G89" s="80" t="e">
        <f t="shared" si="24"/>
        <v>#DIV/0!</v>
      </c>
      <c r="H89" s="81" t="e">
        <f t="shared" si="25"/>
        <v>#DIV/0!</v>
      </c>
      <c r="I89" s="25">
        <f t="shared" si="13"/>
        <v>0</v>
      </c>
      <c r="J89" s="24">
        <v>0</v>
      </c>
      <c r="K89" s="22">
        <v>0</v>
      </c>
      <c r="L89" s="26">
        <f t="shared" si="14"/>
        <v>0</v>
      </c>
      <c r="M89" s="116"/>
      <c r="N89" s="26">
        <f t="shared" si="15"/>
        <v>0</v>
      </c>
      <c r="O89" s="23"/>
      <c r="P89" s="24">
        <v>0</v>
      </c>
      <c r="Q89" s="26">
        <f t="shared" si="18"/>
        <v>0</v>
      </c>
      <c r="R89" s="105"/>
      <c r="S89" s="81" t="e">
        <f t="shared" si="19"/>
        <v>#DIV/0!</v>
      </c>
      <c r="T89" s="108" t="e">
        <f t="shared" si="20"/>
        <v>#DIV/0!</v>
      </c>
      <c r="U89" s="25">
        <f t="shared" si="21"/>
        <v>0</v>
      </c>
    </row>
    <row r="90" spans="1:21" ht="12.75">
      <c r="A90" s="19" t="s">
        <v>67</v>
      </c>
      <c r="B90" s="21"/>
      <c r="C90" s="22">
        <v>0</v>
      </c>
      <c r="D90" s="23"/>
      <c r="E90" s="24">
        <v>0</v>
      </c>
      <c r="F90" s="22">
        <v>0</v>
      </c>
      <c r="G90" s="80" t="e">
        <f t="shared" si="24"/>
        <v>#DIV/0!</v>
      </c>
      <c r="H90" s="81" t="e">
        <f t="shared" si="25"/>
        <v>#DIV/0!</v>
      </c>
      <c r="I90" s="25">
        <f t="shared" si="13"/>
        <v>0</v>
      </c>
      <c r="J90" s="24">
        <v>0</v>
      </c>
      <c r="K90" s="22">
        <v>0</v>
      </c>
      <c r="L90" s="26">
        <f t="shared" si="14"/>
        <v>0</v>
      </c>
      <c r="M90" s="116"/>
      <c r="N90" s="26">
        <f t="shared" si="15"/>
        <v>0</v>
      </c>
      <c r="O90" s="23"/>
      <c r="P90" s="24">
        <v>0</v>
      </c>
      <c r="Q90" s="26">
        <f t="shared" si="18"/>
        <v>0</v>
      </c>
      <c r="R90" s="105" t="e">
        <f>Q90/P90*100</f>
        <v>#DIV/0!</v>
      </c>
      <c r="S90" s="81" t="e">
        <f t="shared" si="19"/>
        <v>#DIV/0!</v>
      </c>
      <c r="T90" s="108" t="e">
        <f t="shared" si="20"/>
        <v>#DIV/0!</v>
      </c>
      <c r="U90" s="25">
        <f t="shared" si="21"/>
        <v>0</v>
      </c>
    </row>
    <row r="91" spans="1:21" ht="12.75">
      <c r="A91" s="19" t="s">
        <v>68</v>
      </c>
      <c r="B91" s="21"/>
      <c r="C91" s="22">
        <v>0</v>
      </c>
      <c r="D91" s="23"/>
      <c r="E91" s="24">
        <v>0</v>
      </c>
      <c r="F91" s="22">
        <v>0</v>
      </c>
      <c r="G91" s="80" t="e">
        <f t="shared" si="24"/>
        <v>#DIV/0!</v>
      </c>
      <c r="H91" s="81" t="e">
        <f t="shared" si="25"/>
        <v>#DIV/0!</v>
      </c>
      <c r="I91" s="25">
        <f t="shared" si="13"/>
        <v>0</v>
      </c>
      <c r="J91" s="24">
        <v>0</v>
      </c>
      <c r="K91" s="22">
        <v>0</v>
      </c>
      <c r="L91" s="26">
        <f t="shared" si="14"/>
        <v>0</v>
      </c>
      <c r="M91" s="116"/>
      <c r="N91" s="26">
        <f t="shared" si="15"/>
        <v>0</v>
      </c>
      <c r="O91" s="23"/>
      <c r="P91" s="24">
        <v>0</v>
      </c>
      <c r="Q91" s="26">
        <f t="shared" si="18"/>
        <v>0</v>
      </c>
      <c r="R91" s="105" t="e">
        <f>Q91/P91*100</f>
        <v>#DIV/0!</v>
      </c>
      <c r="S91" s="81" t="e">
        <f t="shared" si="19"/>
        <v>#DIV/0!</v>
      </c>
      <c r="T91" s="108" t="e">
        <f t="shared" si="20"/>
        <v>#DIV/0!</v>
      </c>
      <c r="U91" s="25">
        <f t="shared" si="21"/>
        <v>0</v>
      </c>
    </row>
    <row r="92" spans="1:21" s="32" customFormat="1" ht="12.75">
      <c r="A92" s="37" t="s">
        <v>69</v>
      </c>
      <c r="B92" s="38"/>
      <c r="C92" s="41">
        <f>C90+C89+C87+C85+C84+C76+C70+C69+C68+C65+C64+C63+C55</f>
        <v>81951.25</v>
      </c>
      <c r="D92" s="115">
        <f>D90+D89+D87+D85+D84+D76+D70+D69+D68+D65+D64+D63+D55</f>
        <v>0</v>
      </c>
      <c r="E92" s="302">
        <f>E90+E89+E87+E85+E84+E76+E70+E69+E68+E65+E64+E63+E55</f>
        <v>553804</v>
      </c>
      <c r="F92" s="41">
        <f>F90+F89+F87+F85+F84+F76+F70+F69+F68+F65+F64+F63+F55</f>
        <v>92845.343</v>
      </c>
      <c r="G92" s="328">
        <f t="shared" si="24"/>
        <v>16.765018490296203</v>
      </c>
      <c r="H92" s="39">
        <f t="shared" si="25"/>
        <v>113.29338234621191</v>
      </c>
      <c r="I92" s="40">
        <f t="shared" si="13"/>
        <v>10894.092999999993</v>
      </c>
      <c r="J92" s="41">
        <f>J90+J89+J87+J85+J84+J76+J70+J69+J68+J65+J64+J63+J55</f>
        <v>88.931</v>
      </c>
      <c r="K92" s="41">
        <f>K90+K89+K87+K85+K84+K76+K70+K69+K68+K65+K64+K63+K55</f>
        <v>221.96800000000002</v>
      </c>
      <c r="L92" s="41">
        <f t="shared" si="14"/>
        <v>133.03700000000003</v>
      </c>
      <c r="M92" s="39"/>
      <c r="N92" s="41">
        <f t="shared" si="15"/>
        <v>82040.181</v>
      </c>
      <c r="O92" s="39"/>
      <c r="P92" s="303">
        <f>P90+P89+P87+P85+P84+P76+P70+P69+P68+P65+P64+P63+P55</f>
        <v>554234.2</v>
      </c>
      <c r="Q92" s="41">
        <f>Q90+Q89+Q87+Q85+Q84+Q76+Q70+Q69+Q68+Q65+Q64+Q63+Q55</f>
        <v>93067.31100000002</v>
      </c>
      <c r="R92" s="39">
        <f>Q92/P92*100</f>
        <v>16.792054874996893</v>
      </c>
      <c r="S92" s="39">
        <f t="shared" si="19"/>
        <v>16.792054874996893</v>
      </c>
      <c r="T92" s="329">
        <f>Q92/N92*100</f>
        <v>113.44113319301432</v>
      </c>
      <c r="U92" s="40">
        <f t="shared" si="21"/>
        <v>11027.13000000002</v>
      </c>
    </row>
    <row r="93" spans="1:21" ht="13.5" thickBot="1">
      <c r="A93" s="42"/>
      <c r="B93" s="43"/>
      <c r="C93" s="44"/>
      <c r="D93" s="45"/>
      <c r="E93" s="46"/>
      <c r="F93" s="44"/>
      <c r="G93" s="330"/>
      <c r="H93" s="331"/>
      <c r="I93" s="47"/>
      <c r="J93" s="48"/>
      <c r="K93" s="49"/>
      <c r="L93" s="118"/>
      <c r="M93" s="117"/>
      <c r="N93" s="49"/>
      <c r="O93" s="50"/>
      <c r="P93" s="48"/>
      <c r="Q93" s="49"/>
      <c r="R93" s="331"/>
      <c r="S93" s="45"/>
      <c r="T93" s="332"/>
      <c r="U93" s="140"/>
    </row>
    <row r="94" spans="1:21" s="32" customFormat="1" ht="13.5" thickBot="1">
      <c r="A94" s="51" t="s">
        <v>70</v>
      </c>
      <c r="B94" s="52">
        <f>SUM(B23-B92)</f>
        <v>0</v>
      </c>
      <c r="C94" s="53">
        <f>SUM(C23-C92)</f>
        <v>1963.2540000000008</v>
      </c>
      <c r="D94" s="54" t="e">
        <f>C94/B94*100</f>
        <v>#DIV/0!</v>
      </c>
      <c r="E94" s="298">
        <f>SUM(E23-E92)</f>
        <v>-18148</v>
      </c>
      <c r="F94" s="53">
        <f>SUM(F23-F92)</f>
        <v>-3780.846000000005</v>
      </c>
      <c r="G94" s="54">
        <f>F94/E94*100</f>
        <v>20.833403129821495</v>
      </c>
      <c r="H94" s="56">
        <f>F94/C94*100</f>
        <v>-192.58058305242233</v>
      </c>
      <c r="I94" s="54">
        <f>F94-C94</f>
        <v>-5744.100000000006</v>
      </c>
      <c r="J94" s="55">
        <f aca="true" t="shared" si="26" ref="J94:Q94">SUM(J23-J92)</f>
        <v>56.616</v>
      </c>
      <c r="K94" s="53">
        <f t="shared" si="26"/>
        <v>96.03300000000002</v>
      </c>
      <c r="L94" s="53">
        <f t="shared" si="26"/>
        <v>39.417</v>
      </c>
      <c r="M94" s="56">
        <f t="shared" si="26"/>
        <v>0</v>
      </c>
      <c r="N94" s="55">
        <f t="shared" si="26"/>
        <v>2019.8699999999953</v>
      </c>
      <c r="O94" s="56">
        <f t="shared" si="26"/>
        <v>5149.992999999988</v>
      </c>
      <c r="P94" s="299">
        <f>SUM(P23-P92)</f>
        <v>-17500.199999999953</v>
      </c>
      <c r="Q94" s="121">
        <f t="shared" si="26"/>
        <v>-3684.8130000000237</v>
      </c>
      <c r="R94" s="56">
        <f>Q94/P94*100</f>
        <v>21.05583364761565</v>
      </c>
      <c r="S94" s="333">
        <f t="shared" si="19"/>
        <v>21.05583364761565</v>
      </c>
      <c r="T94" s="334">
        <f>Q94/N94*100</f>
        <v>-182.42822557887547</v>
      </c>
      <c r="U94" s="54">
        <f t="shared" si="21"/>
        <v>-5704.683000000019</v>
      </c>
    </row>
    <row r="95" spans="1:7" ht="12.75">
      <c r="A95" s="3"/>
      <c r="G95" s="35"/>
    </row>
    <row r="96" spans="1:7" ht="12.75">
      <c r="A96" s="337"/>
      <c r="G96" s="35"/>
    </row>
    <row r="97" spans="1:7" ht="12.75">
      <c r="A97" s="3"/>
      <c r="G97" s="35"/>
    </row>
    <row r="98" spans="1:7" ht="12.75">
      <c r="A98" s="3"/>
      <c r="G98" s="35"/>
    </row>
    <row r="99" spans="1:7" ht="12.75">
      <c r="A99" s="3"/>
      <c r="G99" s="35"/>
    </row>
    <row r="100" ht="15.75">
      <c r="A100" s="4" t="s">
        <v>181</v>
      </c>
    </row>
    <row r="102" ht="12.75">
      <c r="A102" s="223" t="s">
        <v>145</v>
      </c>
    </row>
    <row r="103" ht="13.5" thickBot="1"/>
    <row r="104" spans="1:21" ht="12.75">
      <c r="A104" s="230"/>
      <c r="B104" s="231"/>
      <c r="C104" s="209" t="s">
        <v>178</v>
      </c>
      <c r="D104" s="207"/>
      <c r="E104" s="207"/>
      <c r="F104" s="208"/>
      <c r="G104" s="152" t="s">
        <v>179</v>
      </c>
      <c r="H104" s="232"/>
      <c r="I104" s="233"/>
      <c r="J104" s="152" t="s">
        <v>109</v>
      </c>
      <c r="K104" s="233"/>
      <c r="L104" s="234" t="s">
        <v>158</v>
      </c>
      <c r="M104" s="235"/>
      <c r="N104" s="152" t="s">
        <v>210</v>
      </c>
      <c r="O104" s="235"/>
      <c r="P104" s="235"/>
      <c r="Q104" s="233"/>
      <c r="R104" s="231"/>
      <c r="S104" s="236" t="s">
        <v>109</v>
      </c>
      <c r="T104" s="233"/>
      <c r="U104" s="237" t="s">
        <v>158</v>
      </c>
    </row>
    <row r="105" spans="1:21" ht="12.75">
      <c r="A105" s="238"/>
      <c r="B105" s="239"/>
      <c r="C105" s="240" t="s">
        <v>147</v>
      </c>
      <c r="D105" s="240"/>
      <c r="E105" s="241" t="s">
        <v>155</v>
      </c>
      <c r="F105" s="242" t="s">
        <v>151</v>
      </c>
      <c r="G105" s="243" t="s">
        <v>147</v>
      </c>
      <c r="H105" s="241" t="s">
        <v>155</v>
      </c>
      <c r="I105" s="242" t="s">
        <v>151</v>
      </c>
      <c r="J105" s="244"/>
      <c r="K105" s="245" t="s">
        <v>151</v>
      </c>
      <c r="L105" s="246" t="s">
        <v>159</v>
      </c>
      <c r="M105" s="247"/>
      <c r="N105" s="248" t="s">
        <v>147</v>
      </c>
      <c r="O105" s="249" t="s">
        <v>155</v>
      </c>
      <c r="P105" s="241" t="s">
        <v>155</v>
      </c>
      <c r="Q105" s="245" t="s">
        <v>151</v>
      </c>
      <c r="R105" s="239"/>
      <c r="S105" s="248"/>
      <c r="T105" s="245" t="s">
        <v>151</v>
      </c>
      <c r="U105" s="250" t="s">
        <v>159</v>
      </c>
    </row>
    <row r="106" spans="1:21" ht="12.75">
      <c r="A106" s="238" t="s">
        <v>146</v>
      </c>
      <c r="B106" s="239"/>
      <c r="C106" s="252" t="s">
        <v>148</v>
      </c>
      <c r="D106" s="252"/>
      <c r="E106" s="253" t="s">
        <v>163</v>
      </c>
      <c r="F106" s="250" t="s">
        <v>152</v>
      </c>
      <c r="G106" s="254" t="s">
        <v>148</v>
      </c>
      <c r="H106" s="253" t="s">
        <v>163</v>
      </c>
      <c r="I106" s="250" t="s">
        <v>152</v>
      </c>
      <c r="J106" s="255" t="s">
        <v>157</v>
      </c>
      <c r="K106" s="256" t="s">
        <v>152</v>
      </c>
      <c r="L106" s="246" t="s">
        <v>160</v>
      </c>
      <c r="M106" s="247"/>
      <c r="N106" s="257" t="s">
        <v>148</v>
      </c>
      <c r="O106" s="258" t="s">
        <v>153</v>
      </c>
      <c r="P106" s="253" t="s">
        <v>163</v>
      </c>
      <c r="Q106" s="256" t="s">
        <v>152</v>
      </c>
      <c r="R106" s="239"/>
      <c r="S106" s="257" t="s">
        <v>157</v>
      </c>
      <c r="T106" s="256" t="s">
        <v>152</v>
      </c>
      <c r="U106" s="250" t="s">
        <v>160</v>
      </c>
    </row>
    <row r="107" spans="1:21" ht="12.75">
      <c r="A107" s="251"/>
      <c r="B107" s="239"/>
      <c r="C107" s="252" t="s">
        <v>149</v>
      </c>
      <c r="D107" s="252"/>
      <c r="E107" s="253" t="s">
        <v>185</v>
      </c>
      <c r="F107" s="250" t="s">
        <v>156</v>
      </c>
      <c r="G107" s="254" t="s">
        <v>149</v>
      </c>
      <c r="H107" s="253" t="s">
        <v>185</v>
      </c>
      <c r="I107" s="250" t="s">
        <v>156</v>
      </c>
      <c r="J107" s="255" t="s">
        <v>17</v>
      </c>
      <c r="K107" s="256" t="s">
        <v>17</v>
      </c>
      <c r="L107" s="246" t="s">
        <v>161</v>
      </c>
      <c r="M107" s="247"/>
      <c r="N107" s="257" t="s">
        <v>149</v>
      </c>
      <c r="O107" s="258" t="s">
        <v>154</v>
      </c>
      <c r="P107" s="253" t="s">
        <v>185</v>
      </c>
      <c r="Q107" s="256" t="s">
        <v>156</v>
      </c>
      <c r="R107" s="239"/>
      <c r="S107" s="257" t="s">
        <v>17</v>
      </c>
      <c r="T107" s="256" t="s">
        <v>17</v>
      </c>
      <c r="U107" s="250" t="s">
        <v>161</v>
      </c>
    </row>
    <row r="108" spans="1:21" ht="13.5" thickBot="1">
      <c r="A108" s="259"/>
      <c r="B108" s="260"/>
      <c r="C108" s="203" t="s">
        <v>150</v>
      </c>
      <c r="D108" s="203"/>
      <c r="E108" s="202" t="s">
        <v>150</v>
      </c>
      <c r="F108" s="261"/>
      <c r="G108" s="199" t="s">
        <v>150</v>
      </c>
      <c r="H108" s="202" t="s">
        <v>150</v>
      </c>
      <c r="I108" s="261"/>
      <c r="J108" s="200"/>
      <c r="K108" s="262"/>
      <c r="L108" s="263" t="s">
        <v>162</v>
      </c>
      <c r="M108" s="264"/>
      <c r="N108" s="265" t="s">
        <v>150</v>
      </c>
      <c r="O108" s="201" t="s">
        <v>150</v>
      </c>
      <c r="P108" s="202" t="s">
        <v>150</v>
      </c>
      <c r="Q108" s="206"/>
      <c r="R108" s="260"/>
      <c r="S108" s="266"/>
      <c r="T108" s="206"/>
      <c r="U108" s="261" t="s">
        <v>162</v>
      </c>
    </row>
    <row r="109" spans="1:21" s="104" customFormat="1" ht="9.75">
      <c r="A109" s="148"/>
      <c r="B109" s="17"/>
      <c r="C109" s="17">
        <v>1</v>
      </c>
      <c r="D109" s="17"/>
      <c r="E109" s="101">
        <v>2</v>
      </c>
      <c r="F109" s="102" t="s">
        <v>165</v>
      </c>
      <c r="G109" s="100">
        <v>4</v>
      </c>
      <c r="H109" s="175">
        <v>5</v>
      </c>
      <c r="I109" s="107" t="s">
        <v>164</v>
      </c>
      <c r="J109" s="182" t="s">
        <v>166</v>
      </c>
      <c r="K109" s="103" t="s">
        <v>167</v>
      </c>
      <c r="L109" s="102" t="s">
        <v>168</v>
      </c>
      <c r="M109" s="17"/>
      <c r="N109" s="124">
        <v>10</v>
      </c>
      <c r="O109" s="175"/>
      <c r="P109" s="101">
        <v>11</v>
      </c>
      <c r="Q109" s="103" t="s">
        <v>169</v>
      </c>
      <c r="R109" s="17"/>
      <c r="S109" s="124" t="s">
        <v>170</v>
      </c>
      <c r="T109" s="103" t="s">
        <v>171</v>
      </c>
      <c r="U109" s="102" t="s">
        <v>172</v>
      </c>
    </row>
    <row r="110" spans="1:21" s="210" customFormat="1" ht="12">
      <c r="A110" s="216" t="s">
        <v>173</v>
      </c>
      <c r="B110" s="213"/>
      <c r="C110" s="281">
        <v>120.98</v>
      </c>
      <c r="D110" s="281"/>
      <c r="E110" s="304">
        <v>51550.901</v>
      </c>
      <c r="F110" s="218">
        <f aca="true" t="shared" si="27" ref="F110:F115">SUM(E110/C110/12*1000)</f>
        <v>35509.24464098749</v>
      </c>
      <c r="G110" s="288">
        <v>121.23</v>
      </c>
      <c r="H110" s="304">
        <v>53467.097</v>
      </c>
      <c r="I110" s="225">
        <f aca="true" t="shared" si="28" ref="I110:I115">SUM(H110/G110/12*1000)</f>
        <v>36753.208089306834</v>
      </c>
      <c r="J110" s="224">
        <f aca="true" t="shared" si="29" ref="J110:J115">SUM(G110-C110)</f>
        <v>0.25</v>
      </c>
      <c r="K110" s="225">
        <f aca="true" t="shared" si="30" ref="K110:K115">SUM(I110-F110)</f>
        <v>1243.963448319344</v>
      </c>
      <c r="L110" s="219">
        <f aca="true" t="shared" si="31" ref="L110:L115">I110/F110*100</f>
        <v>103.50321011020174</v>
      </c>
      <c r="M110" s="213"/>
      <c r="N110" s="288">
        <v>119.2</v>
      </c>
      <c r="O110" s="309"/>
      <c r="P110" s="304">
        <v>54706.758</v>
      </c>
      <c r="Q110" s="225">
        <f aca="true" t="shared" si="32" ref="Q110:Q115">SUM(P110/N110/12*1000)</f>
        <v>38245.77600671141</v>
      </c>
      <c r="R110" s="214"/>
      <c r="S110" s="228">
        <f aca="true" t="shared" si="33" ref="S110:S115">SUM(N110-G110)</f>
        <v>-2.030000000000001</v>
      </c>
      <c r="T110" s="225">
        <f aca="true" t="shared" si="34" ref="T110:T115">SUM(Q110-I110)</f>
        <v>1492.5679174045727</v>
      </c>
      <c r="U110" s="215">
        <f aca="true" t="shared" si="35" ref="U110:U115">SUM(Q110/I110*100)</f>
        <v>104.06105478949695</v>
      </c>
    </row>
    <row r="111" spans="1:21" s="210" customFormat="1" ht="12">
      <c r="A111" s="216" t="s">
        <v>174</v>
      </c>
      <c r="B111" s="213"/>
      <c r="C111" s="281">
        <v>434.56</v>
      </c>
      <c r="D111" s="281"/>
      <c r="E111" s="304">
        <v>84575.258</v>
      </c>
      <c r="F111" s="218">
        <f t="shared" si="27"/>
        <v>16218.561686917035</v>
      </c>
      <c r="G111" s="288">
        <v>430.78</v>
      </c>
      <c r="H111" s="304">
        <v>84231.304</v>
      </c>
      <c r="I111" s="225">
        <f t="shared" si="28"/>
        <v>16294.338951050033</v>
      </c>
      <c r="J111" s="224">
        <f t="shared" si="29"/>
        <v>-3.7800000000000296</v>
      </c>
      <c r="K111" s="225">
        <f t="shared" si="30"/>
        <v>75.77726413299752</v>
      </c>
      <c r="L111" s="219">
        <f t="shared" si="31"/>
        <v>100.46722555055005</v>
      </c>
      <c r="M111" s="213"/>
      <c r="N111" s="288">
        <v>430.03</v>
      </c>
      <c r="O111" s="309"/>
      <c r="P111" s="304">
        <v>86442.324</v>
      </c>
      <c r="Q111" s="225">
        <f t="shared" si="32"/>
        <v>16751.219682347742</v>
      </c>
      <c r="R111" s="213"/>
      <c r="S111" s="228">
        <f t="shared" si="33"/>
        <v>-0.75</v>
      </c>
      <c r="T111" s="225">
        <f t="shared" si="34"/>
        <v>456.88073129770964</v>
      </c>
      <c r="U111" s="215">
        <f t="shared" si="35"/>
        <v>102.80392308439286</v>
      </c>
    </row>
    <row r="112" spans="1:21" s="210" customFormat="1" ht="12">
      <c r="A112" s="216" t="s">
        <v>175</v>
      </c>
      <c r="B112" s="213"/>
      <c r="C112" s="281">
        <v>62.3</v>
      </c>
      <c r="D112" s="281"/>
      <c r="E112" s="304">
        <v>12299.769</v>
      </c>
      <c r="F112" s="218">
        <f t="shared" si="27"/>
        <v>16452.33948635634</v>
      </c>
      <c r="G112" s="288">
        <v>60.36</v>
      </c>
      <c r="H112" s="304">
        <v>12421.848</v>
      </c>
      <c r="I112" s="225">
        <f t="shared" si="28"/>
        <v>17149.668654738238</v>
      </c>
      <c r="J112" s="224">
        <f t="shared" si="29"/>
        <v>-1.9399999999999977</v>
      </c>
      <c r="K112" s="225">
        <f t="shared" si="30"/>
        <v>697.329168381897</v>
      </c>
      <c r="L112" s="219">
        <f t="shared" si="31"/>
        <v>104.2384803022098</v>
      </c>
      <c r="M112" s="213"/>
      <c r="N112" s="288">
        <v>58.04</v>
      </c>
      <c r="O112" s="309"/>
      <c r="P112" s="304">
        <v>13717.58</v>
      </c>
      <c r="Q112" s="225">
        <f t="shared" si="32"/>
        <v>19695.583505628303</v>
      </c>
      <c r="R112" s="213"/>
      <c r="S112" s="228">
        <f t="shared" si="33"/>
        <v>-2.3200000000000003</v>
      </c>
      <c r="T112" s="225">
        <f t="shared" si="34"/>
        <v>2545.9148508900653</v>
      </c>
      <c r="U112" s="215">
        <f t="shared" si="35"/>
        <v>114.8452713702236</v>
      </c>
    </row>
    <row r="113" spans="1:21" s="210" customFormat="1" ht="12">
      <c r="A113" s="216" t="s">
        <v>176</v>
      </c>
      <c r="B113" s="213"/>
      <c r="C113" s="281">
        <v>92.63</v>
      </c>
      <c r="D113" s="281"/>
      <c r="E113" s="304">
        <v>11834.393</v>
      </c>
      <c r="F113" s="218">
        <f t="shared" si="27"/>
        <v>10646.652452409226</v>
      </c>
      <c r="G113" s="288">
        <v>70.07</v>
      </c>
      <c r="H113" s="304">
        <v>8966.609</v>
      </c>
      <c r="I113" s="225">
        <f t="shared" si="28"/>
        <v>10663.87065315637</v>
      </c>
      <c r="J113" s="224">
        <f t="shared" si="29"/>
        <v>-22.560000000000002</v>
      </c>
      <c r="K113" s="225">
        <f t="shared" si="30"/>
        <v>17.218200747143783</v>
      </c>
      <c r="L113" s="219">
        <f t="shared" si="31"/>
        <v>100.16172408016612</v>
      </c>
      <c r="M113" s="213"/>
      <c r="N113" s="288">
        <v>68.38</v>
      </c>
      <c r="O113" s="309"/>
      <c r="P113" s="304">
        <v>9438.239</v>
      </c>
      <c r="Q113" s="225">
        <f t="shared" si="32"/>
        <v>11502.192405186703</v>
      </c>
      <c r="R113" s="213"/>
      <c r="S113" s="228">
        <f t="shared" si="33"/>
        <v>-1.6899999999999977</v>
      </c>
      <c r="T113" s="225">
        <f t="shared" si="34"/>
        <v>838.3217520303333</v>
      </c>
      <c r="U113" s="215">
        <f t="shared" si="35"/>
        <v>107.86132708560376</v>
      </c>
    </row>
    <row r="114" spans="1:21" s="210" customFormat="1" ht="12">
      <c r="A114" s="216"/>
      <c r="B114" s="213"/>
      <c r="C114" s="281"/>
      <c r="D114" s="281"/>
      <c r="E114" s="304"/>
      <c r="F114" s="218"/>
      <c r="G114" s="288"/>
      <c r="H114" s="304"/>
      <c r="I114" s="225"/>
      <c r="J114" s="224"/>
      <c r="K114" s="225"/>
      <c r="L114" s="219"/>
      <c r="M114" s="213"/>
      <c r="N114" s="288"/>
      <c r="O114" s="309"/>
      <c r="P114" s="304"/>
      <c r="Q114" s="225"/>
      <c r="R114" s="213"/>
      <c r="S114" s="228">
        <f t="shared" si="33"/>
        <v>0</v>
      </c>
      <c r="T114" s="225">
        <f t="shared" si="34"/>
        <v>0</v>
      </c>
      <c r="U114" s="215" t="e">
        <f t="shared" si="35"/>
        <v>#DIV/0!</v>
      </c>
    </row>
    <row r="115" spans="1:21" s="211" customFormat="1" ht="12.75" thickBot="1">
      <c r="A115" s="217" t="s">
        <v>177</v>
      </c>
      <c r="B115" s="212"/>
      <c r="C115" s="282">
        <v>906.24</v>
      </c>
      <c r="D115" s="282"/>
      <c r="E115" s="305">
        <v>191945.151</v>
      </c>
      <c r="F115" s="220">
        <f t="shared" si="27"/>
        <v>17650.32358977754</v>
      </c>
      <c r="G115" s="289">
        <v>877.36</v>
      </c>
      <c r="H115" s="305">
        <v>190456.693</v>
      </c>
      <c r="I115" s="227">
        <f t="shared" si="28"/>
        <v>18089.94151013647</v>
      </c>
      <c r="J115" s="226">
        <f t="shared" si="29"/>
        <v>-28.879999999999995</v>
      </c>
      <c r="K115" s="227">
        <f t="shared" si="30"/>
        <v>439.6179203589272</v>
      </c>
      <c r="L115" s="221">
        <f t="shared" si="31"/>
        <v>102.49070742597341</v>
      </c>
      <c r="M115" s="212"/>
      <c r="N115" s="289">
        <v>872.88</v>
      </c>
      <c r="O115" s="310"/>
      <c r="P115" s="305">
        <v>197208.452</v>
      </c>
      <c r="Q115" s="227">
        <f t="shared" si="32"/>
        <v>18827.37336938258</v>
      </c>
      <c r="R115" s="212"/>
      <c r="S115" s="229">
        <f t="shared" si="33"/>
        <v>-4.480000000000018</v>
      </c>
      <c r="T115" s="227">
        <f t="shared" si="34"/>
        <v>737.4318592461132</v>
      </c>
      <c r="U115" s="222">
        <f t="shared" si="35"/>
        <v>104.0764745360448</v>
      </c>
    </row>
    <row r="117" ht="12.75">
      <c r="A117" s="223" t="s">
        <v>180</v>
      </c>
    </row>
    <row r="118" ht="13.5" thickBot="1"/>
    <row r="119" spans="1:21" ht="12.75">
      <c r="A119" s="230"/>
      <c r="B119" s="231"/>
      <c r="C119" s="209" t="s">
        <v>207</v>
      </c>
      <c r="D119" s="207"/>
      <c r="E119" s="207"/>
      <c r="F119" s="208"/>
      <c r="G119" s="152" t="s">
        <v>208</v>
      </c>
      <c r="H119" s="232"/>
      <c r="I119" s="233"/>
      <c r="J119" s="152" t="s">
        <v>209</v>
      </c>
      <c r="K119" s="139"/>
      <c r="L119" s="237"/>
      <c r="M119" s="235"/>
      <c r="N119" s="277"/>
      <c r="O119" s="275"/>
      <c r="P119" s="275"/>
      <c r="Q119" s="276"/>
      <c r="R119" s="276"/>
      <c r="S119" s="277"/>
      <c r="T119" s="276"/>
      <c r="U119" s="278"/>
    </row>
    <row r="120" spans="1:21" ht="12.75">
      <c r="A120" s="238"/>
      <c r="B120" s="239"/>
      <c r="C120" s="240" t="s">
        <v>147</v>
      </c>
      <c r="D120" s="240"/>
      <c r="E120" s="241" t="s">
        <v>155</v>
      </c>
      <c r="F120" s="242" t="s">
        <v>151</v>
      </c>
      <c r="G120" s="243" t="s">
        <v>147</v>
      </c>
      <c r="H120" s="241" t="s">
        <v>155</v>
      </c>
      <c r="I120" s="242" t="s">
        <v>151</v>
      </c>
      <c r="J120" s="240" t="s">
        <v>147</v>
      </c>
      <c r="K120" s="241" t="s">
        <v>155</v>
      </c>
      <c r="L120" s="242" t="s">
        <v>151</v>
      </c>
      <c r="M120" s="247"/>
      <c r="N120" s="278"/>
      <c r="O120" s="278"/>
      <c r="P120" s="278"/>
      <c r="Q120" s="278"/>
      <c r="R120" s="276"/>
      <c r="S120" s="278"/>
      <c r="T120" s="278"/>
      <c r="U120" s="278"/>
    </row>
    <row r="121" spans="1:21" ht="12.75">
      <c r="A121" s="238" t="s">
        <v>146</v>
      </c>
      <c r="B121" s="239"/>
      <c r="C121" s="252" t="s">
        <v>148</v>
      </c>
      <c r="D121" s="252"/>
      <c r="E121" s="253" t="s">
        <v>163</v>
      </c>
      <c r="F121" s="250" t="s">
        <v>152</v>
      </c>
      <c r="G121" s="254" t="s">
        <v>148</v>
      </c>
      <c r="H121" s="253" t="s">
        <v>163</v>
      </c>
      <c r="I121" s="250" t="s">
        <v>152</v>
      </c>
      <c r="J121" s="252" t="s">
        <v>148</v>
      </c>
      <c r="K121" s="253" t="s">
        <v>163</v>
      </c>
      <c r="L121" s="250" t="s">
        <v>152</v>
      </c>
      <c r="M121" s="247"/>
      <c r="N121" s="278"/>
      <c r="O121" s="278"/>
      <c r="P121" s="278"/>
      <c r="Q121" s="278"/>
      <c r="R121" s="276"/>
      <c r="S121" s="278"/>
      <c r="T121" s="278"/>
      <c r="U121" s="278"/>
    </row>
    <row r="122" spans="1:21" ht="12.75">
      <c r="A122" s="251"/>
      <c r="B122" s="239"/>
      <c r="C122" s="252" t="s">
        <v>149</v>
      </c>
      <c r="D122" s="252"/>
      <c r="E122" s="253" t="s">
        <v>185</v>
      </c>
      <c r="F122" s="250" t="s">
        <v>156</v>
      </c>
      <c r="G122" s="254" t="s">
        <v>149</v>
      </c>
      <c r="H122" s="253" t="s">
        <v>185</v>
      </c>
      <c r="I122" s="250" t="s">
        <v>156</v>
      </c>
      <c r="J122" s="252" t="s">
        <v>149</v>
      </c>
      <c r="K122" s="253" t="s">
        <v>185</v>
      </c>
      <c r="L122" s="250" t="s">
        <v>156</v>
      </c>
      <c r="M122" s="247"/>
      <c r="N122" s="278"/>
      <c r="O122" s="278"/>
      <c r="P122" s="278"/>
      <c r="Q122" s="278"/>
      <c r="R122" s="276"/>
      <c r="S122" s="278"/>
      <c r="T122" s="278"/>
      <c r="U122" s="278"/>
    </row>
    <row r="123" spans="1:21" ht="13.5" thickBot="1">
      <c r="A123" s="259"/>
      <c r="B123" s="260"/>
      <c r="C123" s="203" t="s">
        <v>150</v>
      </c>
      <c r="D123" s="203"/>
      <c r="E123" s="202" t="s">
        <v>150</v>
      </c>
      <c r="F123" s="261"/>
      <c r="G123" s="199" t="s">
        <v>150</v>
      </c>
      <c r="H123" s="202" t="s">
        <v>150</v>
      </c>
      <c r="I123" s="261"/>
      <c r="J123" s="203" t="s">
        <v>150</v>
      </c>
      <c r="K123" s="202" t="s">
        <v>150</v>
      </c>
      <c r="L123" s="261"/>
      <c r="M123" s="264"/>
      <c r="N123" s="278"/>
      <c r="O123" s="278"/>
      <c r="P123" s="278"/>
      <c r="Q123" s="278"/>
      <c r="R123" s="276"/>
      <c r="S123" s="276"/>
      <c r="T123" s="278"/>
      <c r="U123" s="278"/>
    </row>
    <row r="124" spans="1:21" s="104" customFormat="1" ht="9.75">
      <c r="A124" s="148"/>
      <c r="B124" s="17"/>
      <c r="C124" s="17">
        <v>1</v>
      </c>
      <c r="D124" s="17"/>
      <c r="E124" s="101">
        <v>2</v>
      </c>
      <c r="F124" s="102" t="s">
        <v>183</v>
      </c>
      <c r="G124" s="100">
        <v>4</v>
      </c>
      <c r="H124" s="101">
        <v>5</v>
      </c>
      <c r="I124" s="102" t="s">
        <v>184</v>
      </c>
      <c r="J124" s="182">
        <v>7</v>
      </c>
      <c r="K124" s="175">
        <v>8</v>
      </c>
      <c r="L124" s="107" t="s">
        <v>182</v>
      </c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s="210" customFormat="1" ht="12">
      <c r="A125" s="216" t="s">
        <v>173</v>
      </c>
      <c r="B125" s="213"/>
      <c r="C125" s="281"/>
      <c r="D125" s="281"/>
      <c r="E125" s="304"/>
      <c r="F125" s="218" t="e">
        <f aca="true" t="shared" si="36" ref="F125:F130">SUM(E125/C125/3*1000)</f>
        <v>#DIV/0!</v>
      </c>
      <c r="G125" s="306"/>
      <c r="H125" s="304"/>
      <c r="I125" s="218" t="e">
        <f aca="true" t="shared" si="37" ref="I125:I130">SUM(H125/G125/6*1000)</f>
        <v>#DIV/0!</v>
      </c>
      <c r="J125" s="335"/>
      <c r="K125" s="309"/>
      <c r="L125" s="225" t="e">
        <f aca="true" t="shared" si="38" ref="L125:L130">SUM(K125/J125/9*1000)</f>
        <v>#DIV/0!</v>
      </c>
      <c r="M125" s="213"/>
      <c r="N125" s="267"/>
      <c r="O125" s="267"/>
      <c r="P125" s="267"/>
      <c r="Q125" s="268"/>
      <c r="R125" s="269"/>
      <c r="S125" s="269"/>
      <c r="T125" s="268"/>
      <c r="U125" s="270"/>
    </row>
    <row r="126" spans="1:21" s="210" customFormat="1" ht="12">
      <c r="A126" s="216" t="s">
        <v>174</v>
      </c>
      <c r="B126" s="213"/>
      <c r="C126" s="281"/>
      <c r="D126" s="281"/>
      <c r="E126" s="304"/>
      <c r="F126" s="218" t="e">
        <f t="shared" si="36"/>
        <v>#DIV/0!</v>
      </c>
      <c r="G126" s="306"/>
      <c r="H126" s="304"/>
      <c r="I126" s="218" t="e">
        <f t="shared" si="37"/>
        <v>#DIV/0!</v>
      </c>
      <c r="J126" s="335"/>
      <c r="K126" s="309"/>
      <c r="L126" s="225" t="e">
        <f t="shared" si="38"/>
        <v>#DIV/0!</v>
      </c>
      <c r="M126" s="213"/>
      <c r="N126" s="267"/>
      <c r="O126" s="267"/>
      <c r="P126" s="267"/>
      <c r="Q126" s="268"/>
      <c r="R126" s="267"/>
      <c r="S126" s="269"/>
      <c r="T126" s="268"/>
      <c r="U126" s="270"/>
    </row>
    <row r="127" spans="1:21" s="210" customFormat="1" ht="12">
      <c r="A127" s="216" t="s">
        <v>175</v>
      </c>
      <c r="B127" s="213"/>
      <c r="C127" s="281"/>
      <c r="D127" s="281"/>
      <c r="E127" s="304"/>
      <c r="F127" s="218" t="e">
        <f t="shared" si="36"/>
        <v>#DIV/0!</v>
      </c>
      <c r="G127" s="306"/>
      <c r="H127" s="304"/>
      <c r="I127" s="218" t="e">
        <f t="shared" si="37"/>
        <v>#DIV/0!</v>
      </c>
      <c r="J127" s="335"/>
      <c r="K127" s="309"/>
      <c r="L127" s="225" t="e">
        <f t="shared" si="38"/>
        <v>#DIV/0!</v>
      </c>
      <c r="M127" s="213"/>
      <c r="N127" s="267"/>
      <c r="O127" s="267"/>
      <c r="P127" s="267"/>
      <c r="Q127" s="268"/>
      <c r="R127" s="267"/>
      <c r="S127" s="269"/>
      <c r="T127" s="268"/>
      <c r="U127" s="270"/>
    </row>
    <row r="128" spans="1:21" s="210" customFormat="1" ht="12">
      <c r="A128" s="216" t="s">
        <v>176</v>
      </c>
      <c r="B128" s="213"/>
      <c r="C128" s="281"/>
      <c r="D128" s="281"/>
      <c r="E128" s="304"/>
      <c r="F128" s="218" t="e">
        <f t="shared" si="36"/>
        <v>#DIV/0!</v>
      </c>
      <c r="G128" s="306"/>
      <c r="H128" s="304"/>
      <c r="I128" s="218" t="e">
        <f t="shared" si="37"/>
        <v>#DIV/0!</v>
      </c>
      <c r="J128" s="335"/>
      <c r="K128" s="309"/>
      <c r="L128" s="225" t="e">
        <f t="shared" si="38"/>
        <v>#DIV/0!</v>
      </c>
      <c r="M128" s="213"/>
      <c r="N128" s="267"/>
      <c r="O128" s="267"/>
      <c r="P128" s="267"/>
      <c r="Q128" s="268"/>
      <c r="R128" s="267"/>
      <c r="S128" s="269"/>
      <c r="T128" s="268"/>
      <c r="U128" s="270"/>
    </row>
    <row r="129" spans="1:21" s="210" customFormat="1" ht="12">
      <c r="A129" s="216"/>
      <c r="B129" s="213"/>
      <c r="C129" s="281"/>
      <c r="D129" s="281"/>
      <c r="E129" s="304"/>
      <c r="F129" s="218" t="e">
        <f t="shared" si="36"/>
        <v>#DIV/0!</v>
      </c>
      <c r="G129" s="306"/>
      <c r="H129" s="304"/>
      <c r="I129" s="218" t="e">
        <f t="shared" si="37"/>
        <v>#DIV/0!</v>
      </c>
      <c r="J129" s="335"/>
      <c r="K129" s="309"/>
      <c r="L129" s="225" t="e">
        <f t="shared" si="38"/>
        <v>#DIV/0!</v>
      </c>
      <c r="M129" s="213"/>
      <c r="N129" s="267"/>
      <c r="O129" s="267"/>
      <c r="P129" s="267"/>
      <c r="Q129" s="268"/>
      <c r="R129" s="267"/>
      <c r="S129" s="269"/>
      <c r="T129" s="268"/>
      <c r="U129" s="270"/>
    </row>
    <row r="130" spans="1:21" s="211" customFormat="1" ht="12.75" thickBot="1">
      <c r="A130" s="217" t="s">
        <v>177</v>
      </c>
      <c r="B130" s="212"/>
      <c r="C130" s="282"/>
      <c r="D130" s="282"/>
      <c r="E130" s="305"/>
      <c r="F130" s="279" t="e">
        <f t="shared" si="36"/>
        <v>#DIV/0!</v>
      </c>
      <c r="G130" s="307"/>
      <c r="H130" s="308"/>
      <c r="I130" s="280" t="e">
        <f t="shared" si="37"/>
        <v>#DIV/0!</v>
      </c>
      <c r="J130" s="336"/>
      <c r="K130" s="310"/>
      <c r="L130" s="279" t="e">
        <f t="shared" si="38"/>
        <v>#DIV/0!</v>
      </c>
      <c r="M130" s="212"/>
      <c r="N130" s="271"/>
      <c r="O130" s="271"/>
      <c r="P130" s="271"/>
      <c r="Q130" s="272"/>
      <c r="R130" s="271"/>
      <c r="S130" s="273"/>
      <c r="T130" s="272"/>
      <c r="U130" s="274"/>
    </row>
    <row r="131" spans="1:8" ht="12.75">
      <c r="A131" s="3"/>
      <c r="E131" s="57"/>
      <c r="G131" s="35"/>
      <c r="H131" s="57"/>
    </row>
    <row r="132" spans="1:10" ht="12.75">
      <c r="A132" s="3" t="s">
        <v>203</v>
      </c>
      <c r="B132" s="57"/>
      <c r="C132" s="57"/>
      <c r="D132" s="57"/>
      <c r="E132" s="57" t="s">
        <v>114</v>
      </c>
      <c r="F132" s="57"/>
      <c r="G132" s="316"/>
      <c r="H132" s="57"/>
      <c r="I132" s="57"/>
      <c r="J132" t="s">
        <v>105</v>
      </c>
    </row>
    <row r="133" spans="1:9" ht="12.75">
      <c r="A133" s="57" t="s">
        <v>202</v>
      </c>
      <c r="B133" s="57"/>
      <c r="C133" s="57"/>
      <c r="D133" s="57"/>
      <c r="E133" s="314">
        <v>568806647</v>
      </c>
      <c r="F133" s="57"/>
      <c r="G133" s="57"/>
      <c r="H133" s="317"/>
      <c r="I133" s="57"/>
    </row>
  </sheetData>
  <mergeCells count="6">
    <mergeCell ref="P51:S51"/>
    <mergeCell ref="E51:G51"/>
    <mergeCell ref="J6:L6"/>
    <mergeCell ref="J50:L50"/>
    <mergeCell ref="E7:G7"/>
    <mergeCell ref="P7:S7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A9" sqref="A9"/>
    </sheetView>
  </sheetViews>
  <sheetFormatPr defaultColWidth="9.00390625" defaultRowHeight="12.75"/>
  <cols>
    <col min="1" max="1" width="23.625" style="0" customWidth="1"/>
    <col min="2" max="2" width="10.125" style="0" customWidth="1"/>
    <col min="3" max="3" width="10.625" style="0" customWidth="1"/>
    <col min="4" max="4" width="10.25390625" style="0" customWidth="1"/>
    <col min="5" max="6" width="11.25390625" style="0" customWidth="1"/>
    <col min="7" max="7" width="11.125" style="0" customWidth="1"/>
    <col min="8" max="8" width="10.625" style="0" customWidth="1"/>
  </cols>
  <sheetData>
    <row r="1" spans="1:8" ht="18">
      <c r="A1" s="1" t="s">
        <v>217</v>
      </c>
      <c r="B1" s="2"/>
      <c r="C1" s="2"/>
      <c r="D1" s="2"/>
      <c r="E1" s="2"/>
      <c r="F1" s="2"/>
      <c r="G1" s="2"/>
      <c r="H1" s="2"/>
    </row>
    <row r="2" ht="12.75">
      <c r="A2" s="3" t="s">
        <v>186</v>
      </c>
    </row>
    <row r="3" ht="12.75">
      <c r="A3" s="3"/>
    </row>
    <row r="4" ht="12.75">
      <c r="A4" s="3"/>
    </row>
    <row r="5" ht="15" customHeight="1">
      <c r="A5" s="4" t="s">
        <v>115</v>
      </c>
    </row>
    <row r="6" ht="11.25" customHeight="1" thickBot="1">
      <c r="F6" s="5" t="s">
        <v>2</v>
      </c>
    </row>
    <row r="7" spans="1:7" ht="12.75">
      <c r="A7" s="152" t="s">
        <v>71</v>
      </c>
      <c r="B7" s="346" t="s">
        <v>72</v>
      </c>
      <c r="C7" s="347"/>
      <c r="D7" s="347"/>
      <c r="E7" s="352"/>
      <c r="F7" s="153" t="s">
        <v>13</v>
      </c>
      <c r="G7" s="11"/>
    </row>
    <row r="8" spans="1:7" ht="13.5" thickBot="1">
      <c r="A8" s="154"/>
      <c r="B8" s="155">
        <v>37986</v>
      </c>
      <c r="C8" s="156">
        <v>38352</v>
      </c>
      <c r="D8" s="157">
        <v>38717</v>
      </c>
      <c r="E8" s="158">
        <v>38776</v>
      </c>
      <c r="F8" s="159" t="s">
        <v>17</v>
      </c>
      <c r="G8" s="11"/>
    </row>
    <row r="9" spans="1:8" s="142" customFormat="1" ht="9.75">
      <c r="A9" s="290"/>
      <c r="B9" s="17">
        <v>1</v>
      </c>
      <c r="C9" s="101">
        <v>2</v>
      </c>
      <c r="D9" s="17">
        <v>3</v>
      </c>
      <c r="E9" s="103">
        <v>4</v>
      </c>
      <c r="F9" s="102" t="s">
        <v>104</v>
      </c>
      <c r="G9" s="100"/>
      <c r="H9" s="104"/>
    </row>
    <row r="10" spans="1:7" ht="12.75">
      <c r="A10" s="161" t="s">
        <v>116</v>
      </c>
      <c r="B10" s="177">
        <v>48575.82</v>
      </c>
      <c r="C10" s="59">
        <v>69989.691</v>
      </c>
      <c r="D10" s="71">
        <v>73404.991</v>
      </c>
      <c r="E10" s="70">
        <v>88305.801</v>
      </c>
      <c r="F10" s="61">
        <f>SUM(E10-D10)</f>
        <v>14900.810000000012</v>
      </c>
      <c r="G10" s="143"/>
    </row>
    <row r="11" spans="1:7" ht="12.75">
      <c r="A11" s="340" t="s">
        <v>73</v>
      </c>
      <c r="B11" s="177">
        <v>1667.254</v>
      </c>
      <c r="C11" s="59">
        <v>271.076</v>
      </c>
      <c r="D11" s="71">
        <v>395.775</v>
      </c>
      <c r="E11" s="70">
        <v>2526.101</v>
      </c>
      <c r="F11" s="61">
        <f>SUM(E11-D11)</f>
        <v>2130.326</v>
      </c>
      <c r="G11" s="143"/>
    </row>
    <row r="12" spans="1:7" ht="12.75">
      <c r="A12" s="161" t="s">
        <v>117</v>
      </c>
      <c r="B12" s="177">
        <v>0</v>
      </c>
      <c r="C12" s="59">
        <v>0.465</v>
      </c>
      <c r="D12" s="71">
        <v>0.496</v>
      </c>
      <c r="E12" s="70">
        <v>0</v>
      </c>
      <c r="F12" s="61">
        <f>SUM(E12-D12)</f>
        <v>-0.496</v>
      </c>
      <c r="G12" s="143"/>
    </row>
    <row r="13" spans="1:7" ht="12.75">
      <c r="A13" s="161" t="s">
        <v>118</v>
      </c>
      <c r="B13" s="177">
        <v>839.512</v>
      </c>
      <c r="C13" s="59">
        <v>564.059</v>
      </c>
      <c r="D13" s="71">
        <v>694.323</v>
      </c>
      <c r="E13" s="70">
        <v>53.685</v>
      </c>
      <c r="F13" s="61">
        <f>SUM(E13-D13)</f>
        <v>-640.6379999999999</v>
      </c>
      <c r="G13" s="321"/>
    </row>
    <row r="14" spans="1:7" ht="13.5" thickBot="1">
      <c r="A14" s="341" t="s">
        <v>74</v>
      </c>
      <c r="B14" s="145">
        <f>SUM(B10:B13)</f>
        <v>51082.586</v>
      </c>
      <c r="C14" s="65">
        <f>SUM(C10:C13)</f>
        <v>70825.291</v>
      </c>
      <c r="D14" s="145">
        <f>SUM(D10:D13)</f>
        <v>74495.58499999999</v>
      </c>
      <c r="E14" s="146">
        <f>SUM(E10:E13)</f>
        <v>90885.587</v>
      </c>
      <c r="F14" s="66">
        <f>SUM(F10:F13)</f>
        <v>16390.002000000015</v>
      </c>
      <c r="G14" s="144"/>
    </row>
    <row r="15" spans="1:7" s="323" customFormat="1" ht="12.75">
      <c r="A15" s="320"/>
      <c r="B15" s="69"/>
      <c r="C15" s="69"/>
      <c r="D15" s="69"/>
      <c r="E15" s="69"/>
      <c r="F15" s="69"/>
      <c r="G15" s="322"/>
    </row>
    <row r="16" ht="9" customHeight="1"/>
    <row r="17" ht="15.75">
      <c r="A17" s="4" t="s">
        <v>75</v>
      </c>
    </row>
    <row r="18" spans="7:8" ht="11.25" customHeight="1" thickBot="1">
      <c r="G18" s="5" t="s">
        <v>2</v>
      </c>
      <c r="H18" s="5"/>
    </row>
    <row r="19" spans="1:8" ht="12.75">
      <c r="A19" s="152" t="s">
        <v>76</v>
      </c>
      <c r="B19" s="356" t="s">
        <v>128</v>
      </c>
      <c r="C19" s="357"/>
      <c r="D19" s="357"/>
      <c r="E19" s="357"/>
      <c r="F19" s="357"/>
      <c r="G19" s="358"/>
      <c r="H19" s="76"/>
    </row>
    <row r="20" spans="1:8" ht="13.5" thickBot="1">
      <c r="A20" s="169"/>
      <c r="B20" s="174" t="s">
        <v>120</v>
      </c>
      <c r="C20" s="171" t="s">
        <v>77</v>
      </c>
      <c r="D20" s="172" t="s">
        <v>78</v>
      </c>
      <c r="E20" s="172" t="s">
        <v>79</v>
      </c>
      <c r="F20" s="172" t="s">
        <v>80</v>
      </c>
      <c r="G20" s="173" t="s">
        <v>81</v>
      </c>
      <c r="H20" s="8"/>
    </row>
    <row r="21" spans="1:8" s="142" customFormat="1" ht="9.75">
      <c r="A21" s="147"/>
      <c r="B21" s="148" t="s">
        <v>119</v>
      </c>
      <c r="C21" s="100">
        <v>2</v>
      </c>
      <c r="D21" s="101">
        <v>3</v>
      </c>
      <c r="E21" s="101">
        <v>4</v>
      </c>
      <c r="F21" s="101">
        <v>5</v>
      </c>
      <c r="G21" s="102">
        <v>6</v>
      </c>
      <c r="H21" s="17"/>
    </row>
    <row r="22" spans="1:8" ht="12.75">
      <c r="A22" s="20" t="s">
        <v>103</v>
      </c>
      <c r="B22" s="160">
        <f>SUM(C22:G22)</f>
        <v>7645</v>
      </c>
      <c r="C22" s="58">
        <v>5467</v>
      </c>
      <c r="D22" s="59">
        <v>632</v>
      </c>
      <c r="E22" s="59">
        <v>410</v>
      </c>
      <c r="F22" s="59">
        <v>506</v>
      </c>
      <c r="G22" s="60">
        <v>630</v>
      </c>
      <c r="H22" s="75"/>
    </row>
    <row r="23" spans="1:8" ht="12.75">
      <c r="A23" s="77" t="s">
        <v>106</v>
      </c>
      <c r="B23" s="160">
        <f>SUM(C23:G23)</f>
        <v>6080.939539999999</v>
      </c>
      <c r="C23" s="58">
        <v>4746.308</v>
      </c>
      <c r="D23" s="59">
        <f>653.005+1.14</f>
        <v>654.145</v>
      </c>
      <c r="E23" s="59">
        <v>125.499</v>
      </c>
      <c r="F23" s="59">
        <f>75.63354+2.154</f>
        <v>77.78753999999999</v>
      </c>
      <c r="G23" s="60">
        <f>424.978+52.222</f>
        <v>477.2</v>
      </c>
      <c r="H23" s="75"/>
    </row>
    <row r="24" spans="1:8" ht="12.75">
      <c r="A24" s="161" t="s">
        <v>205</v>
      </c>
      <c r="B24" s="160">
        <f>SUM(C24:G24)</f>
        <v>10429.471999999998</v>
      </c>
      <c r="C24" s="149">
        <v>6076.3589999999995</v>
      </c>
      <c r="D24" s="150">
        <v>3354.758</v>
      </c>
      <c r="E24" s="150">
        <v>110.96900000000001</v>
      </c>
      <c r="F24" s="150">
        <v>302.994</v>
      </c>
      <c r="G24" s="151">
        <v>584.3919999999999</v>
      </c>
      <c r="H24" s="75"/>
    </row>
    <row r="25" spans="1:8" ht="12.75">
      <c r="A25" s="161" t="s">
        <v>212</v>
      </c>
      <c r="B25" s="160">
        <f>SUM(C25:G25)</f>
        <v>22514.977000000003</v>
      </c>
      <c r="C25" s="149">
        <v>18399.763</v>
      </c>
      <c r="D25" s="150">
        <v>3010.29</v>
      </c>
      <c r="E25" s="150">
        <v>239.008</v>
      </c>
      <c r="F25" s="150">
        <v>194.18</v>
      </c>
      <c r="G25" s="151">
        <v>671.736</v>
      </c>
      <c r="H25" s="75"/>
    </row>
    <row r="26" spans="1:8" ht="13.5" thickBot="1">
      <c r="A26" s="63" t="s">
        <v>218</v>
      </c>
      <c r="B26" s="67">
        <f aca="true" t="shared" si="0" ref="B26:G26">SUM(B25-B24)</f>
        <v>12085.505000000005</v>
      </c>
      <c r="C26" s="162">
        <f>SUM(C25-C24)</f>
        <v>12323.403999999999</v>
      </c>
      <c r="D26" s="163">
        <f t="shared" si="0"/>
        <v>-344.46799999999985</v>
      </c>
      <c r="E26" s="163">
        <f t="shared" si="0"/>
        <v>128.039</v>
      </c>
      <c r="F26" s="163">
        <f t="shared" si="0"/>
        <v>-108.81400000000002</v>
      </c>
      <c r="G26" s="164">
        <f t="shared" si="0"/>
        <v>87.34400000000005</v>
      </c>
      <c r="H26" s="69"/>
    </row>
    <row r="27" spans="1:8" ht="7.5" customHeight="1">
      <c r="A27" s="68"/>
      <c r="B27" s="69"/>
      <c r="C27" s="69"/>
      <c r="D27" s="69"/>
      <c r="E27" s="69"/>
      <c r="F27" s="69"/>
      <c r="G27" s="69"/>
      <c r="H27" s="69"/>
    </row>
    <row r="28" ht="15.75">
      <c r="A28" s="4" t="s">
        <v>121</v>
      </c>
    </row>
    <row r="29" ht="11.25" customHeight="1" thickBot="1">
      <c r="F29" s="5" t="s">
        <v>2</v>
      </c>
    </row>
    <row r="30" spans="1:6" ht="12.75">
      <c r="A30" s="152" t="s">
        <v>83</v>
      </c>
      <c r="B30" s="353" t="s">
        <v>72</v>
      </c>
      <c r="C30" s="354"/>
      <c r="D30" s="354"/>
      <c r="E30" s="355"/>
      <c r="F30" s="153" t="s">
        <v>13</v>
      </c>
    </row>
    <row r="31" spans="1:6" ht="13.5" thickBot="1">
      <c r="A31" s="154"/>
      <c r="B31" s="315">
        <v>37986</v>
      </c>
      <c r="C31" s="167">
        <v>38352</v>
      </c>
      <c r="D31" s="168">
        <v>38717</v>
      </c>
      <c r="E31" s="158">
        <v>38776</v>
      </c>
      <c r="F31" s="159" t="s">
        <v>17</v>
      </c>
    </row>
    <row r="32" spans="1:6" s="142" customFormat="1" ht="9.75">
      <c r="A32" s="100"/>
      <c r="B32" s="293">
        <v>1</v>
      </c>
      <c r="C32" s="294">
        <v>2</v>
      </c>
      <c r="D32" s="295">
        <v>3</v>
      </c>
      <c r="E32" s="107">
        <v>4</v>
      </c>
      <c r="F32" s="102" t="s">
        <v>104</v>
      </c>
    </row>
    <row r="33" spans="1:7" ht="12.75">
      <c r="A33" s="20" t="s">
        <v>122</v>
      </c>
      <c r="B33" s="185">
        <v>74580.587</v>
      </c>
      <c r="C33" s="71">
        <v>63580.769</v>
      </c>
      <c r="D33" s="176">
        <v>88109.461</v>
      </c>
      <c r="E33" s="70">
        <v>96297.878</v>
      </c>
      <c r="F33" s="61">
        <f aca="true" t="shared" si="1" ref="F33:F39">E33-D33</f>
        <v>8188.417000000001</v>
      </c>
      <c r="G33" s="321"/>
    </row>
    <row r="34" spans="1:6" ht="12.75">
      <c r="A34" s="62" t="s">
        <v>123</v>
      </c>
      <c r="B34" s="185">
        <v>0</v>
      </c>
      <c r="C34" s="71">
        <v>0</v>
      </c>
      <c r="D34" s="176">
        <v>0</v>
      </c>
      <c r="E34" s="70">
        <v>64.374</v>
      </c>
      <c r="F34" s="61">
        <f t="shared" si="1"/>
        <v>64.374</v>
      </c>
    </row>
    <row r="35" spans="1:6" ht="12.75">
      <c r="A35" s="20" t="s">
        <v>124</v>
      </c>
      <c r="B35" s="185">
        <v>144.257</v>
      </c>
      <c r="C35" s="71">
        <v>0</v>
      </c>
      <c r="D35" s="176">
        <v>3.796</v>
      </c>
      <c r="E35" s="70">
        <v>4.083</v>
      </c>
      <c r="F35" s="61">
        <f t="shared" si="1"/>
        <v>0.28700000000000037</v>
      </c>
    </row>
    <row r="36" spans="1:6" ht="12.75">
      <c r="A36" s="20" t="s">
        <v>125</v>
      </c>
      <c r="B36" s="185">
        <v>645.023</v>
      </c>
      <c r="C36" s="71">
        <v>566.475</v>
      </c>
      <c r="D36" s="176">
        <v>669.836</v>
      </c>
      <c r="E36" s="70">
        <v>206.674</v>
      </c>
      <c r="F36" s="61">
        <f t="shared" si="1"/>
        <v>-463.16200000000003</v>
      </c>
    </row>
    <row r="37" spans="1:8" ht="12.75">
      <c r="A37" s="20" t="s">
        <v>127</v>
      </c>
      <c r="B37" s="185">
        <v>0</v>
      </c>
      <c r="C37" s="71">
        <v>0</v>
      </c>
      <c r="D37" s="176">
        <v>0</v>
      </c>
      <c r="E37" s="70">
        <v>0</v>
      </c>
      <c r="F37" s="61">
        <f t="shared" si="1"/>
        <v>0</v>
      </c>
      <c r="H37" s="33"/>
    </row>
    <row r="38" spans="1:6" ht="12.75">
      <c r="A38" s="20" t="s">
        <v>130</v>
      </c>
      <c r="B38" s="185">
        <v>0</v>
      </c>
      <c r="C38" s="71">
        <v>0</v>
      </c>
      <c r="D38" s="176">
        <v>0</v>
      </c>
      <c r="E38" s="70">
        <v>0</v>
      </c>
      <c r="F38" s="61">
        <f t="shared" si="1"/>
        <v>0</v>
      </c>
    </row>
    <row r="39" spans="1:6" ht="12.75">
      <c r="A39" s="141" t="s">
        <v>126</v>
      </c>
      <c r="B39" s="185">
        <v>4494.534</v>
      </c>
      <c r="C39" s="71">
        <v>9917.466</v>
      </c>
      <c r="D39" s="176">
        <v>3385.237</v>
      </c>
      <c r="E39" s="70">
        <v>3385.237</v>
      </c>
      <c r="F39" s="61">
        <f t="shared" si="1"/>
        <v>0</v>
      </c>
    </row>
    <row r="40" spans="1:6" ht="14.25" customHeight="1" thickBot="1">
      <c r="A40" s="63" t="s">
        <v>84</v>
      </c>
      <c r="B40" s="64">
        <v>42912</v>
      </c>
      <c r="C40" s="65">
        <v>54591</v>
      </c>
      <c r="D40" s="145">
        <v>39914</v>
      </c>
      <c r="E40" s="146">
        <f>SUM(E33:E39)</f>
        <v>99958.24599999998</v>
      </c>
      <c r="F40" s="66">
        <f>SUM(F33:F39)</f>
        <v>7789.916000000001</v>
      </c>
    </row>
    <row r="41" spans="1:8" ht="14.25" customHeight="1">
      <c r="A41" s="320"/>
      <c r="H41" s="57"/>
    </row>
    <row r="42" ht="9" customHeight="1">
      <c r="H42" s="57"/>
    </row>
    <row r="43" ht="14.25" customHeight="1">
      <c r="A43" s="4" t="s">
        <v>129</v>
      </c>
    </row>
    <row r="44" spans="7:8" ht="11.25" customHeight="1" thickBot="1">
      <c r="G44" s="5" t="s">
        <v>2</v>
      </c>
      <c r="H44" s="5"/>
    </row>
    <row r="45" spans="1:8" ht="12.75">
      <c r="A45" s="152" t="s">
        <v>76</v>
      </c>
      <c r="B45" s="349" t="s">
        <v>197</v>
      </c>
      <c r="C45" s="350"/>
      <c r="D45" s="350"/>
      <c r="E45" s="350"/>
      <c r="F45" s="350"/>
      <c r="G45" s="351"/>
      <c r="H45" s="76"/>
    </row>
    <row r="46" spans="1:8" ht="13.5" thickBot="1">
      <c r="A46" s="169"/>
      <c r="B46" s="170" t="s">
        <v>120</v>
      </c>
      <c r="C46" s="171" t="s">
        <v>77</v>
      </c>
      <c r="D46" s="172" t="s">
        <v>78</v>
      </c>
      <c r="E46" s="172" t="s">
        <v>79</v>
      </c>
      <c r="F46" s="172" t="s">
        <v>80</v>
      </c>
      <c r="G46" s="173" t="s">
        <v>81</v>
      </c>
      <c r="H46" s="8"/>
    </row>
    <row r="47" spans="1:8" s="142" customFormat="1" ht="9.75">
      <c r="A47" s="147"/>
      <c r="B47" s="148" t="s">
        <v>198</v>
      </c>
      <c r="C47" s="100">
        <v>2</v>
      </c>
      <c r="D47" s="101">
        <v>3</v>
      </c>
      <c r="E47" s="101">
        <v>4</v>
      </c>
      <c r="F47" s="101">
        <v>5</v>
      </c>
      <c r="G47" s="102">
        <v>6</v>
      </c>
      <c r="H47" s="17"/>
    </row>
    <row r="48" spans="1:8" ht="12.75">
      <c r="A48" s="20" t="s">
        <v>103</v>
      </c>
      <c r="B48" s="160">
        <f>SUM(C48:G48)</f>
        <v>64556</v>
      </c>
      <c r="C48" s="58">
        <v>12103</v>
      </c>
      <c r="D48" s="59">
        <v>17759</v>
      </c>
      <c r="E48" s="59">
        <v>24198</v>
      </c>
      <c r="F48" s="59">
        <v>10473</v>
      </c>
      <c r="G48" s="60">
        <v>23</v>
      </c>
      <c r="H48" s="75"/>
    </row>
    <row r="49" spans="1:8" ht="12.75">
      <c r="A49" s="77" t="s">
        <v>106</v>
      </c>
      <c r="B49" s="160">
        <f>SUM(C49:G49)</f>
        <v>34963.573</v>
      </c>
      <c r="C49" s="58">
        <v>10402.569</v>
      </c>
      <c r="D49" s="59">
        <v>15082.474</v>
      </c>
      <c r="E49" s="59">
        <v>9478.53</v>
      </c>
      <c r="F49" s="59">
        <v>0</v>
      </c>
      <c r="G49" s="60">
        <v>0</v>
      </c>
      <c r="H49" s="75"/>
    </row>
    <row r="50" spans="1:8" ht="12.75">
      <c r="A50" s="161" t="s">
        <v>205</v>
      </c>
      <c r="B50" s="160">
        <f>SUM(C50:G50)</f>
        <v>62264.602</v>
      </c>
      <c r="C50" s="58">
        <v>14644.687</v>
      </c>
      <c r="D50" s="59">
        <v>21112.106</v>
      </c>
      <c r="E50" s="59">
        <v>22416.339</v>
      </c>
      <c r="F50" s="59">
        <v>4091.47</v>
      </c>
      <c r="G50" s="60">
        <v>0</v>
      </c>
      <c r="H50" s="75"/>
    </row>
    <row r="51" spans="1:8" ht="12.75">
      <c r="A51" s="161" t="s">
        <v>212</v>
      </c>
      <c r="B51" s="160">
        <f>SUM(C51:G51)</f>
        <v>58882.392</v>
      </c>
      <c r="C51" s="75">
        <v>16238.265</v>
      </c>
      <c r="D51" s="78">
        <v>20865.85</v>
      </c>
      <c r="E51" s="78">
        <v>18827.292</v>
      </c>
      <c r="F51" s="78">
        <v>2950.985</v>
      </c>
      <c r="G51" s="79">
        <v>0</v>
      </c>
      <c r="H51" s="75"/>
    </row>
    <row r="52" spans="1:8" ht="13.5" thickBot="1">
      <c r="A52" s="165" t="s">
        <v>218</v>
      </c>
      <c r="B52" s="166">
        <f aca="true" t="shared" si="2" ref="B52:G52">B51-B50</f>
        <v>-3382.209999999999</v>
      </c>
      <c r="C52" s="162">
        <f t="shared" si="2"/>
        <v>1593.5779999999995</v>
      </c>
      <c r="D52" s="163">
        <f t="shared" si="2"/>
        <v>-246.25600000000122</v>
      </c>
      <c r="E52" s="163">
        <f t="shared" si="2"/>
        <v>-3589.0469999999987</v>
      </c>
      <c r="F52" s="163">
        <f t="shared" si="2"/>
        <v>-1140.4849999999997</v>
      </c>
      <c r="G52" s="164">
        <f t="shared" si="2"/>
        <v>0</v>
      </c>
      <c r="H52" s="69"/>
    </row>
    <row r="53" spans="1:8" ht="13.5" thickBot="1">
      <c r="A53" s="3"/>
      <c r="C53" s="57"/>
      <c r="F53" s="57"/>
      <c r="H53" s="35"/>
    </row>
    <row r="54" spans="1:8" ht="12.75">
      <c r="A54" s="152" t="s">
        <v>76</v>
      </c>
      <c r="B54" s="349" t="s">
        <v>199</v>
      </c>
      <c r="C54" s="350"/>
      <c r="D54" s="350"/>
      <c r="E54" s="350"/>
      <c r="F54" s="350"/>
      <c r="G54" s="351"/>
      <c r="H54" s="35"/>
    </row>
    <row r="55" spans="1:8" ht="13.5" thickBot="1">
      <c r="A55" s="169"/>
      <c r="B55" s="170" t="s">
        <v>120</v>
      </c>
      <c r="C55" s="171" t="s">
        <v>77</v>
      </c>
      <c r="D55" s="172" t="s">
        <v>78</v>
      </c>
      <c r="E55" s="172" t="s">
        <v>79</v>
      </c>
      <c r="F55" s="172" t="s">
        <v>80</v>
      </c>
      <c r="G55" s="173" t="s">
        <v>81</v>
      </c>
      <c r="H55" s="35"/>
    </row>
    <row r="56" spans="1:8" s="142" customFormat="1" ht="9.75">
      <c r="A56" s="312"/>
      <c r="B56" s="148" t="s">
        <v>198</v>
      </c>
      <c r="C56" s="100">
        <v>2</v>
      </c>
      <c r="D56" s="101">
        <v>3</v>
      </c>
      <c r="E56" s="101">
        <v>4</v>
      </c>
      <c r="F56" s="101">
        <v>5</v>
      </c>
      <c r="G56" s="102">
        <v>6</v>
      </c>
      <c r="H56" s="313"/>
    </row>
    <row r="57" spans="1:8" ht="12.75">
      <c r="A57" s="77" t="s">
        <v>205</v>
      </c>
      <c r="B57" s="160">
        <f>SUM(C57:G57)</f>
        <v>0</v>
      </c>
      <c r="C57" s="58"/>
      <c r="D57" s="59"/>
      <c r="E57" s="59"/>
      <c r="F57" s="59"/>
      <c r="G57" s="60"/>
      <c r="H57" s="35"/>
    </row>
    <row r="58" spans="1:8" ht="12.75">
      <c r="A58" s="161" t="s">
        <v>212</v>
      </c>
      <c r="B58" s="160">
        <f>SUM(C58:G58)</f>
        <v>0</v>
      </c>
      <c r="C58" s="75"/>
      <c r="D58" s="78"/>
      <c r="E58" s="78"/>
      <c r="F58" s="78"/>
      <c r="G58" s="79"/>
      <c r="H58" s="35"/>
    </row>
    <row r="59" spans="1:8" ht="13.5" thickBot="1">
      <c r="A59" s="165" t="s">
        <v>218</v>
      </c>
      <c r="B59" s="166">
        <f aca="true" t="shared" si="3" ref="B59:G59">B58-B57</f>
        <v>0</v>
      </c>
      <c r="C59" s="162">
        <f t="shared" si="3"/>
        <v>0</v>
      </c>
      <c r="D59" s="163">
        <f t="shared" si="3"/>
        <v>0</v>
      </c>
      <c r="E59" s="163">
        <f t="shared" si="3"/>
        <v>0</v>
      </c>
      <c r="F59" s="163">
        <f t="shared" si="3"/>
        <v>0</v>
      </c>
      <c r="G59" s="164">
        <f t="shared" si="3"/>
        <v>0</v>
      </c>
      <c r="H59" s="35"/>
    </row>
    <row r="60" spans="1:8" ht="12.75">
      <c r="A60" s="3"/>
      <c r="C60" s="57"/>
      <c r="F60" s="57"/>
      <c r="H60" s="35"/>
    </row>
    <row r="61" spans="1:8" ht="12.75">
      <c r="A61" s="3" t="s">
        <v>201</v>
      </c>
      <c r="C61" s="57" t="s">
        <v>114</v>
      </c>
      <c r="F61" s="57"/>
      <c r="H61" s="35"/>
    </row>
    <row r="62" spans="1:8" ht="12.75">
      <c r="A62" s="3" t="s">
        <v>202</v>
      </c>
      <c r="C62" s="314">
        <v>568809647</v>
      </c>
      <c r="F62" s="57"/>
      <c r="H62" s="35"/>
    </row>
  </sheetData>
  <mergeCells count="5">
    <mergeCell ref="B54:G54"/>
    <mergeCell ref="B7:E7"/>
    <mergeCell ref="B30:E30"/>
    <mergeCell ref="B19:G19"/>
    <mergeCell ref="B45:G4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0" sqref="A10"/>
    </sheetView>
  </sheetViews>
  <sheetFormatPr defaultColWidth="9.00390625" defaultRowHeight="12.75"/>
  <cols>
    <col min="1" max="1" width="29.25390625" style="0" customWidth="1"/>
    <col min="2" max="2" width="9.75390625" style="0" customWidth="1"/>
    <col min="3" max="3" width="11.125" style="0" bestFit="1" customWidth="1"/>
  </cols>
  <sheetData>
    <row r="1" ht="18">
      <c r="A1" s="1" t="s">
        <v>211</v>
      </c>
    </row>
    <row r="2" ht="12.75">
      <c r="A2" s="3" t="s">
        <v>186</v>
      </c>
    </row>
    <row r="3" ht="12.75">
      <c r="A3" s="3"/>
    </row>
    <row r="4" ht="12.75">
      <c r="A4" s="187" t="s">
        <v>139</v>
      </c>
    </row>
    <row r="5" ht="13.5" thickBot="1">
      <c r="K5" s="5" t="s">
        <v>2</v>
      </c>
    </row>
    <row r="6" spans="1:11" ht="12.75">
      <c r="A6" s="152"/>
      <c r="B6" s="189" t="s">
        <v>86</v>
      </c>
      <c r="C6" s="350" t="s">
        <v>87</v>
      </c>
      <c r="D6" s="350"/>
      <c r="E6" s="350"/>
      <c r="F6" s="350"/>
      <c r="G6" s="346" t="s">
        <v>85</v>
      </c>
      <c r="H6" s="347"/>
      <c r="I6" s="347"/>
      <c r="J6" s="190" t="s">
        <v>88</v>
      </c>
      <c r="K6" s="153" t="s">
        <v>133</v>
      </c>
    </row>
    <row r="7" spans="1:12" ht="12.75">
      <c r="A7" s="191" t="s">
        <v>76</v>
      </c>
      <c r="B7" s="192" t="s">
        <v>90</v>
      </c>
      <c r="C7" s="193" t="s">
        <v>91</v>
      </c>
      <c r="D7" s="112" t="s">
        <v>89</v>
      </c>
      <c r="E7" s="112" t="s">
        <v>89</v>
      </c>
      <c r="F7" s="112" t="s">
        <v>89</v>
      </c>
      <c r="G7" s="111" t="s">
        <v>89</v>
      </c>
      <c r="H7" s="112" t="s">
        <v>89</v>
      </c>
      <c r="I7" s="194" t="s">
        <v>89</v>
      </c>
      <c r="J7" s="195" t="s">
        <v>92</v>
      </c>
      <c r="K7" s="89" t="s">
        <v>134</v>
      </c>
      <c r="L7" s="11"/>
    </row>
    <row r="8" spans="1:12" ht="12.75">
      <c r="A8" s="111"/>
      <c r="B8" s="192" t="s">
        <v>204</v>
      </c>
      <c r="C8" s="196" t="s">
        <v>96</v>
      </c>
      <c r="D8" s="197" t="s">
        <v>93</v>
      </c>
      <c r="E8" s="197" t="s">
        <v>94</v>
      </c>
      <c r="F8" s="197" t="s">
        <v>95</v>
      </c>
      <c r="G8" s="111" t="s">
        <v>93</v>
      </c>
      <c r="H8" s="197" t="s">
        <v>94</v>
      </c>
      <c r="I8" s="198" t="s">
        <v>95</v>
      </c>
      <c r="J8" s="195" t="s">
        <v>97</v>
      </c>
      <c r="K8" s="89" t="s">
        <v>92</v>
      </c>
      <c r="L8" s="11"/>
    </row>
    <row r="9" spans="1:12" ht="13.5" thickBot="1">
      <c r="A9" s="199"/>
      <c r="B9" s="200" t="s">
        <v>131</v>
      </c>
      <c r="C9" s="201" t="s">
        <v>195</v>
      </c>
      <c r="D9" s="201" t="s">
        <v>193</v>
      </c>
      <c r="E9" s="201" t="s">
        <v>194</v>
      </c>
      <c r="F9" s="201" t="s">
        <v>140</v>
      </c>
      <c r="G9" s="199" t="s">
        <v>98</v>
      </c>
      <c r="H9" s="202" t="s">
        <v>100</v>
      </c>
      <c r="I9" s="201" t="s">
        <v>101</v>
      </c>
      <c r="J9" s="200" t="s">
        <v>102</v>
      </c>
      <c r="K9" s="203" t="s">
        <v>99</v>
      </c>
      <c r="L9" s="15"/>
    </row>
    <row r="10" spans="1:11" s="142" customFormat="1" ht="9.75">
      <c r="A10" s="100"/>
      <c r="B10" s="100" t="s">
        <v>132</v>
      </c>
      <c r="C10" s="101">
        <v>2</v>
      </c>
      <c r="D10" s="101">
        <v>3</v>
      </c>
      <c r="E10" s="175">
        <v>4</v>
      </c>
      <c r="F10" s="107">
        <v>5</v>
      </c>
      <c r="G10" s="124">
        <v>6</v>
      </c>
      <c r="H10" s="101">
        <v>7</v>
      </c>
      <c r="I10" s="175">
        <v>8</v>
      </c>
      <c r="J10" s="182">
        <v>9</v>
      </c>
      <c r="K10" s="102">
        <v>10</v>
      </c>
    </row>
    <row r="11" spans="1:11" ht="12.75">
      <c r="A11" s="20" t="s">
        <v>82</v>
      </c>
      <c r="B11" s="188">
        <f>SUM(C11:F11)</f>
        <v>3117</v>
      </c>
      <c r="C11" s="59"/>
      <c r="D11" s="59"/>
      <c r="E11" s="176"/>
      <c r="F11" s="70">
        <v>3117</v>
      </c>
      <c r="G11" s="177">
        <v>1404</v>
      </c>
      <c r="H11" s="59">
        <v>598</v>
      </c>
      <c r="I11" s="176">
        <v>30631</v>
      </c>
      <c r="J11" s="183">
        <v>2108</v>
      </c>
      <c r="K11" s="60">
        <v>2974</v>
      </c>
    </row>
    <row r="12" spans="1:11" ht="12.75">
      <c r="A12" s="20" t="s">
        <v>103</v>
      </c>
      <c r="B12" s="188">
        <f>SUM(C12:F12)</f>
        <v>21</v>
      </c>
      <c r="C12" s="59"/>
      <c r="D12" s="59"/>
      <c r="E12" s="176"/>
      <c r="F12" s="70">
        <v>21</v>
      </c>
      <c r="G12" s="177">
        <v>1404</v>
      </c>
      <c r="H12" s="59">
        <v>242</v>
      </c>
      <c r="I12" s="176">
        <v>33673</v>
      </c>
      <c r="J12" s="183">
        <v>2569</v>
      </c>
      <c r="K12" s="60">
        <v>3117</v>
      </c>
    </row>
    <row r="13" spans="1:11" ht="12.75">
      <c r="A13" s="20" t="s">
        <v>106</v>
      </c>
      <c r="B13" s="188">
        <f>SUM(C13:F13)</f>
        <v>5293</v>
      </c>
      <c r="C13" s="59"/>
      <c r="D13" s="59"/>
      <c r="E13" s="176"/>
      <c r="F13" s="70">
        <v>5293</v>
      </c>
      <c r="G13" s="177">
        <v>1404</v>
      </c>
      <c r="H13" s="59">
        <v>207</v>
      </c>
      <c r="I13" s="176">
        <v>44005</v>
      </c>
      <c r="J13" s="183">
        <v>2412</v>
      </c>
      <c r="K13" s="60">
        <v>2854</v>
      </c>
    </row>
    <row r="14" spans="1:11" ht="12.75">
      <c r="A14" s="20" t="s">
        <v>205</v>
      </c>
      <c r="B14" s="188">
        <f>SUM(C14:F14)</f>
        <v>29747.426000000003</v>
      </c>
      <c r="C14" s="59">
        <v>28172.572</v>
      </c>
      <c r="D14" s="59">
        <v>1404.168</v>
      </c>
      <c r="E14" s="176">
        <v>170.686</v>
      </c>
      <c r="F14" s="70">
        <v>0</v>
      </c>
      <c r="G14" s="177">
        <v>1404.168</v>
      </c>
      <c r="H14" s="59">
        <v>170.686</v>
      </c>
      <c r="I14" s="176">
        <v>0</v>
      </c>
      <c r="J14" s="183">
        <v>725.54</v>
      </c>
      <c r="K14" s="60">
        <v>1238.759</v>
      </c>
    </row>
    <row r="15" spans="1:11" ht="12.75">
      <c r="A15" s="20" t="s">
        <v>212</v>
      </c>
      <c r="B15" s="188">
        <f>SUM(C15:F15)</f>
        <v>30421</v>
      </c>
      <c r="C15" s="59">
        <v>28910</v>
      </c>
      <c r="D15" s="59">
        <v>1404</v>
      </c>
      <c r="E15" s="176">
        <v>107</v>
      </c>
      <c r="F15" s="70">
        <v>0</v>
      </c>
      <c r="G15" s="177">
        <v>1404</v>
      </c>
      <c r="H15" s="59">
        <v>107</v>
      </c>
      <c r="I15" s="176">
        <v>0</v>
      </c>
      <c r="J15" s="183">
        <v>1553</v>
      </c>
      <c r="K15" s="60">
        <v>1590</v>
      </c>
    </row>
    <row r="16" spans="1:11" ht="12.75">
      <c r="A16" s="72" t="s">
        <v>213</v>
      </c>
      <c r="B16" s="73">
        <f>B15-B12</f>
        <v>30400</v>
      </c>
      <c r="C16" s="180">
        <f aca="true" t="shared" si="0" ref="C16:K16">C15-C12</f>
        <v>28910</v>
      </c>
      <c r="D16" s="180">
        <f t="shared" si="0"/>
        <v>1404</v>
      </c>
      <c r="E16" s="178">
        <f t="shared" si="0"/>
        <v>107</v>
      </c>
      <c r="F16" s="179">
        <f t="shared" si="0"/>
        <v>-21</v>
      </c>
      <c r="G16" s="178">
        <f t="shared" si="0"/>
        <v>0</v>
      </c>
      <c r="H16" s="180">
        <f t="shared" si="0"/>
        <v>-135</v>
      </c>
      <c r="I16" s="178">
        <f t="shared" si="0"/>
        <v>-33673</v>
      </c>
      <c r="J16" s="184">
        <f t="shared" si="0"/>
        <v>-1016</v>
      </c>
      <c r="K16" s="181">
        <f t="shared" si="0"/>
        <v>-1527</v>
      </c>
    </row>
    <row r="17" spans="1:11" ht="12.75">
      <c r="A17" s="20"/>
      <c r="B17" s="58"/>
      <c r="C17" s="59"/>
      <c r="D17" s="59"/>
      <c r="E17" s="71"/>
      <c r="F17" s="70"/>
      <c r="G17" s="71"/>
      <c r="H17" s="59"/>
      <c r="I17" s="71"/>
      <c r="J17" s="185"/>
      <c r="K17" s="60"/>
    </row>
    <row r="18" spans="1:11" ht="13.5" thickBot="1">
      <c r="A18" s="63" t="s">
        <v>214</v>
      </c>
      <c r="B18" s="64">
        <f>B15-B14</f>
        <v>673.5739999999969</v>
      </c>
      <c r="C18" s="65">
        <f aca="true" t="shared" si="1" ref="C18:K18">C15-C14</f>
        <v>737.4279999999999</v>
      </c>
      <c r="D18" s="65">
        <f t="shared" si="1"/>
        <v>-0.16799999999989268</v>
      </c>
      <c r="E18" s="145">
        <f t="shared" si="1"/>
        <v>-63.68600000000001</v>
      </c>
      <c r="F18" s="146">
        <f t="shared" si="1"/>
        <v>0</v>
      </c>
      <c r="G18" s="145">
        <f t="shared" si="1"/>
        <v>-0.16799999999989268</v>
      </c>
      <c r="H18" s="65">
        <f t="shared" si="1"/>
        <v>-63.68600000000001</v>
      </c>
      <c r="I18" s="145">
        <f t="shared" si="1"/>
        <v>0</v>
      </c>
      <c r="J18" s="186">
        <f t="shared" si="1"/>
        <v>827.46</v>
      </c>
      <c r="K18" s="66">
        <f t="shared" si="1"/>
        <v>351.241</v>
      </c>
    </row>
    <row r="19" ht="14.25">
      <c r="A19" s="74"/>
    </row>
    <row r="20" ht="12.75">
      <c r="A20" s="187" t="s">
        <v>135</v>
      </c>
    </row>
    <row r="21" ht="13.5" thickBot="1">
      <c r="I21" s="5" t="s">
        <v>2</v>
      </c>
    </row>
    <row r="22" spans="1:9" ht="12.75">
      <c r="A22" s="152"/>
      <c r="B22" s="189" t="s">
        <v>86</v>
      </c>
      <c r="C22" s="350" t="s">
        <v>87</v>
      </c>
      <c r="D22" s="350"/>
      <c r="E22" s="350"/>
      <c r="F22" s="350"/>
      <c r="G22" s="346" t="s">
        <v>85</v>
      </c>
      <c r="H22" s="347"/>
      <c r="I22" s="348"/>
    </row>
    <row r="23" spans="1:9" ht="12.75">
      <c r="A23" s="191" t="s">
        <v>76</v>
      </c>
      <c r="B23" s="192" t="s">
        <v>90</v>
      </c>
      <c r="C23" s="112" t="s">
        <v>89</v>
      </c>
      <c r="D23" s="112" t="s">
        <v>89</v>
      </c>
      <c r="E23" s="112" t="s">
        <v>89</v>
      </c>
      <c r="F23" s="112" t="s">
        <v>137</v>
      </c>
      <c r="G23" s="111" t="s">
        <v>89</v>
      </c>
      <c r="H23" s="112" t="s">
        <v>89</v>
      </c>
      <c r="I23" s="204" t="s">
        <v>89</v>
      </c>
    </row>
    <row r="24" spans="1:9" ht="12.75">
      <c r="A24" s="111"/>
      <c r="B24" s="192" t="s">
        <v>204</v>
      </c>
      <c r="C24" s="197" t="s">
        <v>93</v>
      </c>
      <c r="D24" s="197" t="s">
        <v>94</v>
      </c>
      <c r="E24" s="197" t="s">
        <v>95</v>
      </c>
      <c r="F24" s="197" t="s">
        <v>138</v>
      </c>
      <c r="G24" s="111" t="s">
        <v>93</v>
      </c>
      <c r="H24" s="197" t="s">
        <v>94</v>
      </c>
      <c r="I24" s="205" t="s">
        <v>95</v>
      </c>
    </row>
    <row r="25" spans="1:9" ht="13.5" thickBot="1">
      <c r="A25" s="199"/>
      <c r="B25" s="200" t="s">
        <v>136</v>
      </c>
      <c r="C25" s="201" t="s">
        <v>141</v>
      </c>
      <c r="D25" s="201" t="s">
        <v>141</v>
      </c>
      <c r="E25" s="201" t="s">
        <v>191</v>
      </c>
      <c r="F25" s="201" t="s">
        <v>192</v>
      </c>
      <c r="G25" s="199" t="s">
        <v>98</v>
      </c>
      <c r="H25" s="202" t="s">
        <v>100</v>
      </c>
      <c r="I25" s="206" t="s">
        <v>101</v>
      </c>
    </row>
    <row r="26" spans="1:9" ht="9.75" customHeight="1">
      <c r="A26" s="100"/>
      <c r="B26" s="100" t="s">
        <v>132</v>
      </c>
      <c r="C26" s="101">
        <v>2</v>
      </c>
      <c r="D26" s="101">
        <v>3</v>
      </c>
      <c r="E26" s="175">
        <v>4</v>
      </c>
      <c r="F26" s="107">
        <v>5</v>
      </c>
      <c r="G26" s="182">
        <v>6</v>
      </c>
      <c r="H26" s="101">
        <v>7</v>
      </c>
      <c r="I26" s="103">
        <v>8</v>
      </c>
    </row>
    <row r="27" spans="1:9" ht="12.75">
      <c r="A27" s="20" t="s">
        <v>82</v>
      </c>
      <c r="B27" s="188">
        <f>SUM(C27:F27)</f>
        <v>0</v>
      </c>
      <c r="C27" s="59"/>
      <c r="D27" s="59"/>
      <c r="E27" s="311" t="s">
        <v>196</v>
      </c>
      <c r="F27" s="70"/>
      <c r="G27" s="185"/>
      <c r="H27" s="59"/>
      <c r="I27" s="70">
        <v>30631.52</v>
      </c>
    </row>
    <row r="28" spans="1:9" ht="12.75">
      <c r="A28" s="20" t="s">
        <v>103</v>
      </c>
      <c r="B28" s="188">
        <f>SUM(C28:F28)</f>
        <v>20692.36</v>
      </c>
      <c r="C28" s="59"/>
      <c r="D28" s="59"/>
      <c r="E28" s="176">
        <v>20692.36</v>
      </c>
      <c r="F28" s="70"/>
      <c r="G28" s="185"/>
      <c r="H28" s="59"/>
      <c r="I28" s="70">
        <v>33672.912</v>
      </c>
    </row>
    <row r="29" spans="1:9" ht="12.75">
      <c r="A29" s="20" t="s">
        <v>106</v>
      </c>
      <c r="B29" s="188">
        <f>SUM(C29:F29)</f>
        <v>5293.472</v>
      </c>
      <c r="C29" s="59"/>
      <c r="D29" s="59"/>
      <c r="E29" s="176">
        <v>5293.472</v>
      </c>
      <c r="F29" s="70"/>
      <c r="G29" s="185"/>
      <c r="H29" s="59"/>
      <c r="I29" s="70">
        <v>44004.645</v>
      </c>
    </row>
    <row r="30" spans="1:9" ht="12.75">
      <c r="A30" s="20" t="s">
        <v>205</v>
      </c>
      <c r="B30" s="188">
        <f>SUM(C30:F30)</f>
        <v>16263.461</v>
      </c>
      <c r="C30" s="59"/>
      <c r="D30" s="59"/>
      <c r="E30" s="176">
        <v>15123.309</v>
      </c>
      <c r="F30" s="70">
        <v>1140.152</v>
      </c>
      <c r="G30" s="185"/>
      <c r="H30" s="59"/>
      <c r="I30" s="70">
        <v>9839.112</v>
      </c>
    </row>
    <row r="31" spans="1:9" ht="12.75">
      <c r="A31" s="20" t="s">
        <v>212</v>
      </c>
      <c r="B31" s="188">
        <f>SUM(C31:F31)</f>
        <v>1927</v>
      </c>
      <c r="C31" s="59"/>
      <c r="D31" s="59"/>
      <c r="E31" s="176">
        <v>1166</v>
      </c>
      <c r="F31" s="70">
        <v>761</v>
      </c>
      <c r="G31" s="185"/>
      <c r="H31" s="59"/>
      <c r="I31" s="70">
        <v>9773</v>
      </c>
    </row>
    <row r="32" spans="1:9" ht="12.75">
      <c r="A32" s="72" t="s">
        <v>213</v>
      </c>
      <c r="B32" s="73">
        <f>B31-B28</f>
        <v>-18765.36</v>
      </c>
      <c r="C32" s="180">
        <f aca="true" t="shared" si="2" ref="C32:I32">C31-C28</f>
        <v>0</v>
      </c>
      <c r="D32" s="180">
        <f t="shared" si="2"/>
        <v>0</v>
      </c>
      <c r="E32" s="178">
        <f t="shared" si="2"/>
        <v>-19526.36</v>
      </c>
      <c r="F32" s="179">
        <f t="shared" si="2"/>
        <v>761</v>
      </c>
      <c r="G32" s="73">
        <f t="shared" si="2"/>
        <v>0</v>
      </c>
      <c r="H32" s="180">
        <f t="shared" si="2"/>
        <v>0</v>
      </c>
      <c r="I32" s="181">
        <f t="shared" si="2"/>
        <v>-23899.911999999997</v>
      </c>
    </row>
    <row r="33" spans="1:9" ht="12.75">
      <c r="A33" s="20"/>
      <c r="B33" s="58"/>
      <c r="C33" s="59"/>
      <c r="D33" s="59"/>
      <c r="E33" s="71"/>
      <c r="F33" s="70"/>
      <c r="G33" s="58"/>
      <c r="H33" s="59"/>
      <c r="I33" s="60"/>
    </row>
    <row r="34" spans="1:9" ht="13.5" thickBot="1">
      <c r="A34" s="63" t="s">
        <v>214</v>
      </c>
      <c r="B34" s="64">
        <f aca="true" t="shared" si="3" ref="B34:I34">B31-B30</f>
        <v>-14336.461</v>
      </c>
      <c r="C34" s="65">
        <f t="shared" si="3"/>
        <v>0</v>
      </c>
      <c r="D34" s="65">
        <f t="shared" si="3"/>
        <v>0</v>
      </c>
      <c r="E34" s="145">
        <f t="shared" si="3"/>
        <v>-13957.309</v>
      </c>
      <c r="F34" s="146">
        <f t="shared" si="3"/>
        <v>-379.15200000000004</v>
      </c>
      <c r="G34" s="64">
        <f t="shared" si="3"/>
        <v>0</v>
      </c>
      <c r="H34" s="65">
        <f t="shared" si="3"/>
        <v>0</v>
      </c>
      <c r="I34" s="66">
        <f t="shared" si="3"/>
        <v>-66.11199999999917</v>
      </c>
    </row>
    <row r="35" ht="14.25">
      <c r="A35" s="74" t="s">
        <v>142</v>
      </c>
    </row>
    <row r="36" ht="12.75">
      <c r="A36" s="57" t="s">
        <v>143</v>
      </c>
    </row>
    <row r="37" ht="12.75">
      <c r="A37" s="57" t="s">
        <v>144</v>
      </c>
    </row>
    <row r="38" ht="12.75">
      <c r="A38" s="57"/>
    </row>
    <row r="39" spans="1:8" ht="12.75">
      <c r="A39" s="3" t="s">
        <v>201</v>
      </c>
      <c r="C39" s="57" t="s">
        <v>114</v>
      </c>
      <c r="F39" s="57"/>
      <c r="H39" s="35"/>
    </row>
    <row r="40" spans="1:3" s="318" customFormat="1" ht="11.25">
      <c r="A40" s="318" t="s">
        <v>202</v>
      </c>
      <c r="C40" s="319">
        <v>568809647</v>
      </c>
    </row>
  </sheetData>
  <mergeCells count="4">
    <mergeCell ref="C6:F6"/>
    <mergeCell ref="G6:I6"/>
    <mergeCell ref="C22:F22"/>
    <mergeCell ref="G22:I2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jakoubkova</cp:lastModifiedBy>
  <cp:lastPrinted>2006-03-29T19:54:51Z</cp:lastPrinted>
  <dcterms:created xsi:type="dcterms:W3CDTF">2003-08-01T09:57:58Z</dcterms:created>
  <dcterms:modified xsi:type="dcterms:W3CDTF">2006-03-30T11:19:32Z</dcterms:modified>
  <cp:category/>
  <cp:version/>
  <cp:contentType/>
  <cp:contentStatus/>
</cp:coreProperties>
</file>