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480" activeTab="0"/>
  </bookViews>
  <sheets>
    <sheet name="sumář" sheetId="1" r:id="rId1"/>
    <sheet name="stav fondů" sheetId="2" r:id="rId2"/>
    <sheet name="H.Brod" sheetId="3" r:id="rId3"/>
    <sheet name="Pelhřimov" sheetId="4" r:id="rId4"/>
    <sheet name="Třebíč" sheetId="5" r:id="rId5"/>
    <sheet name="N.Město" sheetId="6" r:id="rId6"/>
  </sheets>
  <definedNames/>
  <calcPr fullCalcOnLoad="1"/>
</workbook>
</file>

<file path=xl/sharedStrings.xml><?xml version="1.0" encoding="utf-8"?>
<sst xmlns="http://schemas.openxmlformats.org/spreadsheetml/2006/main" count="1438" uniqueCount="473">
  <si>
    <t>Finanční plán</t>
  </si>
  <si>
    <t>Skutečnost rok 2004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</si>
  <si>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</si>
  <si>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</si>
  <si>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</si>
  <si>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</si>
  <si>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</si>
  <si>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</si>
  <si>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</si>
  <si>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</si>
  <si>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</si>
  <si>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</si>
  <si>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</si>
  <si>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</si>
  <si>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</si>
  <si>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</si>
  <si>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</si>
  <si>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</si>
  <si>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</si>
  <si>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</si>
  <si>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</si>
  <si>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</si>
  <si>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</si>
  <si>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</si>
  <si>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</si>
  <si>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</si>
  <si>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</si>
  <si>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</si>
  <si>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</si>
  <si>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</si>
  <si>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</si>
  <si>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</si>
  <si>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</si>
  <si>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</si>
  <si>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</si>
  <si>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</si>
  <si>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</si>
  <si>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</si>
  <si>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</si>
  <si>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minulých let k 31.12.</t>
  </si>
  <si>
    <t xml:space="preserve">Kumulovaná ztráta </t>
  </si>
  <si>
    <t>Vyčíslení nájemného</t>
  </si>
  <si>
    <t>Typ dotace</t>
  </si>
  <si>
    <t>Dotace na investice</t>
  </si>
  <si>
    <t>Rok</t>
  </si>
  <si>
    <t>celkem</t>
  </si>
  <si>
    <t>movitý majetek</t>
  </si>
  <si>
    <t>nemovitý majetek</t>
  </si>
  <si>
    <t>v %</t>
  </si>
  <si>
    <t>Státní dotace</t>
  </si>
  <si>
    <t>celkem investice</t>
  </si>
  <si>
    <t xml:space="preserve">investice -movitý </t>
  </si>
  <si>
    <t xml:space="preserve">investice -nemovitý </t>
  </si>
  <si>
    <t>provozní dotace</t>
  </si>
  <si>
    <t xml:space="preserve">Dotace celkem </t>
  </si>
  <si>
    <t>dotace ze smluv o nájmu movitého a nemovitého majetku</t>
  </si>
  <si>
    <t xml:space="preserve">dotace z příkazních smluv </t>
  </si>
  <si>
    <t xml:space="preserve">celkem </t>
  </si>
  <si>
    <t>UZ 00051</t>
  </si>
  <si>
    <t>UZ 00052</t>
  </si>
  <si>
    <t xml:space="preserve">položka 6351 </t>
  </si>
  <si>
    <t>CELKEM INVESTICE</t>
  </si>
  <si>
    <t>Pořizovací cena majetku</t>
  </si>
  <si>
    <t>z toho odpisová skupina:</t>
  </si>
  <si>
    <t>Peněžní fondy v tis. Kč</t>
  </si>
  <si>
    <t>Deficit (-) BÚ</t>
  </si>
  <si>
    <t>Tvorba</t>
  </si>
  <si>
    <t>Čerpání</t>
  </si>
  <si>
    <t>Stav k 31.12.2005</t>
  </si>
  <si>
    <t>Běžný účet celkem</t>
  </si>
  <si>
    <t>-</t>
  </si>
  <si>
    <t>z toho: fond odměn</t>
  </si>
  <si>
    <t xml:space="preserve">          rezervní fond</t>
  </si>
  <si>
    <t xml:space="preserve">          provozní prostř.</t>
  </si>
  <si>
    <t>Investiční fond</t>
  </si>
  <si>
    <t>Běžný účet FKSP</t>
  </si>
  <si>
    <t>INVESTIĆNÍ FOND</t>
  </si>
  <si>
    <t>REZERVNÍ FOND</t>
  </si>
  <si>
    <t>Počátečný stav</t>
  </si>
  <si>
    <t>Počáteční stav</t>
  </si>
  <si>
    <t xml:space="preserve">    odpisy</t>
  </si>
  <si>
    <t xml:space="preserve">   příděl ze zlepšeného hosp. výsledku</t>
  </si>
  <si>
    <t xml:space="preserve">   dary</t>
  </si>
  <si>
    <t xml:space="preserve">    investiční dotace ze SR</t>
  </si>
  <si>
    <t xml:space="preserve">   převod z rezervního fondu</t>
  </si>
  <si>
    <t xml:space="preserve">  k dalšímu rozvoji činnosti</t>
  </si>
  <si>
    <t xml:space="preserve">  k úhradě ztráty za předch. léta</t>
  </si>
  <si>
    <t>Zůstatek</t>
  </si>
  <si>
    <t>do 30 dnů</t>
  </si>
  <si>
    <t>31-90</t>
  </si>
  <si>
    <t>91-180</t>
  </si>
  <si>
    <t>181-360</t>
  </si>
  <si>
    <t>nad 360</t>
  </si>
  <si>
    <t>Pohledávky</t>
  </si>
  <si>
    <t>Oddělení</t>
  </si>
  <si>
    <t xml:space="preserve">Lůžka </t>
  </si>
  <si>
    <t>Obložnost</t>
  </si>
  <si>
    <t>interní</t>
  </si>
  <si>
    <t>infekční</t>
  </si>
  <si>
    <t>TRN</t>
  </si>
  <si>
    <t>neurologické</t>
  </si>
  <si>
    <t>psychiatrie</t>
  </si>
  <si>
    <t>pediatrie</t>
  </si>
  <si>
    <t>gynekologie</t>
  </si>
  <si>
    <t>chirurgické</t>
  </si>
  <si>
    <t xml:space="preserve">ARO </t>
  </si>
  <si>
    <t>ortopedické</t>
  </si>
  <si>
    <t>urologické</t>
  </si>
  <si>
    <t>ORL</t>
  </si>
  <si>
    <t>oftalmologie</t>
  </si>
  <si>
    <t>kožní</t>
  </si>
  <si>
    <t>radioterapeutické</t>
  </si>
  <si>
    <t>rehabilitační</t>
  </si>
  <si>
    <t>následná péče</t>
  </si>
  <si>
    <t>centrální JIP</t>
  </si>
  <si>
    <t>Rozbor mzdových nákladů podle kategorií</t>
  </si>
  <si>
    <t>k 31.12.2003</t>
  </si>
  <si>
    <t>k 31.12.2004</t>
  </si>
  <si>
    <t>Průměrný přepočtený počet</t>
  </si>
  <si>
    <t>mzdové náklady</t>
  </si>
  <si>
    <t>Průměrná mzda</t>
  </si>
  <si>
    <t>Lékaři</t>
  </si>
  <si>
    <t>Farmaceuti</t>
  </si>
  <si>
    <t>Jiní VŠ</t>
  </si>
  <si>
    <t>všeobecné sestry, porodní asistentky</t>
  </si>
  <si>
    <t>Jiní SŠ</t>
  </si>
  <si>
    <t>ostatní zdrav.pracovníci nelékaři s odbornou způsobilostí</t>
  </si>
  <si>
    <t>SZP</t>
  </si>
  <si>
    <t>zdrav.pracovníci nelékaři s odb. a special. způsobilostí</t>
  </si>
  <si>
    <t>NZP</t>
  </si>
  <si>
    <t>zdrav.pracovníci nelékaři pod odborn. dohledem nebo přímým vedením</t>
  </si>
  <si>
    <t>PZT</t>
  </si>
  <si>
    <t>jiní odborní pracovníci nelékaři s odbornou způsobilostí</t>
  </si>
  <si>
    <t>pedagogičtí pracovníci</t>
  </si>
  <si>
    <t>THP</t>
  </si>
  <si>
    <t>Dělníci a provozní pracovníci</t>
  </si>
  <si>
    <t>dělníci a provozní pracovníci</t>
  </si>
  <si>
    <t>Příspěvek na provoz</t>
  </si>
  <si>
    <t>Limit prostředků na platy</t>
  </si>
  <si>
    <t>Nemocnice Jihlava</t>
  </si>
  <si>
    <t>Závazky</t>
  </si>
  <si>
    <t>Příspěvek na sociální sestru, knihovnu a živelní pojištění UZ 00000</t>
  </si>
  <si>
    <t>Z nájemného ze smluv o nájmu movitého a nemovitého majetku UZ 00051</t>
  </si>
  <si>
    <t>Z příkazních smluv UZ 00052</t>
  </si>
  <si>
    <t>Z příjmů z prodeje movitého majetku UZ 00055</t>
  </si>
  <si>
    <t>I. Návrh finančního plánu, investičního plánu, odpisového plánu</t>
  </si>
  <si>
    <t>Podíl typů dotace na  nájemném</t>
  </si>
  <si>
    <t>Příspěvek resp. dotace na provoz - položka 5331</t>
  </si>
  <si>
    <t>Dotace na investice - položka 6351</t>
  </si>
  <si>
    <t>Rezerva na nepředvídané havárie</t>
  </si>
  <si>
    <t>Závazné ukazatele pro rok 2006</t>
  </si>
  <si>
    <t>Zůstatek účtu k 1.1.2005</t>
  </si>
  <si>
    <t>Stav k 1.1.2006</t>
  </si>
  <si>
    <t>Stav k 31.12.2006</t>
  </si>
  <si>
    <t>Skutečnost rok 2005</t>
  </si>
  <si>
    <t>Návrh na rok 2006</t>
  </si>
  <si>
    <t>Rozdíl 2006 - 2005</t>
  </si>
  <si>
    <t>Návrh příspěvku nebo dotace na provoz a investiční dotace pro rok 2006 (v porovnání s rokem 2005)</t>
  </si>
  <si>
    <t>k 31.12.2005</t>
  </si>
  <si>
    <t>stav k 31.12.2005</t>
  </si>
  <si>
    <t>Odpisový plán na rok 2006</t>
  </si>
  <si>
    <t>Účetní stav 2005</t>
  </si>
  <si>
    <t>Zůstatek účtu k 31.12.2005</t>
  </si>
  <si>
    <t>Plán tvorby a čerpání fondů 2006</t>
  </si>
  <si>
    <t>Stav k 1.1.2005</t>
  </si>
  <si>
    <t xml:space="preserve">   výnosy z prodeje hmotného inv. majetku</t>
  </si>
  <si>
    <t xml:space="preserve">   vlastní investiční výdaje na movité věci</t>
  </si>
  <si>
    <t xml:space="preserve">   investiční výdaje na movité věci ÚZ 00051</t>
  </si>
  <si>
    <t xml:space="preserve">   investiční výdaje na movité věci ÚZ 00052</t>
  </si>
  <si>
    <t xml:space="preserve">   investiční výdaje na TZ nemovitostí ÚZ 00051</t>
  </si>
  <si>
    <t xml:space="preserve">   investiční výdaje na TZ nemovitostí ÚZ 00052</t>
  </si>
  <si>
    <t>z toho převod z rozpočtu kraje k 31.12.2005</t>
  </si>
  <si>
    <t>z toho nařízený odvod z investičního fondu</t>
  </si>
  <si>
    <t>Rozdíl 2005 - 2004</t>
  </si>
  <si>
    <t>Vyčíslení nájemného v Kč</t>
  </si>
  <si>
    <t>II. Závazné ukazatele v tis. Kč</t>
  </si>
  <si>
    <t>celkem bez prostředků z investičního fondu</t>
  </si>
  <si>
    <t>I. Návrh finančního plánu, investičního plánu, odpisového plánu, závazné ukazatele</t>
  </si>
  <si>
    <t>Nemocnice Třebíč</t>
  </si>
  <si>
    <t>Hlavní</t>
  </si>
  <si>
    <t>Mimořádná dotace z prodeje nemovitostí</t>
  </si>
  <si>
    <t>Jiné</t>
  </si>
  <si>
    <t>Oprávky k 1.1.2005</t>
  </si>
  <si>
    <t>Odpisový plán na rok 2005</t>
  </si>
  <si>
    <t>stav k 31.12.2004</t>
  </si>
  <si>
    <t>z toho po lhůtě splatnosti</t>
  </si>
  <si>
    <t>"Stravovací provoz" UZ 00999</t>
  </si>
  <si>
    <t xml:space="preserve">   investiční výdaje na movitý</t>
  </si>
  <si>
    <t xml:space="preserve">   investiční výdaje na nemovitý</t>
  </si>
  <si>
    <t>převod do IF</t>
  </si>
  <si>
    <t>Skutečnost za rok 2005</t>
  </si>
  <si>
    <t xml:space="preserve">Doplňující </t>
  </si>
  <si>
    <t>Nemocnice Havlíčkův Brod</t>
  </si>
  <si>
    <t>Příspěvek na sociální sestru, knihovnu a živelní pojištění        UZ 00000</t>
  </si>
  <si>
    <t>Z příkazních smluv      UZ 00052</t>
  </si>
  <si>
    <t>Z příjmů z prodeje movitého majetku   UZ 00055</t>
  </si>
  <si>
    <t>dotace z kapitálových výdajů - schváleno usnesením 0076/01/2005/ZK</t>
  </si>
  <si>
    <t>Nemovitý majetek § 3522, položka 6351 v Kč</t>
  </si>
  <si>
    <t>Převedené prostředky z roku 2004</t>
  </si>
  <si>
    <t xml:space="preserve"> vlastní zdroje organizace</t>
  </si>
  <si>
    <t>UZ 00055</t>
  </si>
  <si>
    <t>CELKEM stavební investice - nemovitý majetek</t>
  </si>
  <si>
    <t>Movitý majetek § 3522, položka 6351 v Kč</t>
  </si>
  <si>
    <t>Strojní investice</t>
  </si>
  <si>
    <t>00052</t>
  </si>
  <si>
    <t>CELKEM strojní investice - movitý majetek</t>
  </si>
  <si>
    <t xml:space="preserve">     Opravy nemovitého majetku</t>
  </si>
  <si>
    <t>Náklady v tis. Kč</t>
  </si>
  <si>
    <t xml:space="preserve">            Opravy movitého majetku</t>
  </si>
  <si>
    <t xml:space="preserve">Celkem </t>
  </si>
  <si>
    <t>převod do investičního fondu</t>
  </si>
  <si>
    <r>
      <t xml:space="preserve">Z nájemného ze smluv o nájmu movitého a nemovitého majetku                   </t>
    </r>
    <r>
      <rPr>
        <b/>
        <sz val="9"/>
        <rFont val="Times New Roman"/>
        <family val="1"/>
      </rPr>
      <t>UZ 00051</t>
    </r>
  </si>
  <si>
    <t>Skutečnost 2004</t>
  </si>
  <si>
    <t>Skutečnost 2003</t>
  </si>
  <si>
    <t>Jiné (úřad práce)</t>
  </si>
  <si>
    <t>adaptace provozní budovy - rehabilitace</t>
  </si>
  <si>
    <t>Klimatizace k HW</t>
  </si>
  <si>
    <t>ekonomický SW QI</t>
  </si>
  <si>
    <t>operační stoly</t>
  </si>
  <si>
    <t>Adaptace provozní budovy - rehabilitace</t>
  </si>
  <si>
    <t>Gamakamera SPECT</t>
  </si>
  <si>
    <t>Přístroje interní JIP ( monitory, monitorovací centrála, plicní ventilátor, infusní pumpy, resuscitační lůžka, dávkovače, defibrilátor, EKG)</t>
  </si>
  <si>
    <t>Rekonstrukce NIS - přechod na grafické prostředí</t>
  </si>
  <si>
    <t>Digitalizace RDG pracoviště</t>
  </si>
  <si>
    <t>rowanet</t>
  </si>
  <si>
    <t>Oprávky k 1.1.2006</t>
  </si>
  <si>
    <t>Zůstatková cena k 31.12.2006</t>
  </si>
  <si>
    <t xml:space="preserve">    investiční dotace od zřizovatele00051</t>
  </si>
  <si>
    <t xml:space="preserve">    investiční dotace od zřizovatele00052</t>
  </si>
  <si>
    <t>IV. Lidské zdroje - rozbor mzdových nákladů</t>
  </si>
  <si>
    <t>v  Kč</t>
  </si>
  <si>
    <t>Kategorie</t>
  </si>
  <si>
    <t xml:space="preserve">   vyrovnání kumulované ztráty</t>
  </si>
  <si>
    <t xml:space="preserve">   opravy a údržba</t>
  </si>
  <si>
    <t xml:space="preserve">   příděl ze zlepšeného h. výsledku</t>
  </si>
  <si>
    <t>III. Plán čerpání investičního fondu - položkový přehled investičních akcí</t>
  </si>
  <si>
    <t>IV. Plán čerpání fondů</t>
  </si>
  <si>
    <t>V. Doplňující údaje z výsledků hospodaření za rok 2005</t>
  </si>
  <si>
    <t>TZ dveře ARO</t>
  </si>
  <si>
    <t xml:space="preserve">Demolice staré interny </t>
  </si>
  <si>
    <t>Projektová dokumentace soc. zař. porodnice</t>
  </si>
  <si>
    <t>Rekonstrukce soc. zařízení porodnice</t>
  </si>
  <si>
    <t>Projektová dokumentace na stav.úpravy CT</t>
  </si>
  <si>
    <t>Projektová dokumentace MaD</t>
  </si>
  <si>
    <t>Projektová dokumentace centralizace laboratoří</t>
  </si>
  <si>
    <t>Stavební úpravy CT</t>
  </si>
  <si>
    <t>PD využití CO skladu ( archív, sklady atd.)</t>
  </si>
  <si>
    <t>Rekonstrukce CO skladu (archív, sklady)</t>
  </si>
  <si>
    <t>Technologie výměníkové stanice (Družstevní)</t>
  </si>
  <si>
    <t>Rezerva stavební investice</t>
  </si>
  <si>
    <t>Kardiotokograf s telemetrií - gynekologie</t>
  </si>
  <si>
    <t>Transportní lůžko - chirurgie EMERGENCY</t>
  </si>
  <si>
    <t>Lůžkový monitor PHILIPS - dětské oddělení JIP</t>
  </si>
  <si>
    <t>RTG dg CT spirální - oddělení RDG</t>
  </si>
  <si>
    <t>Klimatizace pro CT</t>
  </si>
  <si>
    <t>Spánková laboratoř - přístr. vyb. - polysomnograf</t>
  </si>
  <si>
    <t>Osobní automobil</t>
  </si>
  <si>
    <t>Narkotizační přístroj 2ks</t>
  </si>
  <si>
    <t>Defibrilátory INT, INT amb., ORT JIP, Dětské</t>
  </si>
  <si>
    <t>Hemodialyzační monitory - 3ks</t>
  </si>
  <si>
    <t xml:space="preserve">Jícnová kardiologická sonda </t>
  </si>
  <si>
    <t>Elektroencefalograf ( EEG )</t>
  </si>
  <si>
    <t xml:space="preserve">Sonda k ultrazv. přístroji </t>
  </si>
  <si>
    <t>Lůžkový monitor ORT JIP - 2ks</t>
  </si>
  <si>
    <t>Resuscitační loutka</t>
  </si>
  <si>
    <t>Centrální zálohovací systém</t>
  </si>
  <si>
    <t>Inovace datové infrastruktury</t>
  </si>
  <si>
    <t>Rychlá jehličková tiskárna</t>
  </si>
  <si>
    <t>Rezerva strojní investice</t>
  </si>
  <si>
    <t>Převedené prostředky z roku 2005 a</t>
  </si>
  <si>
    <t>Předběžný požadavek na investiční akce mimo schvalovaný plán</t>
  </si>
  <si>
    <t>opravy nad rámec běžné údržby</t>
  </si>
  <si>
    <t>Předpokládané náklady (v Kč)</t>
  </si>
  <si>
    <t>chirurgie lůžka - havárie výměna stoupaček</t>
  </si>
  <si>
    <t>malování - oddělení</t>
  </si>
  <si>
    <t>výměna filtračních vložek  - čisté prostory</t>
  </si>
  <si>
    <t>oprava střech - havárie  (Družstevní, chirurgie, porodnice)</t>
  </si>
  <si>
    <t>oprava oken Velux st. chirurgie - havárie</t>
  </si>
  <si>
    <t>oprava oken - havárie (chirurgická JIP)</t>
  </si>
  <si>
    <t>oprava okapů - havárie (st. chirurgie, krčky)</t>
  </si>
  <si>
    <t>běžná údržba</t>
  </si>
  <si>
    <t>elektro</t>
  </si>
  <si>
    <t>ZTI</t>
  </si>
  <si>
    <t>topení</t>
  </si>
  <si>
    <t>zámečnictví</t>
  </si>
  <si>
    <t>malířství</t>
  </si>
  <si>
    <t>stavební drobné úpravy</t>
  </si>
  <si>
    <t>truhlářské práce</t>
  </si>
  <si>
    <t xml:space="preserve"> broušení nástrojů zdravotního zařízení</t>
  </si>
  <si>
    <t>opravy mediciálních plynů</t>
  </si>
  <si>
    <t>drobné opravy klimatizačního zařízení vč. M a R, chlazení, vlhčení</t>
  </si>
  <si>
    <t>drobné opravy MR, EPS, STA, EZS, telefonu</t>
  </si>
  <si>
    <t>celoroční údržba komunikací a chodníků</t>
  </si>
  <si>
    <t>zeleň</t>
  </si>
  <si>
    <t>VO</t>
  </si>
  <si>
    <t>závory, brány, oplocení</t>
  </si>
  <si>
    <t>drobné opravy výtahů</t>
  </si>
  <si>
    <t xml:space="preserve">drobné opravy v kotelnách a výměníkových stanicích </t>
  </si>
  <si>
    <t>drobné opravy plynových spotřebičů a zařízení</t>
  </si>
  <si>
    <t>nákup mechanizace a nářadí</t>
  </si>
  <si>
    <t>běžná údržba a opravy nad rámec běžné údržby</t>
  </si>
  <si>
    <t xml:space="preserve">    investiční dotace od zřizovatele 00051</t>
  </si>
  <si>
    <t xml:space="preserve">    investiční dotace od zřizovatele 00052</t>
  </si>
  <si>
    <t xml:space="preserve">   investiční výdaje na nemovitý 00051</t>
  </si>
  <si>
    <t xml:space="preserve">   investiční výdaje na nemovitý 00052</t>
  </si>
  <si>
    <t xml:space="preserve">   investiční výdaje na movitý 00052</t>
  </si>
  <si>
    <t xml:space="preserve">   investiční výdaje na movitý 00051</t>
  </si>
  <si>
    <t>vlastní inv. Výdaje  na TZ nemovitého majetku</t>
  </si>
  <si>
    <t>Rekonstrukce laboratoří - stavební část</t>
  </si>
  <si>
    <t>Lůžková váha</t>
  </si>
  <si>
    <t xml:space="preserve">Resuscitační lůžko </t>
  </si>
  <si>
    <t>Resuscitační lůžko</t>
  </si>
  <si>
    <t>Polohovací systém ARDO (matrace)</t>
  </si>
  <si>
    <t xml:space="preserve">Odsávačka  </t>
  </si>
  <si>
    <t xml:space="preserve">EKOFINISTER (likv.lids.odpadu) </t>
  </si>
  <si>
    <t>Oper.stoly-2ks, vým.deska-2ks,transp.voz.-2ks</t>
  </si>
  <si>
    <t>Desinfektor podložních mís</t>
  </si>
  <si>
    <t>Modul EEG</t>
  </si>
  <si>
    <t xml:space="preserve">Lůžko elektrické polohovací </t>
  </si>
  <si>
    <t xml:space="preserve">Videotiskárna k HDI 3000 </t>
  </si>
  <si>
    <t xml:space="preserve">Lůžko el.poloh. s přísl. vč.antidek.matr. </t>
  </si>
  <si>
    <t>Archiv (skříň) pro uložení paraf. bločků</t>
  </si>
  <si>
    <t>Víceúčelový zahrad.stroj (sníh, tráva, zametání)</t>
  </si>
  <si>
    <t>EIS</t>
  </si>
  <si>
    <t>MILAB přechod na WIN ver.</t>
  </si>
  <si>
    <t>RTG dg skiagraf.stac. - bez gener. a ovladače</t>
  </si>
  <si>
    <t>Pavilon MAD - stavební část</t>
  </si>
  <si>
    <t>Nemocnice Pelhřimov</t>
  </si>
  <si>
    <t xml:space="preserve">Doplňková </t>
  </si>
  <si>
    <t>CELKEM investice -nemovitý majetek</t>
  </si>
  <si>
    <t>CELKEM investice- movitý majetek</t>
  </si>
  <si>
    <t>Zůstat. cena k 31.12.2005</t>
  </si>
  <si>
    <t xml:space="preserve">   opravy a údžba nemovitého majetku</t>
  </si>
  <si>
    <t xml:space="preserve">   jiné</t>
  </si>
  <si>
    <t>Skutečnost 2005</t>
  </si>
  <si>
    <t>Návrh pro rok 2006</t>
  </si>
  <si>
    <t>scintilační gamakamera SPECT s 2 detektory</t>
  </si>
  <si>
    <t>2 kusy vyšetřovací gynekologický stůl Golem</t>
  </si>
  <si>
    <t>frankovací strojek</t>
  </si>
  <si>
    <t>rezerva</t>
  </si>
  <si>
    <t>projektová dokumentace na rekostrukci hlavní lůžkové budovy</t>
  </si>
  <si>
    <t>finančně nekrytý FRIM</t>
  </si>
  <si>
    <t>Plán oprav a údržby na rok 2006 v tis. Kč</t>
  </si>
  <si>
    <t>servisní a technické kontroly zdravotnických přístrojů</t>
  </si>
  <si>
    <t>strojní údržba</t>
  </si>
  <si>
    <t>údržba vozového parku</t>
  </si>
  <si>
    <t>stavební údržba</t>
  </si>
  <si>
    <t>malovaní objektů</t>
  </si>
  <si>
    <t>zdravotnická technika</t>
  </si>
  <si>
    <t>obnova softwaru</t>
  </si>
  <si>
    <t>upgrade hlavního serveru</t>
  </si>
  <si>
    <t>sanitní vozidla</t>
  </si>
  <si>
    <t>osobní vozidla</t>
  </si>
  <si>
    <t>osobní - dodávkové vozidlo</t>
  </si>
  <si>
    <t>tlakové varné zařízení</t>
  </si>
  <si>
    <t>malé automatické pračky</t>
  </si>
  <si>
    <t>kopírovací stroj</t>
  </si>
  <si>
    <t xml:space="preserve">GO výtahů </t>
  </si>
  <si>
    <t>projektová dokumentace opravy PAS</t>
  </si>
  <si>
    <t>stavební úpravy na gynekologicko porodnickém oddělení</t>
  </si>
  <si>
    <t>opravy střech</t>
  </si>
  <si>
    <t>rekonstrukce komunikací v horní části areálu</t>
  </si>
  <si>
    <t>rekostrukce hlavní lůžkové budovy</t>
  </si>
  <si>
    <t>Lůžkový fond</t>
  </si>
  <si>
    <t>Nemocnice Nové Město na Moravě</t>
  </si>
  <si>
    <t>Lékárna - výdejna léků</t>
  </si>
  <si>
    <t>CELKEM investice- nemovitý majetek</t>
  </si>
  <si>
    <t>dotace "Stravovací provoz"</t>
  </si>
  <si>
    <t>Narkotizační přístroj</t>
  </si>
  <si>
    <t>Laparoskopická věž</t>
  </si>
  <si>
    <t>Analyzátor krevního obrazu s 5populačním diferenciálem (HTO)</t>
  </si>
  <si>
    <t>Gamakamera</t>
  </si>
  <si>
    <t>Autokláv MLS 3780pro dekontaminaci infekčního odpadu</t>
  </si>
  <si>
    <t>Ultrazvuk pro vyšetřování novorozenců</t>
  </si>
  <si>
    <t>EEG</t>
  </si>
  <si>
    <t>Převozové vozdilo</t>
  </si>
  <si>
    <t>Výměna výpočetní techniky</t>
  </si>
  <si>
    <t>Defibrilátor</t>
  </si>
  <si>
    <t xml:space="preserve">EKG </t>
  </si>
  <si>
    <t>Elektrické rehabilitační lehátko (GE 3)</t>
  </si>
  <si>
    <t>Motorová dalha pro rehabilitaci kolene a kyčle</t>
  </si>
  <si>
    <t>Přenosný EKG přístroj</t>
  </si>
  <si>
    <t>Svářečka obalů kontinuální</t>
  </si>
  <si>
    <t>COS</t>
  </si>
  <si>
    <t>Optika 4 mm 25</t>
  </si>
  <si>
    <t>Optika 2,7 mm 25</t>
  </si>
  <si>
    <t>Kolonoskop</t>
  </si>
  <si>
    <t>Dialyzační monitor</t>
  </si>
  <si>
    <t>Kardiotokograf pro gemini</t>
  </si>
  <si>
    <t>Vyhřívané lůžko s fototerapií</t>
  </si>
  <si>
    <t>Motorová dlaha k rehabilitaci kolenních a kyčelních kloubů</t>
  </si>
  <si>
    <t>Shaver pro endoskopickou endonazální chirurgii</t>
  </si>
  <si>
    <t>Program NOAH do počítače pro foniatrii</t>
  </si>
  <si>
    <t>Fokometr, Optotyp</t>
  </si>
  <si>
    <t>Lymfoven - přístroj pro sekvenční tlakovou drenáž - lymfodrenáž</t>
  </si>
  <si>
    <t>Kombinovaný elektroléčebný terapeutický přístroj BTL 5825 se stolkem pod přístroj</t>
  </si>
  <si>
    <t>Magnetoterapeutický přístroj s aplikátory</t>
  </si>
  <si>
    <t>SZM - změna systému (VT+LE)</t>
  </si>
  <si>
    <t>LTRN B. kopec - realizace datové sítě a inastalace základů pro lok.inf.systém (VT+LE</t>
  </si>
  <si>
    <t>Stavební úpravy horního podlaží neurologie</t>
  </si>
  <si>
    <t>RTG pracoviště N.M.</t>
  </si>
  <si>
    <t>Úprava schodiště -dětské oddělení</t>
  </si>
  <si>
    <t>Rekonstrukce sociálek - dětské oddělení</t>
  </si>
  <si>
    <t>Stavební úpravy novorozeneckého oddělení</t>
  </si>
  <si>
    <t>Centrální laboratoře</t>
  </si>
  <si>
    <t>RTG pracoviště B.k.</t>
  </si>
  <si>
    <t>Projektová dokumentace "Rekonstrukce a přístavba interního pavilonu"-pro st. Povolení</t>
  </si>
  <si>
    <t xml:space="preserve">Stavební úpravy vrátnice </t>
  </si>
  <si>
    <t xml:space="preserve">Zateplení okálu </t>
  </si>
  <si>
    <t>Vstupní dveře gynekologie</t>
  </si>
  <si>
    <t xml:space="preserve">REKO gynekologie-dokončení </t>
  </si>
  <si>
    <t>Nájemné</t>
  </si>
  <si>
    <t>HV</t>
  </si>
  <si>
    <t>Příspěvek na provoz celkem</t>
  </si>
  <si>
    <t>Dotace na investice z nájemného</t>
  </si>
  <si>
    <t>HV bez dotace na provoz z nájemného</t>
  </si>
  <si>
    <t>HV bez dotace na provoz z nájemného ale s dotací na lineár</t>
  </si>
  <si>
    <t xml:space="preserve">z FP celkem </t>
  </si>
  <si>
    <t>z toho z nájemného</t>
  </si>
  <si>
    <t>Havlíčkův Brod</t>
  </si>
  <si>
    <t>Pelhřimov</t>
  </si>
  <si>
    <t>Třebíč</t>
  </si>
  <si>
    <t>Nové Město na Moravě</t>
  </si>
  <si>
    <t>Nemocnice</t>
  </si>
  <si>
    <t>Spotřeba energie (účet 502,503)</t>
  </si>
  <si>
    <t>Spotřeba materiálu</t>
  </si>
  <si>
    <t>Odpisy</t>
  </si>
  <si>
    <t>Tržby z prodeje služeb</t>
  </si>
  <si>
    <t>Tržby za prodané zboží</t>
  </si>
  <si>
    <t>z toho příkazní smlouvy</t>
  </si>
  <si>
    <t>navýšení tarifu o 5%</t>
  </si>
  <si>
    <t>navýšení "sestry"</t>
  </si>
  <si>
    <t>jiné</t>
  </si>
  <si>
    <t>nezdravotní technika</t>
  </si>
  <si>
    <t>zdravotní technika</t>
  </si>
  <si>
    <t>dopravní prostředky</t>
  </si>
  <si>
    <t>opravy stavení</t>
  </si>
  <si>
    <t>výplně otvorů budov</t>
  </si>
  <si>
    <t>opravy maleb a nátěrů</t>
  </si>
  <si>
    <t>opravy podlah</t>
  </si>
  <si>
    <t>opravy elektroinstalace</t>
  </si>
  <si>
    <t>opravy ÚT</t>
  </si>
  <si>
    <t>opravy vodoinstalace</t>
  </si>
  <si>
    <t>opravy bytovek - z nájemného</t>
  </si>
  <si>
    <t>zohlednění nárůstu od 1.9.2005</t>
  </si>
  <si>
    <t>Dotavce na investice z příkazních smluv</t>
  </si>
  <si>
    <t>Rozklad navýšení mzdových nákladů - bez odvodů</t>
  </si>
  <si>
    <t>Sklopná stěna s velkoplošným zesilovačem a digitalizací obrazu - doplatek z roku 2005</t>
  </si>
  <si>
    <t>V. Lůžkový fond</t>
  </si>
  <si>
    <t>LDN Třebíč</t>
  </si>
  <si>
    <t>Komentář: K nemocnici patří dále 100 lůžek léčebny pro dlouhodobě nemocné v Moravských Budějovicích. Ke dni 31.12.2004 došlo k zániku psychiatrického oddělení s celkovým počtem lůžek 50.</t>
  </si>
  <si>
    <t>Mzdové náklady podle kategorií</t>
  </si>
  <si>
    <r>
      <t xml:space="preserve">    investiční dotace od zřizovatele </t>
    </r>
    <r>
      <rPr>
        <b/>
        <sz val="7"/>
        <rFont val="Arial CE"/>
        <family val="2"/>
      </rPr>
      <t>00051</t>
    </r>
  </si>
  <si>
    <r>
      <t xml:space="preserve">    investiční dotace od zřizovatele </t>
    </r>
    <r>
      <rPr>
        <b/>
        <sz val="7"/>
        <rFont val="Arial CE"/>
        <family val="2"/>
      </rPr>
      <t>00052</t>
    </r>
  </si>
  <si>
    <r>
      <t xml:space="preserve">    investiční dotace od zřizovatele</t>
    </r>
    <r>
      <rPr>
        <b/>
        <sz val="7"/>
        <rFont val="Arial CE"/>
        <family val="2"/>
      </rPr>
      <t xml:space="preserve">  00052</t>
    </r>
  </si>
  <si>
    <t xml:space="preserve">   vlastní investiční výdaje na TZ nem. majetku</t>
  </si>
  <si>
    <t>LDN Buchtův kopec</t>
  </si>
  <si>
    <t>TRN Buchtův kopec</t>
  </si>
  <si>
    <t>Požadované další investice - mimo plán</t>
  </si>
  <si>
    <t>2004*</t>
  </si>
  <si>
    <t>Osobní náklady (mzdové náklady a odvody)</t>
  </si>
  <si>
    <t>Zůstatek bankovního účtu k 31.12.2005</t>
  </si>
  <si>
    <t>rezerva na opravy - havárie</t>
  </si>
  <si>
    <r>
      <t>rezerva na opravy nemovitého majetku v havarijním stavu</t>
    </r>
    <r>
      <rPr>
        <sz val="10"/>
        <rFont val="Arial CE"/>
        <family val="0"/>
      </rPr>
      <t xml:space="preserve"> </t>
    </r>
  </si>
  <si>
    <t>Finanční plány pro rok 2006 -105%</t>
  </si>
  <si>
    <t>dotace na provoz z nájemného v % (bez lineára)</t>
  </si>
  <si>
    <t>rezerva na investiční nákupy přístrojů v havarijním stavu</t>
  </si>
  <si>
    <t>Usnesení 0421/09/2006/RK - na úhradu škody z mimořádné události</t>
  </si>
  <si>
    <t>z toho sestry, knihovny, jiné</t>
  </si>
  <si>
    <t xml:space="preserve">Jiné,0420/09/2006/RK - semináře Centrální sterilizace </t>
  </si>
  <si>
    <t>Počet stran: 14</t>
  </si>
  <si>
    <t>RK-10-2006-58, př.1upr1</t>
  </si>
  <si>
    <t>Pozn.: Tržby navýšeny  - změna 103% na 105%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</si>
</sst>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[$-405]d\.\ mmmm\ yyyy"/>
    <numFmt numFmtId="171" formatCode="0.0000"/>
    <numFmt numFmtId="172" formatCode="0.000"/>
    <numFmt numFmtId="173" formatCode="#,##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00000"/>
    <numFmt numFmtId="189" formatCode="#,##0.000000"/>
    <numFmt numFmtId="190" formatCode="#,##0.00000"/>
    <numFmt numFmtId="191" formatCode="#,##0.0\ &quot;Kč&quot;"/>
    <numFmt numFmtId="192" formatCode="#,##0.00\ &quot;Kč&quot;"/>
    <numFmt numFmtId="193" formatCode="_-* #,##0.0\ &quot;Kč&quot;_-;\-* #,##0.0\ &quot;Kč&quot;_-;_-* &quot;-&quot;\ &quot;Kč&quot;_-;_-@_-"/>
    <numFmt numFmtId="194" formatCode="_-* #,##0.00\ &quot;Kč&quot;_-;\-* #,##0.00\ &quot;Kč&quot;_-;_-* &quot;-&quot;\ &quot;Kč&quot;_-;_-@_-"/>
    <numFmt numFmtId="195" formatCode="#,##0.00_ ;\-#,##0.00\ "/>
    <numFmt numFmtId="196" formatCode="#,##0.0000"/>
    <numFmt numFmtId="197" formatCode="#,##0.0000000"/>
    <numFmt numFmtId="198" formatCode="_-* #,##0.000\ &quot;Kč&quot;_-;\-* #,##0.000\ &quot;Kč&quot;_-;_-* &quot;-&quot;\ &quot;Kč&quot;_-;_-@_-"/>
    <numFmt numFmtId="199" formatCode="#,##0.00000000"/>
    <numFmt numFmtId="200" formatCode="#,##0.000000000"/>
    <numFmt numFmtId="201" formatCode="_-* #,##0.0000\ &quot;Kč&quot;_-;\-* #,##0.0000\ &quot;Kč&quot;_-;_-* &quot;-&quot;\ &quot;Kč&quot;_-;_-@_-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Arial CE"/>
      <family val="2"/>
    </font>
    <font>
      <b/>
      <sz val="10"/>
      <name val="Times New Roman"/>
      <family val="1"/>
    </font>
    <font>
      <b/>
      <sz val="8"/>
      <color indexed="10"/>
      <name val="Arial CE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imes New Roman CE"/>
      <family val="1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 horizontal="center" vertical="center"/>
      <protection/>
    </xf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00">
    <xf numFmtId="0" fontId="0" fillId="0" borderId="0" xfId="0" applyAlignment="1">
      <alignment/>
    </xf>
    <xf numFmtId="0" fontId="7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horizontal="centerContinuous" vertical="center"/>
    </xf>
    <xf numFmtId="0" fontId="7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 quotePrefix="1">
      <alignment horizontal="center"/>
    </xf>
    <xf numFmtId="0" fontId="2" fillId="2" borderId="10" xfId="0" applyFont="1" applyFill="1" applyBorder="1" applyAlignment="1">
      <alignment horizontal="center"/>
    </xf>
    <xf numFmtId="3" fontId="2" fillId="0" borderId="1" xfId="0" applyNumberFormat="1" applyFont="1" applyBorder="1" applyAlignment="1">
      <alignment vertical="center" wrapText="1"/>
    </xf>
    <xf numFmtId="0" fontId="7" fillId="2" borderId="11" xfId="0" applyFont="1" applyFill="1" applyBorder="1" applyAlignment="1">
      <alignment horizontal="left" vertical="center" wrapText="1"/>
    </xf>
    <xf numFmtId="3" fontId="7" fillId="2" borderId="11" xfId="0" applyNumberFormat="1" applyFont="1" applyFill="1" applyBorder="1" applyAlignment="1">
      <alignment vertical="center" wrapText="1"/>
    </xf>
    <xf numFmtId="3" fontId="7" fillId="2" borderId="12" xfId="0" applyNumberFormat="1" applyFont="1" applyFill="1" applyBorder="1" applyAlignment="1">
      <alignment vertical="center" wrapText="1"/>
    </xf>
    <xf numFmtId="3" fontId="7" fillId="2" borderId="13" xfId="0" applyNumberFormat="1" applyFont="1" applyFill="1" applyBorder="1" applyAlignment="1">
      <alignment vertical="center" wrapText="1"/>
    </xf>
    <xf numFmtId="3" fontId="7" fillId="2" borderId="14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 quotePrefix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3" fontId="7" fillId="0" borderId="15" xfId="0" applyNumberFormat="1" applyFont="1" applyBorder="1" applyAlignment="1">
      <alignment vertical="center" wrapText="1"/>
    </xf>
    <xf numFmtId="10" fontId="2" fillId="0" borderId="20" xfId="0" applyNumberFormat="1" applyFont="1" applyFill="1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10" fontId="2" fillId="0" borderId="2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 wrapText="1"/>
    </xf>
    <xf numFmtId="3" fontId="7" fillId="2" borderId="24" xfId="0" applyNumberFormat="1" applyFont="1" applyFill="1" applyBorder="1" applyAlignment="1">
      <alignment vertical="center" wrapText="1"/>
    </xf>
    <xf numFmtId="3" fontId="7" fillId="2" borderId="25" xfId="0" applyNumberFormat="1" applyFont="1" applyFill="1" applyBorder="1" applyAlignment="1">
      <alignment vertical="center" wrapText="1"/>
    </xf>
    <xf numFmtId="3" fontId="2" fillId="2" borderId="25" xfId="0" applyNumberFormat="1" applyFont="1" applyFill="1" applyBorder="1" applyAlignment="1">
      <alignment vertical="center" wrapText="1"/>
    </xf>
    <xf numFmtId="10" fontId="2" fillId="2" borderId="13" xfId="0" applyNumberFormat="1" applyFont="1" applyFill="1" applyBorder="1" applyAlignment="1">
      <alignment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0" fontId="7" fillId="0" borderId="29" xfId="0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/>
    </xf>
    <xf numFmtId="0" fontId="7" fillId="2" borderId="10" xfId="0" applyFont="1" applyFill="1" applyBorder="1" applyAlignment="1" quotePrefix="1">
      <alignment horizontal="center" vertical="center"/>
    </xf>
    <xf numFmtId="0" fontId="7" fillId="2" borderId="13" xfId="0" applyFont="1" applyFill="1" applyBorder="1" applyAlignment="1" quotePrefix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right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3" fontId="7" fillId="2" borderId="31" xfId="0" applyNumberFormat="1" applyFont="1" applyFill="1" applyBorder="1" applyAlignment="1">
      <alignment vertical="center" wrapText="1"/>
    </xf>
    <xf numFmtId="3" fontId="7" fillId="0" borderId="29" xfId="0" applyNumberFormat="1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/>
    </xf>
    <xf numFmtId="0" fontId="7" fillId="2" borderId="34" xfId="0" applyFont="1" applyFill="1" applyBorder="1" applyAlignment="1">
      <alignment horizontal="center" vertical="center" wrapText="1"/>
    </xf>
    <xf numFmtId="3" fontId="7" fillId="0" borderId="35" xfId="0" applyNumberFormat="1" applyFont="1" applyBorder="1" applyAlignment="1">
      <alignment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vertical="center" wrapText="1"/>
    </xf>
    <xf numFmtId="0" fontId="9" fillId="2" borderId="37" xfId="0" applyFont="1" applyFill="1" applyBorder="1" applyAlignment="1">
      <alignment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/>
    </xf>
    <xf numFmtId="0" fontId="7" fillId="2" borderId="17" xfId="0" applyFont="1" applyFill="1" applyBorder="1" applyAlignment="1">
      <alignment horizontal="center"/>
    </xf>
    <xf numFmtId="3" fontId="7" fillId="2" borderId="17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left" vertical="center"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/>
    </xf>
    <xf numFmtId="164" fontId="11" fillId="0" borderId="15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3" fontId="7" fillId="0" borderId="4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7" fillId="2" borderId="1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vertical="center"/>
    </xf>
    <xf numFmtId="3" fontId="7" fillId="2" borderId="13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2" fontId="7" fillId="2" borderId="11" xfId="0" applyNumberFormat="1" applyFont="1" applyFill="1" applyBorder="1" applyAlignment="1">
      <alignment vertical="center"/>
    </xf>
    <xf numFmtId="3" fontId="7" fillId="2" borderId="12" xfId="0" applyNumberFormat="1" applyFont="1" applyFill="1" applyBorder="1" applyAlignment="1">
      <alignment vertical="center"/>
    </xf>
    <xf numFmtId="3" fontId="7" fillId="2" borderId="41" xfId="0" applyNumberFormat="1" applyFont="1" applyFill="1" applyBorder="1" applyAlignment="1">
      <alignment vertical="center" wrapText="1"/>
    </xf>
    <xf numFmtId="3" fontId="7" fillId="2" borderId="41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3" fontId="7" fillId="0" borderId="21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7" fillId="2" borderId="42" xfId="22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0" fontId="5" fillId="3" borderId="21" xfId="0" applyNumberFormat="1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/>
    </xf>
    <xf numFmtId="10" fontId="5" fillId="3" borderId="22" xfId="0" applyNumberFormat="1" applyFont="1" applyFill="1" applyBorder="1" applyAlignment="1">
      <alignment horizontal="center" vertical="center"/>
    </xf>
    <xf numFmtId="10" fontId="5" fillId="3" borderId="30" xfId="0" applyNumberFormat="1" applyFont="1" applyFill="1" applyBorder="1" applyAlignment="1">
      <alignment horizontal="center" vertical="center"/>
    </xf>
    <xf numFmtId="10" fontId="5" fillId="3" borderId="17" xfId="0" applyNumberFormat="1" applyFont="1" applyFill="1" applyBorder="1" applyAlignment="1">
      <alignment horizontal="center" vertical="center"/>
    </xf>
    <xf numFmtId="10" fontId="5" fillId="3" borderId="18" xfId="0" applyNumberFormat="1" applyFont="1" applyFill="1" applyBorder="1" applyAlignment="1">
      <alignment horizontal="center" vertical="center"/>
    </xf>
    <xf numFmtId="10" fontId="5" fillId="3" borderId="29" xfId="0" applyNumberFormat="1" applyFont="1" applyFill="1" applyBorder="1" applyAlignment="1">
      <alignment horizontal="center" vertical="center"/>
    </xf>
    <xf numFmtId="10" fontId="5" fillId="3" borderId="15" xfId="0" applyNumberFormat="1" applyFont="1" applyFill="1" applyBorder="1" applyAlignment="1">
      <alignment horizontal="center" vertical="center"/>
    </xf>
    <xf numFmtId="10" fontId="5" fillId="3" borderId="20" xfId="0" applyNumberFormat="1" applyFont="1" applyFill="1" applyBorder="1" applyAlignment="1">
      <alignment horizontal="center" vertical="center"/>
    </xf>
    <xf numFmtId="10" fontId="7" fillId="2" borderId="17" xfId="0" applyNumberFormat="1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10" fontId="7" fillId="2" borderId="30" xfId="0" applyNumberFormat="1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10" fillId="2" borderId="4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10" fillId="2" borderId="45" xfId="0" applyFont="1" applyFill="1" applyBorder="1" applyAlignment="1" quotePrefix="1">
      <alignment horizontal="center"/>
    </xf>
    <xf numFmtId="0" fontId="10" fillId="2" borderId="48" xfId="0" applyFont="1" applyFill="1" applyBorder="1" applyAlignment="1">
      <alignment horizontal="center"/>
    </xf>
    <xf numFmtId="0" fontId="10" fillId="0" borderId="49" xfId="0" applyFont="1" applyBorder="1" applyAlignment="1">
      <alignment horizontal="left" vertical="center" wrapText="1"/>
    </xf>
    <xf numFmtId="3" fontId="10" fillId="0" borderId="29" xfId="0" applyNumberFormat="1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vertical="center" wrapText="1"/>
    </xf>
    <xf numFmtId="3" fontId="10" fillId="0" borderId="20" xfId="0" applyNumberFormat="1" applyFont="1" applyFill="1" applyBorder="1" applyAlignment="1">
      <alignment vertical="center" wrapText="1"/>
    </xf>
    <xf numFmtId="3" fontId="9" fillId="4" borderId="43" xfId="0" applyNumberFormat="1" applyFont="1" applyFill="1" applyBorder="1" applyAlignment="1">
      <alignment vertical="center" wrapText="1"/>
    </xf>
    <xf numFmtId="0" fontId="9" fillId="4" borderId="20" xfId="0" applyFont="1" applyFill="1" applyBorder="1" applyAlignment="1">
      <alignment vertical="center" wrapText="1"/>
    </xf>
    <xf numFmtId="0" fontId="10" fillId="0" borderId="50" xfId="0" applyFont="1" applyBorder="1" applyAlignment="1">
      <alignment horizontal="left" vertical="center" wrapText="1"/>
    </xf>
    <xf numFmtId="3" fontId="10" fillId="0" borderId="2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3" fontId="10" fillId="0" borderId="22" xfId="0" applyNumberFormat="1" applyFont="1" applyFill="1" applyBorder="1" applyAlignment="1">
      <alignment vertical="center" wrapText="1"/>
    </xf>
    <xf numFmtId="3" fontId="9" fillId="4" borderId="32" xfId="0" applyNumberFormat="1" applyFont="1" applyFill="1" applyBorder="1" applyAlignment="1">
      <alignment vertical="center" wrapText="1"/>
    </xf>
    <xf numFmtId="10" fontId="9" fillId="4" borderId="22" xfId="0" applyNumberFormat="1" applyFont="1" applyFill="1" applyBorder="1" applyAlignment="1">
      <alignment vertical="center" wrapText="1"/>
    </xf>
    <xf numFmtId="0" fontId="10" fillId="0" borderId="51" xfId="0" applyFont="1" applyBorder="1" applyAlignment="1">
      <alignment horizontal="left" vertical="center" wrapText="1"/>
    </xf>
    <xf numFmtId="3" fontId="10" fillId="0" borderId="23" xfId="0" applyNumberFormat="1" applyFont="1" applyFill="1" applyBorder="1" applyAlignment="1">
      <alignment vertical="center" wrapText="1"/>
    </xf>
    <xf numFmtId="3" fontId="10" fillId="0" borderId="35" xfId="0" applyNumberFormat="1" applyFont="1" applyBorder="1" applyAlignment="1">
      <alignment vertical="center" wrapText="1"/>
    </xf>
    <xf numFmtId="3" fontId="10" fillId="0" borderId="7" xfId="0" applyNumberFormat="1" applyFont="1" applyFill="1" applyBorder="1" applyAlignment="1">
      <alignment vertical="center" wrapText="1"/>
    </xf>
    <xf numFmtId="3" fontId="9" fillId="4" borderId="44" xfId="0" applyNumberFormat="1" applyFont="1" applyFill="1" applyBorder="1" applyAlignment="1">
      <alignment vertical="center" wrapText="1"/>
    </xf>
    <xf numFmtId="10" fontId="9" fillId="4" borderId="7" xfId="0" applyNumberFormat="1" applyFont="1" applyFill="1" applyBorder="1" applyAlignment="1">
      <alignment vertical="center" wrapText="1"/>
    </xf>
    <xf numFmtId="0" fontId="9" fillId="2" borderId="41" xfId="0" applyFont="1" applyFill="1" applyBorder="1" applyAlignment="1">
      <alignment horizontal="left" vertical="center" wrapText="1"/>
    </xf>
    <xf numFmtId="3" fontId="9" fillId="2" borderId="14" xfId="0" applyNumberFormat="1" applyFont="1" applyFill="1" applyBorder="1" applyAlignment="1">
      <alignment vertical="center" wrapText="1"/>
    </xf>
    <xf numFmtId="3" fontId="9" fillId="2" borderId="12" xfId="0" applyNumberFormat="1" applyFont="1" applyFill="1" applyBorder="1" applyAlignment="1">
      <alignment vertical="center" wrapText="1"/>
    </xf>
    <xf numFmtId="3" fontId="9" fillId="2" borderId="11" xfId="0" applyNumberFormat="1" applyFont="1" applyFill="1" applyBorder="1" applyAlignment="1">
      <alignment vertical="center" wrapText="1"/>
    </xf>
    <xf numFmtId="3" fontId="9" fillId="2" borderId="25" xfId="0" applyNumberFormat="1" applyFont="1" applyFill="1" applyBorder="1" applyAlignment="1">
      <alignment vertical="center" wrapText="1"/>
    </xf>
    <xf numFmtId="3" fontId="9" fillId="2" borderId="39" xfId="0" applyNumberFormat="1" applyFont="1" applyFill="1" applyBorder="1" applyAlignment="1">
      <alignment vertical="center" wrapText="1"/>
    </xf>
    <xf numFmtId="3" fontId="9" fillId="4" borderId="11" xfId="0" applyNumberFormat="1" applyFont="1" applyFill="1" applyBorder="1" applyAlignment="1">
      <alignment vertical="center" wrapText="1"/>
    </xf>
    <xf numFmtId="10" fontId="9" fillId="4" borderId="13" xfId="0" applyNumberFormat="1" applyFont="1" applyFill="1" applyBorder="1" applyAlignment="1">
      <alignment vertical="center" wrapText="1"/>
    </xf>
    <xf numFmtId="3" fontId="10" fillId="0" borderId="29" xfId="0" applyNumberFormat="1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10" fontId="9" fillId="4" borderId="2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3" fontId="10" fillId="0" borderId="21" xfId="0" applyNumberFormat="1" applyFont="1" applyFill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 wrapText="1"/>
    </xf>
    <xf numFmtId="0" fontId="10" fillId="0" borderId="51" xfId="0" applyFont="1" applyBorder="1" applyAlignment="1">
      <alignment vertical="center" wrapText="1"/>
    </xf>
    <xf numFmtId="3" fontId="10" fillId="0" borderId="23" xfId="0" applyNumberFormat="1" applyFont="1" applyBorder="1" applyAlignment="1">
      <alignment vertical="center" wrapText="1"/>
    </xf>
    <xf numFmtId="3" fontId="10" fillId="0" borderId="52" xfId="0" applyNumberFormat="1" applyFont="1" applyFill="1" applyBorder="1" applyAlignment="1">
      <alignment vertical="center" wrapText="1"/>
    </xf>
    <xf numFmtId="3" fontId="9" fillId="2" borderId="13" xfId="0" applyNumberFormat="1" applyFont="1" applyFill="1" applyBorder="1" applyAlignment="1">
      <alignment vertical="center" wrapText="1"/>
    </xf>
    <xf numFmtId="3" fontId="9" fillId="4" borderId="16" xfId="0" applyNumberFormat="1" applyFont="1" applyFill="1" applyBorder="1" applyAlignment="1">
      <alignment vertical="center" wrapText="1"/>
    </xf>
    <xf numFmtId="10" fontId="9" fillId="4" borderId="9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9" fillId="2" borderId="17" xfId="22" applyFont="1" applyFill="1" applyBorder="1" applyAlignment="1">
      <alignment horizontal="center" vertical="center"/>
      <protection/>
    </xf>
    <xf numFmtId="0" fontId="9" fillId="2" borderId="53" xfId="22" applyFont="1" applyFill="1" applyBorder="1" applyAlignment="1">
      <alignment horizontal="center" vertical="center"/>
      <protection/>
    </xf>
    <xf numFmtId="3" fontId="7" fillId="0" borderId="27" xfId="22" applyNumberFormat="1" applyFont="1" applyBorder="1" applyAlignment="1">
      <alignment horizontal="center" vertical="center"/>
      <protection/>
    </xf>
    <xf numFmtId="0" fontId="9" fillId="0" borderId="49" xfId="0" applyFont="1" applyBorder="1" applyAlignment="1">
      <alignment/>
    </xf>
    <xf numFmtId="3" fontId="7" fillId="0" borderId="1" xfId="0" applyNumberFormat="1" applyFont="1" applyBorder="1" applyAlignment="1" quotePrefix="1">
      <alignment horizontal="center"/>
    </xf>
    <xf numFmtId="3" fontId="7" fillId="0" borderId="20" xfId="0" applyNumberFormat="1" applyFont="1" applyBorder="1" applyAlignment="1" quotePrefix="1">
      <alignment horizontal="center"/>
    </xf>
    <xf numFmtId="3" fontId="7" fillId="0" borderId="49" xfId="0" applyNumberFormat="1" applyFont="1" applyBorder="1" applyAlignment="1">
      <alignment/>
    </xf>
    <xf numFmtId="3" fontId="7" fillId="0" borderId="54" xfId="0" applyNumberFormat="1" applyFont="1" applyBorder="1" applyAlignment="1" quotePrefix="1">
      <alignment horizontal="center"/>
    </xf>
    <xf numFmtId="0" fontId="9" fillId="0" borderId="50" xfId="0" applyFont="1" applyBorder="1" applyAlignment="1">
      <alignment/>
    </xf>
    <xf numFmtId="3" fontId="7" fillId="0" borderId="42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3" fontId="7" fillId="0" borderId="32" xfId="0" applyNumberFormat="1" applyFont="1" applyBorder="1" applyAlignment="1" quotePrefix="1">
      <alignment horizontal="center"/>
    </xf>
    <xf numFmtId="3" fontId="7" fillId="0" borderId="56" xfId="0" applyNumberFormat="1" applyFont="1" applyBorder="1" applyAlignment="1" quotePrefix="1">
      <alignment horizontal="center"/>
    </xf>
    <xf numFmtId="3" fontId="7" fillId="0" borderId="1" xfId="0" applyNumberFormat="1" applyFont="1" applyBorder="1" applyAlignment="1" quotePrefix="1">
      <alignment horizontal="right"/>
    </xf>
    <xf numFmtId="0" fontId="9" fillId="0" borderId="57" xfId="0" applyFont="1" applyBorder="1" applyAlignment="1">
      <alignment/>
    </xf>
    <xf numFmtId="3" fontId="7" fillId="0" borderId="53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57" xfId="0" applyNumberFormat="1" applyFont="1" applyBorder="1" applyAlignment="1">
      <alignment/>
    </xf>
    <xf numFmtId="3" fontId="7" fillId="0" borderId="58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2" borderId="59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7" fillId="2" borderId="42" xfId="0" applyNumberFormat="1" applyFont="1" applyFill="1" applyBorder="1" applyAlignment="1">
      <alignment horizontal="center"/>
    </xf>
    <xf numFmtId="3" fontId="7" fillId="2" borderId="22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vertical="center"/>
    </xf>
    <xf numFmtId="0" fontId="7" fillId="0" borderId="40" xfId="0" applyFont="1" applyBorder="1" applyAlignment="1">
      <alignment vertical="center"/>
    </xf>
    <xf numFmtId="164" fontId="11" fillId="0" borderId="20" xfId="0" applyNumberFormat="1" applyFont="1" applyBorder="1" applyAlignment="1">
      <alignment horizontal="right" vertical="center"/>
    </xf>
    <xf numFmtId="0" fontId="7" fillId="0" borderId="42" xfId="0" applyFont="1" applyBorder="1" applyAlignment="1">
      <alignment vertical="center"/>
    </xf>
    <xf numFmtId="0" fontId="7" fillId="2" borderId="25" xfId="0" applyFont="1" applyFill="1" applyBorder="1" applyAlignment="1">
      <alignment horizontal="right" vertical="center"/>
    </xf>
    <xf numFmtId="164" fontId="11" fillId="2" borderId="13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3" fontId="2" fillId="0" borderId="29" xfId="0" applyNumberFormat="1" applyFont="1" applyFill="1" applyBorder="1" applyAlignment="1">
      <alignment vertical="center" wrapText="1"/>
    </xf>
    <xf numFmtId="3" fontId="2" fillId="0" borderId="20" xfId="0" applyNumberFormat="1" applyFont="1" applyFill="1" applyBorder="1" applyAlignment="1">
      <alignment vertical="center" wrapText="1"/>
    </xf>
    <xf numFmtId="3" fontId="2" fillId="0" borderId="21" xfId="0" applyNumberFormat="1" applyFont="1" applyBorder="1" applyAlignment="1">
      <alignment vertical="center" wrapText="1"/>
    </xf>
    <xf numFmtId="3" fontId="2" fillId="0" borderId="22" xfId="0" applyNumberFormat="1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 wrapText="1"/>
    </xf>
    <xf numFmtId="3" fontId="2" fillId="0" borderId="35" xfId="0" applyNumberFormat="1" applyFont="1" applyBorder="1" applyAlignment="1">
      <alignment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7" fillId="2" borderId="39" xfId="0" applyNumberFormat="1" applyFont="1" applyFill="1" applyBorder="1" applyAlignment="1">
      <alignment vertical="center" wrapText="1"/>
    </xf>
    <xf numFmtId="3" fontId="2" fillId="0" borderId="29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3" fontId="2" fillId="0" borderId="2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23" xfId="0" applyNumberFormat="1" applyFont="1" applyBorder="1" applyAlignment="1">
      <alignment vertical="center" wrapText="1"/>
    </xf>
    <xf numFmtId="3" fontId="2" fillId="0" borderId="52" xfId="0" applyNumberFormat="1" applyFont="1" applyFill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2" fillId="0" borderId="50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3" fontId="7" fillId="0" borderId="26" xfId="22" applyNumberFormat="1" applyFont="1" applyBorder="1" applyAlignment="1">
      <alignment horizontal="right" vertical="center"/>
      <protection/>
    </xf>
    <xf numFmtId="3" fontId="7" fillId="0" borderId="9" xfId="22" applyNumberFormat="1" applyFont="1" applyBorder="1" applyAlignment="1">
      <alignment horizontal="right" vertical="center"/>
      <protection/>
    </xf>
    <xf numFmtId="0" fontId="7" fillId="0" borderId="0" xfId="0" applyFont="1" applyAlignment="1">
      <alignment/>
    </xf>
    <xf numFmtId="3" fontId="7" fillId="0" borderId="55" xfId="0" applyNumberFormat="1" applyFont="1" applyBorder="1" applyAlignment="1" quotePrefix="1">
      <alignment horizontal="center"/>
    </xf>
    <xf numFmtId="3" fontId="7" fillId="0" borderId="21" xfId="0" applyNumberFormat="1" applyFont="1" applyBorder="1" applyAlignment="1" quotePrefix="1">
      <alignment horizontal="right"/>
    </xf>
    <xf numFmtId="0" fontId="5" fillId="2" borderId="14" xfId="0" applyFont="1" applyFill="1" applyBorder="1" applyAlignment="1">
      <alignment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0" borderId="32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32" xfId="0" applyFont="1" applyBorder="1" applyAlignment="1">
      <alignment/>
    </xf>
    <xf numFmtId="3" fontId="7" fillId="0" borderId="1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0" fontId="7" fillId="0" borderId="16" xfId="0" applyFont="1" applyBorder="1" applyAlignment="1">
      <alignment/>
    </xf>
    <xf numFmtId="3" fontId="7" fillId="0" borderId="26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vertical="center"/>
    </xf>
    <xf numFmtId="3" fontId="7" fillId="0" borderId="52" xfId="0" applyNumberFormat="1" applyFont="1" applyFill="1" applyBorder="1" applyAlignment="1">
      <alignment vertical="center"/>
    </xf>
    <xf numFmtId="2" fontId="7" fillId="0" borderId="32" xfId="0" applyNumberFormat="1" applyFont="1" applyFill="1" applyBorder="1" applyAlignment="1">
      <alignment vertical="center"/>
    </xf>
    <xf numFmtId="0" fontId="2" fillId="0" borderId="44" xfId="0" applyFont="1" applyBorder="1" applyAlignment="1">
      <alignment vertical="center" wrapText="1"/>
    </xf>
    <xf numFmtId="3" fontId="7" fillId="0" borderId="60" xfId="0" applyNumberFormat="1" applyFont="1" applyBorder="1" applyAlignment="1">
      <alignment vertical="center" wrapText="1"/>
    </xf>
    <xf numFmtId="10" fontId="2" fillId="0" borderId="52" xfId="0" applyNumberFormat="1" applyFont="1" applyFill="1" applyBorder="1" applyAlignment="1">
      <alignment vertical="center" wrapText="1"/>
    </xf>
    <xf numFmtId="10" fontId="7" fillId="2" borderId="13" xfId="0" applyNumberFormat="1" applyFont="1" applyFill="1" applyBorder="1" applyAlignment="1">
      <alignment vertical="center" wrapText="1"/>
    </xf>
    <xf numFmtId="4" fontId="7" fillId="2" borderId="11" xfId="0" applyNumberFormat="1" applyFont="1" applyFill="1" applyBorder="1" applyAlignment="1">
      <alignment vertical="center"/>
    </xf>
    <xf numFmtId="0" fontId="5" fillId="2" borderId="3" xfId="20" applyFont="1" applyFill="1" applyBorder="1" applyAlignment="1">
      <alignment horizontal="centerContinuous"/>
      <protection/>
    </xf>
    <xf numFmtId="0" fontId="5" fillId="2" borderId="5" xfId="20" applyFont="1" applyFill="1" applyBorder="1" applyAlignment="1">
      <alignment horizontal="centerContinuous"/>
      <protection/>
    </xf>
    <xf numFmtId="0" fontId="5" fillId="2" borderId="4" xfId="20" applyFont="1" applyFill="1" applyBorder="1" applyAlignment="1">
      <alignment horizontal="centerContinuous"/>
      <protection/>
    </xf>
    <xf numFmtId="0" fontId="2" fillId="2" borderId="23" xfId="20" applyFont="1" applyFill="1" applyBorder="1" applyAlignment="1">
      <alignment horizontal="center"/>
      <protection/>
    </xf>
    <xf numFmtId="0" fontId="10" fillId="2" borderId="35" xfId="20" applyFont="1" applyFill="1" applyBorder="1" applyAlignment="1">
      <alignment horizontal="center"/>
      <protection/>
    </xf>
    <xf numFmtId="0" fontId="2" fillId="2" borderId="7" xfId="20" applyFont="1" applyFill="1" applyBorder="1" applyAlignment="1">
      <alignment horizontal="center"/>
      <protection/>
    </xf>
    <xf numFmtId="0" fontId="2" fillId="2" borderId="27" xfId="20" applyFont="1" applyFill="1" applyBorder="1" applyAlignment="1">
      <alignment horizontal="center"/>
      <protection/>
    </xf>
    <xf numFmtId="0" fontId="2" fillId="2" borderId="26" xfId="20" applyFont="1" applyFill="1" applyBorder="1" applyAlignment="1">
      <alignment horizontal="center"/>
      <protection/>
    </xf>
    <xf numFmtId="0" fontId="2" fillId="2" borderId="9" xfId="20" applyFont="1" applyFill="1" applyBorder="1" applyAlignment="1">
      <alignment horizontal="center"/>
      <protection/>
    </xf>
    <xf numFmtId="0" fontId="7" fillId="0" borderId="0" xfId="0" applyFont="1" applyAlignment="1">
      <alignment horizontal="centerContinuous"/>
    </xf>
    <xf numFmtId="0" fontId="2" fillId="0" borderId="43" xfId="0" applyFont="1" applyBorder="1" applyAlignment="1">
      <alignment horizontal="left" vertical="center" wrapText="1"/>
    </xf>
    <xf numFmtId="3" fontId="2" fillId="0" borderId="61" xfId="0" applyNumberFormat="1" applyFont="1" applyBorder="1" applyAlignment="1">
      <alignment vertical="center" wrapText="1"/>
    </xf>
    <xf numFmtId="3" fontId="7" fillId="4" borderId="43" xfId="0" applyNumberFormat="1" applyFont="1" applyFill="1" applyBorder="1" applyAlignment="1">
      <alignment vertical="center" wrapText="1"/>
    </xf>
    <xf numFmtId="0" fontId="7" fillId="4" borderId="40" xfId="0" applyFont="1" applyFill="1" applyBorder="1" applyAlignment="1">
      <alignment vertical="center" wrapText="1"/>
    </xf>
    <xf numFmtId="3" fontId="2" fillId="0" borderId="20" xfId="0" applyNumberFormat="1" applyFont="1" applyBorder="1" applyAlignment="1">
      <alignment vertical="center" wrapText="1"/>
    </xf>
    <xf numFmtId="0" fontId="7" fillId="4" borderId="20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3" fontId="2" fillId="0" borderId="32" xfId="0" applyNumberFormat="1" applyFont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7" fillId="4" borderId="32" xfId="0" applyNumberFormat="1" applyFont="1" applyFill="1" applyBorder="1" applyAlignment="1">
      <alignment vertical="center" wrapText="1"/>
    </xf>
    <xf numFmtId="10" fontId="7" fillId="4" borderId="42" xfId="0" applyNumberFormat="1" applyFont="1" applyFill="1" applyBorder="1" applyAlignment="1">
      <alignment vertical="center" wrapText="1"/>
    </xf>
    <xf numFmtId="10" fontId="7" fillId="4" borderId="22" xfId="0" applyNumberFormat="1" applyFont="1" applyFill="1" applyBorder="1" applyAlignment="1">
      <alignment vertical="center" wrapText="1"/>
    </xf>
    <xf numFmtId="0" fontId="10" fillId="0" borderId="3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3" fontId="2" fillId="0" borderId="35" xfId="0" applyNumberFormat="1" applyFont="1" applyFill="1" applyBorder="1" applyAlignment="1">
      <alignment vertical="center" wrapText="1"/>
    </xf>
    <xf numFmtId="3" fontId="7" fillId="4" borderId="44" xfId="0" applyNumberFormat="1" applyFont="1" applyFill="1" applyBorder="1" applyAlignment="1">
      <alignment vertical="center" wrapText="1"/>
    </xf>
    <xf numFmtId="10" fontId="7" fillId="4" borderId="8" xfId="0" applyNumberFormat="1" applyFont="1" applyFill="1" applyBorder="1" applyAlignment="1">
      <alignment vertical="center" wrapText="1"/>
    </xf>
    <xf numFmtId="3" fontId="7" fillId="4" borderId="11" xfId="0" applyNumberFormat="1" applyFont="1" applyFill="1" applyBorder="1" applyAlignment="1">
      <alignment vertical="center" wrapText="1"/>
    </xf>
    <xf numFmtId="10" fontId="7" fillId="4" borderId="13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vertical="center" wrapText="1"/>
    </xf>
    <xf numFmtId="10" fontId="7" fillId="4" borderId="40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9" fillId="2" borderId="62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0" fontId="13" fillId="0" borderId="36" xfId="0" applyFont="1" applyBorder="1" applyAlignment="1">
      <alignment vertical="center" wrapText="1"/>
    </xf>
    <xf numFmtId="3" fontId="7" fillId="0" borderId="63" xfId="0" applyNumberFormat="1" applyFont="1" applyBorder="1" applyAlignment="1">
      <alignment vertical="center" wrapText="1"/>
    </xf>
    <xf numFmtId="3" fontId="7" fillId="0" borderId="59" xfId="0" applyNumberFormat="1" applyFont="1" applyBorder="1" applyAlignment="1">
      <alignment vertical="center" wrapText="1"/>
    </xf>
    <xf numFmtId="0" fontId="13" fillId="0" borderId="50" xfId="0" applyFont="1" applyBorder="1" applyAlignment="1">
      <alignment vertical="center" wrapText="1"/>
    </xf>
    <xf numFmtId="3" fontId="7" fillId="0" borderId="64" xfId="0" applyNumberFormat="1" applyFont="1" applyBorder="1" applyAlignment="1">
      <alignment vertical="center" wrapText="1"/>
    </xf>
    <xf numFmtId="10" fontId="7" fillId="0" borderId="1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2" borderId="41" xfId="0" applyFont="1" applyFill="1" applyBorder="1" applyAlignment="1">
      <alignment vertical="center" wrapText="1"/>
    </xf>
    <xf numFmtId="3" fontId="2" fillId="0" borderId="0" xfId="0" applyNumberFormat="1" applyFont="1" applyAlignment="1">
      <alignment/>
    </xf>
    <xf numFmtId="3" fontId="7" fillId="0" borderId="15" xfId="0" applyNumberFormat="1" applyFont="1" applyBorder="1" applyAlignment="1">
      <alignment vertical="center"/>
    </xf>
    <xf numFmtId="0" fontId="7" fillId="2" borderId="14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3" xfId="0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2" borderId="17" xfId="22" applyFont="1" applyFill="1" applyBorder="1" applyAlignment="1">
      <alignment horizontal="center" vertical="center"/>
      <protection/>
    </xf>
    <xf numFmtId="3" fontId="7" fillId="0" borderId="16" xfId="22" applyNumberFormat="1" applyFont="1" applyBorder="1" applyAlignment="1">
      <alignment horizontal="center" vertical="center"/>
      <protection/>
    </xf>
    <xf numFmtId="3" fontId="7" fillId="0" borderId="66" xfId="22" applyNumberFormat="1" applyFont="1" applyBorder="1" applyAlignment="1">
      <alignment horizontal="right" vertical="center"/>
      <protection/>
    </xf>
    <xf numFmtId="0" fontId="7" fillId="0" borderId="49" xfId="0" applyFont="1" applyBorder="1" applyAlignment="1">
      <alignment/>
    </xf>
    <xf numFmtId="3" fontId="7" fillId="0" borderId="15" xfId="0" applyNumberFormat="1" applyFont="1" applyBorder="1" applyAlignment="1" quotePrefix="1">
      <alignment horizontal="center"/>
    </xf>
    <xf numFmtId="0" fontId="7" fillId="0" borderId="50" xfId="0" applyFont="1" applyBorder="1" applyAlignment="1">
      <alignment/>
    </xf>
    <xf numFmtId="3" fontId="7" fillId="0" borderId="61" xfId="0" applyNumberFormat="1" applyFont="1" applyBorder="1" applyAlignment="1" quotePrefix="1">
      <alignment horizontal="center"/>
    </xf>
    <xf numFmtId="0" fontId="7" fillId="0" borderId="57" xfId="0" applyFont="1" applyBorder="1" applyAlignment="1">
      <alignment/>
    </xf>
    <xf numFmtId="0" fontId="11" fillId="0" borderId="15" xfId="0" applyFont="1" applyBorder="1" applyAlignment="1">
      <alignment horizontal="right" vertical="center"/>
    </xf>
    <xf numFmtId="0" fontId="11" fillId="0" borderId="40" xfId="0" applyFont="1" applyBorder="1" applyAlignment="1">
      <alignment horizontal="center" vertical="center"/>
    </xf>
    <xf numFmtId="164" fontId="11" fillId="0" borderId="43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42" xfId="0" applyFont="1" applyBorder="1" applyAlignment="1">
      <alignment horizontal="center" vertical="center"/>
    </xf>
    <xf numFmtId="164" fontId="11" fillId="0" borderId="32" xfId="0" applyNumberFormat="1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11" fillId="0" borderId="67" xfId="0" applyFont="1" applyBorder="1" applyAlignment="1">
      <alignment horizontal="center" vertical="center"/>
    </xf>
    <xf numFmtId="164" fontId="11" fillId="0" borderId="44" xfId="0" applyNumberFormat="1" applyFont="1" applyBorder="1" applyAlignment="1">
      <alignment horizontal="right" vertical="center"/>
    </xf>
    <xf numFmtId="0" fontId="9" fillId="2" borderId="5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2" fontId="7" fillId="0" borderId="44" xfId="0" applyNumberFormat="1" applyFont="1" applyFill="1" applyBorder="1" applyAlignment="1">
      <alignment vertical="center"/>
    </xf>
    <xf numFmtId="3" fontId="7" fillId="0" borderId="35" xfId="0" applyNumberFormat="1" applyFont="1" applyFill="1" applyBorder="1" applyAlignment="1">
      <alignment vertical="center"/>
    </xf>
    <xf numFmtId="3" fontId="7" fillId="0" borderId="67" xfId="0" applyNumberFormat="1" applyFont="1" applyFill="1" applyBorder="1" applyAlignment="1">
      <alignment vertical="center"/>
    </xf>
    <xf numFmtId="3" fontId="7" fillId="0" borderId="60" xfId="0" applyNumberFormat="1" applyFont="1" applyFill="1" applyBorder="1" applyAlignment="1">
      <alignment vertical="center"/>
    </xf>
    <xf numFmtId="3" fontId="7" fillId="0" borderId="42" xfId="0" applyNumberFormat="1" applyFont="1" applyFill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54" xfId="0" applyNumberFormat="1" applyFont="1" applyBorder="1" applyAlignment="1">
      <alignment vertical="center" wrapText="1"/>
    </xf>
    <xf numFmtId="0" fontId="7" fillId="0" borderId="40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9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4" xfId="0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56" xfId="22" applyFont="1" applyFill="1" applyBorder="1" applyAlignment="1">
      <alignment horizontal="center" vertical="center"/>
      <protection/>
    </xf>
    <xf numFmtId="0" fontId="7" fillId="2" borderId="59" xfId="22" applyFont="1" applyFill="1" applyBorder="1" applyAlignment="1">
      <alignment horizontal="center" vertical="center"/>
      <protection/>
    </xf>
    <xf numFmtId="10" fontId="7" fillId="0" borderId="15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 wrapText="1"/>
    </xf>
    <xf numFmtId="3" fontId="7" fillId="4" borderId="2" xfId="0" applyNumberFormat="1" applyFont="1" applyFill="1" applyBorder="1" applyAlignment="1">
      <alignment vertical="center" wrapText="1"/>
    </xf>
    <xf numFmtId="10" fontId="7" fillId="4" borderId="4" xfId="0" applyNumberFormat="1" applyFont="1" applyFill="1" applyBorder="1" applyAlignment="1">
      <alignment vertical="center" wrapText="1"/>
    </xf>
    <xf numFmtId="3" fontId="7" fillId="4" borderId="19" xfId="0" applyNumberFormat="1" applyFont="1" applyFill="1" applyBorder="1" applyAlignment="1">
      <alignment vertical="center" wrapText="1"/>
    </xf>
    <xf numFmtId="10" fontId="7" fillId="4" borderId="18" xfId="0" applyNumberFormat="1" applyFont="1" applyFill="1" applyBorder="1" applyAlignment="1">
      <alignment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69" xfId="0" applyNumberFormat="1" applyFont="1" applyBorder="1" applyAlignment="1">
      <alignment vertical="center" wrapText="1"/>
    </xf>
    <xf numFmtId="3" fontId="2" fillId="0" borderId="70" xfId="0" applyNumberFormat="1" applyFont="1" applyFill="1" applyBorder="1" applyAlignment="1">
      <alignment vertical="center" wrapText="1"/>
    </xf>
    <xf numFmtId="3" fontId="2" fillId="0" borderId="50" xfId="0" applyNumberFormat="1" applyFont="1" applyFill="1" applyBorder="1" applyAlignment="1">
      <alignment vertical="center" wrapText="1"/>
    </xf>
    <xf numFmtId="3" fontId="2" fillId="0" borderId="51" xfId="0" applyNumberFormat="1" applyFont="1" applyFill="1" applyBorder="1" applyAlignment="1">
      <alignment vertical="center" wrapText="1"/>
    </xf>
    <xf numFmtId="3" fontId="2" fillId="0" borderId="69" xfId="0" applyNumberFormat="1" applyFont="1" applyFill="1" applyBorder="1" applyAlignment="1">
      <alignment vertical="center" wrapText="1"/>
    </xf>
    <xf numFmtId="3" fontId="2" fillId="0" borderId="49" xfId="0" applyNumberFormat="1" applyFont="1" applyFill="1" applyBorder="1" applyAlignment="1">
      <alignment vertical="center" wrapText="1"/>
    </xf>
    <xf numFmtId="3" fontId="2" fillId="0" borderId="49" xfId="0" applyNumberFormat="1" applyFont="1" applyBorder="1" applyAlignment="1">
      <alignment vertical="center" wrapText="1"/>
    </xf>
    <xf numFmtId="3" fontId="7" fillId="2" borderId="41" xfId="0" applyNumberFormat="1" applyFont="1" applyFill="1" applyBorder="1" applyAlignment="1">
      <alignment horizontal="right" vertical="center" wrapText="1"/>
    </xf>
    <xf numFmtId="3" fontId="7" fillId="2" borderId="69" xfId="0" applyNumberFormat="1" applyFont="1" applyFill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5" xfId="0" applyFont="1" applyFill="1" applyBorder="1" applyAlignment="1" quotePrefix="1">
      <alignment horizontal="center" vertical="center"/>
    </xf>
    <xf numFmtId="0" fontId="7" fillId="0" borderId="40" xfId="0" applyFont="1" applyFill="1" applyBorder="1" applyAlignment="1">
      <alignment vertical="center"/>
    </xf>
    <xf numFmtId="169" fontId="7" fillId="0" borderId="40" xfId="0" applyNumberFormat="1" applyFont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169" fontId="7" fillId="0" borderId="42" xfId="0" applyNumberFormat="1" applyFont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69" fontId="7" fillId="0" borderId="8" xfId="0" applyNumberFormat="1" applyFont="1" applyBorder="1" applyAlignment="1">
      <alignment vertical="center"/>
    </xf>
    <xf numFmtId="164" fontId="11" fillId="0" borderId="35" xfId="0" applyNumberFormat="1" applyFont="1" applyBorder="1" applyAlignment="1">
      <alignment horizontal="right" vertical="center"/>
    </xf>
    <xf numFmtId="164" fontId="11" fillId="0" borderId="52" xfId="0" applyNumberFormat="1" applyFont="1" applyBorder="1" applyAlignment="1">
      <alignment horizontal="right" vertical="center"/>
    </xf>
    <xf numFmtId="0" fontId="11" fillId="2" borderId="25" xfId="0" applyFont="1" applyFill="1" applyBorder="1" applyAlignment="1">
      <alignment horizontal="center" vertical="center"/>
    </xf>
    <xf numFmtId="164" fontId="11" fillId="2" borderId="31" xfId="0" applyNumberFormat="1" applyFont="1" applyFill="1" applyBorder="1" applyAlignment="1">
      <alignment horizontal="right" vertical="center"/>
    </xf>
    <xf numFmtId="169" fontId="7" fillId="2" borderId="12" xfId="0" applyNumberFormat="1" applyFont="1" applyFill="1" applyBorder="1" applyAlignment="1">
      <alignment horizontal="right" vertical="center" wrapText="1"/>
    </xf>
    <xf numFmtId="164" fontId="11" fillId="2" borderId="25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2" fontId="7" fillId="0" borderId="67" xfId="0" applyNumberFormat="1" applyFont="1" applyFill="1" applyBorder="1" applyAlignment="1">
      <alignment vertical="center"/>
    </xf>
    <xf numFmtId="2" fontId="7" fillId="0" borderId="8" xfId="0" applyNumberFormat="1" applyFont="1" applyFill="1" applyBorder="1" applyAlignment="1">
      <alignment vertical="center"/>
    </xf>
    <xf numFmtId="2" fontId="7" fillId="0" borderId="42" xfId="0" applyNumberFormat="1" applyFont="1" applyFill="1" applyBorder="1" applyAlignment="1">
      <alignment vertical="center"/>
    </xf>
    <xf numFmtId="2" fontId="7" fillId="2" borderId="12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0" fontId="7" fillId="2" borderId="21" xfId="0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3" fontId="7" fillId="2" borderId="42" xfId="0" applyNumberFormat="1" applyFont="1" applyFill="1" applyBorder="1" applyAlignment="1">
      <alignment/>
    </xf>
    <xf numFmtId="3" fontId="7" fillId="2" borderId="22" xfId="0" applyNumberFormat="1" applyFont="1" applyFill="1" applyBorder="1" applyAlignment="1">
      <alignment/>
    </xf>
    <xf numFmtId="0" fontId="7" fillId="2" borderId="30" xfId="0" applyFont="1" applyFill="1" applyBorder="1" applyAlignment="1">
      <alignment/>
    </xf>
    <xf numFmtId="3" fontId="7" fillId="2" borderId="53" xfId="0" applyNumberFormat="1" applyFont="1" applyFill="1" applyBorder="1" applyAlignment="1">
      <alignment/>
    </xf>
    <xf numFmtId="3" fontId="7" fillId="2" borderId="18" xfId="0" applyNumberFormat="1" applyFont="1" applyFill="1" applyBorder="1" applyAlignment="1">
      <alignment/>
    </xf>
    <xf numFmtId="3" fontId="7" fillId="0" borderId="0" xfId="22" applyNumberFormat="1" applyFont="1" applyBorder="1" applyAlignment="1">
      <alignment horizontal="center" vertical="center"/>
      <protection/>
    </xf>
    <xf numFmtId="3" fontId="7" fillId="0" borderId="0" xfId="22" applyNumberFormat="1" applyFont="1" applyBorder="1" applyAlignment="1">
      <alignment horizontal="right" vertical="center"/>
      <protection/>
    </xf>
    <xf numFmtId="3" fontId="7" fillId="0" borderId="22" xfId="0" applyNumberFormat="1" applyFont="1" applyBorder="1" applyAlignment="1" quotePrefix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169" fontId="5" fillId="3" borderId="4" xfId="0" applyNumberFormat="1" applyFont="1" applyFill="1" applyBorder="1" applyAlignment="1">
      <alignment vertical="center"/>
    </xf>
    <xf numFmtId="169" fontId="5" fillId="3" borderId="22" xfId="0" applyNumberFormat="1" applyFont="1" applyFill="1" applyBorder="1" applyAlignment="1">
      <alignment vertical="center"/>
    </xf>
    <xf numFmtId="0" fontId="5" fillId="3" borderId="29" xfId="0" applyFont="1" applyFill="1" applyBorder="1" applyAlignment="1">
      <alignment horizontal="center" vertical="center"/>
    </xf>
    <xf numFmtId="10" fontId="7" fillId="0" borderId="20" xfId="0" applyNumberFormat="1" applyFont="1" applyBorder="1" applyAlignment="1">
      <alignment horizontal="center" vertical="center"/>
    </xf>
    <xf numFmtId="169" fontId="7" fillId="3" borderId="4" xfId="0" applyNumberFormat="1" applyFont="1" applyFill="1" applyBorder="1" applyAlignment="1">
      <alignment vertical="center"/>
    </xf>
    <xf numFmtId="169" fontId="7" fillId="3" borderId="22" xfId="0" applyNumberFormat="1" applyFont="1" applyFill="1" applyBorder="1" applyAlignment="1">
      <alignment vertical="center"/>
    </xf>
    <xf numFmtId="169" fontId="7" fillId="3" borderId="9" xfId="0" applyNumberFormat="1" applyFont="1" applyFill="1" applyBorder="1" applyAlignment="1">
      <alignment vertical="center"/>
    </xf>
    <xf numFmtId="0" fontId="10" fillId="0" borderId="1" xfId="0" applyFont="1" applyBorder="1" applyAlignment="1">
      <alignment/>
    </xf>
    <xf numFmtId="4" fontId="2" fillId="0" borderId="40" xfId="23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3" fontId="7" fillId="0" borderId="1" xfId="0" applyNumberFormat="1" applyFont="1" applyFill="1" applyBorder="1" applyAlignment="1">
      <alignment vertical="center" wrapText="1"/>
    </xf>
    <xf numFmtId="4" fontId="7" fillId="0" borderId="42" xfId="23" applyNumberFormat="1" applyFont="1" applyFill="1" applyBorder="1" applyAlignment="1">
      <alignment vertical="center" wrapText="1"/>
      <protection/>
    </xf>
    <xf numFmtId="4" fontId="7" fillId="0" borderId="8" xfId="23" applyNumberFormat="1" applyFont="1" applyFill="1" applyBorder="1" applyAlignment="1">
      <alignment vertical="center" wrapText="1"/>
      <protection/>
    </xf>
    <xf numFmtId="4" fontId="7" fillId="0" borderId="40" xfId="23" applyNumberFormat="1" applyFont="1" applyFill="1" applyBorder="1" applyAlignment="1">
      <alignment vertical="center" wrapText="1"/>
      <protection/>
    </xf>
    <xf numFmtId="0" fontId="10" fillId="0" borderId="5" xfId="0" applyFont="1" applyBorder="1" applyAlignment="1">
      <alignment/>
    </xf>
    <xf numFmtId="0" fontId="0" fillId="0" borderId="3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71" xfId="0" applyFont="1" applyBorder="1" applyAlignment="1">
      <alignment/>
    </xf>
    <xf numFmtId="0" fontId="2" fillId="2" borderId="44" xfId="0" applyFont="1" applyFill="1" applyBorder="1" applyAlignment="1">
      <alignment horizontal="center"/>
    </xf>
    <xf numFmtId="3" fontId="2" fillId="0" borderId="65" xfId="0" applyNumberFormat="1" applyFont="1" applyBorder="1" applyAlignment="1">
      <alignment vertical="center" wrapText="1"/>
    </xf>
    <xf numFmtId="3" fontId="2" fillId="4" borderId="43" xfId="0" applyNumberFormat="1" applyFont="1" applyFill="1" applyBorder="1" applyAlignment="1">
      <alignment vertical="center" wrapText="1"/>
    </xf>
    <xf numFmtId="0" fontId="0" fillId="4" borderId="20" xfId="0" applyFont="1" applyFill="1" applyBorder="1" applyAlignment="1">
      <alignment vertical="center" wrapText="1"/>
    </xf>
    <xf numFmtId="3" fontId="2" fillId="0" borderId="63" xfId="0" applyNumberFormat="1" applyFont="1" applyBorder="1" applyAlignment="1">
      <alignment vertical="center" wrapText="1"/>
    </xf>
    <xf numFmtId="3" fontId="2" fillId="4" borderId="32" xfId="0" applyNumberFormat="1" applyFont="1" applyFill="1" applyBorder="1" applyAlignment="1">
      <alignment vertical="center" wrapText="1"/>
    </xf>
    <xf numFmtId="10" fontId="2" fillId="4" borderId="22" xfId="0" applyNumberFormat="1" applyFont="1" applyFill="1" applyBorder="1" applyAlignment="1">
      <alignment vertical="center" wrapText="1"/>
    </xf>
    <xf numFmtId="3" fontId="2" fillId="0" borderId="59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3" fontId="2" fillId="0" borderId="64" xfId="0" applyNumberFormat="1" applyFont="1" applyBorder="1" applyAlignment="1">
      <alignment vertical="center" wrapText="1"/>
    </xf>
    <xf numFmtId="10" fontId="7" fillId="0" borderId="30" xfId="0" applyNumberFormat="1" applyFont="1" applyBorder="1" applyAlignment="1">
      <alignment horizontal="center" vertical="center"/>
    </xf>
    <xf numFmtId="0" fontId="7" fillId="2" borderId="53" xfId="22" applyFont="1" applyFill="1" applyBorder="1" applyAlignment="1">
      <alignment horizontal="center" vertical="center"/>
      <protection/>
    </xf>
    <xf numFmtId="3" fontId="7" fillId="0" borderId="10" xfId="22" applyNumberFormat="1" applyFont="1" applyBorder="1" applyAlignment="1">
      <alignment horizontal="right" vertical="center"/>
      <protection/>
    </xf>
    <xf numFmtId="0" fontId="7" fillId="0" borderId="3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2" fillId="2" borderId="3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3" fontId="2" fillId="0" borderId="55" xfId="0" applyNumberFormat="1" applyFont="1" applyBorder="1" applyAlignment="1">
      <alignment vertical="center" wrapText="1"/>
    </xf>
    <xf numFmtId="3" fontId="7" fillId="2" borderId="11" xfId="0" applyNumberFormat="1" applyFont="1" applyFill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3" fontId="2" fillId="0" borderId="72" xfId="0" applyNumberFormat="1" applyFont="1" applyBorder="1" applyAlignment="1">
      <alignment vertical="center" wrapText="1"/>
    </xf>
    <xf numFmtId="10" fontId="2" fillId="4" borderId="13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 wrapText="1"/>
    </xf>
    <xf numFmtId="3" fontId="2" fillId="0" borderId="73" xfId="0" applyNumberFormat="1" applyFont="1" applyBorder="1" applyAlignment="1">
      <alignment vertical="center" wrapText="1"/>
    </xf>
    <xf numFmtId="10" fontId="2" fillId="4" borderId="1" xfId="0" applyNumberFormat="1" applyFont="1" applyFill="1" applyBorder="1" applyAlignment="1">
      <alignment vertical="center" wrapText="1"/>
    </xf>
    <xf numFmtId="3" fontId="2" fillId="4" borderId="5" xfId="0" applyNumberFormat="1" applyFont="1" applyFill="1" applyBorder="1" applyAlignment="1">
      <alignment vertical="center" wrapText="1"/>
    </xf>
    <xf numFmtId="10" fontId="2" fillId="4" borderId="5" xfId="0" applyNumberFormat="1" applyFont="1" applyFill="1" applyBorder="1" applyAlignment="1">
      <alignment vertical="center" wrapText="1"/>
    </xf>
    <xf numFmtId="10" fontId="2" fillId="4" borderId="4" xfId="0" applyNumberFormat="1" applyFont="1" applyFill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3" fontId="2" fillId="0" borderId="70" xfId="0" applyNumberFormat="1" applyFont="1" applyBorder="1" applyAlignment="1">
      <alignment vertical="center" wrapText="1"/>
    </xf>
    <xf numFmtId="3" fontId="2" fillId="4" borderId="35" xfId="0" applyNumberFormat="1" applyFont="1" applyFill="1" applyBorder="1" applyAlignment="1">
      <alignment vertical="center" wrapText="1"/>
    </xf>
    <xf numFmtId="10" fontId="2" fillId="4" borderId="35" xfId="0" applyNumberFormat="1" applyFont="1" applyFill="1" applyBorder="1" applyAlignment="1">
      <alignment vertical="center" wrapText="1"/>
    </xf>
    <xf numFmtId="10" fontId="2" fillId="4" borderId="7" xfId="0" applyNumberFormat="1" applyFont="1" applyFill="1" applyBorder="1" applyAlignment="1">
      <alignment vertical="center" wrapText="1"/>
    </xf>
    <xf numFmtId="3" fontId="2" fillId="4" borderId="25" xfId="0" applyNumberFormat="1" applyFont="1" applyFill="1" applyBorder="1" applyAlignment="1">
      <alignment vertical="center" wrapText="1"/>
    </xf>
    <xf numFmtId="10" fontId="2" fillId="4" borderId="25" xfId="0" applyNumberFormat="1" applyFont="1" applyFill="1" applyBorder="1" applyAlignment="1">
      <alignment vertical="center" wrapText="1"/>
    </xf>
    <xf numFmtId="0" fontId="2" fillId="2" borderId="16" xfId="0" applyFont="1" applyFill="1" applyBorder="1" applyAlignment="1" quotePrefix="1">
      <alignment horizontal="center"/>
    </xf>
    <xf numFmtId="3" fontId="2" fillId="0" borderId="50" xfId="0" applyNumberFormat="1" applyFont="1" applyBorder="1" applyAlignment="1">
      <alignment vertical="center" wrapText="1"/>
    </xf>
    <xf numFmtId="3" fontId="2" fillId="0" borderId="74" xfId="0" applyNumberFormat="1" applyFont="1" applyBorder="1" applyAlignment="1">
      <alignment vertical="center" wrapText="1"/>
    </xf>
    <xf numFmtId="3" fontId="2" fillId="4" borderId="44" xfId="0" applyNumberFormat="1" applyFont="1" applyFill="1" applyBorder="1" applyAlignment="1">
      <alignment vertical="center" wrapText="1"/>
    </xf>
    <xf numFmtId="0" fontId="2" fillId="0" borderId="44" xfId="0" applyFont="1" applyBorder="1" applyAlignment="1">
      <alignment horizontal="left" vertical="center" wrapText="1"/>
    </xf>
    <xf numFmtId="3" fontId="2" fillId="0" borderId="51" xfId="0" applyNumberFormat="1" applyFont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7" fillId="2" borderId="41" xfId="0" applyFont="1" applyFill="1" applyBorder="1" applyAlignment="1">
      <alignment horizontal="left" vertical="center" wrapText="1"/>
    </xf>
    <xf numFmtId="3" fontId="7" fillId="2" borderId="37" xfId="0" applyNumberFormat="1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10" fontId="7" fillId="0" borderId="21" xfId="0" applyNumberFormat="1" applyFont="1" applyBorder="1" applyAlignment="1">
      <alignment horizontal="center" vertical="center"/>
    </xf>
    <xf numFmtId="10" fontId="7" fillId="0" borderId="29" xfId="0" applyNumberFormat="1" applyFont="1" applyBorder="1" applyAlignment="1">
      <alignment horizontal="center" vertical="center"/>
    </xf>
    <xf numFmtId="4" fontId="7" fillId="2" borderId="14" xfId="0" applyNumberFormat="1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7" fillId="0" borderId="23" xfId="0" applyFont="1" applyBorder="1" applyAlignment="1">
      <alignment/>
    </xf>
    <xf numFmtId="0" fontId="7" fillId="2" borderId="14" xfId="0" applyFont="1" applyFill="1" applyBorder="1" applyAlignment="1">
      <alignment/>
    </xf>
    <xf numFmtId="0" fontId="7" fillId="0" borderId="29" xfId="0" applyFont="1" applyBorder="1" applyAlignment="1">
      <alignment wrapText="1"/>
    </xf>
    <xf numFmtId="0" fontId="7" fillId="0" borderId="44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3" fontId="0" fillId="0" borderId="0" xfId="0" applyNumberFormat="1" applyAlignment="1">
      <alignment/>
    </xf>
    <xf numFmtId="2" fontId="7" fillId="0" borderId="43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 wrapText="1"/>
    </xf>
    <xf numFmtId="3" fontId="9" fillId="2" borderId="25" xfId="0" applyNumberFormat="1" applyFont="1" applyFill="1" applyBorder="1" applyAlignment="1">
      <alignment vertical="center"/>
    </xf>
    <xf numFmtId="0" fontId="7" fillId="2" borderId="41" xfId="0" applyFont="1" applyFill="1" applyBorder="1" applyAlignment="1" quotePrefix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 quotePrefix="1">
      <alignment horizontal="center" vertical="center"/>
    </xf>
    <xf numFmtId="0" fontId="7" fillId="2" borderId="3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quotePrefix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164" fontId="11" fillId="0" borderId="49" xfId="0" applyNumberFormat="1" applyFont="1" applyBorder="1" applyAlignment="1">
      <alignment horizontal="right" vertical="center"/>
    </xf>
    <xf numFmtId="164" fontId="11" fillId="0" borderId="6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right" vertical="center"/>
    </xf>
    <xf numFmtId="164" fontId="11" fillId="0" borderId="50" xfId="0" applyNumberFormat="1" applyFont="1" applyBorder="1" applyAlignment="1">
      <alignment horizontal="right" vertical="center"/>
    </xf>
    <xf numFmtId="164" fontId="11" fillId="0" borderId="55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right" vertical="center"/>
    </xf>
    <xf numFmtId="164" fontId="11" fillId="0" borderId="51" xfId="0" applyNumberFormat="1" applyFont="1" applyBorder="1" applyAlignment="1">
      <alignment horizontal="right" vertical="center"/>
    </xf>
    <xf numFmtId="164" fontId="11" fillId="0" borderId="74" xfId="0" applyNumberFormat="1" applyFont="1" applyBorder="1" applyAlignment="1">
      <alignment horizontal="right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right" vertical="center" wrapText="1"/>
    </xf>
    <xf numFmtId="0" fontId="11" fillId="2" borderId="31" xfId="0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right" vertical="center"/>
    </xf>
    <xf numFmtId="164" fontId="11" fillId="2" borderId="41" xfId="0" applyNumberFormat="1" applyFont="1" applyFill="1" applyBorder="1" applyAlignment="1">
      <alignment horizontal="right" vertical="center"/>
    </xf>
    <xf numFmtId="164" fontId="11" fillId="2" borderId="39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49" xfId="0" applyFont="1" applyBorder="1" applyAlignment="1">
      <alignment horizontal="left" vertical="center" wrapText="1"/>
    </xf>
    <xf numFmtId="3" fontId="7" fillId="0" borderId="65" xfId="0" applyNumberFormat="1" applyFont="1" applyBorder="1" applyAlignment="1">
      <alignment vertical="center" wrapText="1"/>
    </xf>
    <xf numFmtId="3" fontId="7" fillId="0" borderId="40" xfId="0" applyNumberFormat="1" applyFont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3" fontId="7" fillId="0" borderId="23" xfId="0" applyNumberFormat="1" applyFont="1" applyFill="1" applyBorder="1" applyAlignment="1">
      <alignment vertical="center" wrapText="1"/>
    </xf>
    <xf numFmtId="0" fontId="9" fillId="0" borderId="69" xfId="0" applyFont="1" applyBorder="1" applyAlignment="1">
      <alignment horizontal="left" vertical="center" wrapText="1"/>
    </xf>
    <xf numFmtId="10" fontId="2" fillId="4" borderId="20" xfId="0" applyNumberFormat="1" applyFont="1" applyFill="1" applyBorder="1" applyAlignment="1">
      <alignment vertical="center" wrapText="1"/>
    </xf>
    <xf numFmtId="3" fontId="7" fillId="0" borderId="32" xfId="0" applyNumberFormat="1" applyFont="1" applyBorder="1" applyAlignment="1">
      <alignment vertical="center" wrapText="1"/>
    </xf>
    <xf numFmtId="3" fontId="7" fillId="0" borderId="21" xfId="0" applyNumberFormat="1" applyFont="1" applyFill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3" fontId="7" fillId="0" borderId="32" xfId="0" applyNumberFormat="1" applyFont="1" applyFill="1" applyBorder="1" applyAlignment="1">
      <alignment vertical="center" wrapText="1"/>
    </xf>
    <xf numFmtId="0" fontId="9" fillId="0" borderId="57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3" fontId="7" fillId="0" borderId="43" xfId="0" applyNumberFormat="1" applyFont="1" applyBorder="1" applyAlignment="1" quotePrefix="1">
      <alignment horizontal="center"/>
    </xf>
    <xf numFmtId="3" fontId="7" fillId="0" borderId="5" xfId="0" applyNumberFormat="1" applyFont="1" applyBorder="1" applyAlignment="1" quotePrefix="1">
      <alignment horizontal="center"/>
    </xf>
    <xf numFmtId="3" fontId="7" fillId="2" borderId="53" xfId="0" applyNumberFormat="1" applyFont="1" applyFill="1" applyBorder="1" applyAlignment="1">
      <alignment horizontal="center"/>
    </xf>
    <xf numFmtId="3" fontId="7" fillId="2" borderId="18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64" xfId="0" applyNumberFormat="1" applyFont="1" applyFill="1" applyBorder="1" applyAlignment="1">
      <alignment vertical="center" wrapText="1"/>
    </xf>
    <xf numFmtId="3" fontId="7" fillId="0" borderId="56" xfId="0" applyNumberFormat="1" applyFont="1" applyBorder="1" applyAlignment="1">
      <alignment vertical="center" wrapText="1"/>
    </xf>
    <xf numFmtId="3" fontId="7" fillId="0" borderId="59" xfId="0" applyNumberFormat="1" applyFont="1" applyFill="1" applyBorder="1" applyAlignment="1">
      <alignment vertical="center" wrapText="1"/>
    </xf>
    <xf numFmtId="3" fontId="7" fillId="0" borderId="56" xfId="0" applyNumberFormat="1" applyFont="1" applyFill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7" fillId="2" borderId="31" xfId="0" applyNumberFormat="1" applyFont="1" applyFill="1" applyBorder="1" applyAlignment="1">
      <alignment horizontal="right" vertical="center" wrapText="1"/>
    </xf>
    <xf numFmtId="3" fontId="7" fillId="2" borderId="25" xfId="0" applyNumberFormat="1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vertical="center" wrapText="1"/>
    </xf>
    <xf numFmtId="3" fontId="7" fillId="2" borderId="16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3" fontId="2" fillId="0" borderId="60" xfId="0" applyNumberFormat="1" applyFont="1" applyFill="1" applyBorder="1" applyAlignment="1">
      <alignment vertical="center" wrapText="1"/>
    </xf>
    <xf numFmtId="0" fontId="18" fillId="0" borderId="0" xfId="21" applyFont="1">
      <alignment/>
      <protection/>
    </xf>
    <xf numFmtId="3" fontId="17" fillId="0" borderId="0" xfId="21" applyNumberFormat="1">
      <alignment/>
      <protection/>
    </xf>
    <xf numFmtId="0" fontId="17" fillId="0" borderId="0" xfId="21">
      <alignment/>
      <protection/>
    </xf>
    <xf numFmtId="0" fontId="17" fillId="0" borderId="0" xfId="21" applyAlignment="1">
      <alignment vertical="center" wrapText="1"/>
      <protection/>
    </xf>
    <xf numFmtId="3" fontId="19" fillId="2" borderId="17" xfId="21" applyNumberFormat="1" applyFont="1" applyFill="1" applyBorder="1" applyAlignment="1">
      <alignment horizontal="center" vertical="center" wrapText="1"/>
      <protection/>
    </xf>
    <xf numFmtId="0" fontId="19" fillId="0" borderId="29" xfId="21" applyFont="1" applyFill="1" applyBorder="1" applyAlignment="1">
      <alignment vertical="center" wrapText="1"/>
      <protection/>
    </xf>
    <xf numFmtId="3" fontId="19" fillId="0" borderId="29" xfId="21" applyNumberFormat="1" applyFont="1" applyFill="1" applyBorder="1" applyAlignment="1">
      <alignment vertical="center"/>
      <protection/>
    </xf>
    <xf numFmtId="3" fontId="19" fillId="0" borderId="15" xfId="21" applyNumberFormat="1" applyFont="1" applyFill="1" applyBorder="1" applyAlignment="1">
      <alignment vertical="center"/>
      <protection/>
    </xf>
    <xf numFmtId="3" fontId="19" fillId="0" borderId="20" xfId="21" applyNumberFormat="1" applyFont="1" applyFill="1" applyBorder="1" applyAlignment="1">
      <alignment vertical="center"/>
      <protection/>
    </xf>
    <xf numFmtId="0" fontId="17" fillId="0" borderId="0" xfId="21" applyFill="1" applyAlignment="1">
      <alignment vertical="center"/>
      <protection/>
    </xf>
    <xf numFmtId="0" fontId="19" fillId="0" borderId="21" xfId="21" applyFont="1" applyFill="1" applyBorder="1" applyAlignment="1">
      <alignment vertical="center" wrapText="1"/>
      <protection/>
    </xf>
    <xf numFmtId="3" fontId="19" fillId="0" borderId="21" xfId="21" applyNumberFormat="1" applyFont="1" applyFill="1" applyBorder="1" applyAlignment="1">
      <alignment vertical="center"/>
      <protection/>
    </xf>
    <xf numFmtId="3" fontId="19" fillId="0" borderId="1" xfId="21" applyNumberFormat="1" applyFont="1" applyFill="1" applyBorder="1" applyAlignment="1">
      <alignment vertical="center"/>
      <protection/>
    </xf>
    <xf numFmtId="10" fontId="19" fillId="0" borderId="22" xfId="21" applyNumberFormat="1" applyFont="1" applyFill="1" applyBorder="1" applyAlignment="1">
      <alignment vertical="center"/>
      <protection/>
    </xf>
    <xf numFmtId="3" fontId="19" fillId="0" borderId="22" xfId="21" applyNumberFormat="1" applyFont="1" applyFill="1" applyBorder="1" applyAlignment="1">
      <alignment vertical="center"/>
      <protection/>
    </xf>
    <xf numFmtId="0" fontId="19" fillId="0" borderId="23" xfId="21" applyFont="1" applyFill="1" applyBorder="1" applyAlignment="1">
      <alignment vertical="center" wrapText="1"/>
      <protection/>
    </xf>
    <xf numFmtId="3" fontId="19" fillId="0" borderId="23" xfId="21" applyNumberFormat="1" applyFont="1" applyFill="1" applyBorder="1" applyAlignment="1">
      <alignment vertical="center"/>
      <protection/>
    </xf>
    <xf numFmtId="3" fontId="19" fillId="0" borderId="35" xfId="21" applyNumberFormat="1" applyFont="1" applyFill="1" applyBorder="1" applyAlignment="1">
      <alignment vertical="center"/>
      <protection/>
    </xf>
    <xf numFmtId="10" fontId="19" fillId="0" borderId="7" xfId="21" applyNumberFormat="1" applyFont="1" applyFill="1" applyBorder="1" applyAlignment="1">
      <alignment vertical="center"/>
      <protection/>
    </xf>
    <xf numFmtId="3" fontId="19" fillId="0" borderId="7" xfId="21" applyNumberFormat="1" applyFont="1" applyFill="1" applyBorder="1" applyAlignment="1">
      <alignment vertical="center"/>
      <protection/>
    </xf>
    <xf numFmtId="0" fontId="19" fillId="2" borderId="14" xfId="21" applyFont="1" applyFill="1" applyBorder="1" applyAlignment="1">
      <alignment vertical="center"/>
      <protection/>
    </xf>
    <xf numFmtId="3" fontId="19" fillId="2" borderId="14" xfId="21" applyNumberFormat="1" applyFont="1" applyFill="1" applyBorder="1" applyAlignment="1">
      <alignment vertical="center"/>
      <protection/>
    </xf>
    <xf numFmtId="3" fontId="19" fillId="2" borderId="25" xfId="21" applyNumberFormat="1" applyFont="1" applyFill="1" applyBorder="1" applyAlignment="1">
      <alignment vertical="center"/>
      <protection/>
    </xf>
    <xf numFmtId="10" fontId="19" fillId="2" borderId="13" xfId="21" applyNumberFormat="1" applyFont="1" applyFill="1" applyBorder="1" applyAlignment="1">
      <alignment vertical="center"/>
      <protection/>
    </xf>
    <xf numFmtId="3" fontId="19" fillId="2" borderId="13" xfId="21" applyNumberFormat="1" applyFont="1" applyFill="1" applyBorder="1" applyAlignment="1">
      <alignment vertical="center"/>
      <protection/>
    </xf>
    <xf numFmtId="0" fontId="17" fillId="0" borderId="0" xfId="21" applyAlignment="1">
      <alignment vertical="center"/>
      <protection/>
    </xf>
    <xf numFmtId="0" fontId="19" fillId="0" borderId="0" xfId="21" applyFont="1">
      <alignment/>
      <protection/>
    </xf>
    <xf numFmtId="3" fontId="19" fillId="0" borderId="0" xfId="21" applyNumberFormat="1" applyFont="1">
      <alignment/>
      <protection/>
    </xf>
    <xf numFmtId="1" fontId="19" fillId="2" borderId="17" xfId="21" applyNumberFormat="1" applyFont="1" applyFill="1" applyBorder="1" applyAlignment="1">
      <alignment horizontal="center" vertical="center"/>
      <protection/>
    </xf>
    <xf numFmtId="3" fontId="19" fillId="2" borderId="17" xfId="21" applyNumberFormat="1" applyFont="1" applyFill="1" applyBorder="1" applyAlignment="1" quotePrefix="1">
      <alignment horizontal="center" vertical="center"/>
      <protection/>
    </xf>
    <xf numFmtId="1" fontId="19" fillId="2" borderId="30" xfId="21" applyNumberFormat="1" applyFont="1" applyFill="1" applyBorder="1" applyAlignment="1">
      <alignment horizontal="center" vertical="center"/>
      <protection/>
    </xf>
    <xf numFmtId="3" fontId="19" fillId="2" borderId="18" xfId="21" applyNumberFormat="1" applyFont="1" applyFill="1" applyBorder="1" applyAlignment="1">
      <alignment horizontal="center" vertical="center"/>
      <protection/>
    </xf>
    <xf numFmtId="10" fontId="19" fillId="0" borderId="42" xfId="21" applyNumberFormat="1" applyFont="1" applyFill="1" applyBorder="1" applyAlignment="1">
      <alignment vertical="center"/>
      <protection/>
    </xf>
    <xf numFmtId="10" fontId="19" fillId="0" borderId="8" xfId="21" applyNumberFormat="1" applyFont="1" applyFill="1" applyBorder="1" applyAlignment="1">
      <alignment vertical="center"/>
      <protection/>
    </xf>
    <xf numFmtId="10" fontId="19" fillId="2" borderId="12" xfId="21" applyNumberFormat="1" applyFont="1" applyFill="1" applyBorder="1" applyAlignment="1">
      <alignment vertical="center"/>
      <protection/>
    </xf>
    <xf numFmtId="0" fontId="10" fillId="2" borderId="16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6" xfId="0" applyFont="1" applyFill="1" applyBorder="1" applyAlignment="1" quotePrefix="1">
      <alignment horizontal="center"/>
    </xf>
    <xf numFmtId="0" fontId="10" fillId="2" borderId="27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169" fontId="7" fillId="3" borderId="0" xfId="0" applyNumberFormat="1" applyFont="1" applyFill="1" applyBorder="1" applyAlignment="1">
      <alignment vertical="center"/>
    </xf>
    <xf numFmtId="3" fontId="7" fillId="0" borderId="40" xfId="0" applyNumberFormat="1" applyFont="1" applyBorder="1" applyAlignment="1" quotePrefix="1">
      <alignment horizontal="center"/>
    </xf>
    <xf numFmtId="3" fontId="7" fillId="0" borderId="65" xfId="0" applyNumberFormat="1" applyFont="1" applyBorder="1" applyAlignment="1" quotePrefix="1">
      <alignment horizontal="center"/>
    </xf>
    <xf numFmtId="3" fontId="7" fillId="0" borderId="59" xfId="0" applyNumberFormat="1" applyFont="1" applyBorder="1" applyAlignment="1">
      <alignment/>
    </xf>
    <xf numFmtId="3" fontId="7" fillId="0" borderId="75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2" borderId="17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vertical="center"/>
    </xf>
    <xf numFmtId="3" fontId="16" fillId="0" borderId="9" xfId="0" applyNumberFormat="1" applyFont="1" applyFill="1" applyBorder="1" applyAlignment="1">
      <alignment vertical="center"/>
    </xf>
    <xf numFmtId="0" fontId="7" fillId="0" borderId="29" xfId="0" applyFont="1" applyBorder="1" applyAlignment="1">
      <alignment/>
    </xf>
    <xf numFmtId="3" fontId="7" fillId="0" borderId="29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16" fillId="0" borderId="20" xfId="0" applyNumberFormat="1" applyFont="1" applyFill="1" applyBorder="1" applyAlignment="1">
      <alignment vertical="center"/>
    </xf>
    <xf numFmtId="0" fontId="19" fillId="0" borderId="43" xfId="21" applyFont="1" applyFill="1" applyBorder="1" applyAlignment="1">
      <alignment vertical="center" wrapText="1"/>
      <protection/>
    </xf>
    <xf numFmtId="0" fontId="19" fillId="0" borderId="32" xfId="21" applyFont="1" applyFill="1" applyBorder="1" applyAlignment="1">
      <alignment vertical="center" wrapText="1"/>
      <protection/>
    </xf>
    <xf numFmtId="0" fontId="19" fillId="0" borderId="44" xfId="21" applyFont="1" applyFill="1" applyBorder="1" applyAlignment="1">
      <alignment vertical="center" wrapText="1"/>
      <protection/>
    </xf>
    <xf numFmtId="0" fontId="19" fillId="2" borderId="11" xfId="21" applyFont="1" applyFill="1" applyBorder="1" applyAlignment="1">
      <alignment vertical="center"/>
      <protection/>
    </xf>
    <xf numFmtId="10" fontId="19" fillId="0" borderId="40" xfId="21" applyNumberFormat="1" applyFont="1" applyFill="1" applyBorder="1" applyAlignment="1">
      <alignment vertical="center"/>
      <protection/>
    </xf>
    <xf numFmtId="3" fontId="19" fillId="0" borderId="49" xfId="21" applyNumberFormat="1" applyFont="1" applyFill="1" applyBorder="1" applyAlignment="1">
      <alignment vertical="center"/>
      <protection/>
    </xf>
    <xf numFmtId="3" fontId="19" fillId="0" borderId="50" xfId="21" applyNumberFormat="1" applyFont="1" applyFill="1" applyBorder="1" applyAlignment="1">
      <alignment vertical="center"/>
      <protection/>
    </xf>
    <xf numFmtId="3" fontId="19" fillId="0" borderId="51" xfId="21" applyNumberFormat="1" applyFont="1" applyFill="1" applyBorder="1" applyAlignment="1">
      <alignment vertical="center"/>
      <protection/>
    </xf>
    <xf numFmtId="3" fontId="19" fillId="2" borderId="41" xfId="21" applyNumberFormat="1" applyFont="1" applyFill="1" applyBorder="1" applyAlignment="1">
      <alignment vertical="center"/>
      <protection/>
    </xf>
    <xf numFmtId="3" fontId="19" fillId="0" borderId="40" xfId="21" applyNumberFormat="1" applyFont="1" applyFill="1" applyBorder="1" applyAlignment="1">
      <alignment vertical="center"/>
      <protection/>
    </xf>
    <xf numFmtId="3" fontId="19" fillId="0" borderId="42" xfId="21" applyNumberFormat="1" applyFont="1" applyFill="1" applyBorder="1" applyAlignment="1">
      <alignment vertical="center"/>
      <protection/>
    </xf>
    <xf numFmtId="3" fontId="19" fillId="0" borderId="8" xfId="21" applyNumberFormat="1" applyFont="1" applyFill="1" applyBorder="1" applyAlignment="1">
      <alignment vertical="center"/>
      <protection/>
    </xf>
    <xf numFmtId="3" fontId="19" fillId="2" borderId="12" xfId="21" applyNumberFormat="1" applyFont="1" applyFill="1" applyBorder="1" applyAlignment="1">
      <alignment vertical="center"/>
      <protection/>
    </xf>
    <xf numFmtId="1" fontId="20" fillId="2" borderId="27" xfId="21" applyNumberFormat="1" applyFont="1" applyFill="1" applyBorder="1" applyAlignment="1">
      <alignment horizontal="center" vertical="center" wrapText="1"/>
      <protection/>
    </xf>
    <xf numFmtId="1" fontId="20" fillId="2" borderId="10" xfId="21" applyNumberFormat="1" applyFont="1" applyFill="1" applyBorder="1" applyAlignment="1">
      <alignment horizontal="center" vertical="center" wrapText="1"/>
      <protection/>
    </xf>
    <xf numFmtId="3" fontId="20" fillId="2" borderId="10" xfId="21" applyNumberFormat="1" applyFont="1" applyFill="1" applyBorder="1" applyAlignment="1">
      <alignment horizontal="center" vertical="center" wrapText="1"/>
      <protection/>
    </xf>
    <xf numFmtId="0" fontId="7" fillId="2" borderId="2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3" fontId="20" fillId="2" borderId="18" xfId="21" applyNumberFormat="1" applyFont="1" applyFill="1" applyBorder="1" applyAlignment="1">
      <alignment horizontal="center" vertical="center" wrapText="1"/>
      <protection/>
    </xf>
    <xf numFmtId="3" fontId="19" fillId="0" borderId="56" xfId="21" applyNumberFormat="1" applyFont="1" applyFill="1" applyBorder="1" applyAlignment="1">
      <alignment vertical="center"/>
      <protection/>
    </xf>
    <xf numFmtId="0" fontId="2" fillId="0" borderId="21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0" fillId="0" borderId="42" xfId="0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/>
    </xf>
    <xf numFmtId="169" fontId="19" fillId="0" borderId="15" xfId="21" applyNumberFormat="1" applyFont="1" applyFill="1" applyBorder="1" applyAlignment="1">
      <alignment vertical="center"/>
      <protection/>
    </xf>
    <xf numFmtId="169" fontId="19" fillId="0" borderId="1" xfId="21" applyNumberFormat="1" applyFont="1" applyFill="1" applyBorder="1" applyAlignment="1">
      <alignment vertical="center"/>
      <protection/>
    </xf>
    <xf numFmtId="169" fontId="19" fillId="0" borderId="35" xfId="21" applyNumberFormat="1" applyFont="1" applyFill="1" applyBorder="1" applyAlignment="1">
      <alignment vertical="center"/>
      <protection/>
    </xf>
    <xf numFmtId="169" fontId="19" fillId="2" borderId="25" xfId="21" applyNumberFormat="1" applyFont="1" applyFill="1" applyBorder="1" applyAlignment="1">
      <alignment vertical="center"/>
      <protection/>
    </xf>
    <xf numFmtId="169" fontId="19" fillId="0" borderId="20" xfId="21" applyNumberFormat="1" applyFont="1" applyFill="1" applyBorder="1" applyAlignment="1">
      <alignment vertical="center"/>
      <protection/>
    </xf>
    <xf numFmtId="169" fontId="19" fillId="0" borderId="22" xfId="21" applyNumberFormat="1" applyFont="1" applyFill="1" applyBorder="1" applyAlignment="1">
      <alignment vertical="center"/>
      <protection/>
    </xf>
    <xf numFmtId="169" fontId="19" fillId="0" borderId="7" xfId="21" applyNumberFormat="1" applyFont="1" applyFill="1" applyBorder="1" applyAlignment="1">
      <alignment vertical="center"/>
      <protection/>
    </xf>
    <xf numFmtId="169" fontId="19" fillId="2" borderId="13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7" fillId="2" borderId="12" xfId="0" applyFont="1" applyFill="1" applyBorder="1" applyAlignment="1" quotePrefix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164" fontId="7" fillId="0" borderId="43" xfId="0" applyNumberFormat="1" applyFont="1" applyBorder="1" applyAlignment="1">
      <alignment vertical="center"/>
    </xf>
    <xf numFmtId="164" fontId="7" fillId="0" borderId="40" xfId="0" applyNumberFormat="1" applyFont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164" fontId="7" fillId="0" borderId="32" xfId="0" applyNumberFormat="1" applyFont="1" applyBorder="1" applyAlignment="1">
      <alignment vertical="center"/>
    </xf>
    <xf numFmtId="164" fontId="7" fillId="0" borderId="42" xfId="0" applyNumberFormat="1" applyFont="1" applyBorder="1" applyAlignment="1">
      <alignment vertical="center"/>
    </xf>
    <xf numFmtId="164" fontId="7" fillId="0" borderId="42" xfId="0" applyNumberFormat="1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164" fontId="7" fillId="0" borderId="44" xfId="0" applyNumberFormat="1" applyFont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7" fillId="0" borderId="8" xfId="0" applyNumberFormat="1" applyFont="1" applyFill="1" applyBorder="1" applyAlignment="1">
      <alignment vertical="center"/>
    </xf>
    <xf numFmtId="164" fontId="11" fillId="0" borderId="9" xfId="0" applyNumberFormat="1" applyFont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 wrapText="1"/>
    </xf>
    <xf numFmtId="0" fontId="11" fillId="2" borderId="13" xfId="0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vertical="center"/>
    </xf>
    <xf numFmtId="164" fontId="7" fillId="2" borderId="12" xfId="0" applyNumberFormat="1" applyFont="1" applyFill="1" applyBorder="1" applyAlignment="1">
      <alignment horizontal="right" vertical="center" wrapText="1"/>
    </xf>
    <xf numFmtId="164" fontId="7" fillId="2" borderId="12" xfId="0" applyNumberFormat="1" applyFont="1" applyFill="1" applyBorder="1" applyAlignment="1">
      <alignment vertical="center"/>
    </xf>
    <xf numFmtId="164" fontId="7" fillId="2" borderId="12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vertical="center"/>
    </xf>
    <xf numFmtId="0" fontId="7" fillId="0" borderId="63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0" fontId="9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7" fillId="2" borderId="38" xfId="0" applyFont="1" applyFill="1" applyBorder="1" applyAlignment="1" quotePrefix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64" fontId="11" fillId="0" borderId="40" xfId="0" applyNumberFormat="1" applyFont="1" applyBorder="1" applyAlignment="1">
      <alignment horizontal="right" vertical="center"/>
    </xf>
    <xf numFmtId="169" fontId="7" fillId="0" borderId="15" xfId="0" applyNumberFormat="1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11" fillId="0" borderId="42" xfId="0" applyNumberFormat="1" applyFont="1" applyBorder="1" applyAlignment="1">
      <alignment horizontal="right" vertical="center"/>
    </xf>
    <xf numFmtId="169" fontId="7" fillId="0" borderId="1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7" fillId="2" borderId="4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164" fontId="11" fillId="2" borderId="32" xfId="0" applyNumberFormat="1" applyFont="1" applyFill="1" applyBorder="1" applyAlignment="1">
      <alignment horizontal="right" vertical="center"/>
    </xf>
    <xf numFmtId="169" fontId="7" fillId="2" borderId="42" xfId="0" applyNumberFormat="1" applyFont="1" applyFill="1" applyBorder="1" applyAlignment="1">
      <alignment vertical="center"/>
    </xf>
    <xf numFmtId="164" fontId="11" fillId="2" borderId="42" xfId="0" applyNumberFormat="1" applyFont="1" applyFill="1" applyBorder="1" applyAlignment="1">
      <alignment horizontal="right" vertical="center"/>
    </xf>
    <xf numFmtId="169" fontId="7" fillId="2" borderId="1" xfId="0" applyNumberFormat="1" applyFont="1" applyFill="1" applyBorder="1" applyAlignment="1">
      <alignment vertical="center"/>
    </xf>
    <xf numFmtId="164" fontId="11" fillId="2" borderId="61" xfId="0" applyNumberFormat="1" applyFont="1" applyFill="1" applyBorder="1" applyAlignment="1">
      <alignment horizontal="right" vertical="center"/>
    </xf>
    <xf numFmtId="0" fontId="7" fillId="2" borderId="23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35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164" fontId="11" fillId="2" borderId="44" xfId="0" applyNumberFormat="1" applyFont="1" applyFill="1" applyBorder="1" applyAlignment="1">
      <alignment horizontal="right" vertical="center"/>
    </xf>
    <xf numFmtId="169" fontId="7" fillId="2" borderId="53" xfId="0" applyNumberFormat="1" applyFont="1" applyFill="1" applyBorder="1" applyAlignment="1">
      <alignment vertical="center"/>
    </xf>
    <xf numFmtId="169" fontId="7" fillId="2" borderId="17" xfId="0" applyNumberFormat="1" applyFont="1" applyFill="1" applyBorder="1" applyAlignment="1">
      <alignment vertical="center"/>
    </xf>
    <xf numFmtId="164" fontId="11" fillId="2" borderId="74" xfId="0" applyNumberFormat="1" applyFont="1" applyFill="1" applyBorder="1" applyAlignment="1">
      <alignment horizontal="right" vertical="center"/>
    </xf>
    <xf numFmtId="0" fontId="7" fillId="2" borderId="25" xfId="0" applyFont="1" applyFill="1" applyBorder="1" applyAlignment="1">
      <alignment horizontal="center" vertical="center"/>
    </xf>
    <xf numFmtId="169" fontId="21" fillId="2" borderId="12" xfId="0" applyNumberFormat="1" applyFont="1" applyFill="1" applyBorder="1" applyAlignment="1">
      <alignment horizontal="right" vertical="center" wrapText="1"/>
    </xf>
    <xf numFmtId="164" fontId="11" fillId="2" borderId="12" xfId="0" applyNumberFormat="1" applyFont="1" applyFill="1" applyBorder="1" applyAlignment="1">
      <alignment horizontal="right" vertical="center"/>
    </xf>
    <xf numFmtId="169" fontId="21" fillId="2" borderId="25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/>
    </xf>
    <xf numFmtId="3" fontId="5" fillId="3" borderId="9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/>
    </xf>
    <xf numFmtId="0" fontId="22" fillId="0" borderId="0" xfId="21" applyFont="1">
      <alignment/>
      <protection/>
    </xf>
    <xf numFmtId="0" fontId="22" fillId="0" borderId="0" xfId="21" applyFont="1" applyAlignment="1">
      <alignment vertical="top"/>
      <protection/>
    </xf>
    <xf numFmtId="3" fontId="7" fillId="2" borderId="1" xfId="0" applyNumberFormat="1" applyFont="1" applyFill="1" applyBorder="1" applyAlignment="1" quotePrefix="1">
      <alignment horizontal="right"/>
    </xf>
    <xf numFmtId="0" fontId="17" fillId="0" borderId="0" xfId="21" applyFont="1">
      <alignment/>
      <protection/>
    </xf>
    <xf numFmtId="3" fontId="7" fillId="0" borderId="65" xfId="0" applyNumberFormat="1" applyFont="1" applyFill="1" applyBorder="1" applyAlignment="1">
      <alignment vertical="center" wrapText="1"/>
    </xf>
    <xf numFmtId="3" fontId="7" fillId="2" borderId="39" xfId="0" applyNumberFormat="1" applyFont="1" applyFill="1" applyBorder="1" applyAlignment="1">
      <alignment horizontal="right" vertical="center" wrapText="1"/>
    </xf>
    <xf numFmtId="0" fontId="15" fillId="0" borderId="21" xfId="0" applyFont="1" applyBorder="1" applyAlignment="1">
      <alignment horizontal="justify" vertical="center"/>
    </xf>
    <xf numFmtId="0" fontId="0" fillId="0" borderId="22" xfId="0" applyFont="1" applyBorder="1" applyAlignment="1">
      <alignment/>
    </xf>
    <xf numFmtId="0" fontId="15" fillId="0" borderId="23" xfId="0" applyFont="1" applyBorder="1" applyAlignment="1">
      <alignment horizontal="justify" vertical="center"/>
    </xf>
    <xf numFmtId="0" fontId="0" fillId="0" borderId="7" xfId="0" applyFont="1" applyBorder="1" applyAlignment="1">
      <alignment/>
    </xf>
    <xf numFmtId="0" fontId="7" fillId="0" borderId="21" xfId="0" applyFont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0" fillId="0" borderId="8" xfId="0" applyBorder="1" applyAlignment="1">
      <alignment/>
    </xf>
    <xf numFmtId="0" fontId="7" fillId="2" borderId="36" xfId="0" applyFont="1" applyFill="1" applyBorder="1" applyAlignment="1">
      <alignment horizontal="left" vertical="center" wrapText="1"/>
    </xf>
    <xf numFmtId="0" fontId="0" fillId="0" borderId="37" xfId="0" applyBorder="1" applyAlignment="1">
      <alignment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7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5" fillId="2" borderId="78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3" fontId="7" fillId="2" borderId="7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7" fillId="0" borderId="40" xfId="0" applyNumberFormat="1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 wrapText="1"/>
    </xf>
    <xf numFmtId="3" fontId="7" fillId="0" borderId="29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5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3" fontId="19" fillId="2" borderId="80" xfId="21" applyNumberFormat="1" applyFont="1" applyFill="1" applyBorder="1" applyAlignment="1">
      <alignment horizontal="center" vertical="center" wrapText="1"/>
      <protection/>
    </xf>
    <xf numFmtId="3" fontId="19" fillId="2" borderId="26" xfId="21" applyNumberFormat="1" applyFont="1" applyFill="1" applyBorder="1" applyAlignment="1">
      <alignment horizontal="center" vertical="center" wrapText="1"/>
      <protection/>
    </xf>
    <xf numFmtId="0" fontId="5" fillId="2" borderId="36" xfId="0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9" fillId="2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9" fillId="2" borderId="78" xfId="21" applyFont="1" applyFill="1" applyBorder="1" applyAlignment="1">
      <alignment vertical="center" wrapText="1"/>
      <protection/>
    </xf>
    <xf numFmtId="0" fontId="19" fillId="2" borderId="27" xfId="21" applyFont="1" applyFill="1" applyBorder="1" applyAlignment="1">
      <alignment vertical="center" wrapText="1"/>
      <protection/>
    </xf>
    <xf numFmtId="3" fontId="19" fillId="2" borderId="5" xfId="21" applyNumberFormat="1" applyFont="1" applyFill="1" applyBorder="1" applyAlignment="1">
      <alignment horizontal="center" vertical="center"/>
      <protection/>
    </xf>
    <xf numFmtId="0" fontId="19" fillId="2" borderId="5" xfId="21" applyFont="1" applyFill="1" applyBorder="1" applyAlignment="1">
      <alignment horizontal="center" vertical="center"/>
      <protection/>
    </xf>
    <xf numFmtId="0" fontId="19" fillId="2" borderId="4" xfId="21" applyFont="1" applyFill="1" applyBorder="1" applyAlignment="1">
      <alignment horizontal="center" vertical="center"/>
      <protection/>
    </xf>
    <xf numFmtId="3" fontId="19" fillId="2" borderId="3" xfId="21" applyNumberFormat="1" applyFont="1" applyFill="1" applyBorder="1" applyAlignment="1">
      <alignment horizontal="center" vertical="center"/>
      <protection/>
    </xf>
    <xf numFmtId="0" fontId="19" fillId="2" borderId="81" xfId="21" applyFont="1" applyFill="1" applyBorder="1" applyAlignment="1">
      <alignment vertical="center" wrapText="1"/>
      <protection/>
    </xf>
    <xf numFmtId="0" fontId="19" fillId="2" borderId="16" xfId="21" applyFont="1" applyFill="1" applyBorder="1" applyAlignment="1">
      <alignment vertical="center" wrapText="1"/>
      <protection/>
    </xf>
    <xf numFmtId="3" fontId="19" fillId="2" borderId="2" xfId="21" applyNumberFormat="1" applyFont="1" applyFill="1" applyBorder="1" applyAlignment="1">
      <alignment horizontal="center" vertical="center"/>
      <protection/>
    </xf>
    <xf numFmtId="0" fontId="19" fillId="2" borderId="72" xfId="21" applyFont="1" applyFill="1" applyBorder="1" applyAlignment="1">
      <alignment horizontal="center" vertical="center"/>
      <protection/>
    </xf>
    <xf numFmtId="0" fontId="0" fillId="0" borderId="54" xfId="0" applyBorder="1" applyAlignment="1">
      <alignment vertical="center"/>
    </xf>
    <xf numFmtId="3" fontId="19" fillId="2" borderId="36" xfId="21" applyNumberFormat="1" applyFont="1" applyFill="1" applyBorder="1" applyAlignment="1">
      <alignment horizontal="center" vertical="center" wrapText="1"/>
      <protection/>
    </xf>
    <xf numFmtId="0" fontId="17" fillId="0" borderId="37" xfId="21" applyBorder="1" applyAlignment="1">
      <alignment horizontal="center" vertical="center" wrapText="1"/>
      <protection/>
    </xf>
    <xf numFmtId="0" fontId="19" fillId="2" borderId="82" xfId="21" applyFont="1" applyFill="1" applyBorder="1" applyAlignment="1">
      <alignment horizontal="center" vertical="center" wrapText="1"/>
      <protection/>
    </xf>
    <xf numFmtId="0" fontId="17" fillId="0" borderId="9" xfId="21" applyBorder="1" applyAlignment="1">
      <alignment horizontal="center" vertical="center" wrapText="1"/>
      <protection/>
    </xf>
    <xf numFmtId="0" fontId="19" fillId="2" borderId="80" xfId="21" applyFont="1" applyFill="1" applyBorder="1" applyAlignment="1">
      <alignment horizontal="center" vertical="center" wrapText="1"/>
      <protection/>
    </xf>
    <xf numFmtId="0" fontId="17" fillId="0" borderId="26" xfId="21" applyBorder="1" applyAlignment="1">
      <alignment horizontal="center" vertical="center" wrapText="1"/>
      <protection/>
    </xf>
    <xf numFmtId="0" fontId="19" fillId="2" borderId="79" xfId="21" applyFont="1" applyFill="1" applyBorder="1" applyAlignment="1">
      <alignment horizontal="center" vertical="center" wrapText="1"/>
      <protection/>
    </xf>
    <xf numFmtId="0" fontId="17" fillId="0" borderId="10" xfId="21" applyBorder="1" applyAlignment="1">
      <alignment horizontal="center" vertical="center" wrapText="1"/>
      <protection/>
    </xf>
    <xf numFmtId="3" fontId="19" fillId="2" borderId="82" xfId="21" applyNumberFormat="1" applyFont="1" applyFill="1" applyBorder="1" applyAlignment="1">
      <alignment horizontal="center" vertical="center" wrapText="1"/>
      <protection/>
    </xf>
    <xf numFmtId="0" fontId="19" fillId="2" borderId="26" xfId="21" applyFont="1" applyFill="1" applyBorder="1" applyAlignment="1">
      <alignment horizontal="center" vertical="center" wrapText="1"/>
      <protection/>
    </xf>
    <xf numFmtId="3" fontId="19" fillId="2" borderId="6" xfId="21" applyNumberFormat="1" applyFont="1" applyFill="1" applyBorder="1" applyAlignment="1">
      <alignment horizontal="center" vertical="center" wrapText="1"/>
      <protection/>
    </xf>
    <xf numFmtId="0" fontId="17" fillId="0" borderId="72" xfId="21" applyBorder="1" applyAlignment="1">
      <alignment/>
      <protection/>
    </xf>
    <xf numFmtId="0" fontId="0" fillId="0" borderId="73" xfId="0" applyBorder="1" applyAlignment="1">
      <alignment/>
    </xf>
    <xf numFmtId="0" fontId="0" fillId="0" borderId="42" xfId="0" applyBorder="1" applyAlignment="1">
      <alignment/>
    </xf>
    <xf numFmtId="0" fontId="7" fillId="2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32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9" xfId="0" applyFont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53" xfId="0" applyFont="1" applyBorder="1" applyAlignment="1">
      <alignment/>
    </xf>
    <xf numFmtId="0" fontId="7" fillId="2" borderId="3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" fillId="2" borderId="6" xfId="22" applyFont="1" applyFill="1" applyBorder="1" applyAlignment="1">
      <alignment horizontal="center" vertical="center"/>
      <protection/>
    </xf>
    <xf numFmtId="0" fontId="0" fillId="0" borderId="73" xfId="0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wrapText="1"/>
    </xf>
    <xf numFmtId="0" fontId="0" fillId="0" borderId="65" xfId="0" applyBorder="1" applyAlignment="1">
      <alignment vertical="center"/>
    </xf>
    <xf numFmtId="0" fontId="0" fillId="0" borderId="61" xfId="0" applyBorder="1" applyAlignment="1">
      <alignment vertical="center"/>
    </xf>
    <xf numFmtId="0" fontId="5" fillId="2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5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3" fontId="5" fillId="3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5" fillId="3" borderId="2" xfId="0" applyFont="1" applyFill="1" applyBorder="1" applyAlignment="1">
      <alignment vertical="center"/>
    </xf>
    <xf numFmtId="0" fontId="0" fillId="3" borderId="73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0" fillId="3" borderId="59" xfId="0" applyFont="1" applyFill="1" applyBorder="1" applyAlignment="1">
      <alignment vertical="center"/>
    </xf>
    <xf numFmtId="0" fontId="7" fillId="2" borderId="28" xfId="0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vertical="center"/>
    </xf>
    <xf numFmtId="3" fontId="7" fillId="2" borderId="25" xfId="0" applyNumberFormat="1" applyFont="1" applyFill="1" applyBorder="1" applyAlignment="1">
      <alignment vertical="center"/>
    </xf>
    <xf numFmtId="3" fontId="7" fillId="2" borderId="12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3" fontId="7" fillId="2" borderId="24" xfId="0" applyNumberFormat="1" applyFont="1" applyFill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2" borderId="1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3" fontId="5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5" fillId="3" borderId="17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3" fontId="7" fillId="0" borderId="42" xfId="0" applyNumberFormat="1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2" borderId="82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3" fontId="7" fillId="2" borderId="16" xfId="0" applyNumberFormat="1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2" borderId="81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81" xfId="0" applyFont="1" applyFill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5" fillId="2" borderId="70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0" fontId="0" fillId="0" borderId="7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3" fontId="14" fillId="0" borderId="40" xfId="0" applyNumberFormat="1" applyFont="1" applyBorder="1" applyAlignment="1">
      <alignment vertical="center"/>
    </xf>
    <xf numFmtId="0" fontId="0" fillId="0" borderId="63" xfId="0" applyBorder="1" applyAlignment="1">
      <alignment vertical="center"/>
    </xf>
    <xf numFmtId="0" fontId="7" fillId="2" borderId="53" xfId="0" applyFont="1" applyFill="1" applyBorder="1" applyAlignment="1" quotePrefix="1">
      <alignment horizontal="center" vertical="center" wrapText="1"/>
    </xf>
    <xf numFmtId="0" fontId="0" fillId="0" borderId="75" xfId="0" applyBorder="1" applyAlignment="1">
      <alignment/>
    </xf>
    <xf numFmtId="3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7" fillId="2" borderId="80" xfId="22" applyFont="1" applyFill="1" applyBorder="1" applyAlignment="1">
      <alignment horizontal="center" vertical="center" wrapText="1"/>
      <protection/>
    </xf>
    <xf numFmtId="0" fontId="0" fillId="0" borderId="6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9" fillId="2" borderId="82" xfId="22" applyFont="1" applyFill="1" applyBorder="1" applyAlignment="1">
      <alignment horizontal="center" vertical="center" wrapText="1"/>
      <protection/>
    </xf>
    <xf numFmtId="0" fontId="10" fillId="0" borderId="5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2" borderId="68" xfId="22" applyFont="1" applyFill="1" applyBorder="1" applyAlignment="1">
      <alignment horizontal="center" vertical="center"/>
      <protection/>
    </xf>
    <xf numFmtId="0" fontId="0" fillId="0" borderId="66" xfId="0" applyFont="1" applyBorder="1" applyAlignment="1">
      <alignment horizontal="center" vertical="center"/>
    </xf>
    <xf numFmtId="0" fontId="7" fillId="2" borderId="81" xfId="22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7" fillId="0" borderId="67" xfId="0" applyNumberFormat="1" applyFont="1" applyBorder="1" applyAlignment="1">
      <alignment vertical="center"/>
    </xf>
    <xf numFmtId="0" fontId="7" fillId="0" borderId="83" xfId="0" applyFont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/>
    </xf>
    <xf numFmtId="0" fontId="5" fillId="2" borderId="3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justify" vertical="center"/>
    </xf>
    <xf numFmtId="0" fontId="0" fillId="0" borderId="13" xfId="0" applyFont="1" applyBorder="1" applyAlignment="1">
      <alignment/>
    </xf>
    <xf numFmtId="0" fontId="0" fillId="0" borderId="6" xfId="0" applyFont="1" applyBorder="1" applyAlignment="1">
      <alignment/>
    </xf>
    <xf numFmtId="0" fontId="5" fillId="2" borderId="30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0" fontId="7" fillId="0" borderId="15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4" fontId="7" fillId="2" borderId="11" xfId="0" applyNumberFormat="1" applyFont="1" applyFill="1" applyBorder="1" applyAlignment="1">
      <alignment vertical="center"/>
    </xf>
    <xf numFmtId="0" fontId="2" fillId="0" borderId="39" xfId="0" applyFont="1" applyBorder="1" applyAlignment="1">
      <alignment/>
    </xf>
    <xf numFmtId="4" fontId="7" fillId="2" borderId="14" xfId="0" applyNumberFormat="1" applyFont="1" applyFill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43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7" fillId="0" borderId="43" xfId="0" applyFont="1" applyBorder="1" applyAlignment="1">
      <alignment/>
    </xf>
    <xf numFmtId="0" fontId="7" fillId="0" borderId="65" xfId="0" applyFont="1" applyBorder="1" applyAlignment="1">
      <alignment/>
    </xf>
    <xf numFmtId="0" fontId="7" fillId="0" borderId="63" xfId="0" applyFont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75" xfId="0" applyFont="1" applyFill="1" applyBorder="1" applyAlignment="1">
      <alignment/>
    </xf>
    <xf numFmtId="3" fontId="7" fillId="2" borderId="31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3" fontId="7" fillId="0" borderId="60" xfId="0" applyNumberFormat="1" applyFont="1" applyBorder="1" applyAlignment="1">
      <alignment vertical="center"/>
    </xf>
    <xf numFmtId="3" fontId="7" fillId="0" borderId="52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/>
    </xf>
    <xf numFmtId="0" fontId="7" fillId="2" borderId="42" xfId="22" applyFont="1" applyFill="1" applyBorder="1" applyAlignment="1">
      <alignment horizontal="center" vertical="center"/>
      <protection/>
    </xf>
    <xf numFmtId="0" fontId="0" fillId="0" borderId="56" xfId="0" applyFont="1" applyBorder="1" applyAlignment="1">
      <alignment horizontal="center" vertical="center"/>
    </xf>
    <xf numFmtId="0" fontId="7" fillId="2" borderId="82" xfId="22" applyFont="1" applyFill="1" applyBorder="1" applyAlignment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7" fillId="0" borderId="63" xfId="0" applyNumberFormat="1" applyFont="1" applyBorder="1" applyAlignment="1">
      <alignment vertical="center"/>
    </xf>
    <xf numFmtId="0" fontId="5" fillId="2" borderId="72" xfId="22" applyFont="1" applyFill="1" applyBorder="1" applyAlignment="1">
      <alignment horizontal="center" vertical="center"/>
      <protection/>
    </xf>
    <xf numFmtId="0" fontId="5" fillId="2" borderId="73" xfId="22" applyFont="1" applyFill="1" applyBorder="1" applyAlignment="1">
      <alignment horizontal="center" vertical="center"/>
      <protection/>
    </xf>
    <xf numFmtId="0" fontId="7" fillId="2" borderId="11" xfId="0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3" fontId="7" fillId="0" borderId="73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6" fillId="2" borderId="36" xfId="0" applyFont="1" applyFill="1" applyBorder="1" applyAlignment="1">
      <alignment horizontal="center" vertical="center"/>
    </xf>
    <xf numFmtId="0" fontId="8" fillId="0" borderId="70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7" fillId="2" borderId="78" xfId="0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3" fontId="7" fillId="0" borderId="6" xfId="0" applyNumberFormat="1" applyFont="1" applyBorder="1" applyAlignment="1">
      <alignment vertical="center"/>
    </xf>
    <xf numFmtId="3" fontId="7" fillId="0" borderId="83" xfId="0" applyNumberFormat="1" applyFont="1" applyBorder="1" applyAlignment="1">
      <alignment vertical="center"/>
    </xf>
    <xf numFmtId="3" fontId="7" fillId="0" borderId="59" xfId="0" applyNumberFormat="1" applyFont="1" applyBorder="1" applyAlignment="1">
      <alignment vertical="center"/>
    </xf>
    <xf numFmtId="0" fontId="7" fillId="2" borderId="11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82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0" fontId="0" fillId="0" borderId="40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3" fontId="7" fillId="0" borderId="28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0" fontId="0" fillId="0" borderId="53" xfId="0" applyFont="1" applyBorder="1" applyAlignment="1">
      <alignment horizontal="center"/>
    </xf>
    <xf numFmtId="3" fontId="7" fillId="0" borderId="76" xfId="0" applyNumberFormat="1" applyFont="1" applyBorder="1" applyAlignment="1">
      <alignment vertical="center"/>
    </xf>
    <xf numFmtId="0" fontId="7" fillId="0" borderId="2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2" borderId="30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7" fillId="2" borderId="77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1" fillId="0" borderId="21" xfId="0" applyFont="1" applyBorder="1" applyAlignment="1">
      <alignment horizontal="justify" vertical="center"/>
    </xf>
    <xf numFmtId="0" fontId="11" fillId="0" borderId="23" xfId="0" applyFont="1" applyBorder="1" applyAlignment="1">
      <alignment horizontal="justify" vertical="center"/>
    </xf>
    <xf numFmtId="0" fontId="0" fillId="0" borderId="7" xfId="0" applyBorder="1" applyAlignment="1">
      <alignment/>
    </xf>
    <xf numFmtId="0" fontId="11" fillId="2" borderId="14" xfId="0" applyFont="1" applyFill="1" applyBorder="1" applyAlignment="1">
      <alignment horizontal="justify" vertical="center"/>
    </xf>
    <xf numFmtId="0" fontId="0" fillId="0" borderId="13" xfId="0" applyBorder="1" applyAlignment="1">
      <alignment/>
    </xf>
    <xf numFmtId="0" fontId="0" fillId="0" borderId="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7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0" fontId="0" fillId="0" borderId="68" xfId="0" applyFont="1" applyBorder="1" applyAlignment="1">
      <alignment wrapText="1"/>
    </xf>
    <xf numFmtId="0" fontId="0" fillId="0" borderId="64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65" xfId="0" applyFont="1" applyBorder="1" applyAlignment="1">
      <alignment wrapText="1"/>
    </xf>
    <xf numFmtId="0" fontId="0" fillId="0" borderId="63" xfId="0" applyFont="1" applyBorder="1" applyAlignment="1">
      <alignment wrapText="1"/>
    </xf>
    <xf numFmtId="0" fontId="0" fillId="0" borderId="22" xfId="0" applyFont="1" applyBorder="1" applyAlignment="1">
      <alignment/>
    </xf>
    <xf numFmtId="0" fontId="11" fillId="0" borderId="21" xfId="0" applyFont="1" applyBorder="1" applyAlignment="1">
      <alignment horizontal="justify" vertical="center"/>
    </xf>
    <xf numFmtId="0" fontId="0" fillId="0" borderId="4" xfId="0" applyFont="1" applyBorder="1" applyAlignment="1">
      <alignment/>
    </xf>
    <xf numFmtId="0" fontId="0" fillId="0" borderId="30" xfId="0" applyFont="1" applyBorder="1" applyAlignment="1">
      <alignment horizontal="left" vertical="center"/>
    </xf>
    <xf numFmtId="0" fontId="0" fillId="0" borderId="18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  <xf numFmtId="0" fontId="11" fillId="0" borderId="29" xfId="0" applyFont="1" applyBorder="1" applyAlignment="1">
      <alignment horizontal="justify" vertical="center"/>
    </xf>
    <xf numFmtId="0" fontId="0" fillId="0" borderId="20" xfId="0" applyFont="1" applyBorder="1" applyAlignment="1">
      <alignment/>
    </xf>
    <xf numFmtId="3" fontId="2" fillId="0" borderId="21" xfId="23" applyFont="1" applyFill="1" applyBorder="1" applyAlignment="1">
      <alignment horizontal="left" vertical="center" wrapText="1"/>
      <protection/>
    </xf>
    <xf numFmtId="3" fontId="2" fillId="0" borderId="22" xfId="23" applyFont="1" applyFill="1" applyBorder="1" applyAlignment="1">
      <alignment horizontal="left" vertical="center" wrapText="1"/>
      <protection/>
    </xf>
    <xf numFmtId="4" fontId="7" fillId="0" borderId="32" xfId="23" applyNumberFormat="1" applyFont="1" applyFill="1" applyBorder="1" applyAlignment="1">
      <alignment vertical="center" wrapText="1"/>
      <protection/>
    </xf>
    <xf numFmtId="4" fontId="7" fillId="0" borderId="55" xfId="23" applyNumberFormat="1" applyFont="1" applyFill="1" applyBorder="1" applyAlignment="1">
      <alignment vertical="center" wrapText="1"/>
      <protection/>
    </xf>
    <xf numFmtId="3" fontId="2" fillId="0" borderId="44" xfId="23" applyFont="1" applyFill="1" applyBorder="1" applyAlignment="1">
      <alignment horizontal="left" vertical="center" wrapText="1"/>
      <protection/>
    </xf>
    <xf numFmtId="3" fontId="2" fillId="0" borderId="74" xfId="23" applyFont="1" applyFill="1" applyBorder="1" applyAlignment="1">
      <alignment horizontal="left" vertical="center" wrapText="1"/>
      <protection/>
    </xf>
    <xf numFmtId="3" fontId="7" fillId="0" borderId="42" xfId="23" applyNumberFormat="1" applyFont="1" applyFill="1" applyBorder="1" applyAlignment="1">
      <alignment vertical="center" wrapText="1"/>
      <protection/>
    </xf>
    <xf numFmtId="3" fontId="7" fillId="0" borderId="56" xfId="23" applyNumberFormat="1" applyFont="1" applyFill="1" applyBorder="1" applyAlignment="1">
      <alignment vertical="center" wrapText="1"/>
      <protection/>
    </xf>
    <xf numFmtId="3" fontId="7" fillId="0" borderId="55" xfId="23" applyNumberFormat="1" applyFont="1" applyFill="1" applyBorder="1" applyAlignment="1">
      <alignment vertical="center" wrapText="1"/>
      <protection/>
    </xf>
    <xf numFmtId="3" fontId="7" fillId="0" borderId="59" xfId="23" applyNumberFormat="1" applyFont="1" applyFill="1" applyBorder="1" applyAlignment="1">
      <alignment vertical="center" wrapText="1"/>
      <protection/>
    </xf>
    <xf numFmtId="3" fontId="7" fillId="0" borderId="32" xfId="23" applyNumberFormat="1" applyFont="1" applyFill="1" applyBorder="1" applyAlignment="1">
      <alignment vertical="center" wrapText="1"/>
      <protection/>
    </xf>
    <xf numFmtId="3" fontId="7" fillId="0" borderId="40" xfId="23" applyNumberFormat="1" applyFont="1" applyFill="1" applyBorder="1" applyAlignment="1">
      <alignment vertical="center" wrapText="1"/>
      <protection/>
    </xf>
    <xf numFmtId="3" fontId="7" fillId="0" borderId="65" xfId="23" applyNumberFormat="1" applyFont="1" applyFill="1" applyBorder="1" applyAlignment="1">
      <alignment vertical="center" wrapText="1"/>
      <protection/>
    </xf>
    <xf numFmtId="4" fontId="7" fillId="0" borderId="43" xfId="23" applyNumberFormat="1" applyFont="1" applyFill="1" applyBorder="1" applyAlignment="1">
      <alignment vertical="center" wrapText="1"/>
      <protection/>
    </xf>
    <xf numFmtId="4" fontId="7" fillId="0" borderId="61" xfId="23" applyNumberFormat="1" applyFont="1" applyFill="1" applyBorder="1" applyAlignment="1">
      <alignment vertical="center" wrapText="1"/>
      <protection/>
    </xf>
    <xf numFmtId="3" fontId="7" fillId="0" borderId="63" xfId="23" applyNumberFormat="1" applyFont="1" applyFill="1" applyBorder="1" applyAlignment="1">
      <alignment vertical="center" wrapText="1"/>
      <protection/>
    </xf>
    <xf numFmtId="0" fontId="0" fillId="0" borderId="22" xfId="0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3" fontId="2" fillId="0" borderId="23" xfId="23" applyFont="1" applyFill="1" applyBorder="1" applyAlignment="1">
      <alignment horizontal="left" vertical="center" wrapText="1"/>
      <protection/>
    </xf>
    <xf numFmtId="0" fontId="0" fillId="0" borderId="7" xfId="0" applyBorder="1" applyAlignment="1">
      <alignment vertical="center" wrapText="1"/>
    </xf>
    <xf numFmtId="3" fontId="2" fillId="0" borderId="33" xfId="23" applyFont="1" applyFill="1" applyBorder="1" applyAlignment="1">
      <alignment horizontal="left" vertical="center" wrapText="1"/>
      <protection/>
    </xf>
    <xf numFmtId="3" fontId="2" fillId="0" borderId="71" xfId="23" applyFont="1" applyFill="1" applyBorder="1" applyAlignment="1">
      <alignment horizontal="left" vertical="center" wrapText="1"/>
      <protection/>
    </xf>
    <xf numFmtId="4" fontId="2" fillId="0" borderId="64" xfId="23" applyNumberFormat="1" applyFont="1" applyFill="1" applyBorder="1" applyAlignment="1">
      <alignment vertical="center" wrapText="1"/>
      <protection/>
    </xf>
    <xf numFmtId="4" fontId="2" fillId="0" borderId="7" xfId="23" applyNumberFormat="1" applyFont="1" applyFill="1" applyBorder="1" applyAlignment="1">
      <alignment vertical="center" wrapText="1"/>
      <protection/>
    </xf>
    <xf numFmtId="0" fontId="0" fillId="0" borderId="71" xfId="0" applyBorder="1" applyAlignment="1">
      <alignment vertical="center" wrapText="1"/>
    </xf>
    <xf numFmtId="4" fontId="7" fillId="0" borderId="23" xfId="23" applyNumberFormat="1" applyFont="1" applyFill="1" applyBorder="1" applyAlignment="1">
      <alignment vertical="center" wrapText="1"/>
      <protection/>
    </xf>
    <xf numFmtId="4" fontId="7" fillId="0" borderId="7" xfId="23" applyNumberFormat="1" applyFont="1" applyFill="1" applyBorder="1" applyAlignment="1">
      <alignment vertical="center" wrapText="1"/>
      <protection/>
    </xf>
    <xf numFmtId="4" fontId="2" fillId="0" borderId="59" xfId="23" applyNumberFormat="1" applyFont="1" applyFill="1" applyBorder="1" applyAlignment="1">
      <alignment vertical="center" wrapText="1"/>
      <protection/>
    </xf>
    <xf numFmtId="4" fontId="2" fillId="0" borderId="22" xfId="23" applyNumberFormat="1" applyFont="1" applyFill="1" applyBorder="1" applyAlignment="1">
      <alignment vertical="center" wrapText="1"/>
      <protection/>
    </xf>
    <xf numFmtId="4" fontId="7" fillId="0" borderId="35" xfId="23" applyNumberFormat="1" applyFont="1" applyFill="1" applyBorder="1" applyAlignment="1">
      <alignment vertical="center" wrapText="1"/>
      <protection/>
    </xf>
    <xf numFmtId="4" fontId="7" fillId="0" borderId="21" xfId="23" applyNumberFormat="1" applyFont="1" applyFill="1" applyBorder="1" applyAlignment="1">
      <alignment vertical="center" wrapText="1"/>
      <protection/>
    </xf>
    <xf numFmtId="4" fontId="7" fillId="0" borderId="22" xfId="23" applyNumberFormat="1" applyFont="1" applyFill="1" applyBorder="1" applyAlignment="1">
      <alignment vertical="center" wrapText="1"/>
      <protection/>
    </xf>
    <xf numFmtId="4" fontId="7" fillId="0" borderId="1" xfId="23" applyNumberFormat="1" applyFont="1" applyFill="1" applyBorder="1" applyAlignment="1">
      <alignment vertical="center" wrapText="1"/>
      <protection/>
    </xf>
    <xf numFmtId="4" fontId="7" fillId="0" borderId="59" xfId="23" applyNumberFormat="1" applyFont="1" applyFill="1" applyBorder="1" applyAlignment="1">
      <alignment vertical="center" wrapText="1"/>
      <protection/>
    </xf>
    <xf numFmtId="4" fontId="7" fillId="0" borderId="64" xfId="23" applyNumberFormat="1" applyFont="1" applyFill="1" applyBorder="1" applyAlignment="1">
      <alignment vertical="center" wrapText="1"/>
      <protection/>
    </xf>
    <xf numFmtId="4" fontId="7" fillId="2" borderId="11" xfId="0" applyNumberFormat="1" applyFont="1" applyFill="1" applyBorder="1" applyAlignment="1">
      <alignment vertical="center" wrapText="1"/>
    </xf>
    <xf numFmtId="0" fontId="7" fillId="0" borderId="39" xfId="0" applyFont="1" applyBorder="1" applyAlignment="1">
      <alignment wrapText="1"/>
    </xf>
    <xf numFmtId="4" fontId="2" fillId="0" borderId="63" xfId="23" applyNumberFormat="1" applyFont="1" applyFill="1" applyBorder="1" applyAlignment="1">
      <alignment vertical="center" wrapText="1"/>
      <protection/>
    </xf>
    <xf numFmtId="4" fontId="2" fillId="0" borderId="20" xfId="23" applyNumberFormat="1" applyFont="1" applyFill="1" applyBorder="1" applyAlignment="1">
      <alignment vertical="center" wrapText="1"/>
      <protection/>
    </xf>
    <xf numFmtId="4" fontId="7" fillId="0" borderId="63" xfId="23" applyNumberFormat="1" applyFont="1" applyFill="1" applyBorder="1" applyAlignment="1">
      <alignment vertical="center" wrapText="1"/>
      <protection/>
    </xf>
    <xf numFmtId="4" fontId="7" fillId="0" borderId="15" xfId="23" applyNumberFormat="1" applyFont="1" applyFill="1" applyBorder="1" applyAlignment="1">
      <alignment vertical="center" wrapText="1"/>
      <protection/>
    </xf>
    <xf numFmtId="4" fontId="7" fillId="0" borderId="29" xfId="23" applyNumberFormat="1" applyFont="1" applyFill="1" applyBorder="1" applyAlignment="1">
      <alignment vertical="center" wrapText="1"/>
      <protection/>
    </xf>
    <xf numFmtId="4" fontId="7" fillId="0" borderId="20" xfId="23" applyNumberFormat="1" applyFont="1" applyFill="1" applyBorder="1" applyAlignment="1">
      <alignment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8" fillId="0" borderId="84" xfId="0" applyFont="1" applyBorder="1" applyAlignment="1">
      <alignment vertical="center"/>
    </xf>
    <xf numFmtId="0" fontId="6" fillId="2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  <xf numFmtId="3" fontId="5" fillId="3" borderId="3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7" fillId="2" borderId="78" xfId="22" applyFont="1" applyFill="1" applyBorder="1" applyAlignment="1">
      <alignment horizontal="center" vertical="center"/>
      <protection/>
    </xf>
    <xf numFmtId="0" fontId="7" fillId="2" borderId="76" xfId="22" applyFont="1" applyFill="1" applyBorder="1" applyAlignment="1">
      <alignment horizontal="center" vertical="center"/>
      <protection/>
    </xf>
    <xf numFmtId="0" fontId="7" fillId="2" borderId="27" xfId="22" applyFont="1" applyFill="1" applyBorder="1" applyAlignment="1">
      <alignment horizontal="center" vertical="center"/>
      <protection/>
    </xf>
    <xf numFmtId="0" fontId="9" fillId="2" borderId="80" xfId="22" applyFont="1" applyFill="1" applyBorder="1" applyAlignment="1">
      <alignment horizontal="center" vertical="center" wrapText="1"/>
      <protection/>
    </xf>
    <xf numFmtId="0" fontId="9" fillId="2" borderId="60" xfId="22" applyFont="1" applyFill="1" applyBorder="1" applyAlignment="1">
      <alignment horizontal="center" vertical="center" wrapText="1"/>
      <protection/>
    </xf>
    <xf numFmtId="0" fontId="9" fillId="2" borderId="26" xfId="22" applyFont="1" applyFill="1" applyBorder="1" applyAlignment="1">
      <alignment horizontal="center" vertical="center" wrapText="1"/>
      <protection/>
    </xf>
    <xf numFmtId="0" fontId="9" fillId="2" borderId="52" xfId="22" applyFont="1" applyFill="1" applyBorder="1" applyAlignment="1">
      <alignment horizontal="center" vertical="center" wrapText="1"/>
      <protection/>
    </xf>
    <xf numFmtId="0" fontId="9" fillId="2" borderId="9" xfId="22" applyFont="1" applyFill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9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0" fillId="0" borderId="56" xfId="0" applyBorder="1" applyAlignment="1">
      <alignment wrapText="1"/>
    </xf>
    <xf numFmtId="0" fontId="0" fillId="0" borderId="59" xfId="0" applyBorder="1" applyAlignment="1">
      <alignment wrapText="1"/>
    </xf>
    <xf numFmtId="0" fontId="5" fillId="2" borderId="81" xfId="0" applyFont="1" applyFill="1" applyBorder="1" applyAlignment="1">
      <alignment vertical="center"/>
    </xf>
    <xf numFmtId="0" fontId="5" fillId="2" borderId="43" xfId="0" applyFont="1" applyFill="1" applyBorder="1" applyAlignment="1">
      <alignment vertical="center"/>
    </xf>
    <xf numFmtId="3" fontId="7" fillId="2" borderId="8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7" fillId="2" borderId="77" xfId="0" applyNumberFormat="1" applyFont="1" applyFill="1" applyBorder="1" applyAlignment="1">
      <alignment horizontal="center" vertical="center"/>
    </xf>
    <xf numFmtId="3" fontId="7" fillId="0" borderId="6" xfId="23" applyNumberFormat="1" applyFont="1" applyFill="1" applyBorder="1" applyAlignment="1">
      <alignment vertical="center" wrapText="1"/>
      <protection/>
    </xf>
    <xf numFmtId="3" fontId="7" fillId="0" borderId="72" xfId="23" applyNumberFormat="1" applyFont="1" applyFill="1" applyBorder="1" applyAlignment="1">
      <alignment vertical="center" wrapText="1"/>
      <protection/>
    </xf>
    <xf numFmtId="4" fontId="7" fillId="0" borderId="2" xfId="23" applyNumberFormat="1" applyFont="1" applyFill="1" applyBorder="1" applyAlignment="1">
      <alignment vertical="center" wrapText="1"/>
      <protection/>
    </xf>
    <xf numFmtId="4" fontId="7" fillId="0" borderId="54" xfId="23" applyNumberFormat="1" applyFont="1" applyFill="1" applyBorder="1" applyAlignment="1">
      <alignment vertical="center" wrapText="1"/>
      <protection/>
    </xf>
    <xf numFmtId="3" fontId="2" fillId="0" borderId="3" xfId="23" applyFont="1" applyFill="1" applyBorder="1" applyAlignment="1">
      <alignment horizontal="left" vertical="center" wrapText="1"/>
      <protection/>
    </xf>
    <xf numFmtId="3" fontId="2" fillId="0" borderId="4" xfId="23" applyFont="1" applyFill="1" applyBorder="1" applyAlignment="1">
      <alignment horizontal="left" vertical="center" wrapText="1"/>
      <protection/>
    </xf>
    <xf numFmtId="3" fontId="7" fillId="0" borderId="73" xfId="23" applyNumberFormat="1" applyFont="1" applyFill="1" applyBorder="1" applyAlignment="1">
      <alignment vertical="center" wrapText="1"/>
      <protection/>
    </xf>
    <xf numFmtId="3" fontId="5" fillId="3" borderId="2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3" fontId="5" fillId="3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8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72" xfId="0" applyBorder="1" applyAlignment="1">
      <alignment/>
    </xf>
    <xf numFmtId="0" fontId="0" fillId="0" borderId="54" xfId="0" applyBorder="1" applyAlignment="1">
      <alignment/>
    </xf>
    <xf numFmtId="0" fontId="0" fillId="0" borderId="72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3" fontId="2" fillId="0" borderId="1" xfId="23" applyFont="1" applyFill="1" applyBorder="1" applyAlignment="1">
      <alignment horizontal="left" vertical="center" wrapText="1"/>
      <protection/>
    </xf>
    <xf numFmtId="3" fontId="7" fillId="0" borderId="1" xfId="23" applyNumberFormat="1" applyFont="1" applyFill="1" applyBorder="1" applyAlignment="1">
      <alignment vertical="center" wrapText="1"/>
      <protection/>
    </xf>
    <xf numFmtId="3" fontId="7" fillId="0" borderId="22" xfId="23" applyNumberFormat="1" applyFont="1" applyFill="1" applyBorder="1" applyAlignment="1">
      <alignment vertical="center" wrapText="1"/>
      <protection/>
    </xf>
    <xf numFmtId="3" fontId="7" fillId="0" borderId="35" xfId="23" applyNumberFormat="1" applyFont="1" applyFill="1" applyBorder="1" applyAlignment="1">
      <alignment vertical="center" wrapText="1"/>
      <protection/>
    </xf>
    <xf numFmtId="3" fontId="7" fillId="0" borderId="7" xfId="23" applyNumberFormat="1" applyFont="1" applyFill="1" applyBorder="1" applyAlignment="1">
      <alignment vertical="center" wrapText="1"/>
      <protection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2" borderId="24" xfId="0" applyFont="1" applyFill="1" applyBorder="1" applyAlignment="1">
      <alignment vertical="center"/>
    </xf>
    <xf numFmtId="3" fontId="2" fillId="0" borderId="35" xfId="23" applyFont="1" applyFill="1" applyBorder="1" applyAlignment="1">
      <alignment horizontal="left" vertical="center" wrapText="1"/>
      <protection/>
    </xf>
    <xf numFmtId="0" fontId="0" fillId="0" borderId="1" xfId="0" applyBorder="1" applyAlignment="1">
      <alignment vertical="center"/>
    </xf>
    <xf numFmtId="0" fontId="0" fillId="2" borderId="25" xfId="0" applyFill="1" applyBorder="1" applyAlignment="1">
      <alignment/>
    </xf>
    <xf numFmtId="3" fontId="7" fillId="0" borderId="15" xfId="23" applyNumberFormat="1" applyFont="1" applyFill="1" applyBorder="1" applyAlignment="1">
      <alignment vertical="center" wrapText="1"/>
      <protection/>
    </xf>
    <xf numFmtId="3" fontId="7" fillId="0" borderId="20" xfId="23" applyNumberFormat="1" applyFont="1" applyFill="1" applyBorder="1" applyAlignment="1">
      <alignment vertical="center" wrapText="1"/>
      <protection/>
    </xf>
    <xf numFmtId="0" fontId="7" fillId="2" borderId="2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0" fillId="0" borderId="31" xfId="0" applyBorder="1" applyAlignment="1">
      <alignment vertical="center"/>
    </xf>
    <xf numFmtId="0" fontId="7" fillId="0" borderId="81" xfId="0" applyFont="1" applyBorder="1" applyAlignment="1">
      <alignment/>
    </xf>
    <xf numFmtId="0" fontId="7" fillId="0" borderId="77" xfId="0" applyFont="1" applyBorder="1" applyAlignment="1">
      <alignment/>
    </xf>
    <xf numFmtId="0" fontId="0" fillId="0" borderId="85" xfId="0" applyBorder="1" applyAlignment="1">
      <alignment/>
    </xf>
    <xf numFmtId="0" fontId="7" fillId="0" borderId="23" xfId="0" applyFont="1" applyFill="1" applyBorder="1" applyAlignment="1">
      <alignment vertical="center"/>
    </xf>
    <xf numFmtId="0" fontId="0" fillId="0" borderId="35" xfId="0" applyBorder="1" applyAlignment="1">
      <alignment/>
    </xf>
    <xf numFmtId="0" fontId="9" fillId="2" borderId="35" xfId="22" applyFont="1" applyFill="1" applyBorder="1" applyAlignment="1">
      <alignment horizontal="center" vertical="center"/>
      <protection/>
    </xf>
    <xf numFmtId="0" fontId="9" fillId="2" borderId="26" xfId="22" applyFont="1" applyFill="1" applyBorder="1" applyAlignment="1">
      <alignment horizontal="center" vertical="center"/>
      <protection/>
    </xf>
    <xf numFmtId="0" fontId="9" fillId="2" borderId="42" xfId="22" applyFont="1" applyFill="1" applyBorder="1" applyAlignment="1">
      <alignment horizontal="center" vertical="center"/>
      <protection/>
    </xf>
    <xf numFmtId="0" fontId="9" fillId="2" borderId="56" xfId="22" applyFont="1" applyFill="1" applyBorder="1" applyAlignment="1">
      <alignment horizontal="center" vertical="center"/>
      <protection/>
    </xf>
    <xf numFmtId="0" fontId="9" fillId="2" borderId="59" xfId="22" applyFont="1" applyFill="1" applyBorder="1" applyAlignment="1">
      <alignment horizontal="center" vertical="center"/>
      <protection/>
    </xf>
    <xf numFmtId="0" fontId="11" fillId="2" borderId="21" xfId="0" applyFont="1" applyFill="1" applyBorder="1" applyAlignment="1">
      <alignment horizontal="justify" vertical="center"/>
    </xf>
    <xf numFmtId="0" fontId="0" fillId="2" borderId="22" xfId="0" applyFill="1" applyBorder="1" applyAlignment="1">
      <alignment/>
    </xf>
    <xf numFmtId="0" fontId="11" fillId="2" borderId="23" xfId="0" applyFont="1" applyFill="1" applyBorder="1" applyAlignment="1">
      <alignment horizontal="justify" vertical="center"/>
    </xf>
    <xf numFmtId="0" fontId="0" fillId="2" borderId="7" xfId="0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42" xfId="0" applyFont="1" applyBorder="1" applyAlignment="1">
      <alignment/>
    </xf>
    <xf numFmtId="0" fontId="5" fillId="2" borderId="16" xfId="0" applyFont="1" applyFill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3" fontId="2" fillId="0" borderId="59" xfId="0" applyNumberFormat="1" applyFont="1" applyBorder="1" applyAlignment="1">
      <alignment vertical="center"/>
    </xf>
    <xf numFmtId="3" fontId="2" fillId="0" borderId="55" xfId="0" applyNumberFormat="1" applyFont="1" applyBorder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79" xfId="0" applyFont="1" applyFill="1" applyBorder="1" applyAlignment="1">
      <alignment horizontal="center" vertical="center" wrapText="1"/>
    </xf>
    <xf numFmtId="0" fontId="7" fillId="2" borderId="8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 quotePrefix="1">
      <alignment horizontal="center" vertical="center" wrapText="1"/>
    </xf>
    <xf numFmtId="3" fontId="2" fillId="0" borderId="79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2" fillId="0" borderId="85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6" fillId="0" borderId="70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2" borderId="5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40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9" xfId="0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/>
    </xf>
    <xf numFmtId="0" fontId="7" fillId="2" borderId="72" xfId="0" applyFont="1" applyFill="1" applyBorder="1" applyAlignment="1">
      <alignment horizontal="center"/>
    </xf>
    <xf numFmtId="0" fontId="5" fillId="2" borderId="3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3" fontId="7" fillId="2" borderId="31" xfId="0" applyNumberFormat="1" applyFont="1" applyFill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</cellXfs>
  <cellStyles count="12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Finanční plán 2006_kraj" xfId="20"/>
    <cellStyle name="normální_Finanční plány nemocnice" xfId="21"/>
    <cellStyle name="normální_RK Odpisový plán na rok 2002" xfId="22"/>
    <cellStyle name="nový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28">
      <selection activeCell="D46" sqref="D46"/>
    </sheetView>
  </sheetViews>
  <sheetFormatPr defaultColWidth="9.00390625" defaultRowHeight="12.75"/>
  <cols>
    <col min="1" max="1" width="14.625" style="577" customWidth="1"/>
    <col min="2" max="2" width="11.25390625" style="576" customWidth="1"/>
    <col min="3" max="5" width="12.375" style="576" customWidth="1"/>
    <col min="6" max="6" width="11.125" style="576" customWidth="1"/>
    <col min="7" max="7" width="12.00390625" style="576" customWidth="1"/>
    <col min="8" max="8" width="11.125" style="577" customWidth="1"/>
    <col min="9" max="9" width="12.00390625" style="577" customWidth="1"/>
    <col min="10" max="10" width="11.375" style="577" customWidth="1"/>
    <col min="11" max="16384" width="9.125" style="577" customWidth="1"/>
  </cols>
  <sheetData>
    <row r="1" ht="15">
      <c r="H1" s="729" t="s">
        <v>471</v>
      </c>
    </row>
    <row r="2" spans="1:8" ht="34.5" customHeight="1" thickBot="1">
      <c r="A2" s="575" t="s">
        <v>464</v>
      </c>
      <c r="H2" s="730" t="s">
        <v>470</v>
      </c>
    </row>
    <row r="3" spans="1:9" s="578" customFormat="1" ht="15.75" customHeight="1">
      <c r="A3" s="775" t="s">
        <v>423</v>
      </c>
      <c r="B3" s="784" t="s">
        <v>411</v>
      </c>
      <c r="C3" s="790" t="s">
        <v>413</v>
      </c>
      <c r="D3" s="791"/>
      <c r="E3" s="791"/>
      <c r="F3" s="792"/>
      <c r="G3" s="788" t="s">
        <v>414</v>
      </c>
      <c r="H3" s="788" t="s">
        <v>445</v>
      </c>
      <c r="I3" s="780" t="s">
        <v>458</v>
      </c>
    </row>
    <row r="4" spans="1:9" s="578" customFormat="1" ht="51" customHeight="1" thickBot="1">
      <c r="A4" s="776"/>
      <c r="B4" s="789"/>
      <c r="C4" s="579" t="s">
        <v>417</v>
      </c>
      <c r="D4" s="579" t="s">
        <v>468</v>
      </c>
      <c r="E4" s="579" t="s">
        <v>429</v>
      </c>
      <c r="F4" s="579" t="s">
        <v>418</v>
      </c>
      <c r="G4" s="783"/>
      <c r="H4" s="783"/>
      <c r="I4" s="781"/>
    </row>
    <row r="5" spans="1:9" s="584" customFormat="1" ht="18" customHeight="1">
      <c r="A5" s="630" t="s">
        <v>419</v>
      </c>
      <c r="B5" s="582">
        <v>34600</v>
      </c>
      <c r="C5" s="657">
        <f>+D5+E5+F5</f>
        <v>18791.854</v>
      </c>
      <c r="D5" s="582">
        <v>1469</v>
      </c>
      <c r="E5" s="657">
        <v>22.854</v>
      </c>
      <c r="F5" s="582">
        <v>17300</v>
      </c>
      <c r="G5" s="583">
        <v>17300</v>
      </c>
      <c r="H5" s="661"/>
      <c r="I5" s="635">
        <f>+'H.Brod'!L88</f>
        <v>16700000</v>
      </c>
    </row>
    <row r="6" spans="1:9" s="584" customFormat="1" ht="18" customHeight="1">
      <c r="A6" s="631" t="s">
        <v>420</v>
      </c>
      <c r="B6" s="587">
        <v>32500</v>
      </c>
      <c r="C6" s="658">
        <f>+D6+E6+F6</f>
        <v>16088.7</v>
      </c>
      <c r="D6" s="587">
        <f>780+267</f>
        <v>1047</v>
      </c>
      <c r="E6" s="658">
        <v>41.7</v>
      </c>
      <c r="F6" s="587">
        <v>15000</v>
      </c>
      <c r="G6" s="589">
        <f>+B6-F6</f>
        <v>17500</v>
      </c>
      <c r="H6" s="662"/>
      <c r="I6" s="636">
        <f>+Pelhřimov!L96</f>
        <v>59300000</v>
      </c>
    </row>
    <row r="7" spans="1:9" s="584" customFormat="1" ht="18" customHeight="1">
      <c r="A7" s="631" t="s">
        <v>421</v>
      </c>
      <c r="B7" s="587">
        <v>24400</v>
      </c>
      <c r="C7" s="658">
        <v>1457</v>
      </c>
      <c r="D7" s="587">
        <v>1457</v>
      </c>
      <c r="E7" s="658">
        <v>0</v>
      </c>
      <c r="F7" s="587">
        <f>+C7-D7</f>
        <v>0</v>
      </c>
      <c r="G7" s="589">
        <f>+B7-F7</f>
        <v>24400</v>
      </c>
      <c r="H7" s="662">
        <v>160.298</v>
      </c>
      <c r="I7" s="636">
        <f>+Třebíč!L127</f>
        <v>176350000</v>
      </c>
    </row>
    <row r="8" spans="1:9" s="584" customFormat="1" ht="27" customHeight="1" thickBot="1">
      <c r="A8" s="632" t="s">
        <v>422</v>
      </c>
      <c r="B8" s="592">
        <v>35700</v>
      </c>
      <c r="C8" s="659">
        <f>+D8+E8+F8</f>
        <v>16532.3</v>
      </c>
      <c r="D8" s="592">
        <f>920+10</f>
        <v>930</v>
      </c>
      <c r="E8" s="659">
        <v>281.3</v>
      </c>
      <c r="F8" s="592">
        <v>15321</v>
      </c>
      <c r="G8" s="594">
        <f>+B8-F8</f>
        <v>20379</v>
      </c>
      <c r="H8" s="663"/>
      <c r="I8" s="637">
        <f>43285000-G8*1000</f>
        <v>22906000</v>
      </c>
    </row>
    <row r="9" spans="1:9" s="600" customFormat="1" ht="23.25" customHeight="1" thickBot="1">
      <c r="A9" s="633" t="s">
        <v>4</v>
      </c>
      <c r="B9" s="597">
        <f aca="true" t="shared" si="0" ref="B9:I9">SUM(B5:B8)</f>
        <v>127200</v>
      </c>
      <c r="C9" s="660">
        <f t="shared" si="0"/>
        <v>52869.85400000001</v>
      </c>
      <c r="D9" s="597">
        <f t="shared" si="0"/>
        <v>4903</v>
      </c>
      <c r="E9" s="660">
        <f t="shared" si="0"/>
        <v>345.85400000000004</v>
      </c>
      <c r="F9" s="597">
        <f t="shared" si="0"/>
        <v>47621</v>
      </c>
      <c r="G9" s="599">
        <f t="shared" si="0"/>
        <v>79579</v>
      </c>
      <c r="H9" s="664">
        <f>SUM(H5:H8)</f>
        <v>160.298</v>
      </c>
      <c r="I9" s="638">
        <f t="shared" si="0"/>
        <v>275256000</v>
      </c>
    </row>
    <row r="10" spans="1:9" ht="8.25" customHeight="1">
      <c r="A10" s="601"/>
      <c r="B10" s="602"/>
      <c r="C10" s="602"/>
      <c r="D10" s="602"/>
      <c r="E10" s="602"/>
      <c r="F10" s="602"/>
      <c r="G10" s="602"/>
      <c r="H10" s="601"/>
      <c r="I10" s="601"/>
    </row>
    <row r="11" spans="1:9" ht="8.25" customHeight="1" thickBot="1">
      <c r="A11" s="601"/>
      <c r="B11" s="602"/>
      <c r="C11" s="602"/>
      <c r="D11" s="602"/>
      <c r="E11" s="602"/>
      <c r="F11" s="602"/>
      <c r="G11" s="602"/>
      <c r="H11" s="601"/>
      <c r="I11" s="601"/>
    </row>
    <row r="12" spans="1:9" ht="31.5" customHeight="1">
      <c r="A12" s="775" t="s">
        <v>423</v>
      </c>
      <c r="B12" s="762" t="s">
        <v>412</v>
      </c>
      <c r="C12" s="784" t="s">
        <v>415</v>
      </c>
      <c r="D12" s="786" t="s">
        <v>465</v>
      </c>
      <c r="E12" s="782" t="s">
        <v>416</v>
      </c>
      <c r="F12" s="774" t="s">
        <v>425</v>
      </c>
      <c r="G12" s="772"/>
      <c r="H12" s="772"/>
      <c r="I12" s="773"/>
    </row>
    <row r="13" spans="1:9" ht="43.5" customHeight="1" thickBot="1">
      <c r="A13" s="776"/>
      <c r="B13" s="763"/>
      <c r="C13" s="785"/>
      <c r="D13" s="787"/>
      <c r="E13" s="783"/>
      <c r="F13" s="605">
        <v>2005</v>
      </c>
      <c r="G13" s="603">
        <v>2006</v>
      </c>
      <c r="H13" s="604" t="s">
        <v>7</v>
      </c>
      <c r="I13" s="606" t="s">
        <v>48</v>
      </c>
    </row>
    <row r="14" spans="1:9" ht="17.25" customHeight="1">
      <c r="A14" s="630" t="s">
        <v>419</v>
      </c>
      <c r="B14" s="582">
        <v>-12567</v>
      </c>
      <c r="C14" s="582">
        <f>+B14-F5</f>
        <v>-29867</v>
      </c>
      <c r="D14" s="634">
        <f>+F5/B5</f>
        <v>0.5</v>
      </c>
      <c r="E14" s="583">
        <f>+C14</f>
        <v>-29867</v>
      </c>
      <c r="F14" s="581">
        <v>145509</v>
      </c>
      <c r="G14" s="582">
        <v>145000</v>
      </c>
      <c r="H14" s="587">
        <f>+G14-F14</f>
        <v>-509</v>
      </c>
      <c r="I14" s="588">
        <f>+G14/F14</f>
        <v>0.9965019345882385</v>
      </c>
    </row>
    <row r="15" spans="1:9" ht="17.25" customHeight="1">
      <c r="A15" s="631" t="s">
        <v>420</v>
      </c>
      <c r="B15" s="587">
        <v>-17316</v>
      </c>
      <c r="C15" s="582">
        <f>+B15-F6</f>
        <v>-32316</v>
      </c>
      <c r="D15" s="607">
        <f>+F6/B6</f>
        <v>0.46153846153846156</v>
      </c>
      <c r="E15" s="589">
        <f>+C15</f>
        <v>-32316</v>
      </c>
      <c r="F15" s="586">
        <v>98012</v>
      </c>
      <c r="G15" s="587">
        <v>98000</v>
      </c>
      <c r="H15" s="587">
        <f>+G15-F15</f>
        <v>-12</v>
      </c>
      <c r="I15" s="588">
        <f>+G15/F15</f>
        <v>0.999877566012325</v>
      </c>
    </row>
    <row r="16" spans="1:9" ht="17.25" customHeight="1">
      <c r="A16" s="631" t="s">
        <v>421</v>
      </c>
      <c r="B16" s="587">
        <v>-17500</v>
      </c>
      <c r="C16" s="582">
        <f>+B16-F7</f>
        <v>-17500</v>
      </c>
      <c r="D16" s="607">
        <f>+F7/B7</f>
        <v>0</v>
      </c>
      <c r="E16" s="589">
        <f>+C16</f>
        <v>-17500</v>
      </c>
      <c r="F16" s="586">
        <v>117329.18</v>
      </c>
      <c r="G16" s="587">
        <v>110100</v>
      </c>
      <c r="H16" s="587">
        <f>+G16-F16</f>
        <v>-7229.179999999993</v>
      </c>
      <c r="I16" s="588">
        <f>+G16/F16</f>
        <v>0.9383854894409047</v>
      </c>
    </row>
    <row r="17" spans="1:9" ht="25.5" customHeight="1" thickBot="1">
      <c r="A17" s="632" t="s">
        <v>422</v>
      </c>
      <c r="B17" s="592">
        <v>-14872</v>
      </c>
      <c r="C17" s="582">
        <f>+B17-F8</f>
        <v>-30193</v>
      </c>
      <c r="D17" s="608">
        <f>+F8/B8</f>
        <v>0.4291596638655462</v>
      </c>
      <c r="E17" s="594">
        <f>+C17</f>
        <v>-30193</v>
      </c>
      <c r="F17" s="591">
        <v>134383</v>
      </c>
      <c r="G17" s="592">
        <v>133039</v>
      </c>
      <c r="H17" s="592">
        <f>+G17-F17</f>
        <v>-1344</v>
      </c>
      <c r="I17" s="593">
        <f>+G17/F17</f>
        <v>0.989998734959035</v>
      </c>
    </row>
    <row r="18" spans="1:9" ht="17.25" customHeight="1" thickBot="1">
      <c r="A18" s="633" t="s">
        <v>4</v>
      </c>
      <c r="B18" s="597">
        <f>SUM(B14:B17)</f>
        <v>-62255</v>
      </c>
      <c r="C18" s="597">
        <f>SUM(C14:C17)</f>
        <v>-109876</v>
      </c>
      <c r="D18" s="609">
        <f>+F9/B9</f>
        <v>0.3743789308176101</v>
      </c>
      <c r="E18" s="599">
        <f>SUM(E14:E17)</f>
        <v>-109876</v>
      </c>
      <c r="F18" s="596">
        <f>SUM(F14:F17)</f>
        <v>495233.18</v>
      </c>
      <c r="G18" s="597">
        <f>SUM(G14:G17)</f>
        <v>486139</v>
      </c>
      <c r="H18" s="597">
        <f>+G18-F18</f>
        <v>-9094.179999999993</v>
      </c>
      <c r="I18" s="598">
        <f>+G18/F18</f>
        <v>0.9816365696660309</v>
      </c>
    </row>
    <row r="19" ht="13.5" customHeight="1" thickBot="1"/>
    <row r="20" spans="1:10" s="600" customFormat="1" ht="12.75" customHeight="1">
      <c r="A20" s="775" t="s">
        <v>423</v>
      </c>
      <c r="B20" s="774" t="s">
        <v>460</v>
      </c>
      <c r="C20" s="772"/>
      <c r="D20" s="772"/>
      <c r="E20" s="773"/>
      <c r="F20" s="777" t="s">
        <v>446</v>
      </c>
      <c r="G20" s="778"/>
      <c r="H20" s="778"/>
      <c r="I20" s="778"/>
      <c r="J20" s="779"/>
    </row>
    <row r="21" spans="1:10" s="600" customFormat="1" ht="33.75" customHeight="1" thickBot="1">
      <c r="A21" s="776"/>
      <c r="B21" s="605">
        <v>2005</v>
      </c>
      <c r="C21" s="603">
        <v>2006</v>
      </c>
      <c r="D21" s="604" t="s">
        <v>7</v>
      </c>
      <c r="E21" s="606" t="s">
        <v>48</v>
      </c>
      <c r="F21" s="643" t="s">
        <v>430</v>
      </c>
      <c r="G21" s="644" t="s">
        <v>431</v>
      </c>
      <c r="H21" s="645" t="s">
        <v>444</v>
      </c>
      <c r="I21" s="645" t="s">
        <v>432</v>
      </c>
      <c r="J21" s="648" t="s">
        <v>45</v>
      </c>
    </row>
    <row r="22" spans="1:11" s="584" customFormat="1" ht="17.25" customHeight="1">
      <c r="A22" s="630" t="s">
        <v>419</v>
      </c>
      <c r="B22" s="581">
        <v>297153</v>
      </c>
      <c r="C22" s="582">
        <v>327596</v>
      </c>
      <c r="D22" s="587">
        <f>+C22-B22</f>
        <v>30443</v>
      </c>
      <c r="E22" s="588">
        <f>+C22/B22</f>
        <v>1.102448906792124</v>
      </c>
      <c r="F22" s="581">
        <f>13200/(1.37)</f>
        <v>9635.036496350363</v>
      </c>
      <c r="G22" s="639">
        <f>11600/(1.37)-4000</f>
        <v>4467.153284671533</v>
      </c>
      <c r="H22" s="639">
        <f>11100/(1.37)</f>
        <v>8102.189781021897</v>
      </c>
      <c r="I22" s="639">
        <v>0</v>
      </c>
      <c r="J22" s="583">
        <f>SUM(F22:I22)</f>
        <v>22204.379562043792</v>
      </c>
      <c r="K22"/>
    </row>
    <row r="23" spans="1:11" s="584" customFormat="1" ht="17.25" customHeight="1">
      <c r="A23" s="631" t="s">
        <v>420</v>
      </c>
      <c r="B23" s="586">
        <v>200118</v>
      </c>
      <c r="C23" s="587">
        <v>219885</v>
      </c>
      <c r="D23" s="587">
        <f>+C23-B23</f>
        <v>19767</v>
      </c>
      <c r="E23" s="588">
        <f>+C23/B23</f>
        <v>1.0987767217341768</v>
      </c>
      <c r="F23" s="649">
        <v>6963</v>
      </c>
      <c r="G23" s="587">
        <v>4700</v>
      </c>
      <c r="H23" s="587">
        <v>3520</v>
      </c>
      <c r="I23" s="640">
        <v>-720</v>
      </c>
      <c r="J23" s="583">
        <f>SUM(F23:I23)</f>
        <v>14463</v>
      </c>
      <c r="K23"/>
    </row>
    <row r="24" spans="1:11" s="584" customFormat="1" ht="17.25" customHeight="1">
      <c r="A24" s="631" t="s">
        <v>421</v>
      </c>
      <c r="B24" s="586">
        <v>272417.22</v>
      </c>
      <c r="C24" s="587">
        <v>302306.56</v>
      </c>
      <c r="D24" s="587">
        <f>+C24-B24</f>
        <v>29889.340000000026</v>
      </c>
      <c r="E24" s="588">
        <f>+C24/B24</f>
        <v>1.1097189817883026</v>
      </c>
      <c r="F24" s="586">
        <v>10000</v>
      </c>
      <c r="G24" s="640">
        <v>4500</v>
      </c>
      <c r="H24" s="640">
        <f>3900+4800</f>
        <v>8700</v>
      </c>
      <c r="I24" s="640">
        <v>-1800</v>
      </c>
      <c r="J24" s="583">
        <f>SUM(F24:I24)</f>
        <v>21400</v>
      </c>
      <c r="K24"/>
    </row>
    <row r="25" spans="1:11" s="584" customFormat="1" ht="27" customHeight="1" thickBot="1">
      <c r="A25" s="632" t="s">
        <v>422</v>
      </c>
      <c r="B25" s="591">
        <v>286422</v>
      </c>
      <c r="C25" s="592">
        <v>315064</v>
      </c>
      <c r="D25" s="592">
        <f>+C25-B25</f>
        <v>28642</v>
      </c>
      <c r="E25" s="593">
        <f>+C25/B25</f>
        <v>1.0999993017296157</v>
      </c>
      <c r="F25" s="591">
        <v>9326</v>
      </c>
      <c r="G25" s="641">
        <v>4836</v>
      </c>
      <c r="H25" s="641">
        <f>6036+709</f>
        <v>6745</v>
      </c>
      <c r="I25" s="641">
        <v>0</v>
      </c>
      <c r="J25" s="583">
        <f>SUM(F25:I25)</f>
        <v>20907</v>
      </c>
      <c r="K25"/>
    </row>
    <row r="26" spans="1:11" s="600" customFormat="1" ht="22.5" customHeight="1" thickBot="1">
      <c r="A26" s="633" t="s">
        <v>4</v>
      </c>
      <c r="B26" s="596">
        <f>SUM(B22:B25)</f>
        <v>1056110.22</v>
      </c>
      <c r="C26" s="597">
        <f>SUM(C22:C25)</f>
        <v>1164851.56</v>
      </c>
      <c r="D26" s="597">
        <f>+C26-B26</f>
        <v>108741.34000000008</v>
      </c>
      <c r="E26" s="598">
        <f>+C26/B26</f>
        <v>1.1029640069196567</v>
      </c>
      <c r="F26" s="596">
        <f>SUM(F22:F25)</f>
        <v>35924.03649635037</v>
      </c>
      <c r="G26" s="642">
        <f>SUM(G22:G25)</f>
        <v>18503.153284671534</v>
      </c>
      <c r="H26" s="642">
        <f>SUM(H22:H25)</f>
        <v>27067.189781021898</v>
      </c>
      <c r="I26" s="642">
        <f>SUM(I22:I25)</f>
        <v>-2520</v>
      </c>
      <c r="J26" s="599">
        <f>SUM(J22:J25)</f>
        <v>78974.37956204379</v>
      </c>
      <c r="K26"/>
    </row>
    <row r="27" ht="9.75" customHeight="1"/>
    <row r="28" ht="3.75" customHeight="1" thickBot="1"/>
    <row r="29" spans="1:9" s="600" customFormat="1" ht="14.25" customHeight="1">
      <c r="A29" s="769" t="s">
        <v>423</v>
      </c>
      <c r="B29" s="774" t="s">
        <v>424</v>
      </c>
      <c r="C29" s="772"/>
      <c r="D29" s="772"/>
      <c r="E29" s="773"/>
      <c r="F29" s="774" t="s">
        <v>426</v>
      </c>
      <c r="G29" s="772"/>
      <c r="H29" s="772"/>
      <c r="I29" s="773"/>
    </row>
    <row r="30" spans="1:9" s="600" customFormat="1" ht="15" customHeight="1" thickBot="1">
      <c r="A30" s="770"/>
      <c r="B30" s="605">
        <v>2005</v>
      </c>
      <c r="C30" s="603">
        <v>2006</v>
      </c>
      <c r="D30" s="604" t="s">
        <v>7</v>
      </c>
      <c r="E30" s="606" t="s">
        <v>48</v>
      </c>
      <c r="F30" s="605">
        <v>2005</v>
      </c>
      <c r="G30" s="603">
        <v>2006</v>
      </c>
      <c r="H30" s="604" t="s">
        <v>7</v>
      </c>
      <c r="I30" s="606" t="s">
        <v>48</v>
      </c>
    </row>
    <row r="31" spans="1:9" s="584" customFormat="1" ht="17.25" customHeight="1">
      <c r="A31" s="580" t="s">
        <v>419</v>
      </c>
      <c r="B31" s="581">
        <f>+'H.Brod'!F19+'H.Brod'!F20</f>
        <v>18161</v>
      </c>
      <c r="C31" s="582">
        <f>+'H.Brod'!K19+'H.Brod'!K20</f>
        <v>21300</v>
      </c>
      <c r="D31" s="587">
        <f>+C31-B31</f>
        <v>3139</v>
      </c>
      <c r="E31" s="588">
        <f>+C31/B31</f>
        <v>1.1728429051263698</v>
      </c>
      <c r="F31" s="581">
        <v>2999</v>
      </c>
      <c r="G31" s="582">
        <v>2000</v>
      </c>
      <c r="H31" s="587">
        <f>+G31-F31</f>
        <v>-999</v>
      </c>
      <c r="I31" s="588">
        <f>+G31/F31</f>
        <v>0.6668889629876625</v>
      </c>
    </row>
    <row r="32" spans="1:9" s="584" customFormat="1" ht="17.25" customHeight="1">
      <c r="A32" s="585" t="s">
        <v>420</v>
      </c>
      <c r="B32" s="586">
        <f>+Pelhřimov!F20+Pelhřimov!F21</f>
        <v>16208</v>
      </c>
      <c r="C32" s="587">
        <f>+Pelhřimov!K20+Pelhřimov!K21</f>
        <v>17000</v>
      </c>
      <c r="D32" s="587">
        <f>+C32-B32</f>
        <v>792</v>
      </c>
      <c r="E32" s="588">
        <f>+C32/B32</f>
        <v>1.0488647581441264</v>
      </c>
      <c r="F32" s="586">
        <v>968</v>
      </c>
      <c r="G32" s="587">
        <v>1408</v>
      </c>
      <c r="H32" s="587">
        <f>+G32-F32</f>
        <v>440</v>
      </c>
      <c r="I32" s="588">
        <f>+G32/F32</f>
        <v>1.4545454545454546</v>
      </c>
    </row>
    <row r="33" spans="1:9" s="584" customFormat="1" ht="17.25" customHeight="1">
      <c r="A33" s="585" t="s">
        <v>421</v>
      </c>
      <c r="B33" s="586">
        <f>+Třebíč!G20+Třebíč!G21</f>
        <v>19336.879999999997</v>
      </c>
      <c r="C33" s="587">
        <f>+Třebíč!L20+Třebíč!L21</f>
        <v>22520</v>
      </c>
      <c r="D33" s="587">
        <f>+C33-B33</f>
        <v>3183.1200000000026</v>
      </c>
      <c r="E33" s="588">
        <f>+C33/B33</f>
        <v>1.1646139397875976</v>
      </c>
      <c r="F33" s="586">
        <v>2303.56</v>
      </c>
      <c r="G33" s="587">
        <v>5213.525</v>
      </c>
      <c r="H33" s="587">
        <f>+G33-F33</f>
        <v>2909.9649999999997</v>
      </c>
      <c r="I33" s="588">
        <f>+G33/F33</f>
        <v>2.263246887426418</v>
      </c>
    </row>
    <row r="34" spans="1:9" s="584" customFormat="1" ht="31.5" customHeight="1" thickBot="1">
      <c r="A34" s="590" t="s">
        <v>422</v>
      </c>
      <c r="B34" s="591">
        <f>+'N.Město'!F20+'N.Město'!F19</f>
        <v>20879</v>
      </c>
      <c r="C34" s="592">
        <f>+'N.Město'!K19+'N.Město'!K20</f>
        <v>24000</v>
      </c>
      <c r="D34" s="592">
        <f>+C34-B34</f>
        <v>3121</v>
      </c>
      <c r="E34" s="593">
        <f>+C34/B34</f>
        <v>1.1494803390967</v>
      </c>
      <c r="F34" s="591">
        <v>2309</v>
      </c>
      <c r="G34" s="592">
        <v>4901</v>
      </c>
      <c r="H34" s="592">
        <f>+G34-F34</f>
        <v>2592</v>
      </c>
      <c r="I34" s="593">
        <f>+G34/F34</f>
        <v>2.122563880467735</v>
      </c>
    </row>
    <row r="35" spans="1:9" s="600" customFormat="1" ht="22.5" customHeight="1" thickBot="1">
      <c r="A35" s="595" t="s">
        <v>4</v>
      </c>
      <c r="B35" s="596">
        <f>SUM(B31:B34)</f>
        <v>74584.88</v>
      </c>
      <c r="C35" s="597">
        <f>SUM(C31:C34)</f>
        <v>84820</v>
      </c>
      <c r="D35" s="597">
        <f>+C35-B35</f>
        <v>10235.119999999995</v>
      </c>
      <c r="E35" s="598">
        <f>+C35/B35</f>
        <v>1.1372278134656781</v>
      </c>
      <c r="F35" s="596">
        <f>SUM(F31:F34)</f>
        <v>8579.56</v>
      </c>
      <c r="G35" s="597">
        <f>SUM(G31:G34)</f>
        <v>13522.525</v>
      </c>
      <c r="H35" s="597">
        <f>+G35-F35</f>
        <v>4942.965</v>
      </c>
      <c r="I35" s="598">
        <f>+G35/F35</f>
        <v>1.5761326921194094</v>
      </c>
    </row>
    <row r="36" ht="13.5" thickBot="1"/>
    <row r="37" spans="1:9" s="600" customFormat="1" ht="18.75" customHeight="1">
      <c r="A37" s="769" t="s">
        <v>423</v>
      </c>
      <c r="B37" s="771" t="s">
        <v>427</v>
      </c>
      <c r="C37" s="772"/>
      <c r="D37" s="772"/>
      <c r="E37" s="773"/>
      <c r="F37" s="771" t="s">
        <v>428</v>
      </c>
      <c r="G37" s="772"/>
      <c r="H37" s="772"/>
      <c r="I37" s="773"/>
    </row>
    <row r="38" spans="1:9" s="600" customFormat="1" ht="15.75" customHeight="1" thickBot="1">
      <c r="A38" s="770"/>
      <c r="B38" s="603">
        <v>2005</v>
      </c>
      <c r="C38" s="603">
        <v>2006</v>
      </c>
      <c r="D38" s="604" t="s">
        <v>7</v>
      </c>
      <c r="E38" s="606" t="s">
        <v>48</v>
      </c>
      <c r="F38" s="603">
        <v>2005</v>
      </c>
      <c r="G38" s="603">
        <v>2006</v>
      </c>
      <c r="H38" s="604" t="s">
        <v>7</v>
      </c>
      <c r="I38" s="606" t="s">
        <v>48</v>
      </c>
    </row>
    <row r="39" spans="1:9" s="584" customFormat="1" ht="18.75" customHeight="1">
      <c r="A39" s="580" t="s">
        <v>419</v>
      </c>
      <c r="B39" s="582">
        <v>484941</v>
      </c>
      <c r="C39" s="582">
        <v>501377</v>
      </c>
      <c r="D39" s="587">
        <f>+C39-B39</f>
        <v>16436</v>
      </c>
      <c r="E39" s="588">
        <f>+C39/B39</f>
        <v>1.0338927828333757</v>
      </c>
      <c r="F39" s="582">
        <v>51119.92</v>
      </c>
      <c r="G39" s="582">
        <v>49862</v>
      </c>
      <c r="H39" s="587">
        <f>+G39-F39</f>
        <v>-1257.9199999999983</v>
      </c>
      <c r="I39" s="588">
        <f>+G39/F39</f>
        <v>0.9753927627429777</v>
      </c>
    </row>
    <row r="40" spans="1:9" s="584" customFormat="1" ht="18.75" customHeight="1">
      <c r="A40" s="585" t="s">
        <v>420</v>
      </c>
      <c r="B40" s="587">
        <v>323873</v>
      </c>
      <c r="C40" s="587">
        <v>333800</v>
      </c>
      <c r="D40" s="587">
        <f>+C40-B40</f>
        <v>9927</v>
      </c>
      <c r="E40" s="588">
        <f>+C40/B40</f>
        <v>1.0306509032861646</v>
      </c>
      <c r="F40" s="587">
        <v>47094</v>
      </c>
      <c r="G40" s="587">
        <v>46000</v>
      </c>
      <c r="H40" s="587">
        <f>+G40-F40</f>
        <v>-1094</v>
      </c>
      <c r="I40" s="588">
        <f>+G40/F40</f>
        <v>0.9767698645262666</v>
      </c>
    </row>
    <row r="41" spans="1:9" s="584" customFormat="1" ht="18.75" customHeight="1">
      <c r="A41" s="585" t="s">
        <v>421</v>
      </c>
      <c r="B41" s="587">
        <v>480380.61</v>
      </c>
      <c r="C41" s="587">
        <v>491662</v>
      </c>
      <c r="D41" s="587">
        <f>+C41-B41</f>
        <v>11281.390000000014</v>
      </c>
      <c r="E41" s="588">
        <f>+C41/B41</f>
        <v>1.023484274271603</v>
      </c>
      <c r="F41" s="587">
        <v>39297.09</v>
      </c>
      <c r="G41" s="587">
        <v>39100</v>
      </c>
      <c r="H41" s="587">
        <f>+G41-F41</f>
        <v>-197.0899999999965</v>
      </c>
      <c r="I41" s="588">
        <f>+G41/F41</f>
        <v>0.9949846159092188</v>
      </c>
    </row>
    <row r="42" spans="1:9" s="584" customFormat="1" ht="27" customHeight="1" thickBot="1">
      <c r="A42" s="590" t="s">
        <v>422</v>
      </c>
      <c r="B42" s="592">
        <v>473246</v>
      </c>
      <c r="C42" s="592">
        <v>493724</v>
      </c>
      <c r="D42" s="592">
        <f>+C42-B42</f>
        <v>20478</v>
      </c>
      <c r="E42" s="593">
        <f>+C42/B42</f>
        <v>1.0432713641531044</v>
      </c>
      <c r="F42" s="592">
        <v>48193</v>
      </c>
      <c r="G42" s="592">
        <v>50457</v>
      </c>
      <c r="H42" s="592">
        <f>+G42-F42</f>
        <v>2264</v>
      </c>
      <c r="I42" s="593">
        <f>+G42/F42</f>
        <v>1.04697777685556</v>
      </c>
    </row>
    <row r="43" spans="1:9" s="600" customFormat="1" ht="22.5" customHeight="1" thickBot="1">
      <c r="A43" s="595" t="s">
        <v>4</v>
      </c>
      <c r="B43" s="597">
        <f>SUM(B39:B42)</f>
        <v>1762440.6099999999</v>
      </c>
      <c r="C43" s="597">
        <f>SUM(C39:C42)</f>
        <v>1820563</v>
      </c>
      <c r="D43" s="597">
        <f>+C43-B43</f>
        <v>58122.39000000013</v>
      </c>
      <c r="E43" s="598">
        <f>+C43/B43</f>
        <v>1.0329783538067703</v>
      </c>
      <c r="F43" s="597">
        <f>SUM(F39:F42)</f>
        <v>185704.01</v>
      </c>
      <c r="G43" s="597">
        <f>SUM(G39:G42)</f>
        <v>185419</v>
      </c>
      <c r="H43" s="597">
        <f>+G43-F43</f>
        <v>-285.0100000000093</v>
      </c>
      <c r="I43" s="598">
        <f>+G43/F43</f>
        <v>0.998465245850103</v>
      </c>
    </row>
    <row r="44" ht="12.75">
      <c r="A44" s="732" t="s">
        <v>472</v>
      </c>
    </row>
  </sheetData>
  <mergeCells count="21">
    <mergeCell ref="A3:A4"/>
    <mergeCell ref="B3:B4"/>
    <mergeCell ref="A12:A13"/>
    <mergeCell ref="G3:G4"/>
    <mergeCell ref="C3:F3"/>
    <mergeCell ref="B12:B13"/>
    <mergeCell ref="I3:I4"/>
    <mergeCell ref="E12:E13"/>
    <mergeCell ref="C12:C13"/>
    <mergeCell ref="D12:D13"/>
    <mergeCell ref="F12:I12"/>
    <mergeCell ref="H3:H4"/>
    <mergeCell ref="B20:E20"/>
    <mergeCell ref="A20:A21"/>
    <mergeCell ref="B29:E29"/>
    <mergeCell ref="F20:J20"/>
    <mergeCell ref="A37:A38"/>
    <mergeCell ref="B37:E37"/>
    <mergeCell ref="F37:I37"/>
    <mergeCell ref="A29:A30"/>
    <mergeCell ref="F29:I29"/>
  </mergeCells>
  <printOptions horizontalCentered="1"/>
  <pageMargins left="0.31496062992125984" right="0.2362204724409449" top="0.47" bottom="0.3" header="0.34" footer="0.19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I7" sqref="I7"/>
    </sheetView>
  </sheetViews>
  <sheetFormatPr defaultColWidth="9.00390625" defaultRowHeight="12.75"/>
  <cols>
    <col min="1" max="1" width="22.00390625" style="0" bestFit="1" customWidth="1"/>
    <col min="2" max="2" width="11.125" style="0" customWidth="1"/>
  </cols>
  <sheetData>
    <row r="1" ht="13.5" thickBot="1">
      <c r="A1" s="426" t="s">
        <v>192</v>
      </c>
    </row>
    <row r="2" spans="1:6" ht="15" customHeight="1">
      <c r="A2" s="764" t="s">
        <v>64</v>
      </c>
      <c r="B2" s="766" t="s">
        <v>461</v>
      </c>
      <c r="C2" s="768" t="s">
        <v>163</v>
      </c>
      <c r="D2" s="761"/>
      <c r="E2" s="761"/>
      <c r="F2" s="760"/>
    </row>
    <row r="3" spans="1:6" ht="21" customHeight="1" thickBot="1">
      <c r="A3" s="765"/>
      <c r="B3" s="767"/>
      <c r="C3" s="60" t="s">
        <v>152</v>
      </c>
      <c r="D3" s="39" t="s">
        <v>66</v>
      </c>
      <c r="E3" s="39" t="s">
        <v>67</v>
      </c>
      <c r="F3" s="40" t="s">
        <v>153</v>
      </c>
    </row>
    <row r="4" spans="1:6" ht="17.25" customHeight="1">
      <c r="A4" s="313" t="s">
        <v>69</v>
      </c>
      <c r="B4" s="175">
        <v>44638.42</v>
      </c>
      <c r="C4" s="314" t="s">
        <v>70</v>
      </c>
      <c r="D4" s="314" t="s">
        <v>70</v>
      </c>
      <c r="E4" s="314" t="s">
        <v>70</v>
      </c>
      <c r="F4" s="174" t="s">
        <v>70</v>
      </c>
    </row>
    <row r="5" spans="1:6" ht="17.25" customHeight="1">
      <c r="A5" s="315" t="s">
        <v>71</v>
      </c>
      <c r="B5" s="180">
        <v>0</v>
      </c>
      <c r="C5" s="42">
        <v>0</v>
      </c>
      <c r="D5" s="42">
        <v>0</v>
      </c>
      <c r="E5" s="42">
        <v>0</v>
      </c>
      <c r="F5" s="179">
        <v>0</v>
      </c>
    </row>
    <row r="6" spans="1:6" ht="17.25" customHeight="1">
      <c r="A6" s="315" t="s">
        <v>72</v>
      </c>
      <c r="B6" s="180">
        <v>0</v>
      </c>
      <c r="C6" s="406">
        <v>3273</v>
      </c>
      <c r="D6" s="42">
        <v>0</v>
      </c>
      <c r="E6" s="42">
        <v>0</v>
      </c>
      <c r="F6" s="179">
        <v>3273</v>
      </c>
    </row>
    <row r="7" spans="1:6" ht="17.25" customHeight="1">
      <c r="A7" s="315" t="s">
        <v>73</v>
      </c>
      <c r="B7" s="180">
        <v>37225.78</v>
      </c>
      <c r="C7" s="314" t="s">
        <v>70</v>
      </c>
      <c r="D7" s="314" t="s">
        <v>70</v>
      </c>
      <c r="E7" s="314" t="s">
        <v>70</v>
      </c>
      <c r="F7" s="174" t="s">
        <v>70</v>
      </c>
    </row>
    <row r="8" spans="1:6" ht="17.25" customHeight="1">
      <c r="A8" s="315" t="s">
        <v>74</v>
      </c>
      <c r="B8" s="180">
        <v>7412.64</v>
      </c>
      <c r="C8" s="731">
        <v>20794</v>
      </c>
      <c r="D8" s="184">
        <v>10000</v>
      </c>
      <c r="E8" s="184">
        <v>15389</v>
      </c>
      <c r="F8" s="179">
        <v>15405</v>
      </c>
    </row>
    <row r="9" spans="1:6" ht="17.25" customHeight="1" thickBot="1">
      <c r="A9" s="317" t="s">
        <v>75</v>
      </c>
      <c r="B9" s="188">
        <v>108.18</v>
      </c>
      <c r="C9" s="96">
        <v>1993</v>
      </c>
      <c r="D9" s="96">
        <v>4597</v>
      </c>
      <c r="E9" s="96">
        <v>5000</v>
      </c>
      <c r="F9" s="187">
        <v>1590</v>
      </c>
    </row>
    <row r="10" spans="1:6" ht="9.75" customHeight="1">
      <c r="A10" s="538"/>
      <c r="B10" s="48"/>
      <c r="C10" s="48"/>
      <c r="D10" s="48"/>
      <c r="E10" s="48"/>
      <c r="F10" s="48"/>
    </row>
    <row r="11" ht="13.5" hidden="1" thickBot="1">
      <c r="A11" s="426" t="s">
        <v>139</v>
      </c>
    </row>
    <row r="12" spans="1:6" ht="15" customHeight="1" hidden="1">
      <c r="A12" s="764" t="s">
        <v>64</v>
      </c>
      <c r="B12" s="766" t="s">
        <v>461</v>
      </c>
      <c r="C12" s="768" t="s">
        <v>163</v>
      </c>
      <c r="D12" s="761"/>
      <c r="E12" s="761"/>
      <c r="F12" s="760"/>
    </row>
    <row r="13" spans="1:6" ht="24.75" customHeight="1" hidden="1" thickBot="1">
      <c r="A13" s="765"/>
      <c r="B13" s="767"/>
      <c r="C13" s="60" t="s">
        <v>152</v>
      </c>
      <c r="D13" s="39" t="s">
        <v>66</v>
      </c>
      <c r="E13" s="39" t="s">
        <v>67</v>
      </c>
      <c r="F13" s="40" t="s">
        <v>153</v>
      </c>
    </row>
    <row r="14" spans="1:6" ht="15" customHeight="1" hidden="1">
      <c r="A14" s="313" t="s">
        <v>69</v>
      </c>
      <c r="B14" s="175">
        <v>24293</v>
      </c>
      <c r="C14" s="314" t="s">
        <v>70</v>
      </c>
      <c r="D14" s="314" t="s">
        <v>70</v>
      </c>
      <c r="E14" s="314" t="s">
        <v>70</v>
      </c>
      <c r="F14" s="174" t="s">
        <v>70</v>
      </c>
    </row>
    <row r="15" spans="1:6" ht="15" customHeight="1" hidden="1">
      <c r="A15" s="315" t="s">
        <v>71</v>
      </c>
      <c r="B15" s="180">
        <v>0</v>
      </c>
      <c r="C15" s="42">
        <v>129</v>
      </c>
      <c r="D15" s="42">
        <v>0</v>
      </c>
      <c r="E15" s="42">
        <v>0</v>
      </c>
      <c r="F15" s="179">
        <v>129</v>
      </c>
    </row>
    <row r="16" spans="1:6" ht="15" customHeight="1" hidden="1">
      <c r="A16" s="315" t="s">
        <v>72</v>
      </c>
      <c r="B16" s="180">
        <v>574</v>
      </c>
      <c r="C16" s="406">
        <v>1173</v>
      </c>
      <c r="D16" s="42">
        <v>2000</v>
      </c>
      <c r="E16" s="42">
        <v>2000</v>
      </c>
      <c r="F16" s="179">
        <v>1173</v>
      </c>
    </row>
    <row r="17" spans="1:6" ht="15" customHeight="1" hidden="1">
      <c r="A17" s="315" t="s">
        <v>73</v>
      </c>
      <c r="B17" s="180">
        <v>23719</v>
      </c>
      <c r="C17" s="314" t="s">
        <v>70</v>
      </c>
      <c r="D17" s="314" t="s">
        <v>70</v>
      </c>
      <c r="E17" s="314" t="s">
        <v>70</v>
      </c>
      <c r="F17" s="174" t="s">
        <v>70</v>
      </c>
    </row>
    <row r="18" spans="1:6" ht="15" customHeight="1" hidden="1">
      <c r="A18" s="315" t="s">
        <v>74</v>
      </c>
      <c r="B18" s="180">
        <v>587</v>
      </c>
      <c r="C18" s="731">
        <v>15745</v>
      </c>
      <c r="D18" s="184">
        <v>21338</v>
      </c>
      <c r="E18" s="184">
        <v>37083.108</v>
      </c>
      <c r="F18" s="179">
        <f>+C18+D18-E18</f>
        <v>-0.10800000000017462</v>
      </c>
    </row>
    <row r="19" spans="1:6" ht="15" customHeight="1" hidden="1" thickBot="1">
      <c r="A19" s="317" t="s">
        <v>75</v>
      </c>
      <c r="B19" s="188">
        <v>2720</v>
      </c>
      <c r="C19" s="96">
        <v>3143</v>
      </c>
      <c r="D19" s="96">
        <v>5005</v>
      </c>
      <c r="E19" s="96">
        <v>6860</v>
      </c>
      <c r="F19" s="187">
        <v>1345</v>
      </c>
    </row>
    <row r="21" ht="13.5" thickBot="1">
      <c r="A21" s="426" t="s">
        <v>327</v>
      </c>
    </row>
    <row r="22" spans="1:6" ht="16.5" customHeight="1">
      <c r="A22" s="764" t="s">
        <v>64</v>
      </c>
      <c r="B22" s="766" t="s">
        <v>461</v>
      </c>
      <c r="C22" s="768" t="s">
        <v>163</v>
      </c>
      <c r="D22" s="761"/>
      <c r="E22" s="761"/>
      <c r="F22" s="760"/>
    </row>
    <row r="23" spans="1:6" ht="18.75" customHeight="1" thickBot="1">
      <c r="A23" s="765"/>
      <c r="B23" s="767"/>
      <c r="C23" s="60" t="s">
        <v>152</v>
      </c>
      <c r="D23" s="39" t="s">
        <v>66</v>
      </c>
      <c r="E23" s="39" t="s">
        <v>67</v>
      </c>
      <c r="F23" s="40" t="s">
        <v>153</v>
      </c>
    </row>
    <row r="24" spans="1:6" ht="17.25" customHeight="1">
      <c r="A24" s="313" t="s">
        <v>69</v>
      </c>
      <c r="B24" s="175">
        <v>20985</v>
      </c>
      <c r="C24" s="314" t="s">
        <v>70</v>
      </c>
      <c r="D24" s="314" t="s">
        <v>70</v>
      </c>
      <c r="E24" s="314" t="s">
        <v>70</v>
      </c>
      <c r="F24" s="174" t="s">
        <v>70</v>
      </c>
    </row>
    <row r="25" spans="1:6" ht="17.25" customHeight="1">
      <c r="A25" s="315" t="s">
        <v>71</v>
      </c>
      <c r="B25" s="180">
        <v>1197.56</v>
      </c>
      <c r="C25" s="42">
        <v>1198</v>
      </c>
      <c r="D25" s="42">
        <v>0</v>
      </c>
      <c r="E25" s="42">
        <v>1100</v>
      </c>
      <c r="F25" s="179">
        <v>98</v>
      </c>
    </row>
    <row r="26" spans="1:6" ht="17.25" customHeight="1">
      <c r="A26" s="315" t="s">
        <v>72</v>
      </c>
      <c r="B26" s="180">
        <v>1850.57</v>
      </c>
      <c r="C26" s="406">
        <v>2713</v>
      </c>
      <c r="D26" s="42">
        <v>633</v>
      </c>
      <c r="E26" s="42">
        <v>2000</v>
      </c>
      <c r="F26" s="179">
        <v>1346</v>
      </c>
    </row>
    <row r="27" spans="1:6" ht="17.25" customHeight="1">
      <c r="A27" s="315" t="s">
        <v>73</v>
      </c>
      <c r="B27" s="180">
        <v>-22011.24</v>
      </c>
      <c r="C27" s="314" t="s">
        <v>70</v>
      </c>
      <c r="D27" s="314" t="s">
        <v>70</v>
      </c>
      <c r="E27" s="314" t="s">
        <v>70</v>
      </c>
      <c r="F27" s="174" t="s">
        <v>70</v>
      </c>
    </row>
    <row r="28" spans="1:6" ht="17.25" customHeight="1">
      <c r="A28" s="315" t="s">
        <v>74</v>
      </c>
      <c r="B28" s="180">
        <v>39947.91</v>
      </c>
      <c r="C28" s="731">
        <v>40118.2954</v>
      </c>
      <c r="D28" s="184">
        <v>18908</v>
      </c>
      <c r="E28" s="184">
        <v>19070</v>
      </c>
      <c r="F28" s="179">
        <v>39956.2954</v>
      </c>
    </row>
    <row r="29" spans="1:6" ht="17.25" customHeight="1" thickBot="1">
      <c r="A29" s="317" t="s">
        <v>75</v>
      </c>
      <c r="B29" s="188">
        <v>884.28</v>
      </c>
      <c r="C29" s="96">
        <v>687</v>
      </c>
      <c r="D29" s="96">
        <v>3208</v>
      </c>
      <c r="E29" s="96">
        <v>3208</v>
      </c>
      <c r="F29" s="187">
        <v>687</v>
      </c>
    </row>
    <row r="31" ht="13.5" thickBot="1">
      <c r="A31" s="426" t="s">
        <v>178</v>
      </c>
    </row>
    <row r="32" spans="1:6" ht="17.25" customHeight="1">
      <c r="A32" s="764" t="s">
        <v>64</v>
      </c>
      <c r="B32" s="766" t="s">
        <v>461</v>
      </c>
      <c r="C32" s="768" t="s">
        <v>163</v>
      </c>
      <c r="D32" s="761"/>
      <c r="E32" s="761"/>
      <c r="F32" s="760"/>
    </row>
    <row r="33" spans="1:6" ht="20.25" customHeight="1" thickBot="1">
      <c r="A33" s="765"/>
      <c r="B33" s="767"/>
      <c r="C33" s="60" t="s">
        <v>152</v>
      </c>
      <c r="D33" s="39" t="s">
        <v>66</v>
      </c>
      <c r="E33" s="39" t="s">
        <v>67</v>
      </c>
      <c r="F33" s="40" t="s">
        <v>153</v>
      </c>
    </row>
    <row r="34" spans="1:6" ht="17.25" customHeight="1">
      <c r="A34" s="313" t="s">
        <v>69</v>
      </c>
      <c r="B34" s="175">
        <v>29747.43</v>
      </c>
      <c r="C34" s="314" t="s">
        <v>70</v>
      </c>
      <c r="D34" s="314" t="s">
        <v>70</v>
      </c>
      <c r="E34" s="314" t="s">
        <v>70</v>
      </c>
      <c r="F34" s="174" t="s">
        <v>70</v>
      </c>
    </row>
    <row r="35" spans="1:6" ht="17.25" customHeight="1">
      <c r="A35" s="315" t="s">
        <v>71</v>
      </c>
      <c r="B35" s="180">
        <v>1404.17</v>
      </c>
      <c r="C35" s="42">
        <v>1404</v>
      </c>
      <c r="D35" s="42">
        <v>0</v>
      </c>
      <c r="E35" s="42">
        <v>0</v>
      </c>
      <c r="F35" s="179">
        <v>1404</v>
      </c>
    </row>
    <row r="36" spans="1:6" ht="17.25" customHeight="1">
      <c r="A36" s="315" t="s">
        <v>72</v>
      </c>
      <c r="B36" s="180">
        <v>170.69</v>
      </c>
      <c r="C36" s="406">
        <v>171</v>
      </c>
      <c r="D36" s="42">
        <v>400</v>
      </c>
      <c r="E36" s="42">
        <v>500</v>
      </c>
      <c r="F36" s="179">
        <v>71</v>
      </c>
    </row>
    <row r="37" spans="1:6" ht="17.25" customHeight="1">
      <c r="A37" s="315" t="s">
        <v>73</v>
      </c>
      <c r="B37" s="180">
        <v>28172.57</v>
      </c>
      <c r="C37" s="314" t="s">
        <v>70</v>
      </c>
      <c r="D37" s="314" t="s">
        <v>70</v>
      </c>
      <c r="E37" s="314" t="s">
        <v>70</v>
      </c>
      <c r="F37" s="174" t="s">
        <v>70</v>
      </c>
    </row>
    <row r="38" spans="1:6" ht="17.25" customHeight="1">
      <c r="A38" s="315" t="s">
        <v>74</v>
      </c>
      <c r="B38" s="180">
        <v>9839</v>
      </c>
      <c r="C38" s="731">
        <v>9839</v>
      </c>
      <c r="D38" s="184">
        <v>37974.3</v>
      </c>
      <c r="E38" s="184">
        <v>42429.445999999996</v>
      </c>
      <c r="F38" s="179">
        <v>5383.854000000007</v>
      </c>
    </row>
    <row r="39" spans="1:6" ht="17.25" customHeight="1" thickBot="1">
      <c r="A39" s="317" t="s">
        <v>75</v>
      </c>
      <c r="B39" s="188">
        <v>725.54</v>
      </c>
      <c r="C39" s="96">
        <v>1239</v>
      </c>
      <c r="D39" s="96">
        <v>4322</v>
      </c>
      <c r="E39" s="96">
        <v>5481</v>
      </c>
      <c r="F39" s="187">
        <v>80</v>
      </c>
    </row>
    <row r="41" ht="13.5" thickBot="1">
      <c r="A41" s="426" t="s">
        <v>364</v>
      </c>
    </row>
    <row r="42" spans="1:6" ht="17.25" customHeight="1">
      <c r="A42" s="764" t="s">
        <v>64</v>
      </c>
      <c r="B42" s="766" t="s">
        <v>461</v>
      </c>
      <c r="C42" s="768" t="s">
        <v>163</v>
      </c>
      <c r="D42" s="761"/>
      <c r="E42" s="761"/>
      <c r="F42" s="760"/>
    </row>
    <row r="43" spans="1:6" ht="21.75" customHeight="1" thickBot="1">
      <c r="A43" s="765"/>
      <c r="B43" s="767"/>
      <c r="C43" s="60" t="s">
        <v>152</v>
      </c>
      <c r="D43" s="39" t="s">
        <v>66</v>
      </c>
      <c r="E43" s="39" t="s">
        <v>67</v>
      </c>
      <c r="F43" s="40" t="s">
        <v>153</v>
      </c>
    </row>
    <row r="44" spans="1:6" ht="17.25" customHeight="1">
      <c r="A44" s="313" t="s">
        <v>69</v>
      </c>
      <c r="B44" s="175">
        <v>32376.11</v>
      </c>
      <c r="C44" s="314" t="s">
        <v>70</v>
      </c>
      <c r="D44" s="314" t="s">
        <v>70</v>
      </c>
      <c r="E44" s="314" t="s">
        <v>70</v>
      </c>
      <c r="F44" s="174" t="s">
        <v>70</v>
      </c>
    </row>
    <row r="45" spans="1:6" ht="17.25" customHeight="1">
      <c r="A45" s="315" t="s">
        <v>71</v>
      </c>
      <c r="B45" s="180">
        <v>543.17</v>
      </c>
      <c r="C45" s="42">
        <v>543.17</v>
      </c>
      <c r="D45" s="42">
        <v>0</v>
      </c>
      <c r="E45" s="42">
        <v>0</v>
      </c>
      <c r="F45" s="179">
        <v>543.17</v>
      </c>
    </row>
    <row r="46" spans="1:6" ht="17.25" customHeight="1">
      <c r="A46" s="315" t="s">
        <v>72</v>
      </c>
      <c r="B46" s="180">
        <v>1192.51</v>
      </c>
      <c r="C46" s="406">
        <v>1192.51</v>
      </c>
      <c r="D46" s="42"/>
      <c r="E46" s="42"/>
      <c r="F46" s="179">
        <v>1192.51</v>
      </c>
    </row>
    <row r="47" spans="1:6" ht="17.25" customHeight="1">
      <c r="A47" s="315" t="s">
        <v>73</v>
      </c>
      <c r="B47" s="180">
        <v>-38558.21</v>
      </c>
      <c r="C47" s="314" t="s">
        <v>70</v>
      </c>
      <c r="D47" s="314" t="s">
        <v>70</v>
      </c>
      <c r="E47" s="314" t="s">
        <v>70</v>
      </c>
      <c r="F47" s="174" t="s">
        <v>70</v>
      </c>
    </row>
    <row r="48" spans="1:6" ht="17.25" customHeight="1">
      <c r="A48" s="315" t="s">
        <v>74</v>
      </c>
      <c r="B48" s="180">
        <v>69198.64</v>
      </c>
      <c r="C48" s="731">
        <v>69198.64</v>
      </c>
      <c r="D48" s="184">
        <v>24770</v>
      </c>
      <c r="E48" s="184">
        <v>21833</v>
      </c>
      <c r="F48" s="179">
        <v>72135.64</v>
      </c>
    </row>
    <row r="49" spans="1:6" ht="17.25" customHeight="1" thickBot="1">
      <c r="A49" s="317" t="s">
        <v>75</v>
      </c>
      <c r="B49" s="188">
        <v>2.72</v>
      </c>
      <c r="C49" s="96">
        <v>534.66</v>
      </c>
      <c r="D49" s="96">
        <v>4486</v>
      </c>
      <c r="E49" s="96">
        <v>4500</v>
      </c>
      <c r="F49" s="187">
        <v>520.66</v>
      </c>
    </row>
  </sheetData>
  <mergeCells count="15">
    <mergeCell ref="A22:A23"/>
    <mergeCell ref="B22:B23"/>
    <mergeCell ref="C22:F22"/>
    <mergeCell ref="A2:A3"/>
    <mergeCell ref="B2:B3"/>
    <mergeCell ref="C2:F2"/>
    <mergeCell ref="A12:A13"/>
    <mergeCell ref="B12:B13"/>
    <mergeCell ref="C12:F12"/>
    <mergeCell ref="A32:A33"/>
    <mergeCell ref="B32:B33"/>
    <mergeCell ref="C32:F32"/>
    <mergeCell ref="A42:A43"/>
    <mergeCell ref="B42:B43"/>
    <mergeCell ref="C42:F42"/>
  </mergeCells>
  <printOptions horizontalCentered="1"/>
  <pageMargins left="0.7874015748031497" right="0.7874015748031497" top="0.52" bottom="0.4724409448818898" header="0.2755905511811024" footer="0.275590551181102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81"/>
  <sheetViews>
    <sheetView workbookViewId="0" topLeftCell="A22">
      <selection activeCell="A1" sqref="A1"/>
    </sheetView>
  </sheetViews>
  <sheetFormatPr defaultColWidth="9.00390625" defaultRowHeight="12.75"/>
  <cols>
    <col min="1" max="1" width="34.125" style="98" customWidth="1"/>
    <col min="2" max="2" width="10.625" style="168" customWidth="1"/>
    <col min="3" max="3" width="10.25390625" style="168" customWidth="1"/>
    <col min="4" max="7" width="9.75390625" style="168" customWidth="1"/>
    <col min="8" max="8" width="9.875" style="168" customWidth="1"/>
    <col min="9" max="9" width="9.25390625" style="98" customWidth="1"/>
    <col min="10" max="10" width="9.375" style="98" customWidth="1"/>
    <col min="11" max="11" width="9.75390625" style="98" customWidth="1"/>
    <col min="12" max="16" width="9.125" style="98" customWidth="1"/>
  </cols>
  <sheetData>
    <row r="1" spans="12:14" ht="15.75">
      <c r="L1" s="115"/>
      <c r="N1" s="116"/>
    </row>
    <row r="2" spans="1:14" ht="16.5" thickBot="1">
      <c r="A2" s="119" t="s">
        <v>145</v>
      </c>
      <c r="B2" s="255"/>
      <c r="C2" s="255"/>
      <c r="D2" s="255"/>
      <c r="E2" s="255"/>
      <c r="F2" s="255"/>
      <c r="G2" s="255"/>
      <c r="H2" s="255"/>
      <c r="L2" s="115"/>
      <c r="N2" s="116"/>
    </row>
    <row r="3" spans="1:16" ht="24" customHeight="1" thickBot="1">
      <c r="A3" s="871" t="s">
        <v>0</v>
      </c>
      <c r="B3" s="876" t="s">
        <v>192</v>
      </c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8"/>
      <c r="N3"/>
      <c r="O3"/>
      <c r="P3"/>
    </row>
    <row r="4" spans="1:22" ht="10.5" customHeight="1">
      <c r="A4" s="872"/>
      <c r="B4" s="807" t="s">
        <v>213</v>
      </c>
      <c r="C4" s="850" t="s">
        <v>212</v>
      </c>
      <c r="D4" s="246" t="s">
        <v>190</v>
      </c>
      <c r="E4" s="247"/>
      <c r="F4" s="248"/>
      <c r="G4" s="883" t="s">
        <v>173</v>
      </c>
      <c r="H4" s="884"/>
      <c r="I4" s="246" t="s">
        <v>155</v>
      </c>
      <c r="J4" s="247"/>
      <c r="K4" s="248"/>
      <c r="L4" s="883" t="s">
        <v>173</v>
      </c>
      <c r="M4" s="884"/>
      <c r="Q4" s="98"/>
      <c r="R4" s="98"/>
      <c r="S4" s="98"/>
      <c r="T4" s="98"/>
      <c r="U4" s="98"/>
      <c r="V4" s="98"/>
    </row>
    <row r="5" spans="1:16" ht="13.5" customHeight="1">
      <c r="A5" s="872"/>
      <c r="B5" s="853"/>
      <c r="C5" s="851"/>
      <c r="D5" s="249" t="s">
        <v>2</v>
      </c>
      <c r="E5" s="250" t="s">
        <v>191</v>
      </c>
      <c r="F5" s="251" t="s">
        <v>4</v>
      </c>
      <c r="G5" s="7" t="s">
        <v>4</v>
      </c>
      <c r="H5" s="7" t="s">
        <v>5</v>
      </c>
      <c r="I5" s="249" t="s">
        <v>2</v>
      </c>
      <c r="J5" s="250" t="s">
        <v>191</v>
      </c>
      <c r="K5" s="251" t="s">
        <v>4</v>
      </c>
      <c r="L5" s="7" t="s">
        <v>4</v>
      </c>
      <c r="M5" s="6" t="s">
        <v>5</v>
      </c>
      <c r="N5"/>
      <c r="O5"/>
      <c r="P5"/>
    </row>
    <row r="6" spans="1:16" ht="12" customHeight="1" thickBot="1">
      <c r="A6" s="873"/>
      <c r="B6" s="854"/>
      <c r="C6" s="852"/>
      <c r="D6" s="252" t="s">
        <v>6</v>
      </c>
      <c r="E6" s="253" t="s">
        <v>6</v>
      </c>
      <c r="F6" s="254"/>
      <c r="G6" s="9" t="s">
        <v>7</v>
      </c>
      <c r="H6" s="10" t="s">
        <v>8</v>
      </c>
      <c r="I6" s="252" t="s">
        <v>6</v>
      </c>
      <c r="J6" s="253" t="s">
        <v>6</v>
      </c>
      <c r="K6" s="254"/>
      <c r="L6" s="9" t="s">
        <v>7</v>
      </c>
      <c r="M6" s="8" t="s">
        <v>8</v>
      </c>
      <c r="N6"/>
      <c r="O6"/>
      <c r="P6"/>
    </row>
    <row r="7" spans="1:16" ht="15.75" customHeight="1" thickTop="1">
      <c r="A7" s="256" t="s">
        <v>9</v>
      </c>
      <c r="B7" s="367"/>
      <c r="C7" s="358"/>
      <c r="D7" s="337"/>
      <c r="E7" s="338"/>
      <c r="F7" s="339"/>
      <c r="G7" s="258"/>
      <c r="H7" s="259"/>
      <c r="I7" s="337"/>
      <c r="J7" s="338"/>
      <c r="K7" s="339"/>
      <c r="L7" s="258"/>
      <c r="M7" s="261"/>
      <c r="N7"/>
      <c r="O7"/>
      <c r="P7"/>
    </row>
    <row r="8" spans="1:16" ht="15.75" customHeight="1">
      <c r="A8" s="262" t="s">
        <v>10</v>
      </c>
      <c r="B8" s="368">
        <v>417337</v>
      </c>
      <c r="C8" s="217">
        <v>454198.04</v>
      </c>
      <c r="D8" s="204">
        <v>483994.73</v>
      </c>
      <c r="E8" s="17">
        <v>946.16</v>
      </c>
      <c r="F8" s="217">
        <f>SUM(D8:E8)</f>
        <v>484940.88999999996</v>
      </c>
      <c r="G8" s="266">
        <f>+F8-C8</f>
        <v>30742.849999999977</v>
      </c>
      <c r="H8" s="267">
        <f>+F8/C8</f>
        <v>1.0676860032244966</v>
      </c>
      <c r="I8" s="204">
        <f>480212+13083+7332</f>
        <v>500627</v>
      </c>
      <c r="J8" s="17">
        <v>750</v>
      </c>
      <c r="K8" s="217">
        <f aca="true" t="shared" si="0" ref="K8:K35">SUM(I8:J8)</f>
        <v>501377</v>
      </c>
      <c r="L8" s="266">
        <f>+K8-F8</f>
        <v>16436.110000000044</v>
      </c>
      <c r="M8" s="268">
        <f>+K8/F8</f>
        <v>1.0338930173531047</v>
      </c>
      <c r="N8"/>
      <c r="O8"/>
      <c r="P8"/>
    </row>
    <row r="9" spans="1:16" ht="15.75" customHeight="1">
      <c r="A9" s="262" t="s">
        <v>11</v>
      </c>
      <c r="B9" s="369">
        <v>55674</v>
      </c>
      <c r="C9" s="207">
        <v>58834.4</v>
      </c>
      <c r="D9" s="214">
        <v>-12.08</v>
      </c>
      <c r="E9" s="215">
        <v>51131.77</v>
      </c>
      <c r="F9" s="207">
        <f>SUM(D9:E9)</f>
        <v>51119.689999999995</v>
      </c>
      <c r="G9" s="266">
        <f aca="true" t="shared" si="1" ref="G9:G35">+F9-C9</f>
        <v>-7714.710000000006</v>
      </c>
      <c r="H9" s="267">
        <f aca="true" t="shared" si="2" ref="H9:H35">+F9/C9</f>
        <v>0.8688741620548521</v>
      </c>
      <c r="I9" s="214"/>
      <c r="J9" s="215">
        <v>49862</v>
      </c>
      <c r="K9" s="207">
        <f t="shared" si="0"/>
        <v>49862</v>
      </c>
      <c r="L9" s="266">
        <f aca="true" t="shared" si="3" ref="L9:L34">+K9-F9</f>
        <v>-1257.689999999995</v>
      </c>
      <c r="M9" s="268">
        <f aca="true" t="shared" si="4" ref="M9:M33">+K9/F9</f>
        <v>0.9753971512738048</v>
      </c>
      <c r="N9"/>
      <c r="O9"/>
      <c r="P9"/>
    </row>
    <row r="10" spans="1:16" ht="15.75" customHeight="1">
      <c r="A10" s="262" t="s">
        <v>12</v>
      </c>
      <c r="B10" s="369">
        <v>12166</v>
      </c>
      <c r="C10" s="207">
        <v>10233.57</v>
      </c>
      <c r="D10" s="214">
        <v>9414.13</v>
      </c>
      <c r="E10" s="215"/>
      <c r="F10" s="207">
        <f>SUM(D10:E10)</f>
        <v>9414.13</v>
      </c>
      <c r="G10" s="266">
        <f t="shared" si="1"/>
        <v>-819.4400000000005</v>
      </c>
      <c r="H10" s="267">
        <f t="shared" si="2"/>
        <v>0.9199262818351758</v>
      </c>
      <c r="I10" s="214">
        <v>10000</v>
      </c>
      <c r="J10" s="215"/>
      <c r="K10" s="207">
        <f t="shared" si="0"/>
        <v>10000</v>
      </c>
      <c r="L10" s="266">
        <f t="shared" si="3"/>
        <v>585.8700000000008</v>
      </c>
      <c r="M10" s="268">
        <f t="shared" si="4"/>
        <v>1.062233047557236</v>
      </c>
      <c r="N10"/>
      <c r="O10"/>
      <c r="P10"/>
    </row>
    <row r="11" spans="1:16" ht="15.75" customHeight="1">
      <c r="A11" s="262" t="s">
        <v>13</v>
      </c>
      <c r="B11" s="369">
        <v>2185</v>
      </c>
      <c r="C11" s="207">
        <v>4142.51</v>
      </c>
      <c r="D11" s="214">
        <f>1117.26+14.72+1497.94+3022.19</f>
        <v>5652.110000000001</v>
      </c>
      <c r="E11" s="215">
        <v>5.84</v>
      </c>
      <c r="F11" s="207">
        <f>SUM(D11:E11)</f>
        <v>5657.950000000001</v>
      </c>
      <c r="G11" s="266">
        <f t="shared" si="1"/>
        <v>1515.4400000000005</v>
      </c>
      <c r="H11" s="267">
        <f t="shared" si="2"/>
        <v>1.365826515808049</v>
      </c>
      <c r="I11" s="214">
        <v>6000</v>
      </c>
      <c r="J11" s="215">
        <v>6</v>
      </c>
      <c r="K11" s="207">
        <f t="shared" si="0"/>
        <v>6006</v>
      </c>
      <c r="L11" s="266">
        <f t="shared" si="3"/>
        <v>348.0499999999993</v>
      </c>
      <c r="M11" s="268">
        <f t="shared" si="4"/>
        <v>1.0615152131072207</v>
      </c>
      <c r="N11"/>
      <c r="O11"/>
      <c r="P11"/>
    </row>
    <row r="12" spans="1:16" ht="15.75" customHeight="1">
      <c r="A12" s="269" t="s">
        <v>14</v>
      </c>
      <c r="B12" s="369">
        <v>0</v>
      </c>
      <c r="C12" s="207">
        <v>734.19</v>
      </c>
      <c r="D12" s="214">
        <v>1498</v>
      </c>
      <c r="E12" s="215"/>
      <c r="F12" s="207">
        <f>SUM(D12:E12)</f>
        <v>1498</v>
      </c>
      <c r="G12" s="266">
        <f t="shared" si="1"/>
        <v>763.81</v>
      </c>
      <c r="H12" s="267">
        <f t="shared" si="2"/>
        <v>2.040343780220379</v>
      </c>
      <c r="I12" s="214">
        <v>1500</v>
      </c>
      <c r="J12" s="215"/>
      <c r="K12" s="207">
        <f t="shared" si="0"/>
        <v>1500</v>
      </c>
      <c r="L12" s="266">
        <f t="shared" si="3"/>
        <v>2</v>
      </c>
      <c r="M12" s="268">
        <f t="shared" si="4"/>
        <v>1.0013351134846462</v>
      </c>
      <c r="N12"/>
      <c r="O12"/>
      <c r="P12"/>
    </row>
    <row r="13" spans="1:16" ht="15.75" customHeight="1">
      <c r="A13" s="269" t="s">
        <v>15</v>
      </c>
      <c r="B13" s="369">
        <v>3686</v>
      </c>
      <c r="C13" s="207">
        <v>3527.05</v>
      </c>
      <c r="D13" s="214">
        <v>2171</v>
      </c>
      <c r="E13" s="215">
        <v>53</v>
      </c>
      <c r="F13" s="207">
        <f aca="true" t="shared" si="5" ref="F13:F35">SUM(D13:E13)</f>
        <v>2224</v>
      </c>
      <c r="G13" s="266">
        <f t="shared" si="1"/>
        <v>-1303.0500000000002</v>
      </c>
      <c r="H13" s="267">
        <f t="shared" si="2"/>
        <v>0.6305552799081385</v>
      </c>
      <c r="I13" s="214">
        <v>2502</v>
      </c>
      <c r="J13" s="215">
        <v>0</v>
      </c>
      <c r="K13" s="207">
        <f t="shared" si="0"/>
        <v>2502</v>
      </c>
      <c r="L13" s="266">
        <f t="shared" si="3"/>
        <v>278</v>
      </c>
      <c r="M13" s="268">
        <f t="shared" si="4"/>
        <v>1.125</v>
      </c>
      <c r="N13"/>
      <c r="O13"/>
      <c r="P13"/>
    </row>
    <row r="14" spans="1:16" ht="17.25" customHeight="1">
      <c r="A14" s="269" t="s">
        <v>16</v>
      </c>
      <c r="B14" s="369">
        <v>0</v>
      </c>
      <c r="C14" s="207">
        <v>0</v>
      </c>
      <c r="D14" s="214"/>
      <c r="E14" s="215"/>
      <c r="F14" s="207">
        <f t="shared" si="5"/>
        <v>0</v>
      </c>
      <c r="G14" s="266">
        <f t="shared" si="1"/>
        <v>0</v>
      </c>
      <c r="H14" s="267"/>
      <c r="I14" s="214"/>
      <c r="J14" s="215"/>
      <c r="K14" s="207">
        <f t="shared" si="0"/>
        <v>0</v>
      </c>
      <c r="L14" s="266">
        <f t="shared" si="3"/>
        <v>0</v>
      </c>
      <c r="M14" s="268"/>
      <c r="N14"/>
      <c r="O14"/>
      <c r="P14"/>
    </row>
    <row r="15" spans="1:16" ht="15.75" customHeight="1" thickBot="1">
      <c r="A15" s="270" t="s">
        <v>17</v>
      </c>
      <c r="B15" s="370">
        <v>25757</v>
      </c>
      <c r="C15" s="210">
        <v>16769.48</v>
      </c>
      <c r="D15" s="208">
        <v>15532.36</v>
      </c>
      <c r="E15" s="271"/>
      <c r="F15" s="210">
        <f>SUM(D15:E15)</f>
        <v>15532.36</v>
      </c>
      <c r="G15" s="272">
        <f t="shared" si="1"/>
        <v>-1237.119999999999</v>
      </c>
      <c r="H15" s="273">
        <f t="shared" si="2"/>
        <v>0.9262278854204186</v>
      </c>
      <c r="I15" s="208">
        <f>+D51/1000</f>
        <v>18791.854</v>
      </c>
      <c r="J15" s="271"/>
      <c r="K15" s="210">
        <f t="shared" si="0"/>
        <v>18791.854</v>
      </c>
      <c r="L15" s="266">
        <f t="shared" si="3"/>
        <v>3259.493999999999</v>
      </c>
      <c r="M15" s="268">
        <f t="shared" si="4"/>
        <v>1.2098518190410215</v>
      </c>
      <c r="N15"/>
      <c r="O15"/>
      <c r="P15"/>
    </row>
    <row r="16" spans="1:16" ht="13.5" customHeight="1" thickBot="1">
      <c r="A16" s="12" t="s">
        <v>18</v>
      </c>
      <c r="B16" s="91">
        <v>516805</v>
      </c>
      <c r="C16" s="15">
        <v>547705.05</v>
      </c>
      <c r="D16" s="13">
        <f>SUM(D7+D8+D9+D10+D11+D13+D15)</f>
        <v>516752.24999999994</v>
      </c>
      <c r="E16" s="14">
        <f>SUM(E7+E8+E9+E10+E11+E13+E15)</f>
        <v>52136.77</v>
      </c>
      <c r="F16" s="15">
        <v>568890</v>
      </c>
      <c r="G16" s="274">
        <f>+F16-C16</f>
        <v>21184.949999999953</v>
      </c>
      <c r="H16" s="275">
        <f t="shared" si="2"/>
        <v>1.0386794863403213</v>
      </c>
      <c r="I16" s="13">
        <f>SUM(I7+I8+I9+I10+I11+I13+I15)</f>
        <v>537920.854</v>
      </c>
      <c r="J16" s="14">
        <f>SUM(J7+J8+J9+J10+J11+J13+J15)</f>
        <v>50618</v>
      </c>
      <c r="K16" s="15">
        <f t="shared" si="0"/>
        <v>588538.854</v>
      </c>
      <c r="L16" s="266">
        <f t="shared" si="3"/>
        <v>19648.85400000005</v>
      </c>
      <c r="M16" s="268">
        <f t="shared" si="4"/>
        <v>1.0345389337130202</v>
      </c>
      <c r="N16"/>
      <c r="O16"/>
      <c r="P16"/>
    </row>
    <row r="17" spans="1:16" ht="13.5" customHeight="1">
      <c r="A17" s="276" t="s">
        <v>19</v>
      </c>
      <c r="B17" s="371">
        <v>128907</v>
      </c>
      <c r="C17" s="277">
        <v>134557.84</v>
      </c>
      <c r="D17" s="264">
        <v>145443</v>
      </c>
      <c r="E17" s="265">
        <v>66</v>
      </c>
      <c r="F17" s="277">
        <f t="shared" si="5"/>
        <v>145509</v>
      </c>
      <c r="G17" s="258">
        <f t="shared" si="1"/>
        <v>10951.160000000003</v>
      </c>
      <c r="H17" s="278">
        <f t="shared" si="2"/>
        <v>1.0813862648211356</v>
      </c>
      <c r="I17" s="264">
        <v>144934</v>
      </c>
      <c r="J17" s="265">
        <v>66</v>
      </c>
      <c r="K17" s="277">
        <f t="shared" si="0"/>
        <v>145000</v>
      </c>
      <c r="L17" s="266">
        <f t="shared" si="3"/>
        <v>-509</v>
      </c>
      <c r="M17" s="268">
        <f t="shared" si="4"/>
        <v>0.9965019345882385</v>
      </c>
      <c r="N17"/>
      <c r="O17"/>
      <c r="P17"/>
    </row>
    <row r="18" spans="1:16" ht="15.75" customHeight="1">
      <c r="A18" s="269" t="s">
        <v>20</v>
      </c>
      <c r="B18" s="372">
        <v>1351</v>
      </c>
      <c r="C18" s="205">
        <v>3053</v>
      </c>
      <c r="D18" s="204">
        <v>8075</v>
      </c>
      <c r="E18" s="17"/>
      <c r="F18" s="205">
        <f t="shared" si="5"/>
        <v>8075</v>
      </c>
      <c r="G18" s="266">
        <f t="shared" si="1"/>
        <v>5022</v>
      </c>
      <c r="H18" s="267">
        <f t="shared" si="2"/>
        <v>2.6449394038650507</v>
      </c>
      <c r="I18" s="204">
        <v>4000</v>
      </c>
      <c r="J18" s="17"/>
      <c r="K18" s="205">
        <f t="shared" si="0"/>
        <v>4000</v>
      </c>
      <c r="L18" s="266">
        <f t="shared" si="3"/>
        <v>-4075</v>
      </c>
      <c r="M18" s="268">
        <f t="shared" si="4"/>
        <v>0.4953560371517028</v>
      </c>
      <c r="N18"/>
      <c r="O18"/>
      <c r="P18"/>
    </row>
    <row r="19" spans="1:16" ht="15.75" customHeight="1">
      <c r="A19" s="262" t="s">
        <v>21</v>
      </c>
      <c r="B19" s="372">
        <v>16629</v>
      </c>
      <c r="C19" s="205">
        <v>16618.77</v>
      </c>
      <c r="D19" s="214">
        <v>17880</v>
      </c>
      <c r="E19" s="215">
        <v>281</v>
      </c>
      <c r="F19" s="205">
        <f t="shared" si="5"/>
        <v>18161</v>
      </c>
      <c r="G19" s="266">
        <f t="shared" si="1"/>
        <v>1542.2299999999996</v>
      </c>
      <c r="H19" s="267">
        <f t="shared" si="2"/>
        <v>1.0928004900483008</v>
      </c>
      <c r="I19" s="214">
        <v>21000</v>
      </c>
      <c r="J19" s="215">
        <v>300</v>
      </c>
      <c r="K19" s="205">
        <f t="shared" si="0"/>
        <v>21300</v>
      </c>
      <c r="L19" s="266">
        <f t="shared" si="3"/>
        <v>3139</v>
      </c>
      <c r="M19" s="268">
        <f t="shared" si="4"/>
        <v>1.1728429051263698</v>
      </c>
      <c r="N19"/>
      <c r="O19"/>
      <c r="P19"/>
    </row>
    <row r="20" spans="1:16" ht="15.75" customHeight="1">
      <c r="A20" s="269" t="s">
        <v>22</v>
      </c>
      <c r="B20" s="372">
        <v>0</v>
      </c>
      <c r="C20" s="205">
        <v>0</v>
      </c>
      <c r="D20" s="214"/>
      <c r="E20" s="215"/>
      <c r="F20" s="205">
        <f t="shared" si="5"/>
        <v>0</v>
      </c>
      <c r="G20" s="266">
        <f t="shared" si="1"/>
        <v>0</v>
      </c>
      <c r="H20" s="267"/>
      <c r="I20" s="214"/>
      <c r="J20" s="215"/>
      <c r="K20" s="205">
        <f t="shared" si="0"/>
        <v>0</v>
      </c>
      <c r="L20" s="266">
        <f t="shared" si="3"/>
        <v>0</v>
      </c>
      <c r="M20" s="268"/>
      <c r="N20"/>
      <c r="O20"/>
      <c r="P20"/>
    </row>
    <row r="21" spans="1:16" ht="15.75" customHeight="1">
      <c r="A21" s="262" t="s">
        <v>23</v>
      </c>
      <c r="B21" s="372">
        <v>46478</v>
      </c>
      <c r="C21" s="205">
        <v>49137.96</v>
      </c>
      <c r="D21" s="214"/>
      <c r="E21" s="215">
        <v>42916</v>
      </c>
      <c r="F21" s="205">
        <f t="shared" si="5"/>
        <v>42916</v>
      </c>
      <c r="G21" s="266">
        <f t="shared" si="1"/>
        <v>-6221.959999999999</v>
      </c>
      <c r="H21" s="267">
        <f t="shared" si="2"/>
        <v>0.8733777307808465</v>
      </c>
      <c r="I21" s="214"/>
      <c r="J21" s="215">
        <v>44640</v>
      </c>
      <c r="K21" s="205">
        <f t="shared" si="0"/>
        <v>44640</v>
      </c>
      <c r="L21" s="266">
        <f t="shared" si="3"/>
        <v>1724</v>
      </c>
      <c r="M21" s="268">
        <f t="shared" si="4"/>
        <v>1.0401714978096748</v>
      </c>
      <c r="N21"/>
      <c r="O21"/>
      <c r="P21"/>
    </row>
    <row r="22" spans="1:16" ht="15.75" customHeight="1">
      <c r="A22" s="262" t="s">
        <v>24</v>
      </c>
      <c r="B22" s="372">
        <v>46457</v>
      </c>
      <c r="C22" s="205">
        <v>46079.67</v>
      </c>
      <c r="D22" s="214">
        <v>53853</v>
      </c>
      <c r="E22" s="215">
        <v>2537</v>
      </c>
      <c r="F22" s="205">
        <f t="shared" si="5"/>
        <v>56390</v>
      </c>
      <c r="G22" s="266">
        <f t="shared" si="1"/>
        <v>10310.330000000002</v>
      </c>
      <c r="H22" s="267">
        <f t="shared" si="2"/>
        <v>1.2237500832796764</v>
      </c>
      <c r="I22" s="214">
        <v>53700</v>
      </c>
      <c r="J22" s="215">
        <v>2800</v>
      </c>
      <c r="K22" s="205">
        <f t="shared" si="0"/>
        <v>56500</v>
      </c>
      <c r="L22" s="266">
        <f t="shared" si="3"/>
        <v>110</v>
      </c>
      <c r="M22" s="268">
        <f t="shared" si="4"/>
        <v>1.0019507004788084</v>
      </c>
      <c r="N22"/>
      <c r="O22"/>
      <c r="P22"/>
    </row>
    <row r="23" spans="1:16" ht="15.75" customHeight="1">
      <c r="A23" s="269" t="s">
        <v>25</v>
      </c>
      <c r="B23" s="372">
        <v>10100</v>
      </c>
      <c r="C23" s="205">
        <v>11672.01</v>
      </c>
      <c r="D23" s="214">
        <v>13009</v>
      </c>
      <c r="E23" s="215"/>
      <c r="F23" s="205">
        <f t="shared" si="5"/>
        <v>13009</v>
      </c>
      <c r="G23" s="266">
        <f t="shared" si="1"/>
        <v>1336.9899999999998</v>
      </c>
      <c r="H23" s="267">
        <f t="shared" si="2"/>
        <v>1.1145466804774842</v>
      </c>
      <c r="I23" s="214">
        <v>10800</v>
      </c>
      <c r="J23" s="215"/>
      <c r="K23" s="205">
        <f t="shared" si="0"/>
        <v>10800</v>
      </c>
      <c r="L23" s="266">
        <f t="shared" si="3"/>
        <v>-2209</v>
      </c>
      <c r="M23" s="268">
        <f t="shared" si="4"/>
        <v>0.8301944807441002</v>
      </c>
      <c r="N23"/>
      <c r="O23"/>
      <c r="P23"/>
    </row>
    <row r="24" spans="1:16" ht="15.75" customHeight="1">
      <c r="A24" s="262" t="s">
        <v>26</v>
      </c>
      <c r="B24" s="372">
        <v>35829</v>
      </c>
      <c r="C24" s="205">
        <v>31229.83</v>
      </c>
      <c r="D24" s="214">
        <v>40468</v>
      </c>
      <c r="E24" s="215">
        <v>2533</v>
      </c>
      <c r="F24" s="205">
        <f t="shared" si="5"/>
        <v>43001</v>
      </c>
      <c r="G24" s="266">
        <f t="shared" si="1"/>
        <v>11771.169999999998</v>
      </c>
      <c r="H24" s="267">
        <f t="shared" si="2"/>
        <v>1.3769207197093292</v>
      </c>
      <c r="I24" s="214">
        <v>42500</v>
      </c>
      <c r="J24" s="215">
        <v>2800</v>
      </c>
      <c r="K24" s="205">
        <f t="shared" si="0"/>
        <v>45300</v>
      </c>
      <c r="L24" s="266">
        <f t="shared" si="3"/>
        <v>2299</v>
      </c>
      <c r="M24" s="268">
        <f t="shared" si="4"/>
        <v>1.0534638729331876</v>
      </c>
      <c r="N24"/>
      <c r="O24"/>
      <c r="P24"/>
    </row>
    <row r="25" spans="1:16" ht="15.75" customHeight="1">
      <c r="A25" s="93" t="s">
        <v>27</v>
      </c>
      <c r="B25" s="372">
        <v>317455</v>
      </c>
      <c r="C25" s="205">
        <v>286563.41</v>
      </c>
      <c r="D25" s="214">
        <v>294749</v>
      </c>
      <c r="E25" s="215">
        <v>2404</v>
      </c>
      <c r="F25" s="205">
        <f t="shared" si="5"/>
        <v>297153</v>
      </c>
      <c r="G25" s="266">
        <f t="shared" si="1"/>
        <v>10589.590000000026</v>
      </c>
      <c r="H25" s="267">
        <f t="shared" si="2"/>
        <v>1.0369537408840857</v>
      </c>
      <c r="I25" s="214">
        <f>330274-4000*1.37</f>
        <v>324794</v>
      </c>
      <c r="J25" s="215">
        <f>SUM(J26+J29)</f>
        <v>2802</v>
      </c>
      <c r="K25" s="205">
        <f t="shared" si="0"/>
        <v>327596</v>
      </c>
      <c r="L25" s="266">
        <f t="shared" si="3"/>
        <v>30443</v>
      </c>
      <c r="M25" s="268">
        <f t="shared" si="4"/>
        <v>1.102448906792124</v>
      </c>
      <c r="N25"/>
      <c r="O25"/>
      <c r="P25"/>
    </row>
    <row r="26" spans="1:16" ht="15.75" customHeight="1">
      <c r="A26" s="269" t="s">
        <v>28</v>
      </c>
      <c r="B26" s="372">
        <v>231272</v>
      </c>
      <c r="C26" s="205">
        <v>209396.32</v>
      </c>
      <c r="D26" s="214">
        <v>215356</v>
      </c>
      <c r="E26" s="215">
        <v>1758</v>
      </c>
      <c r="F26" s="205">
        <f t="shared" si="5"/>
        <v>217114</v>
      </c>
      <c r="G26" s="266">
        <f t="shared" si="1"/>
        <v>7717.679999999993</v>
      </c>
      <c r="H26" s="267">
        <f t="shared" si="2"/>
        <v>1.036856808180774</v>
      </c>
      <c r="I26" s="214">
        <f>241273-4000</f>
        <v>237273</v>
      </c>
      <c r="J26" s="215">
        <f>SUM(J27+J28)</f>
        <v>2045</v>
      </c>
      <c r="K26" s="205">
        <f t="shared" si="0"/>
        <v>239318</v>
      </c>
      <c r="L26" s="266">
        <f t="shared" si="3"/>
        <v>22204</v>
      </c>
      <c r="M26" s="268">
        <f t="shared" si="4"/>
        <v>1.1022688541503542</v>
      </c>
      <c r="N26"/>
      <c r="O26"/>
      <c r="P26"/>
    </row>
    <row r="27" spans="1:16" ht="15.75" customHeight="1">
      <c r="A27" s="93" t="s">
        <v>29</v>
      </c>
      <c r="B27" s="373">
        <v>226372</v>
      </c>
      <c r="C27" s="260">
        <v>0</v>
      </c>
      <c r="D27" s="263">
        <v>203090</v>
      </c>
      <c r="E27" s="11">
        <v>1758</v>
      </c>
      <c r="F27" s="257">
        <f t="shared" si="5"/>
        <v>204848</v>
      </c>
      <c r="G27" s="266">
        <f t="shared" si="1"/>
        <v>204848</v>
      </c>
      <c r="H27" s="267"/>
      <c r="I27" s="263">
        <f>227780-4000</f>
        <v>223780</v>
      </c>
      <c r="J27" s="11">
        <v>2045</v>
      </c>
      <c r="K27" s="257">
        <f t="shared" si="0"/>
        <v>225825</v>
      </c>
      <c r="L27" s="266">
        <f t="shared" si="3"/>
        <v>20977</v>
      </c>
      <c r="M27" s="268">
        <f t="shared" si="4"/>
        <v>1.102402757166289</v>
      </c>
      <c r="N27"/>
      <c r="O27"/>
      <c r="P27"/>
    </row>
    <row r="28" spans="1:16" ht="15.75" customHeight="1">
      <c r="A28" s="269" t="s">
        <v>30</v>
      </c>
      <c r="B28" s="373">
        <v>4900</v>
      </c>
      <c r="C28" s="260">
        <v>0</v>
      </c>
      <c r="D28" s="263">
        <v>12266</v>
      </c>
      <c r="E28" s="11"/>
      <c r="F28" s="257">
        <f t="shared" si="5"/>
        <v>12266</v>
      </c>
      <c r="G28" s="266">
        <f t="shared" si="1"/>
        <v>12266</v>
      </c>
      <c r="H28" s="267"/>
      <c r="I28" s="263">
        <v>13493</v>
      </c>
      <c r="J28" s="11"/>
      <c r="K28" s="257">
        <f t="shared" si="0"/>
        <v>13493</v>
      </c>
      <c r="L28" s="266">
        <f t="shared" si="3"/>
        <v>1227</v>
      </c>
      <c r="M28" s="268">
        <f t="shared" si="4"/>
        <v>1.1000326104679603</v>
      </c>
      <c r="N28"/>
      <c r="O28"/>
      <c r="P28"/>
    </row>
    <row r="29" spans="1:16" ht="15.75" customHeight="1">
      <c r="A29" s="269" t="s">
        <v>31</v>
      </c>
      <c r="B29" s="373">
        <v>86183</v>
      </c>
      <c r="C29" s="260">
        <v>77167.09</v>
      </c>
      <c r="D29" s="214">
        <v>79393</v>
      </c>
      <c r="E29" s="215">
        <v>646</v>
      </c>
      <c r="F29" s="257">
        <f t="shared" si="5"/>
        <v>80039</v>
      </c>
      <c r="G29" s="266">
        <f t="shared" si="1"/>
        <v>2871.9100000000035</v>
      </c>
      <c r="H29" s="267">
        <f t="shared" si="2"/>
        <v>1.037216772072136</v>
      </c>
      <c r="I29" s="214">
        <f>89001-4000*0.37</f>
        <v>87521</v>
      </c>
      <c r="J29" s="215">
        <v>757</v>
      </c>
      <c r="K29" s="257">
        <f t="shared" si="0"/>
        <v>88278</v>
      </c>
      <c r="L29" s="266">
        <f t="shared" si="3"/>
        <v>8239</v>
      </c>
      <c r="M29" s="268">
        <f t="shared" si="4"/>
        <v>1.102937318057447</v>
      </c>
      <c r="N29"/>
      <c r="O29"/>
      <c r="P29"/>
    </row>
    <row r="30" spans="1:16" ht="15.75" customHeight="1">
      <c r="A30" s="93" t="s">
        <v>32</v>
      </c>
      <c r="B30" s="373">
        <v>46</v>
      </c>
      <c r="C30" s="260">
        <v>7.14</v>
      </c>
      <c r="D30" s="214">
        <v>67</v>
      </c>
      <c r="E30" s="215"/>
      <c r="F30" s="257">
        <f t="shared" si="5"/>
        <v>67</v>
      </c>
      <c r="G30" s="266">
        <f t="shared" si="1"/>
        <v>59.86</v>
      </c>
      <c r="H30" s="267">
        <f t="shared" si="2"/>
        <v>9.38375350140056</v>
      </c>
      <c r="I30" s="214">
        <v>60</v>
      </c>
      <c r="J30" s="215"/>
      <c r="K30" s="257">
        <f t="shared" si="0"/>
        <v>60</v>
      </c>
      <c r="L30" s="266">
        <f t="shared" si="3"/>
        <v>-7</v>
      </c>
      <c r="M30" s="268">
        <f t="shared" si="4"/>
        <v>0.8955223880597015</v>
      </c>
      <c r="N30"/>
      <c r="O30"/>
      <c r="P30"/>
    </row>
    <row r="31" spans="1:16" ht="15.75" customHeight="1">
      <c r="A31" s="93" t="s">
        <v>33</v>
      </c>
      <c r="B31" s="373">
        <v>3158</v>
      </c>
      <c r="C31" s="260">
        <v>4175.55</v>
      </c>
      <c r="D31" s="214">
        <v>3060</v>
      </c>
      <c r="E31" s="215">
        <v>9</v>
      </c>
      <c r="F31" s="257">
        <f t="shared" si="5"/>
        <v>3069</v>
      </c>
      <c r="G31" s="266">
        <f t="shared" si="1"/>
        <v>-1106.5500000000002</v>
      </c>
      <c r="H31" s="267">
        <f t="shared" si="2"/>
        <v>0.734992994934799</v>
      </c>
      <c r="I31" s="214">
        <v>4000</v>
      </c>
      <c r="J31" s="215">
        <v>10</v>
      </c>
      <c r="K31" s="257">
        <f t="shared" si="0"/>
        <v>4010</v>
      </c>
      <c r="L31" s="266">
        <f t="shared" si="3"/>
        <v>941</v>
      </c>
      <c r="M31" s="268">
        <f t="shared" si="4"/>
        <v>1.3066145324209841</v>
      </c>
      <c r="N31"/>
      <c r="O31"/>
      <c r="P31"/>
    </row>
    <row r="32" spans="1:16" ht="15.75" customHeight="1">
      <c r="A32" s="269" t="s">
        <v>34</v>
      </c>
      <c r="B32" s="373">
        <v>7605</v>
      </c>
      <c r="C32" s="260">
        <v>10306.29</v>
      </c>
      <c r="D32" s="214">
        <v>5390</v>
      </c>
      <c r="E32" s="215">
        <v>50</v>
      </c>
      <c r="F32" s="257">
        <f t="shared" si="5"/>
        <v>5440</v>
      </c>
      <c r="G32" s="266">
        <f t="shared" si="1"/>
        <v>-4866.290000000001</v>
      </c>
      <c r="H32" s="267">
        <f t="shared" si="2"/>
        <v>0.5278330029525659</v>
      </c>
      <c r="I32" s="214">
        <v>2000</v>
      </c>
      <c r="J32" s="215"/>
      <c r="K32" s="257">
        <f t="shared" si="0"/>
        <v>2000</v>
      </c>
      <c r="L32" s="266">
        <f t="shared" si="3"/>
        <v>-3440</v>
      </c>
      <c r="M32" s="268">
        <f t="shared" si="4"/>
        <v>0.36764705882352944</v>
      </c>
      <c r="N32"/>
      <c r="O32"/>
      <c r="P32"/>
    </row>
    <row r="33" spans="1:16" ht="15.75" customHeight="1">
      <c r="A33" s="269" t="s">
        <v>35</v>
      </c>
      <c r="B33" s="373">
        <v>2844</v>
      </c>
      <c r="C33" s="260">
        <v>6712.75</v>
      </c>
      <c r="D33" s="214">
        <v>2999</v>
      </c>
      <c r="E33" s="215"/>
      <c r="F33" s="257">
        <f t="shared" si="5"/>
        <v>2999</v>
      </c>
      <c r="G33" s="266">
        <f t="shared" si="1"/>
        <v>-3713.75</v>
      </c>
      <c r="H33" s="267">
        <f t="shared" si="2"/>
        <v>0.4467617593385721</v>
      </c>
      <c r="I33" s="214">
        <v>2000</v>
      </c>
      <c r="J33" s="215"/>
      <c r="K33" s="257">
        <f t="shared" si="0"/>
        <v>2000</v>
      </c>
      <c r="L33" s="266">
        <f t="shared" si="3"/>
        <v>-999</v>
      </c>
      <c r="M33" s="268">
        <f t="shared" si="4"/>
        <v>0.6668889629876625</v>
      </c>
      <c r="N33"/>
      <c r="O33"/>
      <c r="P33"/>
    </row>
    <row r="34" spans="1:16" ht="15.75" customHeight="1" thickBot="1">
      <c r="A34" s="279" t="s">
        <v>36</v>
      </c>
      <c r="B34" s="373">
        <v>855</v>
      </c>
      <c r="C34" s="260">
        <v>749.76</v>
      </c>
      <c r="D34" s="208"/>
      <c r="E34" s="271"/>
      <c r="F34" s="257">
        <f t="shared" si="5"/>
        <v>0</v>
      </c>
      <c r="G34" s="272">
        <f t="shared" si="1"/>
        <v>-749.76</v>
      </c>
      <c r="H34" s="273">
        <f t="shared" si="2"/>
        <v>0</v>
      </c>
      <c r="I34" s="208"/>
      <c r="J34" s="271">
        <v>0</v>
      </c>
      <c r="K34" s="257">
        <f t="shared" si="0"/>
        <v>0</v>
      </c>
      <c r="L34" s="266">
        <f t="shared" si="3"/>
        <v>0</v>
      </c>
      <c r="M34" s="268"/>
      <c r="N34"/>
      <c r="O34"/>
      <c r="P34"/>
    </row>
    <row r="35" spans="1:16" ht="15.75" customHeight="1" thickBot="1">
      <c r="A35" s="12" t="s">
        <v>37</v>
      </c>
      <c r="B35" s="91">
        <v>567589</v>
      </c>
      <c r="C35" s="15">
        <v>548196.39</v>
      </c>
      <c r="D35" s="13">
        <f>SUM(D17+D19+D20+D21+D22+D25+D30+D31+D32+D34)</f>
        <v>520442</v>
      </c>
      <c r="E35" s="14">
        <f>SUM(E17+E19+E20+E21+E22+E25+E30+E31+E32+E34)</f>
        <v>48263</v>
      </c>
      <c r="F35" s="15">
        <f t="shared" si="5"/>
        <v>568705</v>
      </c>
      <c r="G35" s="359">
        <f t="shared" si="1"/>
        <v>20508.609999999986</v>
      </c>
      <c r="H35" s="360">
        <f t="shared" si="2"/>
        <v>1.0374110635788754</v>
      </c>
      <c r="I35" s="13">
        <f>SUM(I17+I19+I20+I21+I22+I25+I30+I31+I32+I34)</f>
        <v>550488</v>
      </c>
      <c r="J35" s="14">
        <f>SUM(J17+J19+J20+J21+J22+J25+J30+J31+J32+J34)</f>
        <v>50618</v>
      </c>
      <c r="K35" s="15">
        <f t="shared" si="0"/>
        <v>601106</v>
      </c>
      <c r="L35"/>
      <c r="M35"/>
      <c r="N35"/>
      <c r="O35"/>
      <c r="P35"/>
    </row>
    <row r="36" spans="1:16" ht="15.75" customHeight="1" thickBot="1">
      <c r="A36" s="12" t="s">
        <v>38</v>
      </c>
      <c r="B36" s="374">
        <f>+B16-B35</f>
        <v>-50784</v>
      </c>
      <c r="C36" s="363">
        <v>-491.3399999999674</v>
      </c>
      <c r="D36" s="862">
        <f>+F16-F35</f>
        <v>185</v>
      </c>
      <c r="E36" s="863">
        <f>SUM(E16-E35)</f>
        <v>3873.769999999997</v>
      </c>
      <c r="F36" s="864">
        <f>SUM(F16-F35)</f>
        <v>185</v>
      </c>
      <c r="G36" s="361">
        <f>+D36-C36</f>
        <v>676.3399999999674</v>
      </c>
      <c r="H36" s="362">
        <f>+D36/C36</f>
        <v>-0.3765213497781827</v>
      </c>
      <c r="I36" s="862">
        <f>+K16-K35</f>
        <v>-12567.14599999995</v>
      </c>
      <c r="J36" s="863">
        <f>SUM(J16-J35)</f>
        <v>0</v>
      </c>
      <c r="K36" s="864">
        <f>SUM(K16-K35)</f>
        <v>-12567.14599999995</v>
      </c>
      <c r="L36"/>
      <c r="M36"/>
      <c r="N36"/>
      <c r="O36"/>
      <c r="P36"/>
    </row>
    <row r="37" spans="1:16" ht="20.25" customHeight="1" thickBot="1">
      <c r="A37" s="18" t="s">
        <v>39</v>
      </c>
      <c r="B37" s="375">
        <v>-285584</v>
      </c>
      <c r="C37" s="376">
        <v>-325173.09</v>
      </c>
      <c r="D37" s="855">
        <v>-44271.79</v>
      </c>
      <c r="E37" s="856"/>
      <c r="F37" s="857"/>
      <c r="G37"/>
      <c r="H37"/>
      <c r="I37"/>
      <c r="J37"/>
      <c r="K37"/>
      <c r="L37"/>
      <c r="M37"/>
      <c r="N37"/>
      <c r="O37"/>
      <c r="P37"/>
    </row>
    <row r="38" spans="1:16" ht="19.5" customHeight="1" thickBot="1">
      <c r="A38" s="19" t="s">
        <v>40</v>
      </c>
      <c r="B38" s="374">
        <f>+B37+B36</f>
        <v>-336368</v>
      </c>
      <c r="C38" s="363">
        <v>-325664.43</v>
      </c>
      <c r="D38" s="855">
        <f>+D37+D36</f>
        <v>-44086.79</v>
      </c>
      <c r="E38" s="856"/>
      <c r="F38" s="857"/>
      <c r="G38" s="365"/>
      <c r="H38" s="366"/>
      <c r="L38"/>
      <c r="M38"/>
      <c r="N38"/>
      <c r="O38"/>
      <c r="P38"/>
    </row>
    <row r="39" spans="2:10" ht="13.5" thickBot="1">
      <c r="B39" s="98"/>
      <c r="C39" s="98"/>
      <c r="D39" s="280"/>
      <c r="E39" s="364"/>
      <c r="F39" s="364"/>
      <c r="G39" s="364"/>
      <c r="H39" s="98"/>
      <c r="J39" s="281"/>
    </row>
    <row r="40" spans="1:34" s="20" customFormat="1" ht="17.25" customHeight="1">
      <c r="A40" s="840" t="s">
        <v>157</v>
      </c>
      <c r="B40" s="841"/>
      <c r="C40" s="841"/>
      <c r="D40" s="841"/>
      <c r="E40" s="841"/>
      <c r="F40" s="841"/>
      <c r="G40" s="841"/>
      <c r="H40" s="841"/>
      <c r="I40" s="841"/>
      <c r="J40" s="841"/>
      <c r="K40" s="779"/>
      <c r="N40"/>
      <c r="O40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</row>
    <row r="41" spans="1:24" s="20" customFormat="1" ht="18" customHeight="1">
      <c r="A41" s="874" t="s">
        <v>42</v>
      </c>
      <c r="B41" s="813" t="s">
        <v>147</v>
      </c>
      <c r="C41" s="814"/>
      <c r="D41" s="814"/>
      <c r="E41" s="814"/>
      <c r="F41" s="815"/>
      <c r="G41" s="813" t="s">
        <v>148</v>
      </c>
      <c r="H41" s="814"/>
      <c r="I41" s="814"/>
      <c r="J41" s="814"/>
      <c r="K41" s="815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</row>
    <row r="42" spans="1:24" ht="20.25" customHeight="1" thickBot="1">
      <c r="A42" s="875"/>
      <c r="B42" s="282">
        <v>2004</v>
      </c>
      <c r="C42" s="21">
        <v>2005</v>
      </c>
      <c r="D42" s="21">
        <v>2006</v>
      </c>
      <c r="E42" s="22" t="s">
        <v>7</v>
      </c>
      <c r="F42" s="23" t="s">
        <v>48</v>
      </c>
      <c r="G42" s="24">
        <v>2004</v>
      </c>
      <c r="H42" s="21">
        <v>2005</v>
      </c>
      <c r="I42" s="21">
        <v>2006</v>
      </c>
      <c r="J42" s="22" t="s">
        <v>7</v>
      </c>
      <c r="K42" s="23" t="s">
        <v>48</v>
      </c>
      <c r="Q42" s="98"/>
      <c r="R42" s="98"/>
      <c r="S42" s="98"/>
      <c r="T42" s="98"/>
      <c r="U42" s="98"/>
      <c r="V42" s="98"/>
      <c r="W42" s="98"/>
      <c r="X42" s="98"/>
    </row>
    <row r="43" spans="1:24" s="20" customFormat="1" ht="23.25" customHeight="1">
      <c r="A43" s="284" t="s">
        <v>193</v>
      </c>
      <c r="B43" s="285">
        <v>1627000</v>
      </c>
      <c r="C43" s="25">
        <v>6072000</v>
      </c>
      <c r="D43" s="25">
        <v>1469000</v>
      </c>
      <c r="E43" s="17">
        <f>+D43-C43</f>
        <v>-4603000</v>
      </c>
      <c r="F43" s="26">
        <f aca="true" t="shared" si="6" ref="F43:F48">+D43/C43</f>
        <v>0.24193017127799737</v>
      </c>
      <c r="G43" s="27"/>
      <c r="H43" s="28"/>
      <c r="I43" s="28"/>
      <c r="J43" s="17">
        <f>+H43-G43</f>
        <v>0</v>
      </c>
      <c r="K43" s="26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</row>
    <row r="44" spans="1:24" s="20" customFormat="1" ht="23.25" customHeight="1">
      <c r="A44" s="219" t="s">
        <v>211</v>
      </c>
      <c r="B44" s="286">
        <v>13159000</v>
      </c>
      <c r="C44" s="25">
        <v>8765000</v>
      </c>
      <c r="D44" s="25">
        <v>17300000</v>
      </c>
      <c r="E44" s="17">
        <f aca="true" t="shared" si="7" ref="E44:E50">+D44-C44</f>
        <v>8535000</v>
      </c>
      <c r="F44" s="26">
        <f t="shared" si="6"/>
        <v>1.9737592698231603</v>
      </c>
      <c r="G44" s="27">
        <v>14941000</v>
      </c>
      <c r="H44" s="28">
        <v>25835000</v>
      </c>
      <c r="I44" s="28">
        <v>17300000</v>
      </c>
      <c r="J44" s="29">
        <f>+I44-H44</f>
        <v>-8535000</v>
      </c>
      <c r="K44" s="30">
        <f>+I44/H44</f>
        <v>0.6696342171472808</v>
      </c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</row>
    <row r="45" spans="1:24" s="20" customFormat="1" ht="23.25" customHeight="1">
      <c r="A45" s="287" t="s">
        <v>194</v>
      </c>
      <c r="B45" s="286">
        <v>201935.4</v>
      </c>
      <c r="C45" s="25">
        <v>370591</v>
      </c>
      <c r="D45" s="25">
        <v>22854</v>
      </c>
      <c r="E45" s="17">
        <f t="shared" si="7"/>
        <v>-347737</v>
      </c>
      <c r="F45" s="26">
        <f t="shared" si="6"/>
        <v>0.06166906373873084</v>
      </c>
      <c r="G45" s="27">
        <v>244663.6</v>
      </c>
      <c r="H45" s="28"/>
      <c r="I45" s="28"/>
      <c r="J45" s="29">
        <f aca="true" t="shared" si="8" ref="J45:J50">+I45-H45</f>
        <v>0</v>
      </c>
      <c r="K45" s="30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</row>
    <row r="46" spans="1:28" s="20" customFormat="1" ht="23.25" customHeight="1">
      <c r="A46" s="287" t="s">
        <v>195</v>
      </c>
      <c r="B46" s="286">
        <v>108545.5</v>
      </c>
      <c r="C46" s="25">
        <v>257769.4</v>
      </c>
      <c r="D46" s="25"/>
      <c r="E46" s="17">
        <f t="shared" si="7"/>
        <v>-257769.4</v>
      </c>
      <c r="F46" s="26">
        <f t="shared" si="6"/>
        <v>0</v>
      </c>
      <c r="G46" s="27"/>
      <c r="H46" s="28"/>
      <c r="I46" s="28"/>
      <c r="J46" s="29">
        <f t="shared" si="8"/>
        <v>0</v>
      </c>
      <c r="K46" s="30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</row>
    <row r="47" spans="1:28" s="20" customFormat="1" ht="23.25" customHeight="1">
      <c r="A47" s="287" t="s">
        <v>49</v>
      </c>
      <c r="B47" s="288">
        <v>1650000</v>
      </c>
      <c r="C47" s="25">
        <v>22000</v>
      </c>
      <c r="D47" s="25"/>
      <c r="E47" s="17">
        <f t="shared" si="7"/>
        <v>-22000</v>
      </c>
      <c r="F47" s="26">
        <f t="shared" si="6"/>
        <v>0</v>
      </c>
      <c r="G47" s="31">
        <v>18409999.99</v>
      </c>
      <c r="H47" s="221"/>
      <c r="I47" s="221"/>
      <c r="J47" s="29">
        <f t="shared" si="8"/>
        <v>0</v>
      </c>
      <c r="K47" s="30"/>
      <c r="L47"/>
      <c r="M47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</row>
    <row r="48" spans="1:28" s="20" customFormat="1" ht="23.25" customHeight="1">
      <c r="A48" s="287" t="s">
        <v>214</v>
      </c>
      <c r="B48" s="286">
        <v>23000</v>
      </c>
      <c r="C48" s="25">
        <v>45000</v>
      </c>
      <c r="D48" s="25"/>
      <c r="E48" s="17">
        <f t="shared" si="7"/>
        <v>-45000</v>
      </c>
      <c r="F48" s="26">
        <f t="shared" si="6"/>
        <v>0</v>
      </c>
      <c r="G48" s="27"/>
      <c r="H48" s="28"/>
      <c r="I48" s="28"/>
      <c r="J48" s="29">
        <f t="shared" si="8"/>
        <v>0</v>
      </c>
      <c r="K48" s="30"/>
      <c r="L48"/>
      <c r="M4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</row>
    <row r="49" spans="1:28" s="20" customFormat="1" ht="23.25" customHeight="1">
      <c r="A49" s="220" t="s">
        <v>196</v>
      </c>
      <c r="B49" s="286"/>
      <c r="C49" s="25"/>
      <c r="D49" s="25"/>
      <c r="E49" s="17">
        <f t="shared" si="7"/>
        <v>0</v>
      </c>
      <c r="F49" s="26"/>
      <c r="G49" s="27"/>
      <c r="H49" s="28">
        <v>20452000</v>
      </c>
      <c r="I49" s="28"/>
      <c r="J49" s="29">
        <f t="shared" si="8"/>
        <v>-20452000</v>
      </c>
      <c r="K49" s="30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</row>
    <row r="50" spans="1:28" s="20" customFormat="1" ht="20.25" customHeight="1" thickBot="1">
      <c r="A50" s="160"/>
      <c r="B50" s="286"/>
      <c r="C50" s="25"/>
      <c r="D50" s="25"/>
      <c r="E50" s="17">
        <f t="shared" si="7"/>
        <v>0</v>
      </c>
      <c r="F50" s="26"/>
      <c r="G50" s="27"/>
      <c r="H50" s="290"/>
      <c r="I50" s="290"/>
      <c r="J50" s="29">
        <f t="shared" si="8"/>
        <v>0</v>
      </c>
      <c r="K50" s="30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</row>
    <row r="51" spans="1:28" s="20" customFormat="1" ht="18.75" customHeight="1" thickBot="1">
      <c r="A51" s="291" t="s">
        <v>54</v>
      </c>
      <c r="B51" s="32">
        <f>SUM(B43:B50)</f>
        <v>16769480.9</v>
      </c>
      <c r="C51" s="33">
        <f>SUM(C43:C50)</f>
        <v>15532360.4</v>
      </c>
      <c r="D51" s="33">
        <f>SUM(D43:D50)</f>
        <v>18791854</v>
      </c>
      <c r="E51" s="34">
        <f>+D51-C51</f>
        <v>3259493.5999999996</v>
      </c>
      <c r="F51" s="35">
        <f>+D51/C51</f>
        <v>1.2098517878840875</v>
      </c>
      <c r="G51" s="16">
        <f>SUM(G43:G50)</f>
        <v>33595663.589999996</v>
      </c>
      <c r="H51" s="33">
        <f>SUM(H43:H50)</f>
        <v>46287000</v>
      </c>
      <c r="I51" s="33">
        <f>SUM(I43:I50)</f>
        <v>17300000</v>
      </c>
      <c r="J51" s="34">
        <f>+I51-H51</f>
        <v>-28987000</v>
      </c>
      <c r="K51" s="35">
        <f>+I51/H51</f>
        <v>0.3737550500140428</v>
      </c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</row>
    <row r="52" spans="1:16" ht="18.75" customHeight="1" thickBo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 customHeight="1">
      <c r="A53" s="842" t="s">
        <v>41</v>
      </c>
      <c r="B53" s="818" t="s">
        <v>174</v>
      </c>
      <c r="C53" s="819"/>
      <c r="D53" s="819"/>
      <c r="E53" s="819"/>
      <c r="F53" s="819"/>
      <c r="G53" s="819"/>
      <c r="H53" s="818" t="s">
        <v>146</v>
      </c>
      <c r="I53" s="820"/>
      <c r="J53" s="820"/>
      <c r="K53" s="821"/>
      <c r="L53"/>
      <c r="M53"/>
      <c r="N53"/>
      <c r="O53"/>
      <c r="P53"/>
    </row>
    <row r="54" spans="1:16" ht="27.75" customHeight="1" thickBot="1">
      <c r="A54" s="843" t="s">
        <v>44</v>
      </c>
      <c r="B54" s="816" t="s">
        <v>45</v>
      </c>
      <c r="C54" s="817"/>
      <c r="D54" s="816" t="s">
        <v>46</v>
      </c>
      <c r="E54" s="817"/>
      <c r="F54" s="816" t="s">
        <v>47</v>
      </c>
      <c r="G54" s="817"/>
      <c r="H54" s="108" t="s">
        <v>50</v>
      </c>
      <c r="I54" s="108" t="s">
        <v>52</v>
      </c>
      <c r="J54" s="109" t="s">
        <v>51</v>
      </c>
      <c r="K54" s="85" t="s">
        <v>53</v>
      </c>
      <c r="L54"/>
      <c r="M54"/>
      <c r="N54"/>
      <c r="O54"/>
      <c r="P54"/>
    </row>
    <row r="55" spans="1:16" ht="18.75" customHeight="1">
      <c r="A55" s="419">
        <v>2004</v>
      </c>
      <c r="B55" s="822">
        <f>+G44+B44</f>
        <v>28100000</v>
      </c>
      <c r="C55" s="823"/>
      <c r="D55" s="822">
        <v>20500000</v>
      </c>
      <c r="E55" s="823"/>
      <c r="F55" s="822">
        <v>7600000</v>
      </c>
      <c r="G55" s="823"/>
      <c r="H55" s="352">
        <f>+G44/B55</f>
        <v>0.5317081850533808</v>
      </c>
      <c r="I55" s="352">
        <f>(23977466-1995000-16415000-136-244663)/B55</f>
        <v>0.18941875444839856</v>
      </c>
      <c r="J55" s="352">
        <f>9619233/B55</f>
        <v>0.3423214590747331</v>
      </c>
      <c r="K55" s="420">
        <f>+B44/B55</f>
        <v>0.4682918149466192</v>
      </c>
      <c r="L55"/>
      <c r="M55"/>
      <c r="N55"/>
      <c r="O55"/>
      <c r="P55"/>
    </row>
    <row r="56" spans="1:16" ht="18.75" customHeight="1">
      <c r="A56" s="354">
        <v>2005</v>
      </c>
      <c r="B56" s="844">
        <f>+H44+C44</f>
        <v>34600000</v>
      </c>
      <c r="C56" s="845"/>
      <c r="D56" s="844">
        <v>26400000</v>
      </c>
      <c r="E56" s="845"/>
      <c r="F56" s="844">
        <v>8200000</v>
      </c>
      <c r="G56" s="845"/>
      <c r="H56" s="353">
        <f>+H44/B56</f>
        <v>0.7466763005780347</v>
      </c>
      <c r="I56" s="353">
        <f>14169950.3/B56</f>
        <v>0.4095361358381503</v>
      </c>
      <c r="J56" s="353">
        <f>11665049.7/B56</f>
        <v>0.3371401647398844</v>
      </c>
      <c r="K56" s="355">
        <f>+C44/B56</f>
        <v>0.2533236994219653</v>
      </c>
      <c r="L56"/>
      <c r="M56"/>
      <c r="N56"/>
      <c r="O56"/>
      <c r="P56"/>
    </row>
    <row r="57" spans="1:16" ht="18.75" customHeight="1" thickBot="1">
      <c r="A57" s="356">
        <v>2006</v>
      </c>
      <c r="B57" s="846">
        <f>+B56</f>
        <v>34600000</v>
      </c>
      <c r="C57" s="847"/>
      <c r="D57" s="846">
        <f>+D56</f>
        <v>26400000</v>
      </c>
      <c r="E57" s="847"/>
      <c r="F57" s="846">
        <f>+F56</f>
        <v>8200000</v>
      </c>
      <c r="G57" s="847"/>
      <c r="H57" s="289">
        <f>+E88/B57</f>
        <v>0.5</v>
      </c>
      <c r="I57" s="289">
        <f>+E72/B57</f>
        <v>0.014450867052023121</v>
      </c>
      <c r="J57" s="289">
        <f>+E86/B57</f>
        <v>0.48554913294797686</v>
      </c>
      <c r="K57" s="357">
        <f>+(D44)/B57</f>
        <v>0.5</v>
      </c>
      <c r="L57"/>
      <c r="M57"/>
      <c r="N57"/>
      <c r="O57"/>
      <c r="P57"/>
    </row>
    <row r="58" spans="1:16" ht="18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8.75" customHeight="1" thickBot="1">
      <c r="A59" s="78" t="s">
        <v>175</v>
      </c>
      <c r="B59" s="76"/>
      <c r="C59" s="76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8.75" customHeight="1" thickBot="1">
      <c r="A60" s="73" t="s">
        <v>150</v>
      </c>
      <c r="B60" s="68"/>
      <c r="C60" s="69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8.75" customHeight="1">
      <c r="A61" s="828" t="s">
        <v>137</v>
      </c>
      <c r="B61" s="829"/>
      <c r="C61" s="417">
        <f>+I15</f>
        <v>18791.854</v>
      </c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8.75" customHeight="1">
      <c r="A62" s="830" t="s">
        <v>43</v>
      </c>
      <c r="B62" s="831"/>
      <c r="C62" s="418">
        <f>+J88/1000</f>
        <v>17300</v>
      </c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8.75" customHeight="1" thickBot="1">
      <c r="A63" s="881" t="s">
        <v>138</v>
      </c>
      <c r="B63" s="882"/>
      <c r="C63" s="727">
        <f>+I27</f>
        <v>223780</v>
      </c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8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9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4.25" customHeight="1" thickBot="1">
      <c r="A66" s="78" t="s">
        <v>235</v>
      </c>
      <c r="B66"/>
      <c r="C66"/>
      <c r="D66"/>
      <c r="E66"/>
      <c r="F66" s="292"/>
      <c r="G66"/>
      <c r="H66"/>
      <c r="I66"/>
      <c r="J66"/>
      <c r="K66"/>
      <c r="L66"/>
      <c r="M66"/>
      <c r="N66"/>
      <c r="O66"/>
      <c r="P66"/>
    </row>
    <row r="67" spans="1:16" ht="33.75" customHeight="1">
      <c r="A67" s="842" t="s">
        <v>197</v>
      </c>
      <c r="B67" s="923"/>
      <c r="C67" s="859" t="s">
        <v>198</v>
      </c>
      <c r="D67" s="859"/>
      <c r="E67" s="859" t="s">
        <v>55</v>
      </c>
      <c r="F67" s="860"/>
      <c r="G67" s="860" t="s">
        <v>56</v>
      </c>
      <c r="H67" s="879"/>
      <c r="I67" s="880"/>
      <c r="J67" s="859" t="s">
        <v>176</v>
      </c>
      <c r="K67" s="869"/>
      <c r="L67" s="865" t="s">
        <v>270</v>
      </c>
      <c r="M67" s="866"/>
      <c r="N67"/>
      <c r="O67"/>
      <c r="P67"/>
    </row>
    <row r="68" spans="1:21" ht="33" customHeight="1" thickBot="1">
      <c r="A68" s="914"/>
      <c r="B68" s="924"/>
      <c r="C68" s="832" t="s">
        <v>199</v>
      </c>
      <c r="D68" s="824"/>
      <c r="E68" s="824" t="s">
        <v>58</v>
      </c>
      <c r="F68" s="825"/>
      <c r="G68" s="824" t="s">
        <v>59</v>
      </c>
      <c r="H68" s="825"/>
      <c r="I68" s="36" t="s">
        <v>200</v>
      </c>
      <c r="J68" s="861" t="s">
        <v>60</v>
      </c>
      <c r="K68" s="870"/>
      <c r="L68" s="867"/>
      <c r="M68" s="868"/>
      <c r="Q68" s="98"/>
      <c r="R68" s="98"/>
      <c r="S68" s="98"/>
      <c r="T68" s="98"/>
      <c r="U68" s="98"/>
    </row>
    <row r="69" spans="1:21" ht="26.25" customHeight="1">
      <c r="A69" s="925" t="s">
        <v>215</v>
      </c>
      <c r="B69" s="779"/>
      <c r="C69" s="755">
        <v>7389469</v>
      </c>
      <c r="D69" s="755"/>
      <c r="E69" s="755"/>
      <c r="F69" s="755"/>
      <c r="G69" s="755"/>
      <c r="H69" s="755"/>
      <c r="I69" s="293"/>
      <c r="J69" s="758">
        <f>+E69+G69+I69</f>
        <v>0</v>
      </c>
      <c r="K69" s="838"/>
      <c r="L69" s="758"/>
      <c r="M69" s="838"/>
      <c r="Q69" s="98"/>
      <c r="R69" s="98"/>
      <c r="S69" s="98"/>
      <c r="T69" s="98"/>
      <c r="U69" s="98"/>
    </row>
    <row r="70" spans="1:13" s="224" customFormat="1" ht="25.5" customHeight="1">
      <c r="A70" s="926" t="s">
        <v>463</v>
      </c>
      <c r="B70" s="927"/>
      <c r="C70" s="755"/>
      <c r="D70" s="755"/>
      <c r="E70" s="755">
        <v>500000</v>
      </c>
      <c r="F70" s="755"/>
      <c r="G70" s="755"/>
      <c r="H70" s="755"/>
      <c r="I70" s="283"/>
      <c r="J70" s="758">
        <f>+E70+G70+I70</f>
        <v>500000</v>
      </c>
      <c r="K70" s="838"/>
      <c r="L70" s="889"/>
      <c r="M70" s="890"/>
    </row>
    <row r="71" spans="1:13" s="224" customFormat="1" ht="23.25" customHeight="1" thickBot="1">
      <c r="A71" s="826" t="s">
        <v>219</v>
      </c>
      <c r="B71" s="827"/>
      <c r="C71" s="755"/>
      <c r="D71" s="755"/>
      <c r="E71" s="755"/>
      <c r="F71" s="755"/>
      <c r="G71" s="755"/>
      <c r="H71" s="755"/>
      <c r="I71" s="283"/>
      <c r="J71" s="758"/>
      <c r="K71" s="838"/>
      <c r="L71" s="889">
        <v>5000000</v>
      </c>
      <c r="M71" s="890"/>
    </row>
    <row r="72" spans="1:13" s="224" customFormat="1" ht="14.25" customHeight="1" thickBot="1">
      <c r="A72" s="920" t="s">
        <v>201</v>
      </c>
      <c r="B72" s="922"/>
      <c r="C72" s="834">
        <f>SUM(C69:C70)</f>
        <v>7389469</v>
      </c>
      <c r="D72" s="834"/>
      <c r="E72" s="834">
        <f>SUM(E69:F70)</f>
        <v>500000</v>
      </c>
      <c r="F72" s="834"/>
      <c r="G72" s="834">
        <f>SUM(G69:G70)</f>
        <v>0</v>
      </c>
      <c r="H72" s="834"/>
      <c r="I72" s="86">
        <f>SUM(I69:I70)</f>
        <v>0</v>
      </c>
      <c r="J72" s="833">
        <f>SUM(J69:J70)</f>
        <v>500000</v>
      </c>
      <c r="K72" s="839"/>
      <c r="L72" s="833">
        <f>SUM(L69:L70)</f>
        <v>0</v>
      </c>
      <c r="M72" s="839"/>
    </row>
    <row r="73" spans="1:14" s="224" customFormat="1" ht="18.75" customHeight="1" thickBo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6" ht="30.75" customHeight="1">
      <c r="A74" s="842" t="s">
        <v>202</v>
      </c>
      <c r="B74" s="913"/>
      <c r="C74" s="858" t="s">
        <v>198</v>
      </c>
      <c r="D74" s="859"/>
      <c r="E74" s="859" t="s">
        <v>55</v>
      </c>
      <c r="F74" s="860"/>
      <c r="G74" s="860" t="s">
        <v>56</v>
      </c>
      <c r="H74" s="879"/>
      <c r="I74" s="880"/>
      <c r="J74" s="859" t="s">
        <v>176</v>
      </c>
      <c r="K74" s="869"/>
      <c r="L74" s="865" t="s">
        <v>270</v>
      </c>
      <c r="M74" s="866"/>
      <c r="N74"/>
      <c r="O74"/>
      <c r="P74"/>
    </row>
    <row r="75" spans="1:21" ht="20.25" customHeight="1" thickBot="1">
      <c r="A75" s="914" t="s">
        <v>203</v>
      </c>
      <c r="B75" s="915"/>
      <c r="C75" s="861" t="s">
        <v>199</v>
      </c>
      <c r="D75" s="824"/>
      <c r="E75" s="824" t="s">
        <v>58</v>
      </c>
      <c r="F75" s="825"/>
      <c r="G75" s="887" t="s">
        <v>204</v>
      </c>
      <c r="H75" s="888"/>
      <c r="I75" s="36" t="s">
        <v>200</v>
      </c>
      <c r="J75" s="861" t="s">
        <v>60</v>
      </c>
      <c r="K75" s="870"/>
      <c r="L75" s="867"/>
      <c r="M75" s="868"/>
      <c r="Q75" s="98"/>
      <c r="R75" s="98"/>
      <c r="S75" s="98"/>
      <c r="T75" s="98"/>
      <c r="U75" s="98"/>
    </row>
    <row r="76" spans="1:21" s="20" customFormat="1" ht="18" customHeight="1">
      <c r="A76" s="916" t="s">
        <v>224</v>
      </c>
      <c r="B76" s="917"/>
      <c r="C76" s="758"/>
      <c r="D76" s="756"/>
      <c r="E76" s="753">
        <v>100000</v>
      </c>
      <c r="F76" s="754"/>
      <c r="G76" s="756"/>
      <c r="H76" s="756"/>
      <c r="I76" s="293"/>
      <c r="J76" s="758">
        <f>+E76+G76+I76</f>
        <v>100000</v>
      </c>
      <c r="K76" s="838"/>
      <c r="L76" s="758">
        <v>0</v>
      </c>
      <c r="M76" s="838"/>
      <c r="N76" s="158"/>
      <c r="O76" s="158"/>
      <c r="P76" s="158"/>
      <c r="Q76" s="158"/>
      <c r="R76" s="158"/>
      <c r="S76" s="158"/>
      <c r="T76" s="158"/>
      <c r="U76" s="158"/>
    </row>
    <row r="77" spans="1:13" s="308" customFormat="1" ht="16.5" customHeight="1">
      <c r="A77" s="759" t="s">
        <v>216</v>
      </c>
      <c r="B77" s="757"/>
      <c r="C77" s="758"/>
      <c r="D77" s="756"/>
      <c r="E77" s="902">
        <v>120000</v>
      </c>
      <c r="F77" s="903"/>
      <c r="G77" s="755"/>
      <c r="H77" s="755"/>
      <c r="I77" s="293"/>
      <c r="J77" s="758">
        <f aca="true" t="shared" si="9" ref="J77:J84">+E77+G77+I77</f>
        <v>120000</v>
      </c>
      <c r="K77" s="838"/>
      <c r="L77" s="758">
        <v>0</v>
      </c>
      <c r="M77" s="838"/>
    </row>
    <row r="78" spans="1:13" s="308" customFormat="1" ht="14.25" customHeight="1">
      <c r="A78" s="759" t="s">
        <v>217</v>
      </c>
      <c r="B78" s="757"/>
      <c r="C78" s="758"/>
      <c r="D78" s="756"/>
      <c r="E78" s="848">
        <v>800000</v>
      </c>
      <c r="F78" s="849"/>
      <c r="G78" s="755"/>
      <c r="H78" s="755"/>
      <c r="I78" s="293"/>
      <c r="J78" s="758">
        <f t="shared" si="9"/>
        <v>800000</v>
      </c>
      <c r="K78" s="838"/>
      <c r="L78" s="758">
        <v>0</v>
      </c>
      <c r="M78" s="838"/>
    </row>
    <row r="79" spans="1:13" s="308" customFormat="1" ht="22.5" customHeight="1">
      <c r="A79" s="759" t="s">
        <v>218</v>
      </c>
      <c r="B79" s="757"/>
      <c r="C79" s="758"/>
      <c r="D79" s="756"/>
      <c r="E79" s="848">
        <v>1200000</v>
      </c>
      <c r="F79" s="849"/>
      <c r="G79" s="755"/>
      <c r="H79" s="755"/>
      <c r="I79" s="293"/>
      <c r="J79" s="758">
        <f t="shared" si="9"/>
        <v>1200000</v>
      </c>
      <c r="K79" s="838"/>
      <c r="L79" s="758">
        <v>0</v>
      </c>
      <c r="M79" s="838"/>
    </row>
    <row r="80" spans="1:15" s="308" customFormat="1" ht="23.25" customHeight="1">
      <c r="A80" s="759" t="s">
        <v>466</v>
      </c>
      <c r="B80" s="757"/>
      <c r="C80" s="758"/>
      <c r="D80" s="756"/>
      <c r="E80" s="753">
        <v>5280000</v>
      </c>
      <c r="F80" s="754"/>
      <c r="G80" s="755"/>
      <c r="H80" s="755"/>
      <c r="I80" s="293"/>
      <c r="J80" s="758">
        <f t="shared" si="9"/>
        <v>5280000</v>
      </c>
      <c r="K80" s="838"/>
      <c r="L80" s="758">
        <v>0</v>
      </c>
      <c r="M80" s="838"/>
      <c r="O80"/>
    </row>
    <row r="81" spans="1:15" s="308" customFormat="1" ht="19.5" customHeight="1">
      <c r="A81" s="759" t="s">
        <v>223</v>
      </c>
      <c r="B81" s="757"/>
      <c r="C81" s="758"/>
      <c r="D81" s="756"/>
      <c r="E81" s="885"/>
      <c r="F81" s="886"/>
      <c r="G81" s="755"/>
      <c r="H81" s="755"/>
      <c r="I81" s="293"/>
      <c r="J81" s="758">
        <f t="shared" si="9"/>
        <v>0</v>
      </c>
      <c r="K81" s="838"/>
      <c r="L81" s="758">
        <v>1700000</v>
      </c>
      <c r="M81" s="838"/>
      <c r="O81"/>
    </row>
    <row r="82" spans="1:15" s="224" customFormat="1" ht="20.25" customHeight="1">
      <c r="A82" s="759" t="s">
        <v>220</v>
      </c>
      <c r="B82" s="757"/>
      <c r="C82" s="758"/>
      <c r="D82" s="756"/>
      <c r="E82" s="885"/>
      <c r="F82" s="886"/>
      <c r="G82" s="755"/>
      <c r="H82" s="755"/>
      <c r="I82" s="293"/>
      <c r="J82" s="758">
        <f t="shared" si="9"/>
        <v>0</v>
      </c>
      <c r="K82" s="838"/>
      <c r="L82" s="758">
        <v>6000000</v>
      </c>
      <c r="M82" s="838"/>
      <c r="O82"/>
    </row>
    <row r="83" spans="1:15" s="224" customFormat="1" ht="33.75" customHeight="1">
      <c r="A83" s="759" t="s">
        <v>221</v>
      </c>
      <c r="B83" s="757"/>
      <c r="C83" s="758"/>
      <c r="D83" s="756"/>
      <c r="E83" s="885"/>
      <c r="F83" s="886"/>
      <c r="G83" s="755"/>
      <c r="H83" s="755"/>
      <c r="I83" s="293"/>
      <c r="J83" s="758">
        <f t="shared" si="9"/>
        <v>0</v>
      </c>
      <c r="K83" s="838"/>
      <c r="L83" s="758">
        <v>5200000</v>
      </c>
      <c r="M83" s="838"/>
      <c r="O83"/>
    </row>
    <row r="84" spans="1:15" s="224" customFormat="1" ht="16.5" customHeight="1">
      <c r="A84" s="759" t="s">
        <v>222</v>
      </c>
      <c r="B84" s="757"/>
      <c r="C84" s="758"/>
      <c r="D84" s="756"/>
      <c r="E84" s="885"/>
      <c r="F84" s="886"/>
      <c r="G84" s="755"/>
      <c r="H84" s="755"/>
      <c r="I84" s="293"/>
      <c r="J84" s="758">
        <f t="shared" si="9"/>
        <v>0</v>
      </c>
      <c r="K84" s="838"/>
      <c r="L84" s="758">
        <v>3800000</v>
      </c>
      <c r="M84" s="838"/>
      <c r="O84"/>
    </row>
    <row r="85" spans="1:15" s="224" customFormat="1" ht="16.5" customHeight="1" thickBot="1">
      <c r="A85" s="759" t="s">
        <v>339</v>
      </c>
      <c r="B85" s="757"/>
      <c r="C85" s="758"/>
      <c r="D85" s="756"/>
      <c r="E85" s="753">
        <f>4000000+5300000</f>
        <v>9300000</v>
      </c>
      <c r="F85" s="754"/>
      <c r="G85" s="755"/>
      <c r="H85" s="755"/>
      <c r="I85" s="293"/>
      <c r="J85" s="758">
        <f>+E85+G85+I85</f>
        <v>9300000</v>
      </c>
      <c r="K85" s="838"/>
      <c r="L85" s="758"/>
      <c r="M85" s="838"/>
      <c r="O85"/>
    </row>
    <row r="86" spans="1:13" s="224" customFormat="1" ht="22.5" customHeight="1" thickBot="1">
      <c r="A86" s="920" t="s">
        <v>205</v>
      </c>
      <c r="B86" s="921"/>
      <c r="C86" s="833">
        <f>SUM(C76:C81)</f>
        <v>0</v>
      </c>
      <c r="D86" s="834"/>
      <c r="E86" s="834">
        <f>SUM(E76:F85)</f>
        <v>16800000</v>
      </c>
      <c r="F86" s="834"/>
      <c r="G86" s="835">
        <f>SUM(G76:G81)</f>
        <v>0</v>
      </c>
      <c r="H86" s="836"/>
      <c r="I86" s="86">
        <f>SUM(I76:I84)</f>
        <v>0</v>
      </c>
      <c r="J86" s="833">
        <f>SUM(J76:K85)</f>
        <v>16800000</v>
      </c>
      <c r="K86" s="839"/>
      <c r="L86" s="833">
        <f>SUM(L76:M84)</f>
        <v>16700000</v>
      </c>
      <c r="M86" s="839"/>
    </row>
    <row r="87" spans="1:14" s="224" customFormat="1" ht="3" customHeight="1" thickBot="1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</row>
    <row r="88" spans="1:13" s="168" customFormat="1" ht="15" customHeight="1" thickBot="1">
      <c r="A88" s="918" t="s">
        <v>61</v>
      </c>
      <c r="B88" s="919"/>
      <c r="C88" s="837">
        <f>+C86+C72</f>
        <v>7389469</v>
      </c>
      <c r="D88" s="834"/>
      <c r="E88" s="837">
        <f>+E86+E72</f>
        <v>17300000</v>
      </c>
      <c r="F88" s="835"/>
      <c r="G88" s="835">
        <f>+G86+G72</f>
        <v>0</v>
      </c>
      <c r="H88" s="836"/>
      <c r="I88" s="90">
        <f>+I86+I72</f>
        <v>0</v>
      </c>
      <c r="J88" s="834">
        <f>+J86+J72</f>
        <v>17300000</v>
      </c>
      <c r="K88" s="835"/>
      <c r="L88" s="833">
        <f>+L86+L72</f>
        <v>16700000</v>
      </c>
      <c r="M88" s="839"/>
    </row>
    <row r="89" spans="1:14" s="224" customFormat="1" ht="5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6" ht="6" customHeight="1" thickBo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29.25" customHeight="1" thickBot="1">
      <c r="A91" s="294" t="s">
        <v>206</v>
      </c>
      <c r="B91" s="64" t="s">
        <v>207</v>
      </c>
      <c r="C91" s="808" t="s">
        <v>208</v>
      </c>
      <c r="D91" s="809"/>
      <c r="E91" s="810"/>
      <c r="F91" s="295" t="s">
        <v>207</v>
      </c>
      <c r="G91"/>
      <c r="H91"/>
      <c r="I91"/>
      <c r="J91"/>
      <c r="K91"/>
      <c r="L91"/>
      <c r="M91"/>
      <c r="N91"/>
      <c r="O91"/>
      <c r="P91"/>
    </row>
    <row r="92" spans="1:16" ht="18" customHeight="1">
      <c r="A92" s="296" t="s">
        <v>462</v>
      </c>
      <c r="B92" s="297">
        <v>500</v>
      </c>
      <c r="C92" s="340"/>
      <c r="D92" s="298"/>
      <c r="E92" s="299"/>
      <c r="F92" s="300"/>
      <c r="G92" s="20"/>
      <c r="H92" s="20"/>
      <c r="I92" s="20"/>
      <c r="J92" s="20"/>
      <c r="K92" s="20"/>
      <c r="L92" s="20"/>
      <c r="M92" s="20"/>
      <c r="N92" s="20"/>
      <c r="O92"/>
      <c r="P92"/>
    </row>
    <row r="93" spans="1:6" s="20" customFormat="1" ht="17.25" customHeight="1">
      <c r="A93" s="301"/>
      <c r="B93" s="302"/>
      <c r="C93" s="341"/>
      <c r="D93" s="342"/>
      <c r="E93" s="343"/>
      <c r="F93" s="303"/>
    </row>
    <row r="94" spans="1:6" s="20" customFormat="1" ht="17.25" customHeight="1">
      <c r="A94" s="301"/>
      <c r="B94" s="302"/>
      <c r="C94" s="341"/>
      <c r="D94" s="342"/>
      <c r="E94" s="343"/>
      <c r="F94" s="303"/>
    </row>
    <row r="95" spans="1:6" s="20" customFormat="1" ht="16.5" customHeight="1" hidden="1">
      <c r="A95" s="301"/>
      <c r="B95" s="302"/>
      <c r="C95" s="341"/>
      <c r="D95" s="342"/>
      <c r="E95" s="343"/>
      <c r="F95" s="303"/>
    </row>
    <row r="96" spans="1:6" s="20" customFormat="1" ht="16.5" customHeight="1" hidden="1">
      <c r="A96" s="301"/>
      <c r="B96" s="302"/>
      <c r="C96" s="341"/>
      <c r="D96" s="342"/>
      <c r="E96" s="343"/>
      <c r="F96" s="303"/>
    </row>
    <row r="97" spans="1:6" s="20" customFormat="1" ht="16.5" customHeight="1" hidden="1">
      <c r="A97" s="301"/>
      <c r="B97" s="302"/>
      <c r="C97" s="341"/>
      <c r="D97" s="342"/>
      <c r="E97" s="343"/>
      <c r="F97" s="303"/>
    </row>
    <row r="98" spans="1:6" s="20" customFormat="1" ht="16.5" customHeight="1" hidden="1">
      <c r="A98" s="301"/>
      <c r="B98" s="302"/>
      <c r="C98" s="341"/>
      <c r="D98" s="342"/>
      <c r="E98" s="343"/>
      <c r="F98" s="303"/>
    </row>
    <row r="99" spans="1:6" s="20" customFormat="1" ht="16.5" customHeight="1" hidden="1">
      <c r="A99" s="301"/>
      <c r="B99" s="302"/>
      <c r="C99" s="341"/>
      <c r="D99" s="342"/>
      <c r="E99" s="343"/>
      <c r="F99" s="303"/>
    </row>
    <row r="100" spans="1:6" s="20" customFormat="1" ht="16.5" customHeight="1" hidden="1">
      <c r="A100" s="301"/>
      <c r="B100" s="302"/>
      <c r="C100" s="341"/>
      <c r="D100" s="342"/>
      <c r="E100" s="343"/>
      <c r="F100" s="304"/>
    </row>
    <row r="101" spans="1:6" s="20" customFormat="1" ht="16.5" customHeight="1" hidden="1">
      <c r="A101" s="301"/>
      <c r="B101" s="302"/>
      <c r="C101" s="341"/>
      <c r="D101" s="342"/>
      <c r="E101" s="343"/>
      <c r="F101" s="303"/>
    </row>
    <row r="102" spans="1:6" s="20" customFormat="1" ht="13.5" thickBot="1">
      <c r="A102" s="305"/>
      <c r="B102" s="306"/>
      <c r="C102" s="344"/>
      <c r="D102" s="345"/>
      <c r="E102" s="346"/>
      <c r="F102" s="307"/>
    </row>
    <row r="103" spans="1:14" s="20" customFormat="1" ht="13.5" thickBot="1">
      <c r="A103" s="88" t="s">
        <v>209</v>
      </c>
      <c r="B103" s="86">
        <f>SUM(B92:B102)</f>
        <v>500</v>
      </c>
      <c r="C103" s="347" t="s">
        <v>4</v>
      </c>
      <c r="D103" s="348"/>
      <c r="E103" s="349"/>
      <c r="F103" s="87">
        <f>SUM(F92:F102)</f>
        <v>0</v>
      </c>
      <c r="G103" s="308"/>
      <c r="H103" s="308"/>
      <c r="I103" s="308"/>
      <c r="J103" s="308"/>
      <c r="K103" s="308"/>
      <c r="L103" s="308"/>
      <c r="M103" s="308"/>
      <c r="N103" s="308"/>
    </row>
    <row r="104" spans="1:14" s="308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6" ht="7.5" customHeight="1" thickBo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2.75" customHeight="1">
      <c r="A106" s="899" t="s">
        <v>62</v>
      </c>
      <c r="B106" s="891" t="s">
        <v>225</v>
      </c>
      <c r="C106" s="811" t="s">
        <v>160</v>
      </c>
      <c r="D106" s="761"/>
      <c r="E106" s="761"/>
      <c r="F106" s="761"/>
      <c r="G106" s="761"/>
      <c r="H106" s="812"/>
      <c r="I106" s="894" t="s">
        <v>226</v>
      </c>
      <c r="O106"/>
      <c r="P106"/>
    </row>
    <row r="107" spans="1:14" s="309" customFormat="1" ht="17.25" customHeight="1">
      <c r="A107" s="900"/>
      <c r="B107" s="892"/>
      <c r="C107" s="897" t="s">
        <v>45</v>
      </c>
      <c r="D107" s="97" t="s">
        <v>63</v>
      </c>
      <c r="E107" s="350"/>
      <c r="F107" s="350"/>
      <c r="G107" s="350"/>
      <c r="H107" s="351"/>
      <c r="I107" s="895"/>
      <c r="J107" s="98"/>
      <c r="K107" s="98"/>
      <c r="L107" s="98"/>
      <c r="M107" s="98"/>
      <c r="N107" s="98"/>
    </row>
    <row r="108" spans="1:14" s="309" customFormat="1" ht="17.25" customHeight="1" thickBot="1">
      <c r="A108" s="901"/>
      <c r="B108" s="893"/>
      <c r="C108" s="898"/>
      <c r="D108" s="310">
        <v>1</v>
      </c>
      <c r="E108" s="310">
        <v>2</v>
      </c>
      <c r="F108" s="310">
        <v>3</v>
      </c>
      <c r="G108" s="310">
        <v>4</v>
      </c>
      <c r="H108" s="310">
        <v>5</v>
      </c>
      <c r="I108" s="896"/>
      <c r="J108" s="158"/>
      <c r="K108" s="158"/>
      <c r="L108" s="158"/>
      <c r="M108" s="158"/>
      <c r="N108" s="158"/>
    </row>
    <row r="109" spans="1:14" s="309" customFormat="1" ht="11.25" customHeight="1" thickBot="1">
      <c r="A109" s="311">
        <v>36746</v>
      </c>
      <c r="B109" s="222">
        <v>11670</v>
      </c>
      <c r="C109" s="312">
        <f>SUM(D109:H109)</f>
        <v>2000</v>
      </c>
      <c r="D109" s="222">
        <v>991</v>
      </c>
      <c r="E109" s="222">
        <v>846</v>
      </c>
      <c r="F109" s="222">
        <v>0</v>
      </c>
      <c r="G109" s="222">
        <v>65</v>
      </c>
      <c r="H109" s="222">
        <v>98</v>
      </c>
      <c r="I109" s="223">
        <f>SUM(A109-B109-C109)</f>
        <v>23076</v>
      </c>
      <c r="J109" s="98"/>
      <c r="K109" s="98"/>
      <c r="L109" s="98"/>
      <c r="M109" s="98"/>
      <c r="N109" s="98"/>
    </row>
    <row r="110" spans="1:14" s="309" customFormat="1" ht="11.25" customHeight="1">
      <c r="A110" s="412"/>
      <c r="B110" s="413"/>
      <c r="C110" s="413"/>
      <c r="D110" s="413"/>
      <c r="E110" s="413"/>
      <c r="F110" s="413"/>
      <c r="G110" s="413"/>
      <c r="H110" s="413"/>
      <c r="I110" s="413"/>
      <c r="J110" s="98"/>
      <c r="K110" s="98"/>
      <c r="L110" s="98"/>
      <c r="M110" s="98"/>
      <c r="N110" s="98"/>
    </row>
    <row r="111" spans="1:14" s="309" customFormat="1" ht="17.25" customHeight="1" thickBot="1">
      <c r="A111" s="78" t="s">
        <v>236</v>
      </c>
      <c r="B111" s="168"/>
      <c r="C111" s="168"/>
      <c r="D111" s="168"/>
      <c r="E111" s="168"/>
      <c r="F111" s="168"/>
      <c r="G111" s="168"/>
      <c r="H111" s="168"/>
      <c r="I111" s="98"/>
      <c r="J111" s="98"/>
      <c r="K111" s="98"/>
      <c r="L111" s="98"/>
      <c r="M111" s="98"/>
      <c r="N111" s="98"/>
    </row>
    <row r="112" spans="1:14" ht="17.25" customHeight="1">
      <c r="A112" s="764" t="s">
        <v>64</v>
      </c>
      <c r="B112" s="910" t="s">
        <v>151</v>
      </c>
      <c r="C112" s="768" t="s">
        <v>161</v>
      </c>
      <c r="D112" s="761"/>
      <c r="E112" s="761"/>
      <c r="F112" s="760"/>
      <c r="G112" s="766" t="s">
        <v>162</v>
      </c>
      <c r="H112" s="807" t="s">
        <v>65</v>
      </c>
      <c r="I112" s="768" t="s">
        <v>163</v>
      </c>
      <c r="J112" s="761"/>
      <c r="K112" s="761"/>
      <c r="L112" s="760"/>
      <c r="M112"/>
      <c r="N112"/>
    </row>
    <row r="113" spans="1:16" ht="20.25" customHeight="1" thickBot="1">
      <c r="A113" s="765"/>
      <c r="B113" s="867"/>
      <c r="C113" s="38" t="s">
        <v>164</v>
      </c>
      <c r="D113" s="39" t="s">
        <v>66</v>
      </c>
      <c r="E113" s="39" t="s">
        <v>67</v>
      </c>
      <c r="F113" s="40" t="s">
        <v>68</v>
      </c>
      <c r="G113" s="767"/>
      <c r="H113" s="767"/>
      <c r="I113" s="60" t="s">
        <v>152</v>
      </c>
      <c r="J113" s="39" t="s">
        <v>66</v>
      </c>
      <c r="K113" s="39" t="s">
        <v>67</v>
      </c>
      <c r="L113" s="40" t="s">
        <v>153</v>
      </c>
      <c r="M113"/>
      <c r="N113"/>
      <c r="O113"/>
      <c r="P113"/>
    </row>
    <row r="114" spans="1:16" ht="12.75">
      <c r="A114" s="313" t="s">
        <v>69</v>
      </c>
      <c r="B114" s="81">
        <f>+B115+B116+B117+B118</f>
        <v>26148.69</v>
      </c>
      <c r="C114" s="182" t="s">
        <v>70</v>
      </c>
      <c r="D114" s="173" t="s">
        <v>70</v>
      </c>
      <c r="E114" s="183" t="s">
        <v>70</v>
      </c>
      <c r="F114" s="414">
        <f>+F115+F116+F117</f>
        <v>37225.78</v>
      </c>
      <c r="G114" s="175">
        <f>+G115+G116+G117+G118</f>
        <v>44638.42</v>
      </c>
      <c r="H114" s="176" t="s">
        <v>70</v>
      </c>
      <c r="I114" s="314" t="s">
        <v>70</v>
      </c>
      <c r="J114" s="314" t="s">
        <v>70</v>
      </c>
      <c r="K114" s="314" t="s">
        <v>70</v>
      </c>
      <c r="L114" s="174" t="s">
        <v>70</v>
      </c>
      <c r="M114"/>
      <c r="N114"/>
      <c r="O114"/>
      <c r="P114"/>
    </row>
    <row r="115" spans="1:16" ht="12.75">
      <c r="A115" s="315" t="s">
        <v>71</v>
      </c>
      <c r="B115" s="178">
        <v>0</v>
      </c>
      <c r="C115" s="94">
        <v>0</v>
      </c>
      <c r="D115" s="42">
        <v>0</v>
      </c>
      <c r="E115" s="42">
        <v>0</v>
      </c>
      <c r="F115" s="415">
        <f>+C115+D115-E115</f>
        <v>0</v>
      </c>
      <c r="G115" s="180">
        <v>0</v>
      </c>
      <c r="H115" s="181">
        <f>+G115-F115</f>
        <v>0</v>
      </c>
      <c r="I115" s="42">
        <v>0</v>
      </c>
      <c r="J115" s="42">
        <v>0</v>
      </c>
      <c r="K115" s="42">
        <v>0</v>
      </c>
      <c r="L115" s="179">
        <f>+I115+J115-K115</f>
        <v>0</v>
      </c>
      <c r="M115"/>
      <c r="N115"/>
      <c r="O115"/>
      <c r="P115"/>
    </row>
    <row r="116" spans="1:16" ht="12.75">
      <c r="A116" s="315" t="s">
        <v>72</v>
      </c>
      <c r="B116" s="178">
        <v>0</v>
      </c>
      <c r="C116" s="94">
        <v>2501.12</v>
      </c>
      <c r="D116" s="42">
        <f>+K124</f>
        <v>3273</v>
      </c>
      <c r="E116" s="42">
        <f>+K131</f>
        <v>2501</v>
      </c>
      <c r="F116" s="415">
        <f>+C116+D116-E116</f>
        <v>3273.12</v>
      </c>
      <c r="G116" s="180">
        <v>0</v>
      </c>
      <c r="H116" s="180">
        <f>+G116-F116</f>
        <v>-3273.12</v>
      </c>
      <c r="I116" s="42">
        <f>+L122</f>
        <v>3273</v>
      </c>
      <c r="J116" s="42">
        <f>+L124</f>
        <v>0</v>
      </c>
      <c r="K116" s="42">
        <f>+L131</f>
        <v>0</v>
      </c>
      <c r="L116" s="179">
        <f>+I116+J116-K116</f>
        <v>3273</v>
      </c>
      <c r="M116"/>
      <c r="N116"/>
      <c r="O116"/>
      <c r="P116"/>
    </row>
    <row r="117" spans="1:16" ht="12.75">
      <c r="A117" s="315" t="s">
        <v>73</v>
      </c>
      <c r="B117" s="178">
        <v>26145.98</v>
      </c>
      <c r="C117" s="182" t="s">
        <v>70</v>
      </c>
      <c r="D117" s="173" t="s">
        <v>70</v>
      </c>
      <c r="E117" s="183" t="s">
        <v>70</v>
      </c>
      <c r="F117" s="414">
        <f>37225.78-F116</f>
        <v>33952.659999999996</v>
      </c>
      <c r="G117" s="180">
        <v>37225.78</v>
      </c>
      <c r="H117" s="316" t="s">
        <v>70</v>
      </c>
      <c r="I117" s="314" t="s">
        <v>70</v>
      </c>
      <c r="J117" s="314" t="s">
        <v>70</v>
      </c>
      <c r="K117" s="314" t="s">
        <v>70</v>
      </c>
      <c r="L117" s="174" t="s">
        <v>70</v>
      </c>
      <c r="M117"/>
      <c r="N117"/>
      <c r="O117"/>
      <c r="P117"/>
    </row>
    <row r="118" spans="1:16" ht="12.75">
      <c r="A118" s="315" t="s">
        <v>74</v>
      </c>
      <c r="B118" s="178">
        <v>2.71</v>
      </c>
      <c r="C118" s="94">
        <f>+C122</f>
        <v>291590</v>
      </c>
      <c r="D118" s="42">
        <f>+C124</f>
        <v>50599</v>
      </c>
      <c r="E118" s="42">
        <f>+C131</f>
        <v>321394</v>
      </c>
      <c r="F118" s="415">
        <f>+C136</f>
        <v>20794</v>
      </c>
      <c r="G118" s="180">
        <v>7412.64</v>
      </c>
      <c r="H118" s="181">
        <f>+G118-F118</f>
        <v>-13381.36</v>
      </c>
      <c r="I118" s="184">
        <f>+D122</f>
        <v>20794</v>
      </c>
      <c r="J118" s="184">
        <f>+D124</f>
        <v>10000</v>
      </c>
      <c r="K118" s="184">
        <f>+D131</f>
        <v>15389</v>
      </c>
      <c r="L118" s="179">
        <f>+I118+J118-K118</f>
        <v>15405</v>
      </c>
      <c r="M118"/>
      <c r="N118"/>
      <c r="O118"/>
      <c r="P118"/>
    </row>
    <row r="119" spans="1:16" ht="13.5" thickBot="1">
      <c r="A119" s="317" t="s">
        <v>75</v>
      </c>
      <c r="B119" s="186">
        <v>60.76</v>
      </c>
      <c r="C119" s="95">
        <v>2763.36</v>
      </c>
      <c r="D119" s="96">
        <v>4097</v>
      </c>
      <c r="E119" s="96">
        <v>4867</v>
      </c>
      <c r="F119" s="416">
        <v>1992.7</v>
      </c>
      <c r="G119" s="188">
        <v>108.18</v>
      </c>
      <c r="H119" s="189">
        <f>+G119-F119</f>
        <v>-1884.52</v>
      </c>
      <c r="I119" s="96">
        <v>1993</v>
      </c>
      <c r="J119" s="96">
        <v>4597</v>
      </c>
      <c r="K119" s="96">
        <v>5000</v>
      </c>
      <c r="L119" s="187">
        <f>+I119+J119-K119</f>
        <v>1590</v>
      </c>
      <c r="M119"/>
      <c r="N119"/>
      <c r="O119"/>
      <c r="P119"/>
    </row>
    <row r="120" spans="15:16" ht="13.5" thickBot="1">
      <c r="O120"/>
      <c r="P120"/>
    </row>
    <row r="121" spans="1:13" s="20" customFormat="1" ht="19.5" customHeight="1" thickBot="1">
      <c r="A121" s="88" t="s">
        <v>76</v>
      </c>
      <c r="B121" s="377">
        <v>2004</v>
      </c>
      <c r="C121" s="398">
        <v>2005</v>
      </c>
      <c r="D121" s="378">
        <v>2006</v>
      </c>
      <c r="E121" s="309"/>
      <c r="F121" s="309"/>
      <c r="G121" s="794" t="s">
        <v>77</v>
      </c>
      <c r="H121" s="928"/>
      <c r="I121" s="928"/>
      <c r="J121" s="377">
        <v>2004</v>
      </c>
      <c r="K121" s="398">
        <v>2005</v>
      </c>
      <c r="L121" s="378">
        <v>2006</v>
      </c>
      <c r="M121" s="158"/>
    </row>
    <row r="122" spans="1:16" ht="12.75">
      <c r="A122" s="43" t="s">
        <v>78</v>
      </c>
      <c r="B122" s="44">
        <v>284877</v>
      </c>
      <c r="C122" s="402">
        <f>+B136</f>
        <v>291590</v>
      </c>
      <c r="D122" s="45">
        <v>20794</v>
      </c>
      <c r="G122" s="929" t="s">
        <v>79</v>
      </c>
      <c r="H122" s="930"/>
      <c r="I122" s="931"/>
      <c r="J122" s="44">
        <v>3366</v>
      </c>
      <c r="K122" s="402">
        <f>+J136</f>
        <v>2501</v>
      </c>
      <c r="L122" s="45">
        <v>3273</v>
      </c>
      <c r="N122"/>
      <c r="O122"/>
      <c r="P122"/>
    </row>
    <row r="123" spans="1:16" ht="12.75">
      <c r="A123" s="46" t="s">
        <v>171</v>
      </c>
      <c r="B123" s="42"/>
      <c r="C123" s="403"/>
      <c r="D123" s="179">
        <v>7389</v>
      </c>
      <c r="G123" s="796"/>
      <c r="H123" s="797"/>
      <c r="I123" s="798"/>
      <c r="J123" s="42"/>
      <c r="K123" s="403"/>
      <c r="L123" s="179"/>
      <c r="N123"/>
      <c r="O123"/>
      <c r="P123"/>
    </row>
    <row r="124" spans="1:16" ht="12.75">
      <c r="A124" s="405" t="s">
        <v>66</v>
      </c>
      <c r="B124" s="406">
        <v>42898</v>
      </c>
      <c r="C124" s="407">
        <f>SUM(C125:C129)</f>
        <v>50599</v>
      </c>
      <c r="D124" s="408">
        <v>10000</v>
      </c>
      <c r="G124" s="799" t="s">
        <v>66</v>
      </c>
      <c r="H124" s="800"/>
      <c r="I124" s="801"/>
      <c r="J124" s="406">
        <f>+J125+J126</f>
        <v>2791</v>
      </c>
      <c r="K124" s="407">
        <f>+K125+K126</f>
        <v>3273</v>
      </c>
      <c r="L124" s="408">
        <f>+L125+L126</f>
        <v>0</v>
      </c>
      <c r="N124"/>
      <c r="O124"/>
      <c r="P124"/>
    </row>
    <row r="125" spans="1:16" ht="12.75">
      <c r="A125" s="46" t="s">
        <v>80</v>
      </c>
      <c r="B125" s="42">
        <v>6713</v>
      </c>
      <c r="C125" s="403">
        <v>3208</v>
      </c>
      <c r="D125" s="179">
        <v>2000</v>
      </c>
      <c r="G125" s="796" t="s">
        <v>234</v>
      </c>
      <c r="H125" s="797"/>
      <c r="I125" s="798"/>
      <c r="J125" s="42"/>
      <c r="K125" s="403"/>
      <c r="L125" s="179"/>
      <c r="N125"/>
      <c r="O125"/>
      <c r="P125"/>
    </row>
    <row r="126" spans="1:16" ht="12.75">
      <c r="A126" s="46" t="s">
        <v>227</v>
      </c>
      <c r="B126" s="42">
        <v>15186</v>
      </c>
      <c r="C126" s="403">
        <v>46287</v>
      </c>
      <c r="D126" s="179">
        <v>8000</v>
      </c>
      <c r="G126" s="796" t="s">
        <v>82</v>
      </c>
      <c r="H126" s="797"/>
      <c r="I126" s="798"/>
      <c r="J126" s="42">
        <v>2791</v>
      </c>
      <c r="K126" s="403">
        <v>3273</v>
      </c>
      <c r="L126" s="179"/>
      <c r="N126"/>
      <c r="O126"/>
      <c r="P126"/>
    </row>
    <row r="127" spans="1:16" ht="12.75">
      <c r="A127" s="46" t="s">
        <v>228</v>
      </c>
      <c r="B127" s="42"/>
      <c r="C127" s="403"/>
      <c r="D127" s="179"/>
      <c r="E127"/>
      <c r="G127" s="796"/>
      <c r="H127" s="797"/>
      <c r="I127" s="798"/>
      <c r="J127" s="42"/>
      <c r="K127" s="403"/>
      <c r="L127" s="179"/>
      <c r="N127"/>
      <c r="O127"/>
      <c r="P127"/>
    </row>
    <row r="128" spans="1:16" ht="12.75">
      <c r="A128" s="46" t="s">
        <v>83</v>
      </c>
      <c r="B128" s="42">
        <v>18410</v>
      </c>
      <c r="C128" s="403"/>
      <c r="D128" s="179"/>
      <c r="E128"/>
      <c r="G128" s="796"/>
      <c r="H128" s="797"/>
      <c r="I128" s="798"/>
      <c r="J128" s="42"/>
      <c r="K128" s="403"/>
      <c r="L128" s="179"/>
      <c r="N128"/>
      <c r="O128"/>
      <c r="P128"/>
    </row>
    <row r="129" spans="1:16" ht="12.75">
      <c r="A129" s="46" t="s">
        <v>82</v>
      </c>
      <c r="B129" s="42"/>
      <c r="C129" s="403">
        <v>1104</v>
      </c>
      <c r="D129" s="179"/>
      <c r="E129"/>
      <c r="G129" s="796"/>
      <c r="H129" s="797"/>
      <c r="I129" s="798"/>
      <c r="J129" s="42"/>
      <c r="K129" s="403"/>
      <c r="L129" s="179"/>
      <c r="N129"/>
      <c r="O129"/>
      <c r="P129"/>
    </row>
    <row r="130" spans="1:16" ht="12.75">
      <c r="A130" s="47" t="s">
        <v>84</v>
      </c>
      <c r="B130" s="42">
        <v>2589</v>
      </c>
      <c r="C130" s="403"/>
      <c r="D130" s="179"/>
      <c r="E130"/>
      <c r="G130" s="796"/>
      <c r="H130" s="797"/>
      <c r="I130" s="798"/>
      <c r="J130" s="42"/>
      <c r="K130" s="403"/>
      <c r="L130" s="179"/>
      <c r="N130"/>
      <c r="O130"/>
      <c r="P130"/>
    </row>
    <row r="131" spans="1:16" ht="12.75">
      <c r="A131" s="405" t="s">
        <v>67</v>
      </c>
      <c r="B131" s="406">
        <f>+B132+B133</f>
        <v>36185</v>
      </c>
      <c r="C131" s="407">
        <v>321394</v>
      </c>
      <c r="D131" s="408">
        <v>15389</v>
      </c>
      <c r="G131" s="799" t="s">
        <v>67</v>
      </c>
      <c r="H131" s="800"/>
      <c r="I131" s="801"/>
      <c r="J131" s="406">
        <f>+J132+J133+J134</f>
        <v>3656</v>
      </c>
      <c r="K131" s="407">
        <f>+K132+K133+K134</f>
        <v>2501</v>
      </c>
      <c r="L131" s="408">
        <f>+L132+L133+L134</f>
        <v>0</v>
      </c>
      <c r="N131"/>
      <c r="O131"/>
      <c r="P131"/>
    </row>
    <row r="132" spans="1:16" ht="12.75">
      <c r="A132" s="46" t="s">
        <v>187</v>
      </c>
      <c r="B132" s="42">
        <v>26812</v>
      </c>
      <c r="C132" s="403">
        <v>33462</v>
      </c>
      <c r="D132" s="179">
        <v>7500</v>
      </c>
      <c r="G132" s="230" t="s">
        <v>85</v>
      </c>
      <c r="H132" s="231"/>
      <c r="I132" s="232"/>
      <c r="J132" s="42">
        <v>1067</v>
      </c>
      <c r="K132" s="403">
        <v>1397</v>
      </c>
      <c r="L132" s="179">
        <f>+L133+L134</f>
        <v>0</v>
      </c>
      <c r="N132"/>
      <c r="O132"/>
      <c r="P132"/>
    </row>
    <row r="133" spans="1:16" ht="12.75">
      <c r="A133" s="46" t="s">
        <v>188</v>
      </c>
      <c r="B133" s="42">
        <v>9373</v>
      </c>
      <c r="C133" s="403">
        <v>6540</v>
      </c>
      <c r="D133" s="179">
        <v>7889</v>
      </c>
      <c r="G133" s="230" t="s">
        <v>86</v>
      </c>
      <c r="H133" s="231"/>
      <c r="I133" s="232"/>
      <c r="J133" s="42"/>
      <c r="K133" s="403"/>
      <c r="L133" s="179"/>
      <c r="N133"/>
      <c r="O133"/>
      <c r="P133"/>
    </row>
    <row r="134" spans="1:16" ht="12.75">
      <c r="A134" s="399" t="s">
        <v>232</v>
      </c>
      <c r="B134" s="400"/>
      <c r="C134" s="404">
        <f>+C131-C132-C133</f>
        <v>281392</v>
      </c>
      <c r="D134" s="401"/>
      <c r="G134" s="230" t="s">
        <v>210</v>
      </c>
      <c r="H134" s="231"/>
      <c r="I134" s="232"/>
      <c r="J134" s="42">
        <v>2589</v>
      </c>
      <c r="K134" s="403">
        <v>1104</v>
      </c>
      <c r="L134" s="179"/>
      <c r="N134"/>
      <c r="O134"/>
      <c r="P134"/>
    </row>
    <row r="135" spans="1:16" ht="12.75">
      <c r="A135" s="399" t="s">
        <v>233</v>
      </c>
      <c r="B135" s="400"/>
      <c r="C135" s="404"/>
      <c r="D135" s="401"/>
      <c r="G135" s="796"/>
      <c r="H135" s="797"/>
      <c r="I135" s="798"/>
      <c r="J135" s="400"/>
      <c r="K135" s="404"/>
      <c r="L135" s="401"/>
      <c r="N135"/>
      <c r="O135"/>
      <c r="P135"/>
    </row>
    <row r="136" spans="1:16" ht="13.5" thickBot="1">
      <c r="A136" s="409" t="s">
        <v>87</v>
      </c>
      <c r="B136" s="70">
        <f>+B122+B124-B131</f>
        <v>291590</v>
      </c>
      <c r="C136" s="410">
        <v>20794</v>
      </c>
      <c r="D136" s="411">
        <f>+D122-D131+D124</f>
        <v>15405</v>
      </c>
      <c r="G136" s="932" t="s">
        <v>87</v>
      </c>
      <c r="H136" s="933"/>
      <c r="I136" s="934"/>
      <c r="J136" s="70">
        <f>+J122+J124-J131</f>
        <v>2501</v>
      </c>
      <c r="K136" s="410">
        <f>+K122+K124-K131</f>
        <v>3273</v>
      </c>
      <c r="L136" s="411">
        <f>+L122+L124-L131</f>
        <v>3273</v>
      </c>
      <c r="N136"/>
      <c r="O136"/>
      <c r="P136"/>
    </row>
    <row r="138" ht="16.5" thickBot="1">
      <c r="A138" s="78" t="s">
        <v>237</v>
      </c>
    </row>
    <row r="139" spans="1:8" ht="12.75">
      <c r="A139" s="749" t="s">
        <v>159</v>
      </c>
      <c r="B139" s="751" t="s">
        <v>4</v>
      </c>
      <c r="C139" s="751" t="s">
        <v>185</v>
      </c>
      <c r="D139" s="747"/>
      <c r="E139" s="747"/>
      <c r="F139" s="747"/>
      <c r="G139" s="747"/>
      <c r="H139" s="748"/>
    </row>
    <row r="140" spans="1:8" ht="13.5" thickBot="1">
      <c r="A140" s="750"/>
      <c r="B140" s="752"/>
      <c r="C140" s="71" t="s">
        <v>88</v>
      </c>
      <c r="D140" s="72" t="s">
        <v>89</v>
      </c>
      <c r="E140" s="72" t="s">
        <v>90</v>
      </c>
      <c r="F140" s="72" t="s">
        <v>91</v>
      </c>
      <c r="G140" s="559" t="s">
        <v>92</v>
      </c>
      <c r="H140" s="560" t="s">
        <v>45</v>
      </c>
    </row>
    <row r="141" spans="1:8" ht="12.75">
      <c r="A141" s="626" t="s">
        <v>93</v>
      </c>
      <c r="B141" s="81">
        <v>79059</v>
      </c>
      <c r="C141" s="725">
        <v>22158</v>
      </c>
      <c r="D141" s="562">
        <v>2459</v>
      </c>
      <c r="E141" s="562">
        <v>482</v>
      </c>
      <c r="F141" s="562">
        <v>746</v>
      </c>
      <c r="G141" s="562">
        <v>7068</v>
      </c>
      <c r="H141" s="629">
        <f>SUM(C141:G141)</f>
        <v>32913</v>
      </c>
    </row>
    <row r="142" spans="1:8" ht="13.5" thickBot="1">
      <c r="A142" s="457" t="s">
        <v>140</v>
      </c>
      <c r="B142" s="82">
        <v>125795</v>
      </c>
      <c r="C142" s="624">
        <v>19161</v>
      </c>
      <c r="D142" s="195">
        <v>29272</v>
      </c>
      <c r="E142" s="195">
        <v>28543</v>
      </c>
      <c r="F142" s="195">
        <v>23370</v>
      </c>
      <c r="G142" s="195">
        <v>40</v>
      </c>
      <c r="H142" s="625">
        <f>SUM(C142:G142)</f>
        <v>100386</v>
      </c>
    </row>
    <row r="143" ht="15.75">
      <c r="A143" s="78"/>
    </row>
    <row r="144" ht="16.5" thickBot="1">
      <c r="A144" s="78"/>
    </row>
    <row r="145" spans="1:16" ht="13.5" thickBot="1">
      <c r="A145" s="904" t="s">
        <v>94</v>
      </c>
      <c r="B145" s="905"/>
      <c r="C145" s="908" t="s">
        <v>95</v>
      </c>
      <c r="D145" s="877"/>
      <c r="E145" s="877"/>
      <c r="F145" s="877"/>
      <c r="G145" s="877"/>
      <c r="H145" s="909" t="s">
        <v>96</v>
      </c>
      <c r="I145" s="877"/>
      <c r="J145" s="877"/>
      <c r="K145" s="877"/>
      <c r="L145" s="878"/>
      <c r="M145"/>
      <c r="N145"/>
      <c r="O145"/>
      <c r="P145"/>
    </row>
    <row r="146" spans="1:16" ht="13.5" thickBot="1">
      <c r="A146" s="906"/>
      <c r="B146" s="907"/>
      <c r="C146" s="36">
        <v>2003</v>
      </c>
      <c r="D146" s="37">
        <v>2004</v>
      </c>
      <c r="E146" s="49" t="s">
        <v>7</v>
      </c>
      <c r="F146" s="37">
        <v>2005</v>
      </c>
      <c r="G146" s="49" t="s">
        <v>7</v>
      </c>
      <c r="H146" s="84">
        <v>2003</v>
      </c>
      <c r="I146" s="37">
        <v>2004</v>
      </c>
      <c r="J146" s="379" t="s">
        <v>7</v>
      </c>
      <c r="K146" s="37">
        <v>2005</v>
      </c>
      <c r="L146" s="50" t="s">
        <v>7</v>
      </c>
      <c r="M146"/>
      <c r="N146"/>
      <c r="O146"/>
      <c r="P146"/>
    </row>
    <row r="147" spans="1:16" ht="12.75">
      <c r="A147" s="735" t="s">
        <v>97</v>
      </c>
      <c r="B147" s="736"/>
      <c r="C147" s="318">
        <v>114</v>
      </c>
      <c r="D147" s="196">
        <v>114</v>
      </c>
      <c r="E147" s="319">
        <f>+D147-C147</f>
        <v>0</v>
      </c>
      <c r="F147" s="380">
        <v>114</v>
      </c>
      <c r="G147" s="319">
        <f aca="true" t="shared" si="10" ref="G147:G165">+F147-D147</f>
        <v>0</v>
      </c>
      <c r="H147" s="320">
        <v>85.2</v>
      </c>
      <c r="I147" s="381">
        <v>77.5</v>
      </c>
      <c r="J147" s="79">
        <f>+I147-H147</f>
        <v>-7.700000000000003</v>
      </c>
      <c r="K147" s="381">
        <v>79.4</v>
      </c>
      <c r="L147" s="197">
        <f aca="true" t="shared" si="11" ref="L147:L165">+K147-I147</f>
        <v>1.9000000000000057</v>
      </c>
      <c r="M147"/>
      <c r="N147"/>
      <c r="O147"/>
      <c r="P147"/>
    </row>
    <row r="148" spans="1:16" ht="12.75">
      <c r="A148" s="735" t="s">
        <v>98</v>
      </c>
      <c r="B148" s="736"/>
      <c r="C148" s="321">
        <v>18</v>
      </c>
      <c r="D148" s="198">
        <v>24</v>
      </c>
      <c r="E148" s="322">
        <f>+D148-C148</f>
        <v>6</v>
      </c>
      <c r="F148" s="382">
        <v>24</v>
      </c>
      <c r="G148" s="319">
        <f t="shared" si="10"/>
        <v>0</v>
      </c>
      <c r="H148" s="323">
        <v>78.7</v>
      </c>
      <c r="I148" s="383">
        <v>78.7</v>
      </c>
      <c r="J148" s="80">
        <f>+I148-H148</f>
        <v>0</v>
      </c>
      <c r="K148" s="383">
        <v>78.2</v>
      </c>
      <c r="L148" s="197">
        <f t="shared" si="11"/>
        <v>-0.5</v>
      </c>
      <c r="M148"/>
      <c r="N148"/>
      <c r="O148"/>
      <c r="P148"/>
    </row>
    <row r="149" spans="1:16" ht="12.75">
      <c r="A149" s="735" t="s">
        <v>99</v>
      </c>
      <c r="B149" s="736"/>
      <c r="C149" s="321">
        <v>24</v>
      </c>
      <c r="D149" s="198">
        <v>24</v>
      </c>
      <c r="E149" s="322">
        <f>+D149-C149</f>
        <v>0</v>
      </c>
      <c r="F149" s="382">
        <v>24</v>
      </c>
      <c r="G149" s="319">
        <f t="shared" si="10"/>
        <v>0</v>
      </c>
      <c r="H149" s="323">
        <v>77</v>
      </c>
      <c r="I149" s="383">
        <v>79</v>
      </c>
      <c r="J149" s="80">
        <f>+I149-H149</f>
        <v>2</v>
      </c>
      <c r="K149" s="383">
        <v>86.6</v>
      </c>
      <c r="L149" s="197">
        <f t="shared" si="11"/>
        <v>7.599999999999994</v>
      </c>
      <c r="M149"/>
      <c r="N149"/>
      <c r="O149"/>
      <c r="P149"/>
    </row>
    <row r="150" spans="1:16" ht="12.75">
      <c r="A150" s="735" t="s">
        <v>100</v>
      </c>
      <c r="B150" s="736"/>
      <c r="C150" s="321">
        <v>24</v>
      </c>
      <c r="D150" s="198">
        <v>24</v>
      </c>
      <c r="E150" s="322">
        <f>+D150-C150</f>
        <v>0</v>
      </c>
      <c r="F150" s="382">
        <v>24</v>
      </c>
      <c r="G150" s="319">
        <f t="shared" si="10"/>
        <v>0</v>
      </c>
      <c r="H150" s="323">
        <v>83.2</v>
      </c>
      <c r="I150" s="383">
        <v>89.2</v>
      </c>
      <c r="J150" s="80">
        <f>+I150-H150</f>
        <v>6</v>
      </c>
      <c r="K150" s="383">
        <v>91</v>
      </c>
      <c r="L150" s="197">
        <f t="shared" si="11"/>
        <v>1.7999999999999972</v>
      </c>
      <c r="M150"/>
      <c r="N150"/>
      <c r="O150"/>
      <c r="P150"/>
    </row>
    <row r="151" spans="1:16" ht="12.75">
      <c r="A151" s="735" t="s">
        <v>101</v>
      </c>
      <c r="B151" s="736"/>
      <c r="C151" s="321"/>
      <c r="D151" s="198"/>
      <c r="E151" s="322"/>
      <c r="F151" s="382"/>
      <c r="G151" s="319">
        <f t="shared" si="10"/>
        <v>0</v>
      </c>
      <c r="H151" s="323"/>
      <c r="I151" s="383"/>
      <c r="J151" s="80"/>
      <c r="K151" s="383"/>
      <c r="L151" s="197">
        <f t="shared" si="11"/>
        <v>0</v>
      </c>
      <c r="M151"/>
      <c r="N151"/>
      <c r="O151"/>
      <c r="P151"/>
    </row>
    <row r="152" spans="1:16" ht="12.75">
      <c r="A152" s="735" t="s">
        <v>102</v>
      </c>
      <c r="B152" s="736"/>
      <c r="C152" s="321">
        <v>70</v>
      </c>
      <c r="D152" s="198">
        <v>70</v>
      </c>
      <c r="E152" s="322">
        <f aca="true" t="shared" si="12" ref="E152:E165">+D152-C152</f>
        <v>0</v>
      </c>
      <c r="F152" s="382">
        <v>68</v>
      </c>
      <c r="G152" s="319">
        <f t="shared" si="10"/>
        <v>-2</v>
      </c>
      <c r="H152" s="323">
        <v>78.4</v>
      </c>
      <c r="I152" s="383">
        <v>83.2</v>
      </c>
      <c r="J152" s="80">
        <f aca="true" t="shared" si="13" ref="J152:J165">+I152-H152</f>
        <v>4.799999999999997</v>
      </c>
      <c r="K152" s="383">
        <v>88.6</v>
      </c>
      <c r="L152" s="197">
        <f t="shared" si="11"/>
        <v>5.3999999999999915</v>
      </c>
      <c r="M152"/>
      <c r="N152"/>
      <c r="O152"/>
      <c r="P152"/>
    </row>
    <row r="153" spans="1:16" ht="12.75">
      <c r="A153" s="735" t="s">
        <v>103</v>
      </c>
      <c r="B153" s="736"/>
      <c r="C153" s="321">
        <v>53</v>
      </c>
      <c r="D153" s="198">
        <v>53</v>
      </c>
      <c r="E153" s="322">
        <f t="shared" si="12"/>
        <v>0</v>
      </c>
      <c r="F153" s="382">
        <v>53</v>
      </c>
      <c r="G153" s="319">
        <f t="shared" si="10"/>
        <v>0</v>
      </c>
      <c r="H153" s="323">
        <v>76.6</v>
      </c>
      <c r="I153" s="383">
        <v>71.2</v>
      </c>
      <c r="J153" s="80">
        <f t="shared" si="13"/>
        <v>-5.3999999999999915</v>
      </c>
      <c r="K153" s="383">
        <v>68.3</v>
      </c>
      <c r="L153" s="197">
        <f t="shared" si="11"/>
        <v>-2.9000000000000057</v>
      </c>
      <c r="M153"/>
      <c r="N153"/>
      <c r="O153"/>
      <c r="P153"/>
    </row>
    <row r="154" spans="1:16" ht="12.75">
      <c r="A154" s="735" t="s">
        <v>104</v>
      </c>
      <c r="B154" s="736"/>
      <c r="C154" s="321">
        <v>71</v>
      </c>
      <c r="D154" s="198">
        <v>70</v>
      </c>
      <c r="E154" s="322">
        <f t="shared" si="12"/>
        <v>-1</v>
      </c>
      <c r="F154" s="382">
        <v>70</v>
      </c>
      <c r="G154" s="319">
        <f t="shared" si="10"/>
        <v>0</v>
      </c>
      <c r="H154" s="323">
        <v>88</v>
      </c>
      <c r="I154" s="383">
        <v>82.4</v>
      </c>
      <c r="J154" s="80">
        <f t="shared" si="13"/>
        <v>-5.599999999999994</v>
      </c>
      <c r="K154" s="383">
        <v>78.9</v>
      </c>
      <c r="L154" s="197">
        <f t="shared" si="11"/>
        <v>-3.5</v>
      </c>
      <c r="M154"/>
      <c r="N154"/>
      <c r="O154"/>
      <c r="P154"/>
    </row>
    <row r="155" spans="1:16" ht="12.75">
      <c r="A155" s="735" t="s">
        <v>105</v>
      </c>
      <c r="B155" s="736"/>
      <c r="C155" s="321">
        <v>5</v>
      </c>
      <c r="D155" s="198">
        <v>6</v>
      </c>
      <c r="E155" s="322">
        <f t="shared" si="12"/>
        <v>1</v>
      </c>
      <c r="F155" s="382">
        <v>6</v>
      </c>
      <c r="G155" s="319">
        <f t="shared" si="10"/>
        <v>0</v>
      </c>
      <c r="H155" s="323">
        <v>77.7</v>
      </c>
      <c r="I155" s="383">
        <v>77.4</v>
      </c>
      <c r="J155" s="80">
        <f t="shared" si="13"/>
        <v>-0.29999999999999716</v>
      </c>
      <c r="K155" s="383">
        <v>73.5</v>
      </c>
      <c r="L155" s="197">
        <f t="shared" si="11"/>
        <v>-3.9000000000000057</v>
      </c>
      <c r="M155"/>
      <c r="N155"/>
      <c r="O155"/>
      <c r="P155"/>
    </row>
    <row r="156" spans="1:16" ht="12.75">
      <c r="A156" s="735" t="s">
        <v>106</v>
      </c>
      <c r="B156" s="736"/>
      <c r="C156" s="321">
        <v>30</v>
      </c>
      <c r="D156" s="198">
        <v>32</v>
      </c>
      <c r="E156" s="322">
        <f t="shared" si="12"/>
        <v>2</v>
      </c>
      <c r="F156" s="382">
        <v>32</v>
      </c>
      <c r="G156" s="319">
        <f t="shared" si="10"/>
        <v>0</v>
      </c>
      <c r="H156" s="323">
        <v>85.1</v>
      </c>
      <c r="I156" s="383">
        <v>93.6</v>
      </c>
      <c r="J156" s="80">
        <f t="shared" si="13"/>
        <v>8.5</v>
      </c>
      <c r="K156" s="383">
        <v>86.3</v>
      </c>
      <c r="L156" s="197">
        <f t="shared" si="11"/>
        <v>-7.299999999999997</v>
      </c>
      <c r="M156"/>
      <c r="N156"/>
      <c r="O156"/>
      <c r="P156"/>
    </row>
    <row r="157" spans="1:16" ht="12.75">
      <c r="A157" s="735" t="s">
        <v>107</v>
      </c>
      <c r="B157" s="736"/>
      <c r="C157" s="321">
        <v>22</v>
      </c>
      <c r="D157" s="198">
        <v>20</v>
      </c>
      <c r="E157" s="322">
        <f t="shared" si="12"/>
        <v>-2</v>
      </c>
      <c r="F157" s="382">
        <v>20</v>
      </c>
      <c r="G157" s="319">
        <f t="shared" si="10"/>
        <v>0</v>
      </c>
      <c r="H157" s="323">
        <v>64.1</v>
      </c>
      <c r="I157" s="383">
        <v>75.6</v>
      </c>
      <c r="J157" s="80">
        <f t="shared" si="13"/>
        <v>11.5</v>
      </c>
      <c r="K157" s="383">
        <v>68.1</v>
      </c>
      <c r="L157" s="197">
        <f t="shared" si="11"/>
        <v>-7.5</v>
      </c>
      <c r="M157"/>
      <c r="N157"/>
      <c r="O157"/>
      <c r="P157"/>
    </row>
    <row r="158" spans="1:16" ht="12.75">
      <c r="A158" s="735" t="s">
        <v>108</v>
      </c>
      <c r="B158" s="736"/>
      <c r="C158" s="321">
        <v>23</v>
      </c>
      <c r="D158" s="198">
        <v>20</v>
      </c>
      <c r="E158" s="322">
        <f t="shared" si="12"/>
        <v>-3</v>
      </c>
      <c r="F158" s="382">
        <v>15</v>
      </c>
      <c r="G158" s="319">
        <f t="shared" si="10"/>
        <v>-5</v>
      </c>
      <c r="H158" s="323">
        <v>79.3</v>
      </c>
      <c r="I158" s="383">
        <v>79</v>
      </c>
      <c r="J158" s="80">
        <f t="shared" si="13"/>
        <v>-0.29999999999999716</v>
      </c>
      <c r="K158" s="383">
        <v>55.7</v>
      </c>
      <c r="L158" s="197">
        <f t="shared" si="11"/>
        <v>-23.299999999999997</v>
      </c>
      <c r="M158"/>
      <c r="N158"/>
      <c r="O158"/>
      <c r="P158"/>
    </row>
    <row r="159" spans="1:16" ht="12.75">
      <c r="A159" s="735" t="s">
        <v>109</v>
      </c>
      <c r="B159" s="736"/>
      <c r="C159" s="321">
        <v>25</v>
      </c>
      <c r="D159" s="198">
        <v>20</v>
      </c>
      <c r="E159" s="322">
        <f t="shared" si="12"/>
        <v>-5</v>
      </c>
      <c r="F159" s="382">
        <v>12</v>
      </c>
      <c r="G159" s="319">
        <f t="shared" si="10"/>
        <v>-8</v>
      </c>
      <c r="H159" s="323">
        <v>66.7</v>
      </c>
      <c r="I159" s="383">
        <v>77.9</v>
      </c>
      <c r="J159" s="80">
        <f t="shared" si="13"/>
        <v>11.200000000000003</v>
      </c>
      <c r="K159" s="383">
        <v>84.4</v>
      </c>
      <c r="L159" s="197">
        <f t="shared" si="11"/>
        <v>6.5</v>
      </c>
      <c r="M159"/>
      <c r="N159"/>
      <c r="O159"/>
      <c r="P159"/>
    </row>
    <row r="160" spans="1:16" ht="12.75">
      <c r="A160" s="735" t="s">
        <v>110</v>
      </c>
      <c r="B160" s="736"/>
      <c r="C160" s="321">
        <v>15</v>
      </c>
      <c r="D160" s="198">
        <v>0</v>
      </c>
      <c r="E160" s="322">
        <f t="shared" si="12"/>
        <v>-15</v>
      </c>
      <c r="F160" s="382"/>
      <c r="G160" s="319">
        <f t="shared" si="10"/>
        <v>0</v>
      </c>
      <c r="H160" s="323">
        <v>74</v>
      </c>
      <c r="I160" s="383"/>
      <c r="J160" s="80">
        <f t="shared" si="13"/>
        <v>-74</v>
      </c>
      <c r="K160" s="383"/>
      <c r="L160" s="197">
        <f t="shared" si="11"/>
        <v>0</v>
      </c>
      <c r="M160"/>
      <c r="N160"/>
      <c r="O160"/>
      <c r="P160"/>
    </row>
    <row r="161" spans="1:16" ht="12.75">
      <c r="A161" s="735" t="s">
        <v>111</v>
      </c>
      <c r="B161" s="736"/>
      <c r="C161" s="321">
        <v>20</v>
      </c>
      <c r="D161" s="198">
        <v>20</v>
      </c>
      <c r="E161" s="322">
        <f t="shared" si="12"/>
        <v>0</v>
      </c>
      <c r="F161" s="382">
        <v>20</v>
      </c>
      <c r="G161" s="319">
        <f t="shared" si="10"/>
        <v>0</v>
      </c>
      <c r="H161" s="323">
        <v>73.7</v>
      </c>
      <c r="I161" s="383">
        <v>89.7</v>
      </c>
      <c r="J161" s="80">
        <f t="shared" si="13"/>
        <v>16</v>
      </c>
      <c r="K161" s="383">
        <v>85.1</v>
      </c>
      <c r="L161" s="197">
        <f t="shared" si="11"/>
        <v>-4.6000000000000085</v>
      </c>
      <c r="M161"/>
      <c r="N161"/>
      <c r="O161"/>
      <c r="P161"/>
    </row>
    <row r="162" spans="1:16" ht="12.75">
      <c r="A162" s="735" t="s">
        <v>112</v>
      </c>
      <c r="B162" s="736"/>
      <c r="C162" s="321">
        <v>25</v>
      </c>
      <c r="D162" s="198">
        <v>25</v>
      </c>
      <c r="E162" s="322">
        <f t="shared" si="12"/>
        <v>0</v>
      </c>
      <c r="F162" s="382">
        <v>25</v>
      </c>
      <c r="G162" s="319">
        <f t="shared" si="10"/>
        <v>0</v>
      </c>
      <c r="H162" s="323">
        <v>86.7</v>
      </c>
      <c r="I162" s="383">
        <v>84.3</v>
      </c>
      <c r="J162" s="80">
        <f t="shared" si="13"/>
        <v>-2.4000000000000057</v>
      </c>
      <c r="K162" s="383">
        <v>84.9</v>
      </c>
      <c r="L162" s="197">
        <f t="shared" si="11"/>
        <v>0.6000000000000085</v>
      </c>
      <c r="M162"/>
      <c r="N162"/>
      <c r="O162"/>
      <c r="P162"/>
    </row>
    <row r="163" spans="1:16" ht="12.75">
      <c r="A163" s="735" t="s">
        <v>113</v>
      </c>
      <c r="B163" s="736"/>
      <c r="C163" s="321">
        <v>26</v>
      </c>
      <c r="D163" s="198">
        <v>44</v>
      </c>
      <c r="E163" s="322">
        <f t="shared" si="12"/>
        <v>18</v>
      </c>
      <c r="F163" s="382">
        <v>44</v>
      </c>
      <c r="G163" s="319">
        <f t="shared" si="10"/>
        <v>0</v>
      </c>
      <c r="H163" s="323">
        <v>97.9</v>
      </c>
      <c r="I163" s="383">
        <v>91.7</v>
      </c>
      <c r="J163" s="80">
        <f t="shared" si="13"/>
        <v>-6.200000000000003</v>
      </c>
      <c r="K163" s="383">
        <v>98.3</v>
      </c>
      <c r="L163" s="197">
        <f t="shared" si="11"/>
        <v>6.599999999999994</v>
      </c>
      <c r="M163"/>
      <c r="N163"/>
      <c r="O163"/>
      <c r="P163"/>
    </row>
    <row r="164" spans="1:16" ht="13.5" thickBot="1">
      <c r="A164" s="737" t="s">
        <v>114</v>
      </c>
      <c r="B164" s="738"/>
      <c r="C164" s="324">
        <v>10</v>
      </c>
      <c r="D164" s="326">
        <v>10</v>
      </c>
      <c r="E164" s="325">
        <f t="shared" si="12"/>
        <v>0</v>
      </c>
      <c r="F164" s="384">
        <v>10</v>
      </c>
      <c r="G164" s="327">
        <f t="shared" si="10"/>
        <v>0</v>
      </c>
      <c r="H164" s="328">
        <v>78.4</v>
      </c>
      <c r="I164" s="385">
        <v>85.8</v>
      </c>
      <c r="J164" s="386">
        <f t="shared" si="13"/>
        <v>7.3999999999999915</v>
      </c>
      <c r="K164" s="385">
        <v>86.5</v>
      </c>
      <c r="L164" s="387">
        <f t="shared" si="11"/>
        <v>0.7000000000000028</v>
      </c>
      <c r="M164"/>
      <c r="N164"/>
      <c r="O164"/>
      <c r="P164"/>
    </row>
    <row r="165" spans="1:16" ht="12" customHeight="1" thickBot="1">
      <c r="A165" s="911" t="s">
        <v>4</v>
      </c>
      <c r="B165" s="912"/>
      <c r="C165" s="199">
        <f>SUM(C147:C164)</f>
        <v>575</v>
      </c>
      <c r="D165" s="52">
        <f>SUM(D147:D164)</f>
        <v>576</v>
      </c>
      <c r="E165" s="51">
        <f t="shared" si="12"/>
        <v>1</v>
      </c>
      <c r="F165" s="52">
        <f>SUM(F147:F164)</f>
        <v>561</v>
      </c>
      <c r="G165" s="388">
        <f t="shared" si="10"/>
        <v>-15</v>
      </c>
      <c r="H165" s="389">
        <v>81.5</v>
      </c>
      <c r="I165" s="390">
        <v>81.3</v>
      </c>
      <c r="J165" s="391">
        <f t="shared" si="13"/>
        <v>-0.20000000000000284</v>
      </c>
      <c r="K165" s="390">
        <v>81.6</v>
      </c>
      <c r="L165" s="200">
        <f t="shared" si="11"/>
        <v>0.29999999999999716</v>
      </c>
      <c r="M165"/>
      <c r="N165"/>
      <c r="O165"/>
      <c r="P165"/>
    </row>
    <row r="166" spans="1:16" ht="11.2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ht="16.5" thickBot="1">
      <c r="A167" s="392" t="s">
        <v>229</v>
      </c>
      <c r="B167"/>
      <c r="C167"/>
      <c r="D167"/>
      <c r="E167"/>
      <c r="F167"/>
      <c r="G167"/>
      <c r="H167"/>
      <c r="I167"/>
      <c r="J167"/>
      <c r="K167"/>
      <c r="L167" s="393" t="s">
        <v>230</v>
      </c>
      <c r="M167"/>
      <c r="N167"/>
      <c r="O167"/>
      <c r="P167"/>
    </row>
    <row r="168" spans="1:16" ht="17.25" customHeight="1">
      <c r="A168" s="743" t="s">
        <v>231</v>
      </c>
      <c r="B168" s="745" t="s">
        <v>116</v>
      </c>
      <c r="C168" s="746"/>
      <c r="D168" s="740"/>
      <c r="E168" s="803" t="s">
        <v>231</v>
      </c>
      <c r="F168" s="804"/>
      <c r="G168" s="746" t="s">
        <v>117</v>
      </c>
      <c r="H168" s="746"/>
      <c r="I168" s="802"/>
      <c r="J168" s="746" t="s">
        <v>158</v>
      </c>
      <c r="K168" s="746"/>
      <c r="L168" s="802"/>
      <c r="M168"/>
      <c r="N168"/>
      <c r="O168"/>
      <c r="P168"/>
    </row>
    <row r="169" spans="1:16" ht="33.75" customHeight="1" thickBot="1">
      <c r="A169" s="744"/>
      <c r="B169" s="53" t="s">
        <v>118</v>
      </c>
      <c r="C169" s="54" t="s">
        <v>119</v>
      </c>
      <c r="D169" s="329" t="s">
        <v>120</v>
      </c>
      <c r="E169" s="805"/>
      <c r="F169" s="806"/>
      <c r="G169" s="54" t="s">
        <v>118</v>
      </c>
      <c r="H169" s="54" t="s">
        <v>119</v>
      </c>
      <c r="I169" s="41" t="s">
        <v>120</v>
      </c>
      <c r="J169" s="54" t="s">
        <v>118</v>
      </c>
      <c r="K169" s="54" t="s">
        <v>119</v>
      </c>
      <c r="L169" s="41" t="s">
        <v>120</v>
      </c>
      <c r="M169"/>
      <c r="N169"/>
      <c r="O169"/>
      <c r="P169"/>
    </row>
    <row r="170" spans="1:16" ht="19.5" customHeight="1">
      <c r="A170" s="330" t="s">
        <v>121</v>
      </c>
      <c r="B170" s="331">
        <v>114.74</v>
      </c>
      <c r="C170" s="332">
        <v>48951153</v>
      </c>
      <c r="D170" s="333">
        <f aca="true" t="shared" si="14" ref="D170:D176">+IF(B170&gt;0,C170/B170/12,"")</f>
        <v>35552.22895241416</v>
      </c>
      <c r="E170" s="741" t="s">
        <v>121</v>
      </c>
      <c r="F170" s="742"/>
      <c r="G170" s="394">
        <v>115.94</v>
      </c>
      <c r="H170" s="334">
        <v>43345761</v>
      </c>
      <c r="I170" s="239">
        <f aca="true" t="shared" si="15" ref="I170:I180">+IF(G170&gt;0,H170/G170/12,"")</f>
        <v>31155.310936691396</v>
      </c>
      <c r="J170" s="394">
        <v>120.92</v>
      </c>
      <c r="K170" s="334">
        <v>53371146</v>
      </c>
      <c r="L170" s="239">
        <f aca="true" t="shared" si="16" ref="L170:L180">+IF(J170&gt;0,K170/J170/12,"")</f>
        <v>36781.30582203109</v>
      </c>
      <c r="M170"/>
      <c r="N170"/>
      <c r="O170"/>
      <c r="P170"/>
    </row>
    <row r="171" spans="1:16" ht="19.5" customHeight="1">
      <c r="A171" s="330" t="s">
        <v>122</v>
      </c>
      <c r="B171" s="331">
        <v>6.33</v>
      </c>
      <c r="C171" s="332">
        <v>1733702</v>
      </c>
      <c r="D171" s="335">
        <f t="shared" si="14"/>
        <v>22823.880989994734</v>
      </c>
      <c r="E171" s="741" t="s">
        <v>122</v>
      </c>
      <c r="F171" s="742"/>
      <c r="G171" s="395">
        <v>5</v>
      </c>
      <c r="H171" s="332">
        <v>1560438</v>
      </c>
      <c r="I171" s="235">
        <f t="shared" si="15"/>
        <v>26007.3</v>
      </c>
      <c r="J171" s="395">
        <v>3.58</v>
      </c>
      <c r="K171" s="332">
        <v>1440451</v>
      </c>
      <c r="L171" s="235">
        <f t="shared" si="16"/>
        <v>33530.051210428304</v>
      </c>
      <c r="M171"/>
      <c r="N171"/>
      <c r="O171"/>
      <c r="P171"/>
    </row>
    <row r="172" spans="1:16" ht="21.75" customHeight="1">
      <c r="A172" s="330" t="s">
        <v>123</v>
      </c>
      <c r="B172" s="331">
        <v>9.72</v>
      </c>
      <c r="C172" s="332">
        <v>3087463</v>
      </c>
      <c r="D172" s="335">
        <f t="shared" si="14"/>
        <v>26470.018861454042</v>
      </c>
      <c r="E172" s="741" t="s">
        <v>124</v>
      </c>
      <c r="F172" s="742"/>
      <c r="G172" s="395">
        <v>433.26</v>
      </c>
      <c r="H172" s="332">
        <v>85590363</v>
      </c>
      <c r="I172" s="235">
        <f t="shared" si="15"/>
        <v>16462.471148963672</v>
      </c>
      <c r="J172" s="395">
        <v>427.15</v>
      </c>
      <c r="K172" s="332">
        <v>88986531</v>
      </c>
      <c r="L172" s="235">
        <f t="shared" si="16"/>
        <v>17360.515626828983</v>
      </c>
      <c r="M172"/>
      <c r="N172"/>
      <c r="O172"/>
      <c r="P172"/>
    </row>
    <row r="173" spans="1:16" ht="21.75" customHeight="1">
      <c r="A173" s="330" t="s">
        <v>125</v>
      </c>
      <c r="B173" s="331">
        <v>7.5</v>
      </c>
      <c r="C173" s="332">
        <v>1307816</v>
      </c>
      <c r="D173" s="335">
        <f t="shared" si="14"/>
        <v>14531.28888888889</v>
      </c>
      <c r="E173" s="741" t="s">
        <v>126</v>
      </c>
      <c r="F173" s="742"/>
      <c r="G173" s="395">
        <v>57.57</v>
      </c>
      <c r="H173" s="332">
        <v>12356009</v>
      </c>
      <c r="I173" s="235">
        <f t="shared" si="15"/>
        <v>17885.485785420646</v>
      </c>
      <c r="J173" s="395">
        <v>57.33</v>
      </c>
      <c r="K173" s="332">
        <v>12619106</v>
      </c>
      <c r="L173" s="235">
        <f t="shared" si="16"/>
        <v>18342.790278504563</v>
      </c>
      <c r="M173"/>
      <c r="N173"/>
      <c r="O173"/>
      <c r="P173"/>
    </row>
    <row r="174" spans="1:16" ht="21.75" customHeight="1">
      <c r="A174" s="330" t="s">
        <v>127</v>
      </c>
      <c r="B174" s="331">
        <v>526.67</v>
      </c>
      <c r="C174" s="332">
        <v>114307401</v>
      </c>
      <c r="D174" s="335">
        <f t="shared" si="14"/>
        <v>18086.49961076196</v>
      </c>
      <c r="E174" s="741" t="s">
        <v>128</v>
      </c>
      <c r="F174" s="742"/>
      <c r="G174" s="395">
        <v>22.53</v>
      </c>
      <c r="H174" s="332">
        <v>5116320</v>
      </c>
      <c r="I174" s="235">
        <f t="shared" si="15"/>
        <v>18924.101198402128</v>
      </c>
      <c r="J174" s="395">
        <v>22</v>
      </c>
      <c r="K174" s="332">
        <v>5120411</v>
      </c>
      <c r="L174" s="235">
        <f t="shared" si="16"/>
        <v>19395.496212121212</v>
      </c>
      <c r="M174"/>
      <c r="N174"/>
      <c r="O174"/>
      <c r="P174"/>
    </row>
    <row r="175" spans="1:16" ht="21.75" customHeight="1">
      <c r="A175" s="330" t="s">
        <v>129</v>
      </c>
      <c r="B175" s="331">
        <v>3.5</v>
      </c>
      <c r="C175" s="332">
        <v>608556</v>
      </c>
      <c r="D175" s="335">
        <f t="shared" si="14"/>
        <v>14489.428571428572</v>
      </c>
      <c r="E175" s="741" t="s">
        <v>130</v>
      </c>
      <c r="F175" s="742"/>
      <c r="G175" s="395">
        <v>106.49</v>
      </c>
      <c r="H175" s="332">
        <v>16008769</v>
      </c>
      <c r="I175" s="235">
        <f t="shared" si="15"/>
        <v>12527.599618117507</v>
      </c>
      <c r="J175" s="395">
        <v>111.2</v>
      </c>
      <c r="K175" s="332">
        <v>16302819</v>
      </c>
      <c r="L175" s="235">
        <f t="shared" si="16"/>
        <v>12217.340377697843</v>
      </c>
      <c r="M175"/>
      <c r="N175"/>
      <c r="O175"/>
      <c r="P175"/>
    </row>
    <row r="176" spans="1:16" ht="21.75" customHeight="1">
      <c r="A176" s="330" t="s">
        <v>131</v>
      </c>
      <c r="B176" s="331">
        <v>114.97</v>
      </c>
      <c r="C176" s="332">
        <v>18942613</v>
      </c>
      <c r="D176" s="335">
        <f t="shared" si="14"/>
        <v>13730.112928010205</v>
      </c>
      <c r="E176" s="741" t="s">
        <v>132</v>
      </c>
      <c r="F176" s="742"/>
      <c r="G176" s="395">
        <v>6.87</v>
      </c>
      <c r="H176" s="332">
        <v>1412433</v>
      </c>
      <c r="I176" s="235">
        <f t="shared" si="15"/>
        <v>17132.860262008733</v>
      </c>
      <c r="J176" s="395">
        <v>4.59</v>
      </c>
      <c r="K176" s="332">
        <v>1253376</v>
      </c>
      <c r="L176" s="235">
        <f t="shared" si="16"/>
        <v>22755.55555555556</v>
      </c>
      <c r="M176"/>
      <c r="N176"/>
      <c r="O176"/>
      <c r="P176"/>
    </row>
    <row r="177" spans="1:16" ht="21.75" customHeight="1">
      <c r="A177" s="330"/>
      <c r="B177" s="331"/>
      <c r="C177" s="332"/>
      <c r="D177" s="335"/>
      <c r="E177" s="741" t="s">
        <v>133</v>
      </c>
      <c r="F177" s="742"/>
      <c r="G177" s="395">
        <v>0</v>
      </c>
      <c r="H177" s="332">
        <v>0</v>
      </c>
      <c r="I177" s="235">
        <f t="shared" si="15"/>
      </c>
      <c r="J177" s="395">
        <v>0</v>
      </c>
      <c r="K177" s="332">
        <v>0</v>
      </c>
      <c r="L177" s="235">
        <f t="shared" si="16"/>
      </c>
      <c r="M177"/>
      <c r="N177"/>
      <c r="O177"/>
      <c r="P177"/>
    </row>
    <row r="178" spans="1:16" ht="21.75" customHeight="1">
      <c r="A178" s="330" t="s">
        <v>134</v>
      </c>
      <c r="B178" s="331">
        <v>53.64</v>
      </c>
      <c r="C178" s="332">
        <v>12047835</v>
      </c>
      <c r="D178" s="335">
        <f>+IF(B178&gt;0,C178/B178/12,"")</f>
        <v>18717.1187546607</v>
      </c>
      <c r="E178" s="741" t="s">
        <v>134</v>
      </c>
      <c r="F178" s="742"/>
      <c r="G178" s="396">
        <v>50.37</v>
      </c>
      <c r="H178" s="234">
        <v>10413086</v>
      </c>
      <c r="I178" s="235">
        <f t="shared" si="15"/>
        <v>17227.65865925485</v>
      </c>
      <c r="J178" s="396">
        <v>52.72</v>
      </c>
      <c r="K178" s="234">
        <v>11319226</v>
      </c>
      <c r="L178" s="235">
        <f t="shared" si="16"/>
        <v>17892.04919069297</v>
      </c>
      <c r="P178"/>
    </row>
    <row r="179" spans="1:12" ht="21.75" customHeight="1" thickBot="1">
      <c r="A179" s="336" t="s">
        <v>135</v>
      </c>
      <c r="B179" s="240">
        <v>193.38</v>
      </c>
      <c r="C179" s="234">
        <v>25385305</v>
      </c>
      <c r="D179" s="335">
        <f>+IF(B179&gt;0,C179/B179/12,"")</f>
        <v>10939.301289343952</v>
      </c>
      <c r="E179" s="739" t="s">
        <v>136</v>
      </c>
      <c r="F179" s="793"/>
      <c r="G179" s="394">
        <v>170.04</v>
      </c>
      <c r="H179" s="334">
        <v>20736803</v>
      </c>
      <c r="I179" s="239">
        <f t="shared" si="15"/>
        <v>10162.708284325257</v>
      </c>
      <c r="J179" s="394">
        <v>172.51</v>
      </c>
      <c r="K179" s="334">
        <v>21947879</v>
      </c>
      <c r="L179" s="235">
        <f t="shared" si="16"/>
        <v>10602.225474851699</v>
      </c>
    </row>
    <row r="180" spans="1:16" ht="13.5" thickBot="1">
      <c r="A180" s="88" t="s">
        <v>4</v>
      </c>
      <c r="B180" s="89">
        <f>SUM(B170:B179)</f>
        <v>1030.4499999999998</v>
      </c>
      <c r="C180" s="86">
        <f>SUM(C170:C179)</f>
        <v>226371844</v>
      </c>
      <c r="D180" s="90">
        <f>+IF(B180&gt;0,C180/B180/12,"")</f>
        <v>18306.875960340953</v>
      </c>
      <c r="E180" s="794" t="s">
        <v>4</v>
      </c>
      <c r="F180" s="795"/>
      <c r="G180" s="397">
        <f>SUM(G170:G179)</f>
        <v>968.07</v>
      </c>
      <c r="H180" s="86">
        <f>SUM(H170:H179)</f>
        <v>196539982</v>
      </c>
      <c r="I180" s="87">
        <f t="shared" si="15"/>
        <v>16918.54084243219</v>
      </c>
      <c r="J180" s="397">
        <f>SUM(J170:J179)</f>
        <v>972.0000000000001</v>
      </c>
      <c r="K180" s="86">
        <f>SUM(K170:K179)</f>
        <v>212360945</v>
      </c>
      <c r="L180" s="87">
        <f t="shared" si="16"/>
        <v>18206.528206447187</v>
      </c>
      <c r="O180"/>
      <c r="P180"/>
    </row>
    <row r="181" spans="2:8" s="98" customFormat="1" ht="15.75" customHeight="1">
      <c r="B181" s="168"/>
      <c r="C181" s="168"/>
      <c r="D181" s="168"/>
      <c r="E181" s="168"/>
      <c r="F181" s="168"/>
      <c r="G181" s="168"/>
      <c r="H181" s="168"/>
    </row>
  </sheetData>
  <mergeCells count="214">
    <mergeCell ref="L74:M75"/>
    <mergeCell ref="A157:B157"/>
    <mergeCell ref="A158:B158"/>
    <mergeCell ref="A159:B159"/>
    <mergeCell ref="A149:B149"/>
    <mergeCell ref="A150:B150"/>
    <mergeCell ref="A151:B151"/>
    <mergeCell ref="A152:B152"/>
    <mergeCell ref="G136:I136"/>
    <mergeCell ref="G126:I126"/>
    <mergeCell ref="A160:B160"/>
    <mergeCell ref="A153:B153"/>
    <mergeCell ref="A154:B154"/>
    <mergeCell ref="A155:B155"/>
    <mergeCell ref="A156:B156"/>
    <mergeCell ref="G128:I128"/>
    <mergeCell ref="G129:I129"/>
    <mergeCell ref="G130:I130"/>
    <mergeCell ref="G121:I121"/>
    <mergeCell ref="G122:I122"/>
    <mergeCell ref="G124:I124"/>
    <mergeCell ref="G125:I125"/>
    <mergeCell ref="A72:B72"/>
    <mergeCell ref="A79:B79"/>
    <mergeCell ref="A67:B68"/>
    <mergeCell ref="A69:B69"/>
    <mergeCell ref="A70:B70"/>
    <mergeCell ref="E177:F177"/>
    <mergeCell ref="A165:B165"/>
    <mergeCell ref="A74:B75"/>
    <mergeCell ref="A76:B76"/>
    <mergeCell ref="A77:B77"/>
    <mergeCell ref="A78:B78"/>
    <mergeCell ref="A88:B88"/>
    <mergeCell ref="A86:B86"/>
    <mergeCell ref="A147:B147"/>
    <mergeCell ref="A148:B148"/>
    <mergeCell ref="C84:D84"/>
    <mergeCell ref="I112:L112"/>
    <mergeCell ref="A145:B146"/>
    <mergeCell ref="C145:G145"/>
    <mergeCell ref="H145:L145"/>
    <mergeCell ref="J84:K84"/>
    <mergeCell ref="L84:M84"/>
    <mergeCell ref="A112:A113"/>
    <mergeCell ref="B112:B113"/>
    <mergeCell ref="L86:M86"/>
    <mergeCell ref="C80:D80"/>
    <mergeCell ref="E80:F80"/>
    <mergeCell ref="C79:D79"/>
    <mergeCell ref="E79:F79"/>
    <mergeCell ref="A83:B83"/>
    <mergeCell ref="A84:B84"/>
    <mergeCell ref="J72:K72"/>
    <mergeCell ref="L72:M72"/>
    <mergeCell ref="J74:K74"/>
    <mergeCell ref="J75:K75"/>
    <mergeCell ref="C77:D77"/>
    <mergeCell ref="E77:F77"/>
    <mergeCell ref="C83:D83"/>
    <mergeCell ref="C82:D82"/>
    <mergeCell ref="C71:D71"/>
    <mergeCell ref="A80:B80"/>
    <mergeCell ref="L70:M70"/>
    <mergeCell ref="B106:B108"/>
    <mergeCell ref="I106:I108"/>
    <mergeCell ref="C107:C108"/>
    <mergeCell ref="A106:A108"/>
    <mergeCell ref="A81:B81"/>
    <mergeCell ref="A82:B82"/>
    <mergeCell ref="C72:D72"/>
    <mergeCell ref="L69:M69"/>
    <mergeCell ref="E83:F83"/>
    <mergeCell ref="E84:F84"/>
    <mergeCell ref="G74:I74"/>
    <mergeCell ref="L71:M71"/>
    <mergeCell ref="E71:F71"/>
    <mergeCell ref="G71:H71"/>
    <mergeCell ref="J71:K71"/>
    <mergeCell ref="E72:F72"/>
    <mergeCell ref="G83:H83"/>
    <mergeCell ref="G84:H84"/>
    <mergeCell ref="E81:F81"/>
    <mergeCell ref="E82:F82"/>
    <mergeCell ref="J70:K70"/>
    <mergeCell ref="G80:H80"/>
    <mergeCell ref="G81:H81"/>
    <mergeCell ref="G82:H82"/>
    <mergeCell ref="J78:K78"/>
    <mergeCell ref="G75:H75"/>
    <mergeCell ref="J80:K80"/>
    <mergeCell ref="C67:D67"/>
    <mergeCell ref="E67:F67"/>
    <mergeCell ref="C69:D69"/>
    <mergeCell ref="E69:F69"/>
    <mergeCell ref="J69:K69"/>
    <mergeCell ref="J67:K67"/>
    <mergeCell ref="J68:K68"/>
    <mergeCell ref="A3:A6"/>
    <mergeCell ref="A41:A42"/>
    <mergeCell ref="B3:M3"/>
    <mergeCell ref="G67:I67"/>
    <mergeCell ref="A63:B63"/>
    <mergeCell ref="L4:M4"/>
    <mergeCell ref="G4:H4"/>
    <mergeCell ref="D36:F36"/>
    <mergeCell ref="I36:K36"/>
    <mergeCell ref="L67:M68"/>
    <mergeCell ref="G79:H79"/>
    <mergeCell ref="J76:K76"/>
    <mergeCell ref="L76:M76"/>
    <mergeCell ref="J77:K77"/>
    <mergeCell ref="L77:M77"/>
    <mergeCell ref="J79:K79"/>
    <mergeCell ref="L79:M79"/>
    <mergeCell ref="C4:C6"/>
    <mergeCell ref="B4:B6"/>
    <mergeCell ref="D38:F38"/>
    <mergeCell ref="C76:D76"/>
    <mergeCell ref="C74:D74"/>
    <mergeCell ref="E74:F74"/>
    <mergeCell ref="C75:D75"/>
    <mergeCell ref="E76:F76"/>
    <mergeCell ref="E75:F75"/>
    <mergeCell ref="D37:F37"/>
    <mergeCell ref="L78:M78"/>
    <mergeCell ref="C78:D78"/>
    <mergeCell ref="E78:F78"/>
    <mergeCell ref="F55:G55"/>
    <mergeCell ref="F56:G56"/>
    <mergeCell ref="F57:G57"/>
    <mergeCell ref="G69:H69"/>
    <mergeCell ref="G70:H70"/>
    <mergeCell ref="G72:H72"/>
    <mergeCell ref="G78:H78"/>
    <mergeCell ref="C81:D81"/>
    <mergeCell ref="A40:K40"/>
    <mergeCell ref="A53:A54"/>
    <mergeCell ref="D55:E55"/>
    <mergeCell ref="B56:C56"/>
    <mergeCell ref="D56:E56"/>
    <mergeCell ref="B57:C57"/>
    <mergeCell ref="D57:E57"/>
    <mergeCell ref="F54:G54"/>
    <mergeCell ref="G77:H77"/>
    <mergeCell ref="L80:M80"/>
    <mergeCell ref="J81:K81"/>
    <mergeCell ref="L81:M81"/>
    <mergeCell ref="J82:K82"/>
    <mergeCell ref="L82:M82"/>
    <mergeCell ref="J83:K83"/>
    <mergeCell ref="L83:M83"/>
    <mergeCell ref="J88:K88"/>
    <mergeCell ref="L88:M88"/>
    <mergeCell ref="J86:K86"/>
    <mergeCell ref="J85:K85"/>
    <mergeCell ref="L85:M85"/>
    <mergeCell ref="C86:D86"/>
    <mergeCell ref="E86:F86"/>
    <mergeCell ref="G86:H86"/>
    <mergeCell ref="G88:H88"/>
    <mergeCell ref="C88:D88"/>
    <mergeCell ref="E88:F88"/>
    <mergeCell ref="B55:C55"/>
    <mergeCell ref="G68:H68"/>
    <mergeCell ref="G76:H76"/>
    <mergeCell ref="A71:B71"/>
    <mergeCell ref="A61:B61"/>
    <mergeCell ref="A62:B62"/>
    <mergeCell ref="C70:D70"/>
    <mergeCell ref="E70:F70"/>
    <mergeCell ref="C68:D68"/>
    <mergeCell ref="E68:F68"/>
    <mergeCell ref="B41:F41"/>
    <mergeCell ref="G41:K41"/>
    <mergeCell ref="B54:C54"/>
    <mergeCell ref="D54:E54"/>
    <mergeCell ref="B53:G53"/>
    <mergeCell ref="H53:K53"/>
    <mergeCell ref="H112:H113"/>
    <mergeCell ref="C91:E91"/>
    <mergeCell ref="C106:H106"/>
    <mergeCell ref="C112:F112"/>
    <mergeCell ref="G112:G113"/>
    <mergeCell ref="J168:L168"/>
    <mergeCell ref="E170:F170"/>
    <mergeCell ref="E171:F171"/>
    <mergeCell ref="E172:F172"/>
    <mergeCell ref="E168:F169"/>
    <mergeCell ref="G168:I168"/>
    <mergeCell ref="E179:F179"/>
    <mergeCell ref="E180:F180"/>
    <mergeCell ref="G123:I123"/>
    <mergeCell ref="G127:I127"/>
    <mergeCell ref="G135:I135"/>
    <mergeCell ref="G131:I131"/>
    <mergeCell ref="E173:F173"/>
    <mergeCell ref="E174:F174"/>
    <mergeCell ref="E175:F175"/>
    <mergeCell ref="E176:F176"/>
    <mergeCell ref="A139:A140"/>
    <mergeCell ref="B139:B140"/>
    <mergeCell ref="C139:H139"/>
    <mergeCell ref="E178:F178"/>
    <mergeCell ref="A168:A169"/>
    <mergeCell ref="B168:D168"/>
    <mergeCell ref="A161:B161"/>
    <mergeCell ref="A162:B162"/>
    <mergeCell ref="A163:B163"/>
    <mergeCell ref="A164:B164"/>
    <mergeCell ref="A85:B85"/>
    <mergeCell ref="C85:D85"/>
    <mergeCell ref="E85:F85"/>
    <mergeCell ref="G85:H85"/>
  </mergeCells>
  <printOptions horizontalCentered="1"/>
  <pageMargins left="0.2362204724409449" right="0.2755905511811024" top="0.45" bottom="0.2362204724409449" header="0.2362204724409449" footer="0.1968503937007874"/>
  <pageSetup horizontalDpi="600" verticalDpi="600" orientation="portrait" paperSize="9" scale="65" r:id="rId1"/>
  <rowBreaks count="2" manualBreakCount="2">
    <brk id="64" max="255" man="1"/>
    <brk id="1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185"/>
  <sheetViews>
    <sheetView workbookViewId="0" topLeftCell="A16">
      <selection activeCell="K59" sqref="K59"/>
    </sheetView>
  </sheetViews>
  <sheetFormatPr defaultColWidth="9.00390625" defaultRowHeight="12.75"/>
  <cols>
    <col min="1" max="1" width="32.25390625" style="98" customWidth="1"/>
    <col min="2" max="3" width="10.75390625" style="168" customWidth="1"/>
    <col min="4" max="4" width="9.875" style="168" customWidth="1"/>
    <col min="5" max="5" width="9.00390625" style="168" customWidth="1"/>
    <col min="6" max="7" width="8.375" style="168" customWidth="1"/>
    <col min="8" max="8" width="9.625" style="168" customWidth="1"/>
    <col min="9" max="9" width="8.375" style="98" customWidth="1"/>
    <col min="10" max="11" width="9.375" style="98" customWidth="1"/>
    <col min="12" max="14" width="8.375" style="98" customWidth="1"/>
    <col min="15" max="15" width="15.875" style="0" customWidth="1"/>
  </cols>
  <sheetData>
    <row r="1" spans="12:14" ht="15.75">
      <c r="L1" s="115"/>
      <c r="N1" s="116"/>
    </row>
    <row r="2" spans="1:14" ht="19.5" customHeight="1" thickBot="1">
      <c r="A2" s="119" t="s">
        <v>145</v>
      </c>
      <c r="B2" s="255"/>
      <c r="C2" s="255"/>
      <c r="D2" s="255"/>
      <c r="E2" s="255"/>
      <c r="F2" s="255"/>
      <c r="G2" s="255"/>
      <c r="H2" s="255"/>
      <c r="L2" s="115"/>
      <c r="N2" s="116"/>
    </row>
    <row r="3" spans="1:14" ht="34.5" customHeight="1" thickBot="1">
      <c r="A3" s="960" t="s">
        <v>0</v>
      </c>
      <c r="B3" s="876" t="s">
        <v>327</v>
      </c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8"/>
      <c r="N3"/>
    </row>
    <row r="4" spans="1:26" ht="12.75" customHeight="1" thickBot="1">
      <c r="A4" s="961"/>
      <c r="B4" s="807" t="s">
        <v>213</v>
      </c>
      <c r="C4" s="807" t="s">
        <v>212</v>
      </c>
      <c r="D4" s="973" t="s">
        <v>334</v>
      </c>
      <c r="E4" s="974"/>
      <c r="F4" s="975"/>
      <c r="G4" s="883" t="s">
        <v>173</v>
      </c>
      <c r="H4" s="884"/>
      <c r="I4" s="973" t="s">
        <v>335</v>
      </c>
      <c r="J4" s="974"/>
      <c r="K4" s="975"/>
      <c r="L4" s="883" t="s">
        <v>156</v>
      </c>
      <c r="M4" s="884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14" ht="12.75">
      <c r="A5" s="961"/>
      <c r="B5" s="853"/>
      <c r="C5" s="853"/>
      <c r="D5" s="2" t="s">
        <v>2</v>
      </c>
      <c r="E5" s="4" t="s">
        <v>328</v>
      </c>
      <c r="F5" s="976" t="s">
        <v>4</v>
      </c>
      <c r="G5" s="442" t="s">
        <v>4</v>
      </c>
      <c r="H5" s="6" t="s">
        <v>5</v>
      </c>
      <c r="I5" s="2" t="s">
        <v>2</v>
      </c>
      <c r="J5" s="4" t="s">
        <v>328</v>
      </c>
      <c r="K5" s="976" t="s">
        <v>4</v>
      </c>
      <c r="L5" s="442" t="s">
        <v>4</v>
      </c>
      <c r="M5" s="6" t="s">
        <v>5</v>
      </c>
      <c r="N5"/>
    </row>
    <row r="6" spans="1:14" ht="13.5" thickBot="1">
      <c r="A6" s="962"/>
      <c r="B6" s="854"/>
      <c r="C6" s="854"/>
      <c r="D6" s="458" t="s">
        <v>6</v>
      </c>
      <c r="E6" s="459" t="s">
        <v>6</v>
      </c>
      <c r="F6" s="977"/>
      <c r="G6" s="478" t="s">
        <v>7</v>
      </c>
      <c r="H6" s="8" t="s">
        <v>8</v>
      </c>
      <c r="I6" s="458" t="s">
        <v>6</v>
      </c>
      <c r="J6" s="459" t="s">
        <v>6</v>
      </c>
      <c r="K6" s="977"/>
      <c r="L6" s="478" t="s">
        <v>7</v>
      </c>
      <c r="M6" s="8" t="s">
        <v>8</v>
      </c>
      <c r="N6"/>
    </row>
    <row r="7" spans="1:13" s="20" customFormat="1" ht="17.25" customHeight="1">
      <c r="A7" s="256" t="s">
        <v>9</v>
      </c>
      <c r="B7" s="373">
        <v>0</v>
      </c>
      <c r="C7" s="373">
        <v>0</v>
      </c>
      <c r="D7" s="450">
        <v>0</v>
      </c>
      <c r="E7" s="338"/>
      <c r="F7" s="358">
        <f aca="true" t="shared" si="0" ref="F7:F15">D7+E7</f>
        <v>0</v>
      </c>
      <c r="G7" s="444"/>
      <c r="H7" s="445"/>
      <c r="I7" s="212"/>
      <c r="J7" s="213"/>
      <c r="K7" s="260">
        <v>0</v>
      </c>
      <c r="L7" s="444"/>
      <c r="M7" s="445"/>
    </row>
    <row r="8" spans="1:13" s="20" customFormat="1" ht="17.25" customHeight="1">
      <c r="A8" s="262" t="s">
        <v>10</v>
      </c>
      <c r="B8" s="479">
        <v>300578</v>
      </c>
      <c r="C8" s="479">
        <v>300452.87</v>
      </c>
      <c r="D8" s="204">
        <v>322397</v>
      </c>
      <c r="E8" s="17">
        <v>1475</v>
      </c>
      <c r="F8" s="257">
        <f t="shared" si="0"/>
        <v>323872</v>
      </c>
      <c r="G8" s="447">
        <f>+F8-C8</f>
        <v>23419.130000000005</v>
      </c>
      <c r="H8" s="448">
        <f>+F8/C8</f>
        <v>1.0779461018295482</v>
      </c>
      <c r="I8" s="206">
        <v>339100</v>
      </c>
      <c r="J8" s="11">
        <v>600</v>
      </c>
      <c r="K8" s="460">
        <f>+I8+J8</f>
        <v>339700</v>
      </c>
      <c r="L8" s="447">
        <f>+K8-F8</f>
        <v>15828</v>
      </c>
      <c r="M8" s="448">
        <f>+K8/F8</f>
        <v>1.0488711589763857</v>
      </c>
    </row>
    <row r="9" spans="1:13" s="20" customFormat="1" ht="17.25" customHeight="1">
      <c r="A9" s="262" t="s">
        <v>11</v>
      </c>
      <c r="B9" s="479">
        <v>39606</v>
      </c>
      <c r="C9" s="369">
        <v>43838.78</v>
      </c>
      <c r="D9" s="206">
        <v>47094</v>
      </c>
      <c r="E9" s="11"/>
      <c r="F9" s="460">
        <f t="shared" si="0"/>
        <v>47094</v>
      </c>
      <c r="G9" s="447">
        <f aca="true" t="shared" si="1" ref="G9:G16">+F9-C9</f>
        <v>3255.220000000001</v>
      </c>
      <c r="H9" s="448">
        <f aca="true" t="shared" si="2" ref="H9:H16">+F9/C9</f>
        <v>1.0742543474065656</v>
      </c>
      <c r="I9" s="206">
        <v>46000</v>
      </c>
      <c r="J9" s="11"/>
      <c r="K9" s="460">
        <f aca="true" t="shared" si="3" ref="K9:K14">+I9+J9</f>
        <v>46000</v>
      </c>
      <c r="L9" s="447">
        <f aca="true" t="shared" si="4" ref="L9:L15">+K9-F9</f>
        <v>-1094</v>
      </c>
      <c r="M9" s="448">
        <f aca="true" t="shared" si="5" ref="M9:M16">+K9/F9</f>
        <v>0.9767698645262666</v>
      </c>
    </row>
    <row r="10" spans="1:13" s="20" customFormat="1" ht="17.25" customHeight="1">
      <c r="A10" s="262" t="s">
        <v>12</v>
      </c>
      <c r="B10" s="479">
        <v>7653</v>
      </c>
      <c r="C10" s="369">
        <v>8574.61</v>
      </c>
      <c r="D10" s="206">
        <v>7951</v>
      </c>
      <c r="E10" s="11"/>
      <c r="F10" s="460">
        <f t="shared" si="0"/>
        <v>7951</v>
      </c>
      <c r="G10" s="447">
        <f t="shared" si="1"/>
        <v>-623.6100000000006</v>
      </c>
      <c r="H10" s="448">
        <f t="shared" si="2"/>
        <v>0.9272724940259673</v>
      </c>
      <c r="I10" s="206">
        <v>8000</v>
      </c>
      <c r="J10" s="11"/>
      <c r="K10" s="460">
        <f t="shared" si="3"/>
        <v>8000</v>
      </c>
      <c r="L10" s="447">
        <f t="shared" si="4"/>
        <v>49</v>
      </c>
      <c r="M10" s="448">
        <f t="shared" si="5"/>
        <v>1.0061627468242988</v>
      </c>
    </row>
    <row r="11" spans="1:13" s="20" customFormat="1" ht="17.25" customHeight="1">
      <c r="A11" s="262" t="s">
        <v>13</v>
      </c>
      <c r="B11" s="479">
        <v>6374</v>
      </c>
      <c r="C11" s="369">
        <v>7941.93</v>
      </c>
      <c r="D11" s="214">
        <v>12119</v>
      </c>
      <c r="E11" s="215">
        <v>44</v>
      </c>
      <c r="F11" s="460">
        <f t="shared" si="0"/>
        <v>12163</v>
      </c>
      <c r="G11" s="447">
        <f t="shared" si="1"/>
        <v>4221.07</v>
      </c>
      <c r="H11" s="448">
        <f t="shared" si="2"/>
        <v>1.5314917154898116</v>
      </c>
      <c r="I11" s="206">
        <v>4500</v>
      </c>
      <c r="J11" s="11"/>
      <c r="K11" s="460">
        <f t="shared" si="3"/>
        <v>4500</v>
      </c>
      <c r="L11" s="447">
        <f t="shared" si="4"/>
        <v>-7663</v>
      </c>
      <c r="M11" s="448">
        <f t="shared" si="5"/>
        <v>0.36997451286689137</v>
      </c>
    </row>
    <row r="12" spans="1:13" s="20" customFormat="1" ht="17.25" customHeight="1">
      <c r="A12" s="269" t="s">
        <v>14</v>
      </c>
      <c r="B12" s="479">
        <v>78</v>
      </c>
      <c r="C12" s="369">
        <v>0</v>
      </c>
      <c r="D12" s="206">
        <v>8819</v>
      </c>
      <c r="E12" s="11"/>
      <c r="F12" s="460">
        <f t="shared" si="0"/>
        <v>8819</v>
      </c>
      <c r="G12" s="447">
        <f t="shared" si="1"/>
        <v>8819</v>
      </c>
      <c r="H12" s="448"/>
      <c r="I12" s="206">
        <v>4000</v>
      </c>
      <c r="J12" s="11"/>
      <c r="K12" s="460">
        <f t="shared" si="3"/>
        <v>4000</v>
      </c>
      <c r="L12" s="447">
        <f t="shared" si="4"/>
        <v>-4819</v>
      </c>
      <c r="M12" s="448">
        <f t="shared" si="5"/>
        <v>0.45356616396416827</v>
      </c>
    </row>
    <row r="13" spans="1:13" s="20" customFormat="1" ht="17.25" customHeight="1">
      <c r="A13" s="269" t="s">
        <v>15</v>
      </c>
      <c r="B13" s="479">
        <v>1983</v>
      </c>
      <c r="C13" s="369">
        <v>1704.38</v>
      </c>
      <c r="D13" s="214">
        <v>1087</v>
      </c>
      <c r="E13" s="215">
        <v>9</v>
      </c>
      <c r="F13" s="460">
        <f t="shared" si="0"/>
        <v>1096</v>
      </c>
      <c r="G13" s="447">
        <f t="shared" si="1"/>
        <v>-608.3800000000001</v>
      </c>
      <c r="H13" s="448">
        <f t="shared" si="2"/>
        <v>0.6430490852978795</v>
      </c>
      <c r="I13" s="206">
        <v>1800</v>
      </c>
      <c r="J13" s="11"/>
      <c r="K13" s="460">
        <f t="shared" si="3"/>
        <v>1800</v>
      </c>
      <c r="L13" s="447">
        <f t="shared" si="4"/>
        <v>704</v>
      </c>
      <c r="M13" s="448">
        <f t="shared" si="5"/>
        <v>1.6423357664233578</v>
      </c>
    </row>
    <row r="14" spans="1:13" s="20" customFormat="1" ht="17.25" customHeight="1">
      <c r="A14" s="269" t="s">
        <v>16</v>
      </c>
      <c r="B14" s="479">
        <v>0</v>
      </c>
      <c r="C14" s="369">
        <v>0</v>
      </c>
      <c r="D14" s="206">
        <v>0</v>
      </c>
      <c r="E14" s="11"/>
      <c r="F14" s="460">
        <f t="shared" si="0"/>
        <v>0</v>
      </c>
      <c r="G14" s="447">
        <f t="shared" si="1"/>
        <v>0</v>
      </c>
      <c r="H14" s="448"/>
      <c r="I14" s="206">
        <v>0</v>
      </c>
      <c r="J14" s="11"/>
      <c r="K14" s="460">
        <f t="shared" si="3"/>
        <v>0</v>
      </c>
      <c r="L14" s="447">
        <f t="shared" si="4"/>
        <v>0</v>
      </c>
      <c r="M14" s="448"/>
    </row>
    <row r="15" spans="1:13" s="20" customFormat="1" ht="17.25" customHeight="1" thickBot="1">
      <c r="A15" s="482" t="s">
        <v>17</v>
      </c>
      <c r="B15" s="483">
        <v>32726</v>
      </c>
      <c r="C15" s="370">
        <v>27529.19</v>
      </c>
      <c r="D15" s="208">
        <v>22990</v>
      </c>
      <c r="E15" s="209"/>
      <c r="F15" s="480">
        <f t="shared" si="0"/>
        <v>22990</v>
      </c>
      <c r="G15" s="481">
        <f t="shared" si="1"/>
        <v>-4539.189999999999</v>
      </c>
      <c r="H15" s="475">
        <f t="shared" si="2"/>
        <v>0.835113564910555</v>
      </c>
      <c r="I15" s="208">
        <f>+D53/1000</f>
        <v>16088.625</v>
      </c>
      <c r="J15" s="209"/>
      <c r="K15" s="480">
        <f>+I15</f>
        <v>16088.625</v>
      </c>
      <c r="L15" s="481">
        <f t="shared" si="4"/>
        <v>-6901.375</v>
      </c>
      <c r="M15" s="475">
        <f t="shared" si="5"/>
        <v>0.6998096998695085</v>
      </c>
    </row>
    <row r="16" spans="1:13" s="20" customFormat="1" ht="17.25" customHeight="1" thickBot="1">
      <c r="A16" s="12" t="s">
        <v>18</v>
      </c>
      <c r="B16" s="91">
        <v>388920</v>
      </c>
      <c r="C16" s="91">
        <v>390041.76</v>
      </c>
      <c r="D16" s="13">
        <f>SUM(D7+D8+D9+D10+D11+D13+D15)</f>
        <v>413638</v>
      </c>
      <c r="E16" s="14">
        <f>SUM(E7+E8+E9+E10+E11+E13+E15)</f>
        <v>1528</v>
      </c>
      <c r="F16" s="15">
        <f>SUM(F7+F8+F9+F10+F11+F13+F15)</f>
        <v>415166</v>
      </c>
      <c r="G16" s="484">
        <f t="shared" si="1"/>
        <v>25124.23999999999</v>
      </c>
      <c r="H16" s="464">
        <f t="shared" si="2"/>
        <v>1.064414230927478</v>
      </c>
      <c r="I16" s="13">
        <f>SUM(I7+I8+I9+I10+I11+I13+I15)</f>
        <v>415488.625</v>
      </c>
      <c r="J16" s="14">
        <v>600</v>
      </c>
      <c r="K16" s="15">
        <f>SUM(K7+K8+K9+K10+K11+K13+K15)</f>
        <v>416088.625</v>
      </c>
      <c r="L16" s="274">
        <f>+K16-C16</f>
        <v>26046.86499999999</v>
      </c>
      <c r="M16" s="464">
        <f t="shared" si="5"/>
        <v>1.0022223038495446</v>
      </c>
    </row>
    <row r="17" spans="2:14" ht="6.75" customHeight="1" thickBot="1">
      <c r="B17" s="98"/>
      <c r="C17" s="98"/>
      <c r="D17" s="98"/>
      <c r="E17" s="98"/>
      <c r="F17" s="98"/>
      <c r="G17" s="98"/>
      <c r="H17" s="98"/>
      <c r="N17"/>
    </row>
    <row r="18" spans="1:14" ht="19.5" customHeight="1">
      <c r="A18" s="485" t="s">
        <v>19</v>
      </c>
      <c r="B18" s="463">
        <v>95494</v>
      </c>
      <c r="C18" s="367">
        <v>101349.23</v>
      </c>
      <c r="D18" s="264">
        <v>97546</v>
      </c>
      <c r="E18" s="265">
        <v>466</v>
      </c>
      <c r="F18" s="463">
        <f aca="true" t="shared" si="6" ref="F18:F35">D18+E18</f>
        <v>98012</v>
      </c>
      <c r="G18" s="468">
        <f>+F18-C18</f>
        <v>-3337.229999999996</v>
      </c>
      <c r="H18" s="469">
        <f>+F18/C18</f>
        <v>0.9670719747944805</v>
      </c>
      <c r="I18" s="466">
        <v>98000</v>
      </c>
      <c r="J18" s="338"/>
      <c r="K18" s="11">
        <f>+I18+J18</f>
        <v>98000</v>
      </c>
      <c r="L18" s="468">
        <f>+K18-F18</f>
        <v>-12</v>
      </c>
      <c r="M18" s="470">
        <f>+K18/F18</f>
        <v>0.999877566012325</v>
      </c>
      <c r="N18"/>
    </row>
    <row r="19" spans="1:14" ht="19.5" customHeight="1">
      <c r="A19" s="135" t="s">
        <v>20</v>
      </c>
      <c r="B19" s="443">
        <v>4502</v>
      </c>
      <c r="C19" s="373">
        <v>0</v>
      </c>
      <c r="D19" s="212">
        <v>2778</v>
      </c>
      <c r="E19" s="213"/>
      <c r="F19" s="443">
        <f t="shared" si="6"/>
        <v>2778</v>
      </c>
      <c r="G19" s="465">
        <f aca="true" t="shared" si="7" ref="G19:G36">+F19-C19</f>
        <v>2778</v>
      </c>
      <c r="H19" s="467"/>
      <c r="I19" s="446">
        <v>2500</v>
      </c>
      <c r="J19" s="213"/>
      <c r="K19" s="11">
        <f aca="true" t="shared" si="8" ref="K19:K35">+I19+J19</f>
        <v>2500</v>
      </c>
      <c r="L19" s="465">
        <f aca="true" t="shared" si="9" ref="L19:L36">+K19-F19</f>
        <v>-278</v>
      </c>
      <c r="M19" s="448">
        <f aca="true" t="shared" si="10" ref="M19:M36">+K19/F19</f>
        <v>0.8999280057595392</v>
      </c>
      <c r="N19"/>
    </row>
    <row r="20" spans="1:14" ht="19.5" customHeight="1">
      <c r="A20" s="486" t="s">
        <v>21</v>
      </c>
      <c r="B20" s="443">
        <v>12334</v>
      </c>
      <c r="C20" s="373">
        <v>14780.65</v>
      </c>
      <c r="D20" s="206">
        <v>16208</v>
      </c>
      <c r="E20" s="11"/>
      <c r="F20" s="443">
        <f t="shared" si="6"/>
        <v>16208</v>
      </c>
      <c r="G20" s="465">
        <f t="shared" si="7"/>
        <v>1427.3500000000004</v>
      </c>
      <c r="H20" s="467">
        <f aca="true" t="shared" si="11" ref="H20:H36">+F20/C20</f>
        <v>1.0965688247810481</v>
      </c>
      <c r="I20" s="449">
        <v>17000</v>
      </c>
      <c r="J20" s="11"/>
      <c r="K20" s="11">
        <f t="shared" si="8"/>
        <v>17000</v>
      </c>
      <c r="L20" s="465">
        <f t="shared" si="9"/>
        <v>792</v>
      </c>
      <c r="M20" s="448">
        <f t="shared" si="10"/>
        <v>1.0488647581441264</v>
      </c>
      <c r="N20"/>
    </row>
    <row r="21" spans="1:14" ht="19.5" customHeight="1">
      <c r="A21" s="135" t="s">
        <v>22</v>
      </c>
      <c r="B21" s="443">
        <v>1948</v>
      </c>
      <c r="C21" s="373">
        <v>0</v>
      </c>
      <c r="D21" s="206">
        <v>0</v>
      </c>
      <c r="E21" s="11"/>
      <c r="F21" s="443">
        <f t="shared" si="6"/>
        <v>0</v>
      </c>
      <c r="G21" s="465">
        <f t="shared" si="7"/>
        <v>0</v>
      </c>
      <c r="H21" s="467"/>
      <c r="I21" s="449">
        <v>0</v>
      </c>
      <c r="J21" s="11"/>
      <c r="K21" s="11">
        <f t="shared" si="8"/>
        <v>0</v>
      </c>
      <c r="L21" s="465">
        <f t="shared" si="9"/>
        <v>0</v>
      </c>
      <c r="M21" s="448"/>
      <c r="N21"/>
    </row>
    <row r="22" spans="1:14" ht="19.5" customHeight="1">
      <c r="A22" s="486" t="s">
        <v>23</v>
      </c>
      <c r="B22" s="443">
        <v>32718</v>
      </c>
      <c r="C22" s="373">
        <v>36717.16</v>
      </c>
      <c r="D22" s="206">
        <v>39711</v>
      </c>
      <c r="E22" s="11"/>
      <c r="F22" s="443">
        <f t="shared" si="6"/>
        <v>39711</v>
      </c>
      <c r="G22" s="465">
        <f t="shared" si="7"/>
        <v>2993.8399999999965</v>
      </c>
      <c r="H22" s="467">
        <f t="shared" si="11"/>
        <v>1.0815378967218596</v>
      </c>
      <c r="I22" s="449">
        <v>38000</v>
      </c>
      <c r="J22" s="11"/>
      <c r="K22" s="11">
        <f t="shared" si="8"/>
        <v>38000</v>
      </c>
      <c r="L22" s="465">
        <f t="shared" si="9"/>
        <v>-1711</v>
      </c>
      <c r="M22" s="448">
        <f t="shared" si="10"/>
        <v>0.956913701493289</v>
      </c>
      <c r="N22"/>
    </row>
    <row r="23" spans="1:14" ht="19.5" customHeight="1">
      <c r="A23" s="486" t="s">
        <v>24</v>
      </c>
      <c r="B23" s="443">
        <v>42282</v>
      </c>
      <c r="C23" s="373">
        <v>43307.61</v>
      </c>
      <c r="D23" s="206">
        <v>57814</v>
      </c>
      <c r="E23" s="11"/>
      <c r="F23" s="443">
        <f t="shared" si="6"/>
        <v>57814</v>
      </c>
      <c r="G23" s="465">
        <f t="shared" si="7"/>
        <v>14506.39</v>
      </c>
      <c r="H23" s="467">
        <f t="shared" si="11"/>
        <v>1.3349616845630594</v>
      </c>
      <c r="I23" s="449">
        <v>55700</v>
      </c>
      <c r="J23" s="11"/>
      <c r="K23" s="11">
        <f t="shared" si="8"/>
        <v>55700</v>
      </c>
      <c r="L23" s="465">
        <f t="shared" si="9"/>
        <v>-2114</v>
      </c>
      <c r="M23" s="448">
        <f t="shared" si="10"/>
        <v>0.9634344622409797</v>
      </c>
      <c r="N23"/>
    </row>
    <row r="24" spans="1:14" ht="19.5" customHeight="1">
      <c r="A24" s="135" t="s">
        <v>25</v>
      </c>
      <c r="B24" s="443">
        <v>4604</v>
      </c>
      <c r="C24" s="373">
        <v>6262.21</v>
      </c>
      <c r="D24" s="206">
        <v>7978</v>
      </c>
      <c r="E24" s="11"/>
      <c r="F24" s="443">
        <f t="shared" si="6"/>
        <v>7978</v>
      </c>
      <c r="G24" s="465">
        <f t="shared" si="7"/>
        <v>1715.79</v>
      </c>
      <c r="H24" s="467">
        <f t="shared" si="11"/>
        <v>1.2739911309266216</v>
      </c>
      <c r="I24" s="449">
        <v>7000</v>
      </c>
      <c r="J24" s="11"/>
      <c r="K24" s="11">
        <f t="shared" si="8"/>
        <v>7000</v>
      </c>
      <c r="L24" s="465">
        <f t="shared" si="9"/>
        <v>-978</v>
      </c>
      <c r="M24" s="448">
        <f t="shared" si="10"/>
        <v>0.8774128854349461</v>
      </c>
      <c r="N24"/>
    </row>
    <row r="25" spans="1:14" ht="19.5" customHeight="1">
      <c r="A25" s="486" t="s">
        <v>26</v>
      </c>
      <c r="B25" s="443">
        <v>37029</v>
      </c>
      <c r="C25" s="373">
        <v>36432.91</v>
      </c>
      <c r="D25" s="206">
        <v>48455</v>
      </c>
      <c r="E25" s="11"/>
      <c r="F25" s="443">
        <f t="shared" si="6"/>
        <v>48455</v>
      </c>
      <c r="G25" s="465">
        <f t="shared" si="7"/>
        <v>12022.089999999997</v>
      </c>
      <c r="H25" s="467">
        <f t="shared" si="11"/>
        <v>1.3299788570278903</v>
      </c>
      <c r="I25" s="449">
        <v>48300</v>
      </c>
      <c r="J25" s="11"/>
      <c r="K25" s="11">
        <f t="shared" si="8"/>
        <v>48300</v>
      </c>
      <c r="L25" s="465">
        <f t="shared" si="9"/>
        <v>-155</v>
      </c>
      <c r="M25" s="448">
        <f t="shared" si="10"/>
        <v>0.9968011557114849</v>
      </c>
      <c r="N25"/>
    </row>
    <row r="26" spans="1:14" ht="19.5" customHeight="1">
      <c r="A26" s="487" t="s">
        <v>27</v>
      </c>
      <c r="B26" s="443">
        <v>200388</v>
      </c>
      <c r="C26" s="373">
        <v>189351.83</v>
      </c>
      <c r="D26" s="206">
        <f>D27+D30</f>
        <v>200118</v>
      </c>
      <c r="E26" s="11"/>
      <c r="F26" s="443">
        <f t="shared" si="6"/>
        <v>200118</v>
      </c>
      <c r="G26" s="465">
        <f t="shared" si="7"/>
        <v>10766.170000000013</v>
      </c>
      <c r="H26" s="467">
        <f t="shared" si="11"/>
        <v>1.0568580192755466</v>
      </c>
      <c r="I26" s="449">
        <v>219885</v>
      </c>
      <c r="J26" s="11"/>
      <c r="K26" s="11">
        <f t="shared" si="8"/>
        <v>219885</v>
      </c>
      <c r="L26" s="465">
        <f t="shared" si="9"/>
        <v>19767</v>
      </c>
      <c r="M26" s="448">
        <f t="shared" si="10"/>
        <v>1.0987767217341768</v>
      </c>
      <c r="N26"/>
    </row>
    <row r="27" spans="1:14" ht="19.5" customHeight="1">
      <c r="A27" s="135" t="s">
        <v>28</v>
      </c>
      <c r="B27" s="443">
        <v>146078</v>
      </c>
      <c r="C27" s="373">
        <v>137980.82</v>
      </c>
      <c r="D27" s="206">
        <v>146037</v>
      </c>
      <c r="E27" s="215"/>
      <c r="F27" s="443">
        <f t="shared" si="6"/>
        <v>146037</v>
      </c>
      <c r="G27" s="465">
        <f t="shared" si="7"/>
        <v>8056.179999999993</v>
      </c>
      <c r="H27" s="467">
        <f t="shared" si="11"/>
        <v>1.0583862307819303</v>
      </c>
      <c r="I27" s="449">
        <v>160500</v>
      </c>
      <c r="J27" s="215"/>
      <c r="K27" s="11">
        <f t="shared" si="8"/>
        <v>160500</v>
      </c>
      <c r="L27" s="465">
        <f t="shared" si="9"/>
        <v>14463</v>
      </c>
      <c r="M27" s="448">
        <f t="shared" si="10"/>
        <v>1.0990365455329814</v>
      </c>
      <c r="N27"/>
    </row>
    <row r="28" spans="1:14" ht="19.5" customHeight="1">
      <c r="A28" s="487" t="s">
        <v>29</v>
      </c>
      <c r="B28" s="443">
        <v>145181</v>
      </c>
      <c r="C28" s="373">
        <v>137853.44</v>
      </c>
      <c r="D28" s="206">
        <v>146000</v>
      </c>
      <c r="E28" s="11"/>
      <c r="F28" s="443">
        <f t="shared" si="6"/>
        <v>146000</v>
      </c>
      <c r="G28" s="465">
        <f t="shared" si="7"/>
        <v>8146.559999999998</v>
      </c>
      <c r="H28" s="467">
        <f t="shared" si="11"/>
        <v>1.0590958049360248</v>
      </c>
      <c r="I28" s="449">
        <v>160400</v>
      </c>
      <c r="J28" s="11"/>
      <c r="K28" s="11">
        <f t="shared" si="8"/>
        <v>160400</v>
      </c>
      <c r="L28" s="465">
        <f t="shared" si="9"/>
        <v>14400</v>
      </c>
      <c r="M28" s="448">
        <f t="shared" si="10"/>
        <v>1.0986301369863014</v>
      </c>
      <c r="N28"/>
    </row>
    <row r="29" spans="1:14" ht="19.5" customHeight="1">
      <c r="A29" s="135" t="s">
        <v>30</v>
      </c>
      <c r="B29" s="443">
        <v>897</v>
      </c>
      <c r="C29" s="373">
        <v>127.82000000000698</v>
      </c>
      <c r="D29" s="206">
        <v>37</v>
      </c>
      <c r="E29" s="11"/>
      <c r="F29" s="443">
        <f t="shared" si="6"/>
        <v>37</v>
      </c>
      <c r="G29" s="465">
        <f t="shared" si="7"/>
        <v>-90.82000000000698</v>
      </c>
      <c r="H29" s="467">
        <f t="shared" si="11"/>
        <v>0.2894695665779845</v>
      </c>
      <c r="I29" s="449">
        <v>100</v>
      </c>
      <c r="J29" s="11"/>
      <c r="K29" s="11">
        <f t="shared" si="8"/>
        <v>100</v>
      </c>
      <c r="L29" s="465">
        <f t="shared" si="9"/>
        <v>63</v>
      </c>
      <c r="M29" s="448">
        <f t="shared" si="10"/>
        <v>2.7027027027027026</v>
      </c>
      <c r="N29"/>
    </row>
    <row r="30" spans="1:14" ht="19.5" customHeight="1">
      <c r="A30" s="135" t="s">
        <v>31</v>
      </c>
      <c r="B30" s="443">
        <v>54310</v>
      </c>
      <c r="C30" s="373">
        <v>51371.01</v>
      </c>
      <c r="D30" s="206">
        <f>51161+2920</f>
        <v>54081</v>
      </c>
      <c r="E30" s="11"/>
      <c r="F30" s="443">
        <f t="shared" si="6"/>
        <v>54081</v>
      </c>
      <c r="G30" s="465">
        <f t="shared" si="7"/>
        <v>2709.989999999998</v>
      </c>
      <c r="H30" s="467">
        <f t="shared" si="11"/>
        <v>1.0527532941244488</v>
      </c>
      <c r="I30" s="449">
        <v>59385</v>
      </c>
      <c r="J30" s="11"/>
      <c r="K30" s="11">
        <f t="shared" si="8"/>
        <v>59385</v>
      </c>
      <c r="L30" s="465">
        <f t="shared" si="9"/>
        <v>5304</v>
      </c>
      <c r="M30" s="448">
        <f t="shared" si="10"/>
        <v>1.0980751095578853</v>
      </c>
      <c r="N30"/>
    </row>
    <row r="31" spans="1:14" ht="19.5" customHeight="1">
      <c r="A31" s="487" t="s">
        <v>32</v>
      </c>
      <c r="B31" s="443">
        <v>65</v>
      </c>
      <c r="C31" s="373">
        <v>16.91</v>
      </c>
      <c r="D31" s="206">
        <v>17</v>
      </c>
      <c r="E31" s="11"/>
      <c r="F31" s="443">
        <f t="shared" si="6"/>
        <v>17</v>
      </c>
      <c r="G31" s="465">
        <f t="shared" si="7"/>
        <v>0.08999999999999986</v>
      </c>
      <c r="H31" s="467">
        <f t="shared" si="11"/>
        <v>1.0053222945002958</v>
      </c>
      <c r="I31" s="449">
        <v>20</v>
      </c>
      <c r="J31" s="11"/>
      <c r="K31" s="11">
        <f t="shared" si="8"/>
        <v>20</v>
      </c>
      <c r="L31" s="465">
        <f t="shared" si="9"/>
        <v>3</v>
      </c>
      <c r="M31" s="448">
        <f t="shared" si="10"/>
        <v>1.1764705882352942</v>
      </c>
      <c r="N31"/>
    </row>
    <row r="32" spans="1:14" ht="19.5" customHeight="1">
      <c r="A32" s="487" t="s">
        <v>33</v>
      </c>
      <c r="B32" s="443">
        <v>2034</v>
      </c>
      <c r="C32" s="373">
        <v>1769.24</v>
      </c>
      <c r="D32" s="206">
        <v>1794</v>
      </c>
      <c r="E32" s="11"/>
      <c r="F32" s="443">
        <f t="shared" si="6"/>
        <v>1794</v>
      </c>
      <c r="G32" s="465">
        <f t="shared" si="7"/>
        <v>24.75999999999999</v>
      </c>
      <c r="H32" s="467">
        <f t="shared" si="11"/>
        <v>1.0139947095928195</v>
      </c>
      <c r="I32" s="449">
        <v>2200</v>
      </c>
      <c r="J32" s="11"/>
      <c r="K32" s="11">
        <f t="shared" si="8"/>
        <v>2200</v>
      </c>
      <c r="L32" s="465">
        <f t="shared" si="9"/>
        <v>406</v>
      </c>
      <c r="M32" s="448">
        <f t="shared" si="10"/>
        <v>1.2263099219620959</v>
      </c>
      <c r="N32"/>
    </row>
    <row r="33" spans="1:14" ht="19.5" customHeight="1">
      <c r="A33" s="135" t="s">
        <v>34</v>
      </c>
      <c r="B33" s="443">
        <v>2702</v>
      </c>
      <c r="C33" s="373">
        <v>2589.3</v>
      </c>
      <c r="D33" s="214">
        <v>1317</v>
      </c>
      <c r="E33" s="215">
        <v>8</v>
      </c>
      <c r="F33" s="443">
        <f t="shared" si="6"/>
        <v>1325</v>
      </c>
      <c r="G33" s="465">
        <f t="shared" si="7"/>
        <v>-1264.3000000000002</v>
      </c>
      <c r="H33" s="467">
        <f t="shared" si="11"/>
        <v>0.5117213146410227</v>
      </c>
      <c r="I33" s="449">
        <v>2600</v>
      </c>
      <c r="J33" s="11"/>
      <c r="K33" s="11">
        <f t="shared" si="8"/>
        <v>2600</v>
      </c>
      <c r="L33" s="465">
        <f t="shared" si="9"/>
        <v>1275</v>
      </c>
      <c r="M33" s="448">
        <f t="shared" si="10"/>
        <v>1.9622641509433962</v>
      </c>
      <c r="N33"/>
    </row>
    <row r="34" spans="1:14" ht="19.5" customHeight="1">
      <c r="A34" s="135" t="s">
        <v>35</v>
      </c>
      <c r="B34" s="443">
        <v>718</v>
      </c>
      <c r="C34" s="373">
        <v>639.92</v>
      </c>
      <c r="D34" s="206">
        <v>968</v>
      </c>
      <c r="E34" s="11"/>
      <c r="F34" s="443">
        <f t="shared" si="6"/>
        <v>968</v>
      </c>
      <c r="G34" s="465">
        <f t="shared" si="7"/>
        <v>328.08000000000004</v>
      </c>
      <c r="H34" s="467">
        <f t="shared" si="11"/>
        <v>1.5126890861357671</v>
      </c>
      <c r="I34" s="449">
        <v>1408</v>
      </c>
      <c r="J34" s="11"/>
      <c r="K34" s="11">
        <f t="shared" si="8"/>
        <v>1408</v>
      </c>
      <c r="L34" s="465">
        <f t="shared" si="9"/>
        <v>440</v>
      </c>
      <c r="M34" s="448">
        <f t="shared" si="10"/>
        <v>1.4545454545454546</v>
      </c>
      <c r="N34"/>
    </row>
    <row r="35" spans="1:14" ht="19.5" customHeight="1" thickBot="1">
      <c r="A35" s="488" t="s">
        <v>36</v>
      </c>
      <c r="B35" s="471">
        <v>-1447</v>
      </c>
      <c r="C35" s="472">
        <v>88.84</v>
      </c>
      <c r="D35" s="216">
        <v>22</v>
      </c>
      <c r="E35" s="209"/>
      <c r="F35" s="471">
        <f t="shared" si="6"/>
        <v>22</v>
      </c>
      <c r="G35" s="473">
        <f t="shared" si="7"/>
        <v>-66.84</v>
      </c>
      <c r="H35" s="474">
        <f t="shared" si="11"/>
        <v>0.24763619990995045</v>
      </c>
      <c r="I35" s="451">
        <v>0</v>
      </c>
      <c r="J35" s="209"/>
      <c r="K35" s="209">
        <f t="shared" si="8"/>
        <v>0</v>
      </c>
      <c r="L35" s="473">
        <f t="shared" si="9"/>
        <v>-22</v>
      </c>
      <c r="M35" s="475">
        <f t="shared" si="10"/>
        <v>0</v>
      </c>
      <c r="N35"/>
    </row>
    <row r="36" spans="1:13" s="20" customFormat="1" ht="19.5" customHeight="1" thickBot="1">
      <c r="A36" s="489" t="s">
        <v>37</v>
      </c>
      <c r="B36" s="55">
        <v>388518</v>
      </c>
      <c r="C36" s="91">
        <v>389970.77</v>
      </c>
      <c r="D36" s="16">
        <f>SUM(D18+D20+D21+D22+D23+D26+D31+D32+D33+D35)</f>
        <v>414547</v>
      </c>
      <c r="E36" s="14">
        <f>SUM(E18+E20+E21+E22+E23+E26+E31+E32+E33+E35)</f>
        <v>474</v>
      </c>
      <c r="F36" s="14">
        <f>SUM(F18+F20+F21+F22+F23+F26+F31+F32+F33+F35)</f>
        <v>415021</v>
      </c>
      <c r="G36" s="476">
        <f t="shared" si="7"/>
        <v>25050.22999999998</v>
      </c>
      <c r="H36" s="477">
        <f t="shared" si="11"/>
        <v>1.0642361733932006</v>
      </c>
      <c r="I36" s="32">
        <f>SUM(I18+I20+I21+I22+I23+I26+I31+I32+I33+I35)</f>
        <v>433405</v>
      </c>
      <c r="J36" s="33">
        <v>0</v>
      </c>
      <c r="K36" s="32">
        <f>SUM(K18+K20+K21+K22+K23+K26+K31+K32+K33+K35)</f>
        <v>433405</v>
      </c>
      <c r="L36" s="476">
        <f t="shared" si="9"/>
        <v>18384</v>
      </c>
      <c r="M36" s="464">
        <f t="shared" si="10"/>
        <v>1.0442965536683686</v>
      </c>
    </row>
    <row r="37" spans="1:14" ht="5.25" customHeight="1" thickBo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5" customHeight="1" thickBot="1">
      <c r="A38" s="12" t="s">
        <v>38</v>
      </c>
      <c r="B38" s="92">
        <f>+B16-B36</f>
        <v>402</v>
      </c>
      <c r="C38" s="92">
        <v>70.9900000000489</v>
      </c>
      <c r="D38" s="935">
        <f>+F16-F36</f>
        <v>145</v>
      </c>
      <c r="E38" s="936"/>
      <c r="F38" s="937"/>
      <c r="G38" s="491"/>
      <c r="H38" s="492"/>
      <c r="I38" s="461">
        <f>SUM(I16-I36)</f>
        <v>-17916.375</v>
      </c>
      <c r="J38" s="86">
        <f>SUM(J16-J36)</f>
        <v>600</v>
      </c>
      <c r="K38" s="462">
        <f>+K16-K36</f>
        <v>-17316.375</v>
      </c>
      <c r="L38"/>
      <c r="M38"/>
      <c r="N38"/>
    </row>
    <row r="39" spans="1:14" ht="20.25" customHeight="1" thickBot="1">
      <c r="A39" s="18" t="s">
        <v>39</v>
      </c>
      <c r="B39" s="92">
        <v>0</v>
      </c>
      <c r="C39" s="92">
        <v>0</v>
      </c>
      <c r="D39" s="935">
        <v>0</v>
      </c>
      <c r="E39" s="936"/>
      <c r="F39" s="937"/>
      <c r="G39"/>
      <c r="H39"/>
      <c r="I39"/>
      <c r="J39"/>
      <c r="K39"/>
      <c r="L39"/>
      <c r="M39"/>
      <c r="N39"/>
    </row>
    <row r="40" spans="1:14" ht="19.5" customHeight="1" thickBot="1">
      <c r="A40" s="19" t="s">
        <v>40</v>
      </c>
      <c r="B40" s="490">
        <v>0</v>
      </c>
      <c r="C40" s="92">
        <v>0</v>
      </c>
      <c r="D40" s="935">
        <f>+D38+D39</f>
        <v>145</v>
      </c>
      <c r="E40" s="936"/>
      <c r="F40" s="937"/>
      <c r="G40"/>
      <c r="H40"/>
      <c r="I40"/>
      <c r="J40"/>
      <c r="K40"/>
      <c r="L40"/>
      <c r="M40"/>
      <c r="N40"/>
    </row>
    <row r="41" ht="12.75" customHeight="1" thickBot="1">
      <c r="A41" s="168"/>
    </row>
    <row r="42" spans="1:29" ht="17.25" customHeight="1">
      <c r="A42" s="840" t="s">
        <v>157</v>
      </c>
      <c r="B42" s="841"/>
      <c r="C42" s="841"/>
      <c r="D42" s="841"/>
      <c r="E42" s="841"/>
      <c r="F42" s="841"/>
      <c r="G42" s="841"/>
      <c r="H42" s="841"/>
      <c r="I42" s="841"/>
      <c r="J42" s="841"/>
      <c r="K42" s="779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</row>
    <row r="43" spans="1:29" s="20" customFormat="1" ht="20.25" customHeight="1">
      <c r="A43" s="874" t="s">
        <v>42</v>
      </c>
      <c r="B43" s="813" t="s">
        <v>147</v>
      </c>
      <c r="C43" s="814"/>
      <c r="D43" s="814"/>
      <c r="E43" s="814"/>
      <c r="F43" s="815"/>
      <c r="G43" s="813" t="s">
        <v>148</v>
      </c>
      <c r="H43" s="814"/>
      <c r="I43" s="814"/>
      <c r="J43" s="814"/>
      <c r="K43" s="815"/>
      <c r="L43"/>
      <c r="M43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</row>
    <row r="44" spans="1:25" ht="19.5" customHeight="1" thickBot="1">
      <c r="A44" s="875"/>
      <c r="B44" s="282">
        <v>2004</v>
      </c>
      <c r="C44" s="21">
        <v>2005</v>
      </c>
      <c r="D44" s="21">
        <v>2006</v>
      </c>
      <c r="E44" s="22" t="s">
        <v>7</v>
      </c>
      <c r="F44" s="23" t="s">
        <v>48</v>
      </c>
      <c r="G44" s="24">
        <v>2004</v>
      </c>
      <c r="H44" s="21">
        <v>2005</v>
      </c>
      <c r="I44" s="21">
        <v>2006</v>
      </c>
      <c r="J44" s="22" t="s">
        <v>7</v>
      </c>
      <c r="K44" s="23" t="s">
        <v>48</v>
      </c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</row>
    <row r="45" spans="1:25" s="20" customFormat="1" ht="21" customHeight="1">
      <c r="A45" s="284" t="s">
        <v>141</v>
      </c>
      <c r="B45" s="285">
        <v>8546000</v>
      </c>
      <c r="C45" s="25">
        <v>993000</v>
      </c>
      <c r="D45" s="25">
        <v>780000</v>
      </c>
      <c r="E45" s="17">
        <f>+D45-C45</f>
        <v>-213000</v>
      </c>
      <c r="F45" s="26">
        <f>+D45/C45</f>
        <v>0.7854984894259819</v>
      </c>
      <c r="G45" s="27"/>
      <c r="H45" s="28"/>
      <c r="I45" s="28"/>
      <c r="J45" s="17">
        <f>+I45-H45</f>
        <v>0</v>
      </c>
      <c r="K45" s="26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</row>
    <row r="46" spans="1:25" s="20" customFormat="1" ht="21" customHeight="1">
      <c r="A46" s="219" t="s">
        <v>142</v>
      </c>
      <c r="B46" s="286">
        <v>5341000</v>
      </c>
      <c r="C46" s="25">
        <v>20604397</v>
      </c>
      <c r="D46" s="25">
        <v>15000000</v>
      </c>
      <c r="E46" s="17">
        <f aca="true" t="shared" si="12" ref="E46:E52">+D46-C46</f>
        <v>-5604397</v>
      </c>
      <c r="F46" s="26">
        <f>+D46/C46</f>
        <v>0.7279999506901367</v>
      </c>
      <c r="G46" s="27">
        <v>12259000</v>
      </c>
      <c r="H46" s="28">
        <v>11895603</v>
      </c>
      <c r="I46" s="28">
        <f>+D96</f>
        <v>17500000</v>
      </c>
      <c r="J46" s="17">
        <f aca="true" t="shared" si="13" ref="J46:J52">+I46-H46</f>
        <v>5604397</v>
      </c>
      <c r="K46" s="26">
        <f>+I46/H46</f>
        <v>1.471131812317543</v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</row>
    <row r="47" spans="1:25" s="20" customFormat="1" ht="21" customHeight="1">
      <c r="A47" s="287" t="s">
        <v>143</v>
      </c>
      <c r="B47" s="286">
        <v>326231.12</v>
      </c>
      <c r="C47" s="25">
        <v>380345.83</v>
      </c>
      <c r="D47" s="25">
        <v>41625</v>
      </c>
      <c r="E47" s="17">
        <f t="shared" si="12"/>
        <v>-338720.83</v>
      </c>
      <c r="F47" s="26">
        <f>+D47/C47</f>
        <v>0.10943987475819046</v>
      </c>
      <c r="G47" s="27"/>
      <c r="H47" s="28"/>
      <c r="I47" s="28"/>
      <c r="J47" s="17">
        <f t="shared" si="13"/>
        <v>0</v>
      </c>
      <c r="K47" s="26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</row>
    <row r="48" spans="1:25" s="20" customFormat="1" ht="21" customHeight="1">
      <c r="A48" s="287" t="s">
        <v>144</v>
      </c>
      <c r="B48" s="286">
        <v>45000</v>
      </c>
      <c r="C48" s="25">
        <v>55776.62</v>
      </c>
      <c r="D48" s="25"/>
      <c r="E48" s="17">
        <f t="shared" si="12"/>
        <v>-55776.62</v>
      </c>
      <c r="F48" s="26">
        <f>+D48/C48</f>
        <v>0</v>
      </c>
      <c r="G48" s="27"/>
      <c r="H48" s="28"/>
      <c r="I48" s="28"/>
      <c r="J48" s="17">
        <f t="shared" si="13"/>
        <v>0</v>
      </c>
      <c r="K48" s="26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</row>
    <row r="49" spans="1:25" s="20" customFormat="1" ht="19.5" customHeight="1">
      <c r="A49" s="287" t="s">
        <v>49</v>
      </c>
      <c r="B49" s="288">
        <v>12700000</v>
      </c>
      <c r="C49" s="25"/>
      <c r="D49" s="25"/>
      <c r="E49" s="17">
        <f t="shared" si="12"/>
        <v>0</v>
      </c>
      <c r="F49" s="26"/>
      <c r="G49" s="31">
        <v>10743000</v>
      </c>
      <c r="H49" s="221"/>
      <c r="I49" s="221"/>
      <c r="J49" s="17">
        <f t="shared" si="13"/>
        <v>0</v>
      </c>
      <c r="K49" s="26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</row>
    <row r="50" spans="1:25" s="20" customFormat="1" ht="17.25" customHeight="1">
      <c r="A50" s="287" t="s">
        <v>214</v>
      </c>
      <c r="B50" s="286">
        <v>570962</v>
      </c>
      <c r="C50" s="25">
        <v>942992</v>
      </c>
      <c r="D50" s="25"/>
      <c r="E50" s="17">
        <f t="shared" si="12"/>
        <v>-942992</v>
      </c>
      <c r="F50" s="26">
        <f>+D50/C50</f>
        <v>0</v>
      </c>
      <c r="G50" s="27"/>
      <c r="H50" s="28"/>
      <c r="I50" s="28"/>
      <c r="J50" s="17">
        <f t="shared" si="13"/>
        <v>0</v>
      </c>
      <c r="K50" s="26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</row>
    <row r="51" spans="1:25" s="20" customFormat="1" ht="18.75" customHeight="1">
      <c r="A51" s="220" t="s">
        <v>196</v>
      </c>
      <c r="B51" s="286"/>
      <c r="C51" s="25"/>
      <c r="D51" s="25"/>
      <c r="E51" s="17">
        <f t="shared" si="12"/>
        <v>0</v>
      </c>
      <c r="F51" s="26"/>
      <c r="G51" s="27"/>
      <c r="H51" s="28">
        <v>20000000</v>
      </c>
      <c r="I51" s="28"/>
      <c r="J51" s="17">
        <f t="shared" si="13"/>
        <v>-20000000</v>
      </c>
      <c r="K51" s="26">
        <f>+I51/H51</f>
        <v>0</v>
      </c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</row>
    <row r="52" spans="1:25" s="20" customFormat="1" ht="23.25" customHeight="1" thickBot="1">
      <c r="A52" s="220" t="s">
        <v>467</v>
      </c>
      <c r="B52" s="286"/>
      <c r="C52" s="25"/>
      <c r="D52" s="25">
        <v>267000</v>
      </c>
      <c r="E52" s="17">
        <f t="shared" si="12"/>
        <v>267000</v>
      </c>
      <c r="F52" s="26"/>
      <c r="G52" s="27"/>
      <c r="H52" s="290"/>
      <c r="I52" s="290"/>
      <c r="J52" s="17">
        <f t="shared" si="13"/>
        <v>0</v>
      </c>
      <c r="K52" s="26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</row>
    <row r="53" spans="1:25" s="20" customFormat="1" ht="18.75" customHeight="1" thickBot="1">
      <c r="A53" s="291" t="s">
        <v>54</v>
      </c>
      <c r="B53" s="32">
        <f>SUM(B45:B52)</f>
        <v>27529193.119999997</v>
      </c>
      <c r="C53" s="33">
        <f>SUM(C45:C52)</f>
        <v>22976511.45</v>
      </c>
      <c r="D53" s="33">
        <f>SUM(D45:D52)</f>
        <v>16088625</v>
      </c>
      <c r="E53" s="34">
        <f>+D53-C53</f>
        <v>-6887886.449999999</v>
      </c>
      <c r="F53" s="35">
        <f>+C53/B53</f>
        <v>0.8346234976755469</v>
      </c>
      <c r="G53" s="16">
        <f>SUM(G45:G52)</f>
        <v>23002000</v>
      </c>
      <c r="H53" s="33">
        <f>SUM(H45:H52)</f>
        <v>31895603</v>
      </c>
      <c r="I53" s="33">
        <f>SUM(I45:I52)</f>
        <v>17500000</v>
      </c>
      <c r="J53" s="34">
        <f>+I53-H53</f>
        <v>-14395603</v>
      </c>
      <c r="K53" s="35">
        <f>+I53/H53</f>
        <v>0.5486649680208272</v>
      </c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</row>
    <row r="54" spans="1:14" ht="8.25" customHeight="1" thickBo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2.75" customHeight="1">
      <c r="A55" s="842" t="s">
        <v>41</v>
      </c>
      <c r="B55" s="818" t="s">
        <v>174</v>
      </c>
      <c r="C55" s="819"/>
      <c r="D55" s="819"/>
      <c r="E55" s="819"/>
      <c r="F55" s="819"/>
      <c r="G55" s="819"/>
      <c r="H55" s="981" t="s">
        <v>146</v>
      </c>
      <c r="I55" s="820"/>
      <c r="J55" s="820"/>
      <c r="K55" s="821"/>
      <c r="L55"/>
      <c r="M55"/>
      <c r="N55"/>
    </row>
    <row r="56" spans="1:14" ht="27.75" customHeight="1" thickBot="1">
      <c r="A56" s="843" t="s">
        <v>44</v>
      </c>
      <c r="B56" s="816" t="s">
        <v>45</v>
      </c>
      <c r="C56" s="817"/>
      <c r="D56" s="816" t="s">
        <v>46</v>
      </c>
      <c r="E56" s="817"/>
      <c r="F56" s="816" t="s">
        <v>47</v>
      </c>
      <c r="G56" s="915"/>
      <c r="H56" s="110" t="s">
        <v>50</v>
      </c>
      <c r="I56" s="108" t="s">
        <v>52</v>
      </c>
      <c r="J56" s="109" t="s">
        <v>51</v>
      </c>
      <c r="K56" s="85" t="s">
        <v>53</v>
      </c>
      <c r="L56"/>
      <c r="M56"/>
      <c r="N56"/>
    </row>
    <row r="57" spans="1:14" ht="18.75" customHeight="1">
      <c r="A57" s="419" t="s">
        <v>459</v>
      </c>
      <c r="B57" s="822">
        <f>+D57+F57</f>
        <v>17200000</v>
      </c>
      <c r="C57" s="823"/>
      <c r="D57" s="822">
        <v>14100000</v>
      </c>
      <c r="E57" s="823"/>
      <c r="F57" s="822">
        <v>3100000</v>
      </c>
      <c r="G57" s="980"/>
      <c r="H57" s="494">
        <f>+G46/B57</f>
        <v>0.7127325581395348</v>
      </c>
      <c r="I57" s="352">
        <v>0.2722</v>
      </c>
      <c r="J57" s="352">
        <v>0.4405</v>
      </c>
      <c r="K57" s="420">
        <f>+B46/B57</f>
        <v>0.3105232558139535</v>
      </c>
      <c r="L57"/>
      <c r="M57"/>
      <c r="N57"/>
    </row>
    <row r="58" spans="1:14" ht="18.75" customHeight="1">
      <c r="A58" s="354">
        <v>2005</v>
      </c>
      <c r="B58" s="844">
        <v>32500000</v>
      </c>
      <c r="C58" s="845"/>
      <c r="D58" s="844">
        <v>27100000</v>
      </c>
      <c r="E58" s="845"/>
      <c r="F58" s="844">
        <v>5400000</v>
      </c>
      <c r="G58" s="982"/>
      <c r="H58" s="493">
        <f>+H46/B58</f>
        <v>0.36601855384615384</v>
      </c>
      <c r="I58" s="353">
        <f>6970630.4/B58</f>
        <v>0.2144809353846154</v>
      </c>
      <c r="J58" s="353">
        <f>4924972.6/B58</f>
        <v>0.15153761846153846</v>
      </c>
      <c r="K58" s="355">
        <f>+C46/B58</f>
        <v>0.6339814461538461</v>
      </c>
      <c r="L58"/>
      <c r="M58"/>
      <c r="N58"/>
    </row>
    <row r="59" spans="1:14" ht="18.75" customHeight="1" thickBot="1">
      <c r="A59" s="356">
        <v>2006</v>
      </c>
      <c r="B59" s="846">
        <f>+B58</f>
        <v>32500000</v>
      </c>
      <c r="C59" s="847"/>
      <c r="D59" s="846">
        <f>+D58</f>
        <v>27100000</v>
      </c>
      <c r="E59" s="847"/>
      <c r="F59" s="846">
        <f>+F58</f>
        <v>5400000</v>
      </c>
      <c r="G59" s="986"/>
      <c r="H59" s="452">
        <f>+I46/B59</f>
        <v>0.5384615384615384</v>
      </c>
      <c r="I59" s="289">
        <f>+D76/B59</f>
        <v>0.0864</v>
      </c>
      <c r="J59" s="289">
        <f>+D94/B59</f>
        <v>0.45206153846153846</v>
      </c>
      <c r="K59" s="357">
        <f>15000000/B59</f>
        <v>0.46153846153846156</v>
      </c>
      <c r="L59"/>
      <c r="M59"/>
      <c r="N59"/>
    </row>
    <row r="60" spans="1:14" ht="15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5.75" customHeight="1" thickBot="1">
      <c r="A61" s="78" t="s">
        <v>175</v>
      </c>
      <c r="B61" s="76"/>
      <c r="C61" s="76"/>
      <c r="D61"/>
      <c r="E61"/>
      <c r="F61"/>
      <c r="G61"/>
      <c r="H61"/>
      <c r="I61"/>
      <c r="J61"/>
      <c r="K61"/>
      <c r="L61"/>
      <c r="M61"/>
      <c r="N61"/>
    </row>
    <row r="62" spans="1:14" ht="15.75" customHeight="1" thickBot="1">
      <c r="A62" s="73" t="s">
        <v>150</v>
      </c>
      <c r="B62" s="68"/>
      <c r="C62" s="69"/>
      <c r="D62"/>
      <c r="E62"/>
      <c r="F62"/>
      <c r="G62"/>
      <c r="H62"/>
      <c r="I62"/>
      <c r="J62"/>
      <c r="K62"/>
      <c r="L62"/>
      <c r="M62"/>
      <c r="N62"/>
    </row>
    <row r="63" spans="1:14" ht="15.75" customHeight="1">
      <c r="A63" s="828" t="s">
        <v>137</v>
      </c>
      <c r="B63" s="829"/>
      <c r="C63" s="417">
        <f>+D53/1000+0.1</f>
        <v>16088.725</v>
      </c>
      <c r="D63"/>
      <c r="E63"/>
      <c r="F63"/>
      <c r="G63"/>
      <c r="H63"/>
      <c r="I63"/>
      <c r="J63"/>
      <c r="K63"/>
      <c r="L63"/>
      <c r="M63"/>
      <c r="N63"/>
    </row>
    <row r="64" spans="1:14" ht="15.75" customHeight="1">
      <c r="A64" s="830" t="s">
        <v>43</v>
      </c>
      <c r="B64" s="831"/>
      <c r="C64" s="418">
        <f>+I46/1000</f>
        <v>17500</v>
      </c>
      <c r="D64"/>
      <c r="E64"/>
      <c r="F64"/>
      <c r="G64"/>
      <c r="H64"/>
      <c r="I64"/>
      <c r="J64"/>
      <c r="K64"/>
      <c r="L64"/>
      <c r="M64"/>
      <c r="N64"/>
    </row>
    <row r="65" spans="1:14" ht="15.75" customHeight="1" thickBot="1">
      <c r="A65" s="881" t="s">
        <v>138</v>
      </c>
      <c r="B65" s="882"/>
      <c r="C65" s="727">
        <f>+I28</f>
        <v>160400</v>
      </c>
      <c r="D65"/>
      <c r="E65"/>
      <c r="F65"/>
      <c r="G65"/>
      <c r="H65"/>
      <c r="I65"/>
      <c r="J65"/>
      <c r="K65"/>
      <c r="L65"/>
      <c r="M65"/>
      <c r="N65"/>
    </row>
    <row r="66" spans="1:14" ht="15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ht="6.75" customHeight="1" thickBot="1"/>
    <row r="68" spans="1:34" ht="37.5" customHeight="1">
      <c r="A68" s="963" t="s">
        <v>197</v>
      </c>
      <c r="B68" s="859" t="s">
        <v>198</v>
      </c>
      <c r="C68" s="860"/>
      <c r="D68" s="858" t="s">
        <v>55</v>
      </c>
      <c r="E68" s="859"/>
      <c r="F68" s="860" t="s">
        <v>56</v>
      </c>
      <c r="G68" s="968"/>
      <c r="H68" s="879"/>
      <c r="I68" s="969"/>
      <c r="J68" s="859" t="s">
        <v>57</v>
      </c>
      <c r="K68" s="869"/>
      <c r="L68" s="997" t="s">
        <v>270</v>
      </c>
      <c r="M68" s="866"/>
      <c r="N68" s="114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</row>
    <row r="69" spans="1:34" ht="17.25" customHeight="1" thickBot="1">
      <c r="A69" s="861"/>
      <c r="B69" s="966" t="s">
        <v>199</v>
      </c>
      <c r="C69" s="967"/>
      <c r="D69" s="861" t="s">
        <v>58</v>
      </c>
      <c r="E69" s="824"/>
      <c r="F69" s="824" t="s">
        <v>59</v>
      </c>
      <c r="G69" s="824"/>
      <c r="H69" s="824" t="s">
        <v>200</v>
      </c>
      <c r="I69" s="824"/>
      <c r="J69" s="824" t="s">
        <v>60</v>
      </c>
      <c r="K69" s="870"/>
      <c r="L69" s="998"/>
      <c r="M69" s="868"/>
      <c r="N69" s="114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</row>
    <row r="70" spans="1:13" s="426" customFormat="1" ht="21.75" customHeight="1">
      <c r="A70" s="201" t="s">
        <v>340</v>
      </c>
      <c r="B70" s="965"/>
      <c r="C70" s="970"/>
      <c r="D70" s="964">
        <v>2808000</v>
      </c>
      <c r="E70" s="965"/>
      <c r="F70" s="965"/>
      <c r="G70" s="965"/>
      <c r="H70" s="965"/>
      <c r="I70" s="965"/>
      <c r="J70" s="965">
        <f>+D70+F70+H70</f>
        <v>2808000</v>
      </c>
      <c r="K70" s="959"/>
      <c r="L70" s="958"/>
      <c r="M70" s="959"/>
    </row>
    <row r="71" spans="1:13" s="426" customFormat="1" ht="21.75" customHeight="1">
      <c r="A71" s="503" t="s">
        <v>358</v>
      </c>
      <c r="B71" s="756"/>
      <c r="C71" s="753"/>
      <c r="D71" s="758"/>
      <c r="E71" s="756"/>
      <c r="F71" s="756"/>
      <c r="G71" s="756"/>
      <c r="H71" s="756"/>
      <c r="I71" s="756"/>
      <c r="J71" s="756"/>
      <c r="K71" s="838"/>
      <c r="L71" s="953">
        <v>500000</v>
      </c>
      <c r="M71" s="838"/>
    </row>
    <row r="72" spans="1:13" s="426" customFormat="1" ht="21.75" customHeight="1">
      <c r="A72" s="202" t="s">
        <v>359</v>
      </c>
      <c r="B72" s="756"/>
      <c r="C72" s="753"/>
      <c r="D72" s="758"/>
      <c r="E72" s="756"/>
      <c r="F72" s="756"/>
      <c r="G72" s="756"/>
      <c r="H72" s="756"/>
      <c r="I72" s="756"/>
      <c r="J72" s="756"/>
      <c r="K72" s="838"/>
      <c r="L72" s="953">
        <v>1000000</v>
      </c>
      <c r="M72" s="838"/>
    </row>
    <row r="73" spans="1:13" s="426" customFormat="1" ht="17.25" customHeight="1">
      <c r="A73" s="202" t="s">
        <v>360</v>
      </c>
      <c r="B73" s="756"/>
      <c r="C73" s="753"/>
      <c r="D73" s="758"/>
      <c r="E73" s="756"/>
      <c r="F73" s="756"/>
      <c r="G73" s="756"/>
      <c r="H73" s="756"/>
      <c r="I73" s="756"/>
      <c r="J73" s="756"/>
      <c r="K73" s="838"/>
      <c r="L73" s="953">
        <v>600000</v>
      </c>
      <c r="M73" s="838"/>
    </row>
    <row r="74" spans="1:13" s="426" customFormat="1" ht="21.75" customHeight="1">
      <c r="A74" s="202" t="s">
        <v>361</v>
      </c>
      <c r="B74" s="756"/>
      <c r="C74" s="753"/>
      <c r="D74" s="758"/>
      <c r="E74" s="756"/>
      <c r="F74" s="756"/>
      <c r="G74" s="756"/>
      <c r="H74" s="756"/>
      <c r="I74" s="756"/>
      <c r="J74" s="756"/>
      <c r="K74" s="838"/>
      <c r="L74" s="953">
        <v>500000</v>
      </c>
      <c r="M74" s="838"/>
    </row>
    <row r="75" spans="1:13" s="426" customFormat="1" ht="18" customHeight="1" thickBot="1">
      <c r="A75" s="203" t="s">
        <v>362</v>
      </c>
      <c r="B75" s="978"/>
      <c r="C75" s="984"/>
      <c r="D75" s="985"/>
      <c r="E75" s="978"/>
      <c r="F75" s="978"/>
      <c r="G75" s="978"/>
      <c r="H75" s="978"/>
      <c r="I75" s="978"/>
      <c r="J75" s="978"/>
      <c r="K75" s="979"/>
      <c r="L75" s="983">
        <v>40000000</v>
      </c>
      <c r="M75" s="979"/>
    </row>
    <row r="76" spans="1:14" ht="23.25" customHeight="1" thickBot="1">
      <c r="A76" s="495" t="s">
        <v>329</v>
      </c>
      <c r="B76" s="834">
        <f>SUM(B70:C75)</f>
        <v>0</v>
      </c>
      <c r="C76" s="835"/>
      <c r="D76" s="833">
        <f>SUM(D70:E70)</f>
        <v>2808000</v>
      </c>
      <c r="E76" s="834"/>
      <c r="F76" s="834">
        <f>SUM(F70:G70)</f>
        <v>0</v>
      </c>
      <c r="G76" s="834"/>
      <c r="H76" s="834">
        <f>SUM(H70:I70)</f>
        <v>0</v>
      </c>
      <c r="I76" s="834"/>
      <c r="J76" s="834">
        <f>SUM(J70:K70)</f>
        <v>2808000</v>
      </c>
      <c r="K76" s="839"/>
      <c r="L76" s="837">
        <f>SUM(L70:M75)</f>
        <v>42600000</v>
      </c>
      <c r="M76" s="839"/>
      <c r="N76"/>
    </row>
    <row r="77" spans="1:14" ht="3.75" customHeight="1" thickBo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34" ht="40.5" customHeight="1">
      <c r="A78" s="963" t="s">
        <v>202</v>
      </c>
      <c r="B78" s="859" t="s">
        <v>198</v>
      </c>
      <c r="C78" s="860"/>
      <c r="D78" s="858" t="s">
        <v>55</v>
      </c>
      <c r="E78" s="859"/>
      <c r="F78" s="860" t="s">
        <v>56</v>
      </c>
      <c r="G78" s="968"/>
      <c r="H78" s="879" t="s">
        <v>196</v>
      </c>
      <c r="I78" s="969"/>
      <c r="J78" s="859" t="s">
        <v>57</v>
      </c>
      <c r="K78" s="869"/>
      <c r="L78" s="997" t="s">
        <v>270</v>
      </c>
      <c r="M78" s="866"/>
      <c r="N78" s="114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</row>
    <row r="79" spans="1:34" ht="20.25" customHeight="1" thickBot="1">
      <c r="A79" s="861" t="s">
        <v>203</v>
      </c>
      <c r="B79" s="966" t="s">
        <v>199</v>
      </c>
      <c r="C79" s="967"/>
      <c r="D79" s="861" t="s">
        <v>58</v>
      </c>
      <c r="E79" s="824"/>
      <c r="F79" s="824" t="s">
        <v>59</v>
      </c>
      <c r="G79" s="824"/>
      <c r="H79" s="824" t="s">
        <v>200</v>
      </c>
      <c r="I79" s="824"/>
      <c r="J79" s="824" t="s">
        <v>60</v>
      </c>
      <c r="K79" s="870"/>
      <c r="L79" s="998"/>
      <c r="M79" s="868"/>
      <c r="N79" s="114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</row>
    <row r="80" spans="1:15" s="426" customFormat="1" ht="21.75" customHeight="1">
      <c r="A80" s="202" t="s">
        <v>336</v>
      </c>
      <c r="B80" s="756">
        <v>170040</v>
      </c>
      <c r="C80" s="753"/>
      <c r="D80" s="758">
        <v>11738960</v>
      </c>
      <c r="E80" s="756"/>
      <c r="F80" s="756"/>
      <c r="G80" s="756"/>
      <c r="H80" s="756"/>
      <c r="I80" s="756"/>
      <c r="J80" s="756">
        <f>+D80+F80+H80</f>
        <v>11738960</v>
      </c>
      <c r="K80" s="838"/>
      <c r="L80" s="953"/>
      <c r="M80" s="838"/>
      <c r="O80"/>
    </row>
    <row r="81" spans="1:15" s="426" customFormat="1" ht="21.75" customHeight="1">
      <c r="A81" s="202" t="s">
        <v>337</v>
      </c>
      <c r="B81" s="756"/>
      <c r="C81" s="753"/>
      <c r="D81" s="758">
        <v>124000</v>
      </c>
      <c r="E81" s="756"/>
      <c r="F81" s="756"/>
      <c r="G81" s="756"/>
      <c r="H81" s="756"/>
      <c r="I81" s="756"/>
      <c r="J81" s="756">
        <f>+D81+F81+H81</f>
        <v>124000</v>
      </c>
      <c r="K81" s="838"/>
      <c r="L81" s="953"/>
      <c r="M81" s="838"/>
      <c r="O81"/>
    </row>
    <row r="82" spans="1:15" s="426" customFormat="1" ht="17.25" customHeight="1">
      <c r="A82" s="202" t="s">
        <v>338</v>
      </c>
      <c r="B82" s="756"/>
      <c r="C82" s="753"/>
      <c r="D82" s="758">
        <v>62000</v>
      </c>
      <c r="E82" s="756"/>
      <c r="F82" s="756"/>
      <c r="G82" s="756"/>
      <c r="H82" s="756"/>
      <c r="I82" s="756"/>
      <c r="J82" s="756">
        <f>+D82+F82+H82</f>
        <v>62000</v>
      </c>
      <c r="K82" s="838"/>
      <c r="L82" s="953"/>
      <c r="M82" s="838"/>
      <c r="O82"/>
    </row>
    <row r="83" spans="1:15" s="426" customFormat="1" ht="17.25" customHeight="1">
      <c r="A83" s="202" t="s">
        <v>339</v>
      </c>
      <c r="B83" s="755"/>
      <c r="C83" s="848"/>
      <c r="D83" s="889">
        <v>2767040</v>
      </c>
      <c r="E83" s="755"/>
      <c r="F83" s="755"/>
      <c r="G83" s="755"/>
      <c r="H83" s="755"/>
      <c r="I83" s="755"/>
      <c r="J83" s="755">
        <f>+D83+F83+H83</f>
        <v>2767040</v>
      </c>
      <c r="K83" s="890"/>
      <c r="L83" s="972"/>
      <c r="M83" s="890"/>
      <c r="O83"/>
    </row>
    <row r="84" spans="1:15" s="426" customFormat="1" ht="17.25" customHeight="1">
      <c r="A84" s="503" t="s">
        <v>348</v>
      </c>
      <c r="B84" s="756"/>
      <c r="C84" s="753"/>
      <c r="D84" s="758"/>
      <c r="E84" s="756"/>
      <c r="F84" s="756"/>
      <c r="G84" s="756"/>
      <c r="H84" s="756"/>
      <c r="I84" s="756"/>
      <c r="J84" s="756"/>
      <c r="K84" s="838"/>
      <c r="L84" s="953">
        <v>9500000</v>
      </c>
      <c r="M84" s="838"/>
      <c r="O84"/>
    </row>
    <row r="85" spans="1:13" s="426" customFormat="1" ht="17.25" customHeight="1">
      <c r="A85" s="202" t="s">
        <v>349</v>
      </c>
      <c r="B85" s="756"/>
      <c r="C85" s="753"/>
      <c r="D85" s="758"/>
      <c r="E85" s="756"/>
      <c r="F85" s="756"/>
      <c r="G85" s="756"/>
      <c r="H85" s="756"/>
      <c r="I85" s="756"/>
      <c r="J85" s="756"/>
      <c r="K85" s="838"/>
      <c r="L85" s="953">
        <v>1000000</v>
      </c>
      <c r="M85" s="838"/>
    </row>
    <row r="86" spans="1:13" s="426" customFormat="1" ht="17.25" customHeight="1">
      <c r="A86" s="202" t="s">
        <v>350</v>
      </c>
      <c r="B86" s="756"/>
      <c r="C86" s="753"/>
      <c r="D86" s="758"/>
      <c r="E86" s="756"/>
      <c r="F86" s="756"/>
      <c r="G86" s="756"/>
      <c r="H86" s="756"/>
      <c r="I86" s="756"/>
      <c r="J86" s="756"/>
      <c r="K86" s="838"/>
      <c r="L86" s="953">
        <v>600000</v>
      </c>
      <c r="M86" s="838"/>
    </row>
    <row r="87" spans="1:13" s="426" customFormat="1" ht="17.25" customHeight="1">
      <c r="A87" s="202" t="s">
        <v>351</v>
      </c>
      <c r="B87" s="756"/>
      <c r="C87" s="753"/>
      <c r="D87" s="758"/>
      <c r="E87" s="756"/>
      <c r="F87" s="756"/>
      <c r="G87" s="756"/>
      <c r="H87" s="756"/>
      <c r="I87" s="756"/>
      <c r="J87" s="756"/>
      <c r="K87" s="838"/>
      <c r="L87" s="953">
        <v>1600000</v>
      </c>
      <c r="M87" s="838"/>
    </row>
    <row r="88" spans="1:13" s="426" customFormat="1" ht="17.25" customHeight="1">
      <c r="A88" s="202" t="s">
        <v>352</v>
      </c>
      <c r="B88" s="756"/>
      <c r="C88" s="753"/>
      <c r="D88" s="758"/>
      <c r="E88" s="756"/>
      <c r="F88" s="756"/>
      <c r="G88" s="756"/>
      <c r="H88" s="756"/>
      <c r="I88" s="756"/>
      <c r="J88" s="756"/>
      <c r="K88" s="838"/>
      <c r="L88" s="953">
        <v>900000</v>
      </c>
      <c r="M88" s="838"/>
    </row>
    <row r="89" spans="1:13" s="426" customFormat="1" ht="17.25" customHeight="1">
      <c r="A89" s="202" t="s">
        <v>353</v>
      </c>
      <c r="B89" s="756"/>
      <c r="C89" s="753"/>
      <c r="D89" s="758"/>
      <c r="E89" s="756"/>
      <c r="F89" s="756"/>
      <c r="G89" s="756"/>
      <c r="H89" s="756"/>
      <c r="I89" s="756"/>
      <c r="J89" s="756"/>
      <c r="K89" s="838"/>
      <c r="L89" s="953">
        <v>500000</v>
      </c>
      <c r="M89" s="838"/>
    </row>
    <row r="90" spans="1:13" s="426" customFormat="1" ht="17.25" customHeight="1">
      <c r="A90" s="202" t="s">
        <v>354</v>
      </c>
      <c r="B90" s="756"/>
      <c r="C90" s="753"/>
      <c r="D90" s="758"/>
      <c r="E90" s="756"/>
      <c r="F90" s="756"/>
      <c r="G90" s="756"/>
      <c r="H90" s="756"/>
      <c r="I90" s="756"/>
      <c r="J90" s="756"/>
      <c r="K90" s="838"/>
      <c r="L90" s="953">
        <v>500000</v>
      </c>
      <c r="M90" s="838"/>
    </row>
    <row r="91" spans="1:13" s="426" customFormat="1" ht="17.25" customHeight="1">
      <c r="A91" s="202" t="s">
        <v>355</v>
      </c>
      <c r="B91" s="756"/>
      <c r="C91" s="753"/>
      <c r="D91" s="758"/>
      <c r="E91" s="756"/>
      <c r="F91" s="756"/>
      <c r="G91" s="756"/>
      <c r="H91" s="756"/>
      <c r="I91" s="756"/>
      <c r="J91" s="756"/>
      <c r="K91" s="838"/>
      <c r="L91" s="953">
        <v>500000</v>
      </c>
      <c r="M91" s="838"/>
    </row>
    <row r="92" spans="1:13" s="426" customFormat="1" ht="17.25" customHeight="1">
      <c r="A92" s="202" t="s">
        <v>356</v>
      </c>
      <c r="B92" s="756"/>
      <c r="C92" s="753"/>
      <c r="D92" s="758"/>
      <c r="E92" s="756"/>
      <c r="F92" s="756"/>
      <c r="G92" s="756"/>
      <c r="H92" s="756"/>
      <c r="I92" s="756"/>
      <c r="J92" s="756"/>
      <c r="K92" s="838"/>
      <c r="L92" s="953">
        <v>100000</v>
      </c>
      <c r="M92" s="838"/>
    </row>
    <row r="93" spans="1:13" s="426" customFormat="1" ht="17.25" customHeight="1" thickBot="1">
      <c r="A93" s="502" t="s">
        <v>357</v>
      </c>
      <c r="B93" s="941"/>
      <c r="C93" s="902"/>
      <c r="D93" s="987"/>
      <c r="E93" s="941"/>
      <c r="F93" s="941"/>
      <c r="G93" s="941"/>
      <c r="H93" s="941"/>
      <c r="I93" s="941"/>
      <c r="J93" s="941"/>
      <c r="K93" s="942"/>
      <c r="L93" s="971">
        <v>1500000</v>
      </c>
      <c r="M93" s="942"/>
    </row>
    <row r="94" spans="1:13" s="224" customFormat="1" ht="27" customHeight="1" thickBot="1">
      <c r="A94" s="495" t="s">
        <v>330</v>
      </c>
      <c r="B94" s="837">
        <f>SUM(B80:C93)</f>
        <v>170040</v>
      </c>
      <c r="C94" s="835"/>
      <c r="D94" s="833">
        <f>SUM(D80:E93)</f>
        <v>14692000</v>
      </c>
      <c r="E94" s="834"/>
      <c r="F94" s="834">
        <f>SUM(F79:F93)</f>
        <v>0</v>
      </c>
      <c r="G94" s="834"/>
      <c r="H94" s="834">
        <f>SUM(H79:H93)</f>
        <v>0</v>
      </c>
      <c r="I94" s="834"/>
      <c r="J94" s="834">
        <f>SUM(J80:K93)</f>
        <v>14692000</v>
      </c>
      <c r="K94" s="839"/>
      <c r="L94" s="837">
        <f>SUM(L80:M93)</f>
        <v>16700000</v>
      </c>
      <c r="M94" s="839"/>
    </row>
    <row r="95" spans="1:14" ht="6.75" customHeight="1" thickBo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3" s="224" customFormat="1" ht="16.5" customHeight="1" thickBot="1">
      <c r="A96" s="245" t="s">
        <v>61</v>
      </c>
      <c r="B96" s="834">
        <f>+B94+B76</f>
        <v>170040</v>
      </c>
      <c r="C96" s="834"/>
      <c r="D96" s="834">
        <f>+D94+D76</f>
        <v>17500000</v>
      </c>
      <c r="E96" s="834"/>
      <c r="F96" s="834">
        <f>+F94+F76</f>
        <v>0</v>
      </c>
      <c r="G96" s="834"/>
      <c r="H96" s="834">
        <f>+H94+H76</f>
        <v>0</v>
      </c>
      <c r="I96" s="834"/>
      <c r="J96" s="834">
        <f>+J94+J76</f>
        <v>17500000</v>
      </c>
      <c r="K96" s="835"/>
      <c r="L96" s="834">
        <f>+L76+L94</f>
        <v>59300000</v>
      </c>
      <c r="M96" s="839"/>
    </row>
    <row r="97" spans="1:14" ht="13.5" customHeight="1" thickBo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7.25" customHeight="1" thickBot="1">
      <c r="A98" s="956" t="s">
        <v>342</v>
      </c>
      <c r="B98" s="957"/>
      <c r="C98" s="878"/>
      <c r="D98"/>
      <c r="E98"/>
      <c r="F98"/>
      <c r="G98"/>
      <c r="H98"/>
      <c r="I98"/>
      <c r="J98"/>
      <c r="K98"/>
      <c r="L98"/>
      <c r="M98"/>
      <c r="N98"/>
    </row>
    <row r="99" spans="1:14" ht="24.75" customHeight="1">
      <c r="A99" s="501" t="s">
        <v>343</v>
      </c>
      <c r="B99" s="941">
        <v>3000</v>
      </c>
      <c r="C99" s="942"/>
      <c r="D99"/>
      <c r="E99"/>
      <c r="F99"/>
      <c r="G99"/>
      <c r="H99"/>
      <c r="I99"/>
      <c r="J99"/>
      <c r="K99"/>
      <c r="L99"/>
      <c r="M99"/>
      <c r="N99"/>
    </row>
    <row r="100" spans="1:14" ht="17.25" customHeight="1">
      <c r="A100" s="498" t="s">
        <v>344</v>
      </c>
      <c r="B100" s="755">
        <v>1600</v>
      </c>
      <c r="C100" s="890"/>
      <c r="D100"/>
      <c r="E100"/>
      <c r="F100"/>
      <c r="G100"/>
      <c r="H100"/>
      <c r="I100"/>
      <c r="J100"/>
      <c r="K100"/>
      <c r="L100"/>
      <c r="M100"/>
      <c r="N100"/>
    </row>
    <row r="101" spans="1:14" ht="17.25" customHeight="1">
      <c r="A101" s="498" t="s">
        <v>345</v>
      </c>
      <c r="B101" s="755">
        <v>900</v>
      </c>
      <c r="C101" s="890"/>
      <c r="D101"/>
      <c r="E101"/>
      <c r="F101"/>
      <c r="G101"/>
      <c r="H101"/>
      <c r="I101"/>
      <c r="J101"/>
      <c r="K101"/>
      <c r="L101"/>
      <c r="M101"/>
      <c r="N101"/>
    </row>
    <row r="102" spans="1:14" ht="17.25" customHeight="1">
      <c r="A102" s="498" t="s">
        <v>346</v>
      </c>
      <c r="B102" s="755">
        <v>700</v>
      </c>
      <c r="C102" s="890"/>
      <c r="D102"/>
      <c r="E102"/>
      <c r="F102"/>
      <c r="G102"/>
      <c r="H102"/>
      <c r="I102"/>
      <c r="J102"/>
      <c r="K102"/>
      <c r="L102"/>
      <c r="M102"/>
      <c r="N102"/>
    </row>
    <row r="103" spans="1:14" ht="17.25" customHeight="1" thickBot="1">
      <c r="A103" s="499" t="s">
        <v>347</v>
      </c>
      <c r="B103" s="943">
        <v>800</v>
      </c>
      <c r="C103" s="944"/>
      <c r="D103"/>
      <c r="E103"/>
      <c r="F103"/>
      <c r="G103"/>
      <c r="H103"/>
      <c r="I103"/>
      <c r="J103"/>
      <c r="K103"/>
      <c r="L103"/>
      <c r="M103"/>
      <c r="N103"/>
    </row>
    <row r="104" spans="1:14" ht="17.25" customHeight="1" thickBot="1">
      <c r="A104" s="500" t="s">
        <v>4</v>
      </c>
      <c r="B104" s="834">
        <f>SUM(B99:B103)</f>
        <v>7000</v>
      </c>
      <c r="C104" s="839"/>
      <c r="D104"/>
      <c r="E104"/>
      <c r="F104"/>
      <c r="G104"/>
      <c r="H104"/>
      <c r="I104"/>
      <c r="J104"/>
      <c r="K104"/>
      <c r="L104"/>
      <c r="M104"/>
      <c r="N104"/>
    </row>
    <row r="105" spans="1:14" ht="13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3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ht="6" customHeight="1" thickBot="1"/>
    <row r="108" spans="1:9" ht="12.75">
      <c r="A108" s="899" t="s">
        <v>62</v>
      </c>
      <c r="B108" s="891" t="s">
        <v>182</v>
      </c>
      <c r="C108" s="811" t="s">
        <v>183</v>
      </c>
      <c r="D108" s="954"/>
      <c r="E108" s="954"/>
      <c r="F108" s="954"/>
      <c r="G108" s="954"/>
      <c r="H108" s="955"/>
      <c r="I108" s="950" t="s">
        <v>331</v>
      </c>
    </row>
    <row r="109" spans="1:9" ht="12.75">
      <c r="A109" s="900"/>
      <c r="B109" s="945"/>
      <c r="C109" s="897" t="s">
        <v>45</v>
      </c>
      <c r="D109" s="948" t="s">
        <v>63</v>
      </c>
      <c r="E109" s="949"/>
      <c r="F109" s="949"/>
      <c r="G109" s="949"/>
      <c r="H109" s="949"/>
      <c r="I109" s="951"/>
    </row>
    <row r="110" spans="1:9" ht="13.5" thickBot="1">
      <c r="A110" s="901"/>
      <c r="B110" s="946"/>
      <c r="C110" s="898"/>
      <c r="D110" s="310">
        <v>1</v>
      </c>
      <c r="E110" s="310">
        <v>2</v>
      </c>
      <c r="F110" s="310">
        <v>3</v>
      </c>
      <c r="G110" s="310">
        <v>4</v>
      </c>
      <c r="H110" s="453">
        <v>5</v>
      </c>
      <c r="I110" s="952"/>
    </row>
    <row r="111" spans="1:9" ht="13.5" thickBot="1">
      <c r="A111" s="311">
        <v>32446</v>
      </c>
      <c r="B111" s="222">
        <v>2843</v>
      </c>
      <c r="C111" s="312">
        <f>SUM(D111:H111)</f>
        <v>1408</v>
      </c>
      <c r="D111" s="222">
        <v>671</v>
      </c>
      <c r="E111" s="222">
        <v>675</v>
      </c>
      <c r="F111" s="222">
        <v>6</v>
      </c>
      <c r="G111" s="222">
        <v>9</v>
      </c>
      <c r="H111" s="454">
        <v>47</v>
      </c>
      <c r="I111" s="223">
        <f>SUM(A111-B111-C111)</f>
        <v>28195</v>
      </c>
    </row>
    <row r="112" spans="1:9" ht="12.75">
      <c r="A112" s="412"/>
      <c r="B112" s="413"/>
      <c r="C112" s="413"/>
      <c r="D112" s="413"/>
      <c r="E112" s="413"/>
      <c r="F112" s="413"/>
      <c r="G112" s="413"/>
      <c r="H112" s="413"/>
      <c r="I112" s="413"/>
    </row>
    <row r="113" ht="5.25" customHeight="1" thickBot="1"/>
    <row r="114" spans="1:16" ht="17.25" customHeight="1">
      <c r="A114" s="764" t="s">
        <v>64</v>
      </c>
      <c r="B114" s="766" t="s">
        <v>151</v>
      </c>
      <c r="C114" s="947" t="s">
        <v>161</v>
      </c>
      <c r="D114" s="761"/>
      <c r="E114" s="761"/>
      <c r="F114" s="760"/>
      <c r="G114" s="766" t="s">
        <v>162</v>
      </c>
      <c r="H114" s="807" t="s">
        <v>65</v>
      </c>
      <c r="I114" s="768" t="s">
        <v>163</v>
      </c>
      <c r="J114" s="761"/>
      <c r="K114" s="761"/>
      <c r="L114" s="760"/>
      <c r="M114"/>
      <c r="N114"/>
      <c r="O114" s="98"/>
      <c r="P114" s="98"/>
    </row>
    <row r="115" spans="1:14" ht="20.25" customHeight="1" thickBot="1">
      <c r="A115" s="765"/>
      <c r="B115" s="767"/>
      <c r="C115" s="39" t="s">
        <v>164</v>
      </c>
      <c r="D115" s="39" t="s">
        <v>66</v>
      </c>
      <c r="E115" s="39" t="s">
        <v>67</v>
      </c>
      <c r="F115" s="40" t="s">
        <v>68</v>
      </c>
      <c r="G115" s="767"/>
      <c r="H115" s="767"/>
      <c r="I115" s="60" t="s">
        <v>152</v>
      </c>
      <c r="J115" s="39" t="s">
        <v>66</v>
      </c>
      <c r="K115" s="39" t="s">
        <v>67</v>
      </c>
      <c r="L115" s="40" t="s">
        <v>153</v>
      </c>
      <c r="M115"/>
      <c r="N115"/>
    </row>
    <row r="116" spans="1:12" ht="12.75">
      <c r="A116" s="172" t="s">
        <v>69</v>
      </c>
      <c r="B116" s="175">
        <f>+B117+B118+B119+B120</f>
        <v>21681.329999999998</v>
      </c>
      <c r="C116" s="618" t="s">
        <v>70</v>
      </c>
      <c r="D116" s="558" t="s">
        <v>70</v>
      </c>
      <c r="E116" s="558" t="s">
        <v>70</v>
      </c>
      <c r="F116" s="316" t="s">
        <v>70</v>
      </c>
      <c r="G116" s="175">
        <v>20985</v>
      </c>
      <c r="H116" s="176" t="s">
        <v>70</v>
      </c>
      <c r="I116" s="173" t="s">
        <v>70</v>
      </c>
      <c r="J116" s="173" t="s">
        <v>70</v>
      </c>
      <c r="K116" s="173" t="s">
        <v>70</v>
      </c>
      <c r="L116" s="174" t="s">
        <v>70</v>
      </c>
    </row>
    <row r="117" spans="1:12" ht="12.75">
      <c r="A117" s="177" t="s">
        <v>71</v>
      </c>
      <c r="B117" s="180">
        <v>1197.56</v>
      </c>
      <c r="C117" s="619">
        <v>1198</v>
      </c>
      <c r="D117" s="42">
        <v>0</v>
      </c>
      <c r="E117" s="42">
        <v>0</v>
      </c>
      <c r="F117" s="179">
        <f>+C117+D117-E117</f>
        <v>1198</v>
      </c>
      <c r="G117" s="180">
        <v>1197.56</v>
      </c>
      <c r="H117" s="181">
        <f>+G117-F117</f>
        <v>-0.44000000000005457</v>
      </c>
      <c r="I117" s="42">
        <f>+F117</f>
        <v>1198</v>
      </c>
      <c r="J117" s="42">
        <v>0</v>
      </c>
      <c r="K117" s="42">
        <v>1100</v>
      </c>
      <c r="L117" s="179">
        <f>+I117+J117-K117</f>
        <v>98</v>
      </c>
    </row>
    <row r="118" spans="1:12" ht="12.75">
      <c r="A118" s="177" t="s">
        <v>72</v>
      </c>
      <c r="B118" s="180">
        <v>1779.56</v>
      </c>
      <c r="C118" s="619">
        <f>+K124</f>
        <v>2608</v>
      </c>
      <c r="D118" s="42">
        <f>+K126</f>
        <v>644</v>
      </c>
      <c r="E118" s="42">
        <f>+K133</f>
        <v>539</v>
      </c>
      <c r="F118" s="179">
        <f>+C118+D118-E118</f>
        <v>2713</v>
      </c>
      <c r="G118" s="180">
        <v>1850.57</v>
      </c>
      <c r="H118" s="180">
        <f>+G118-F118</f>
        <v>-862.4300000000001</v>
      </c>
      <c r="I118" s="42">
        <f>+F118</f>
        <v>2713</v>
      </c>
      <c r="J118" s="42">
        <f>+L126</f>
        <v>633</v>
      </c>
      <c r="K118" s="42">
        <f>+L133</f>
        <v>2000</v>
      </c>
      <c r="L118" s="179">
        <f>+I118+J118-K118</f>
        <v>1346</v>
      </c>
    </row>
    <row r="119" spans="1:12" ht="12.75">
      <c r="A119" s="177" t="s">
        <v>73</v>
      </c>
      <c r="B119" s="180">
        <v>18704.21</v>
      </c>
      <c r="C119" s="618" t="s">
        <v>70</v>
      </c>
      <c r="D119" s="314" t="s">
        <v>70</v>
      </c>
      <c r="E119" s="314" t="s">
        <v>70</v>
      </c>
      <c r="F119" s="316" t="s">
        <v>70</v>
      </c>
      <c r="G119" s="180">
        <f>-29517.24+C138</f>
        <v>-22011.24</v>
      </c>
      <c r="H119" s="316" t="s">
        <v>70</v>
      </c>
      <c r="I119" s="617" t="s">
        <v>70</v>
      </c>
      <c r="J119" s="314" t="s">
        <v>70</v>
      </c>
      <c r="K119" s="314" t="s">
        <v>70</v>
      </c>
      <c r="L119" s="316" t="s">
        <v>70</v>
      </c>
    </row>
    <row r="120" spans="1:12" ht="12.75">
      <c r="A120" s="177" t="s">
        <v>74</v>
      </c>
      <c r="B120" s="180">
        <v>0</v>
      </c>
      <c r="C120" s="619">
        <f>+C124</f>
        <v>49953</v>
      </c>
      <c r="D120" s="42">
        <f>+C126</f>
        <v>33163</v>
      </c>
      <c r="E120" s="42">
        <f>+C133</f>
        <v>42997.7046</v>
      </c>
      <c r="F120" s="179">
        <f>+C120+D120-E120</f>
        <v>40118.2954</v>
      </c>
      <c r="G120" s="180">
        <f>47453.91-C138</f>
        <v>39947.91</v>
      </c>
      <c r="H120" s="181">
        <f>+G120-F120</f>
        <v>-170.3853999999992</v>
      </c>
      <c r="I120" s="184">
        <f>+F120</f>
        <v>40118.2954</v>
      </c>
      <c r="J120" s="184">
        <f>+D126</f>
        <v>18908</v>
      </c>
      <c r="K120" s="184">
        <f>+D133</f>
        <v>19070</v>
      </c>
      <c r="L120" s="179">
        <f>+I120+J120-K120</f>
        <v>39956.2954</v>
      </c>
    </row>
    <row r="121" spans="1:12" ht="14.25" customHeight="1" thickBot="1">
      <c r="A121" s="185" t="s">
        <v>75</v>
      </c>
      <c r="B121" s="188">
        <v>1227.49</v>
      </c>
      <c r="C121" s="620">
        <v>1957</v>
      </c>
      <c r="D121" s="96">
        <v>2926</v>
      </c>
      <c r="E121" s="96">
        <v>4196</v>
      </c>
      <c r="F121" s="187">
        <f>+C121+D121-E121</f>
        <v>687</v>
      </c>
      <c r="G121" s="188">
        <v>884.28</v>
      </c>
      <c r="H121" s="189">
        <f>+G121-F121</f>
        <v>197.27999999999997</v>
      </c>
      <c r="I121" s="96">
        <f>+F121</f>
        <v>687</v>
      </c>
      <c r="J121" s="96">
        <v>3208</v>
      </c>
      <c r="K121" s="96">
        <v>3208</v>
      </c>
      <c r="L121" s="187">
        <f>+I121+J121-K121</f>
        <v>687</v>
      </c>
    </row>
    <row r="122" spans="1:12" ht="7.5" customHeight="1" thickBot="1">
      <c r="A122" s="190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</row>
    <row r="123" spans="1:12" s="20" customFormat="1" ht="20.25" customHeight="1" thickBot="1">
      <c r="A123" s="227" t="s">
        <v>76</v>
      </c>
      <c r="B123" s="228">
        <v>2004</v>
      </c>
      <c r="C123" s="429">
        <v>2005</v>
      </c>
      <c r="D123" s="229">
        <v>2006</v>
      </c>
      <c r="F123" s="999" t="s">
        <v>77</v>
      </c>
      <c r="G123" s="1000"/>
      <c r="H123" s="1000"/>
      <c r="I123" s="836"/>
      <c r="J123" s="228">
        <v>2004</v>
      </c>
      <c r="K123" s="429">
        <v>2005</v>
      </c>
      <c r="L123" s="229">
        <v>2006</v>
      </c>
    </row>
    <row r="124" spans="1:14" ht="12.75">
      <c r="A124" s="43" t="s">
        <v>78</v>
      </c>
      <c r="B124" s="44">
        <v>49540</v>
      </c>
      <c r="C124" s="81">
        <f>+B140</f>
        <v>49953</v>
      </c>
      <c r="D124" s="45">
        <f>+C140</f>
        <v>40118.2954</v>
      </c>
      <c r="F124" s="938" t="s">
        <v>79</v>
      </c>
      <c r="G124" s="939"/>
      <c r="H124" s="939"/>
      <c r="I124" s="940"/>
      <c r="J124" s="44">
        <v>2451</v>
      </c>
      <c r="K124" s="81">
        <f>+J140</f>
        <v>2608</v>
      </c>
      <c r="L124" s="45">
        <f>+K140</f>
        <v>2713</v>
      </c>
      <c r="M124"/>
      <c r="N124"/>
    </row>
    <row r="125" spans="1:14" ht="12.75">
      <c r="A125" s="43"/>
      <c r="B125" s="44"/>
      <c r="C125" s="81"/>
      <c r="D125" s="45"/>
      <c r="F125" s="938"/>
      <c r="G125" s="939"/>
      <c r="H125" s="939"/>
      <c r="I125" s="940"/>
      <c r="J125" s="44"/>
      <c r="K125" s="81"/>
      <c r="L125" s="45"/>
      <c r="M125"/>
      <c r="N125"/>
    </row>
    <row r="126" spans="1:14" ht="12.75">
      <c r="A126" s="405" t="s">
        <v>66</v>
      </c>
      <c r="B126" s="406">
        <f>+B127+B128+B130+B131+B132</f>
        <v>24826</v>
      </c>
      <c r="C126" s="407">
        <f>+C127+C128+C131</f>
        <v>33163</v>
      </c>
      <c r="D126" s="408">
        <f>SUM(D127:D132)</f>
        <v>18908</v>
      </c>
      <c r="F126" s="994" t="s">
        <v>66</v>
      </c>
      <c r="G126" s="995"/>
      <c r="H126" s="995"/>
      <c r="I126" s="996"/>
      <c r="J126" s="406">
        <f>+J127+J128</f>
        <v>1140</v>
      </c>
      <c r="K126" s="407">
        <f>+K127+K128</f>
        <v>644</v>
      </c>
      <c r="L126" s="408">
        <f>SUM(L127:L132)</f>
        <v>633</v>
      </c>
      <c r="M126"/>
      <c r="N126"/>
    </row>
    <row r="127" spans="1:14" ht="12.75">
      <c r="A127" s="46" t="s">
        <v>80</v>
      </c>
      <c r="B127" s="42">
        <v>1840</v>
      </c>
      <c r="C127" s="178">
        <v>968</v>
      </c>
      <c r="D127" s="179">
        <v>1408</v>
      </c>
      <c r="F127" s="988" t="s">
        <v>81</v>
      </c>
      <c r="G127" s="989"/>
      <c r="H127" s="989"/>
      <c r="I127" s="990"/>
      <c r="J127" s="42">
        <v>402</v>
      </c>
      <c r="K127" s="178">
        <v>71</v>
      </c>
      <c r="L127" s="179">
        <v>133</v>
      </c>
      <c r="M127"/>
      <c r="N127"/>
    </row>
    <row r="128" spans="1:14" ht="12.75">
      <c r="A128" s="46" t="s">
        <v>301</v>
      </c>
      <c r="B128" s="42">
        <v>22786</v>
      </c>
      <c r="C128" s="178">
        <v>31895</v>
      </c>
      <c r="D128" s="179">
        <v>17500</v>
      </c>
      <c r="F128" s="988" t="s">
        <v>82</v>
      </c>
      <c r="G128" s="989"/>
      <c r="H128" s="989"/>
      <c r="I128" s="990"/>
      <c r="J128" s="42">
        <v>738</v>
      </c>
      <c r="K128" s="178">
        <v>573</v>
      </c>
      <c r="L128" s="179">
        <v>500</v>
      </c>
      <c r="M128"/>
      <c r="N128"/>
    </row>
    <row r="129" spans="1:14" ht="12.75">
      <c r="A129" s="46" t="s">
        <v>302</v>
      </c>
      <c r="B129" s="42"/>
      <c r="C129" s="178"/>
      <c r="D129" s="179">
        <v>0</v>
      </c>
      <c r="F129" s="988"/>
      <c r="G129" s="989"/>
      <c r="H129" s="989"/>
      <c r="I129" s="990"/>
      <c r="J129" s="42"/>
      <c r="K129" s="178"/>
      <c r="L129" s="179"/>
      <c r="M129"/>
      <c r="N129"/>
    </row>
    <row r="130" spans="1:14" ht="12.75">
      <c r="A130" s="46" t="s">
        <v>83</v>
      </c>
      <c r="B130" s="42"/>
      <c r="C130" s="178"/>
      <c r="D130" s="179"/>
      <c r="F130" s="988"/>
      <c r="G130" s="989"/>
      <c r="H130" s="989"/>
      <c r="I130" s="990"/>
      <c r="J130" s="42"/>
      <c r="K130" s="178"/>
      <c r="L130" s="179"/>
      <c r="M130"/>
      <c r="N130"/>
    </row>
    <row r="131" spans="1:14" ht="12.75">
      <c r="A131" s="46" t="s">
        <v>82</v>
      </c>
      <c r="B131" s="42">
        <v>200</v>
      </c>
      <c r="C131" s="178">
        <v>300</v>
      </c>
      <c r="D131" s="179"/>
      <c r="F131" s="988"/>
      <c r="G131" s="989"/>
      <c r="H131" s="989"/>
      <c r="I131" s="990"/>
      <c r="J131" s="42"/>
      <c r="K131" s="178"/>
      <c r="L131" s="179"/>
      <c r="M131"/>
      <c r="N131"/>
    </row>
    <row r="132" spans="1:14" ht="12.75">
      <c r="A132" s="47" t="s">
        <v>84</v>
      </c>
      <c r="B132" s="42"/>
      <c r="C132" s="178"/>
      <c r="D132" s="179"/>
      <c r="F132" s="988"/>
      <c r="G132" s="989"/>
      <c r="H132" s="989"/>
      <c r="I132" s="990"/>
      <c r="J132" s="42"/>
      <c r="K132" s="178"/>
      <c r="L132" s="179"/>
      <c r="M132"/>
      <c r="N132"/>
    </row>
    <row r="133" spans="1:14" ht="12.75">
      <c r="A133" s="405" t="s">
        <v>67</v>
      </c>
      <c r="B133" s="406">
        <f>SUM(B135:B139)</f>
        <v>24413</v>
      </c>
      <c r="C133" s="407">
        <f>SUM(C134:C139)</f>
        <v>42997.7046</v>
      </c>
      <c r="D133" s="408">
        <f>SUM(D134:D139)</f>
        <v>19070</v>
      </c>
      <c r="F133" s="994" t="s">
        <v>67</v>
      </c>
      <c r="G133" s="995"/>
      <c r="H133" s="995"/>
      <c r="I133" s="996"/>
      <c r="J133" s="406">
        <f>+J135+J136+J137+J138+J139</f>
        <v>983</v>
      </c>
      <c r="K133" s="406">
        <f>+K135+K136+K137+K138+K139</f>
        <v>539</v>
      </c>
      <c r="L133" s="406">
        <f>+L135+L136+L137+L138+L139</f>
        <v>2000</v>
      </c>
      <c r="M133"/>
      <c r="N133"/>
    </row>
    <row r="134" spans="1:14" ht="12.75">
      <c r="A134" s="46" t="s">
        <v>166</v>
      </c>
      <c r="B134" s="42"/>
      <c r="C134" s="178">
        <v>2645</v>
      </c>
      <c r="D134" s="179">
        <v>170</v>
      </c>
      <c r="F134" s="988"/>
      <c r="G134" s="989"/>
      <c r="H134" s="989"/>
      <c r="I134" s="990"/>
      <c r="J134" s="42"/>
      <c r="K134" s="178"/>
      <c r="L134" s="179"/>
      <c r="M134"/>
      <c r="N134"/>
    </row>
    <row r="135" spans="1:14" ht="12.75">
      <c r="A135" s="46" t="s">
        <v>306</v>
      </c>
      <c r="B135" s="42">
        <v>18464</v>
      </c>
      <c r="C135" s="178">
        <f>4924.9726-169.898</f>
        <v>4755.0746</v>
      </c>
      <c r="D135" s="179">
        <v>14692</v>
      </c>
      <c r="F135" s="988" t="s">
        <v>85</v>
      </c>
      <c r="G135" s="989"/>
      <c r="H135" s="989"/>
      <c r="I135" s="990"/>
      <c r="J135" s="42">
        <v>983</v>
      </c>
      <c r="K135" s="178">
        <v>539</v>
      </c>
      <c r="L135" s="179">
        <v>500</v>
      </c>
      <c r="M135"/>
      <c r="N135"/>
    </row>
    <row r="136" spans="1:14" ht="12.75">
      <c r="A136" s="46" t="s">
        <v>303</v>
      </c>
      <c r="B136" s="42">
        <v>3843</v>
      </c>
      <c r="C136" s="178">
        <v>6970.63</v>
      </c>
      <c r="D136" s="179">
        <v>2808</v>
      </c>
      <c r="F136" s="988"/>
      <c r="G136" s="989"/>
      <c r="H136" s="989"/>
      <c r="I136" s="990"/>
      <c r="J136" s="42"/>
      <c r="K136" s="178"/>
      <c r="L136" s="179"/>
      <c r="M136"/>
      <c r="N136"/>
    </row>
    <row r="137" spans="1:14" ht="12.75">
      <c r="A137" s="46" t="s">
        <v>332</v>
      </c>
      <c r="B137" s="42">
        <v>906</v>
      </c>
      <c r="C137" s="178">
        <v>1121</v>
      </c>
      <c r="D137" s="179">
        <v>1400</v>
      </c>
      <c r="F137" s="988"/>
      <c r="G137" s="989"/>
      <c r="H137" s="989"/>
      <c r="I137" s="990"/>
      <c r="J137" s="42"/>
      <c r="K137" s="178"/>
      <c r="L137" s="179"/>
      <c r="M137"/>
      <c r="N137"/>
    </row>
    <row r="138" spans="1:14" ht="12.75">
      <c r="A138" s="46" t="s">
        <v>341</v>
      </c>
      <c r="B138" s="42">
        <v>1200</v>
      </c>
      <c r="C138" s="178">
        <v>7506</v>
      </c>
      <c r="D138" s="179"/>
      <c r="F138" s="988" t="s">
        <v>86</v>
      </c>
      <c r="G138" s="989"/>
      <c r="H138" s="989"/>
      <c r="I138" s="990"/>
      <c r="J138" s="42"/>
      <c r="K138" s="178"/>
      <c r="L138" s="179"/>
      <c r="M138"/>
      <c r="N138"/>
    </row>
    <row r="139" spans="1:14" ht="12.75">
      <c r="A139" s="46" t="s">
        <v>333</v>
      </c>
      <c r="B139" s="42"/>
      <c r="C139" s="178">
        <v>20000</v>
      </c>
      <c r="D139" s="179"/>
      <c r="F139" s="988"/>
      <c r="G139" s="989"/>
      <c r="H139" s="989"/>
      <c r="I139" s="990"/>
      <c r="J139" s="42"/>
      <c r="K139" s="178"/>
      <c r="L139" s="179">
        <v>1500</v>
      </c>
      <c r="M139"/>
      <c r="N139"/>
    </row>
    <row r="140" spans="1:14" ht="13.5" thickBot="1">
      <c r="A140" s="409" t="s">
        <v>87</v>
      </c>
      <c r="B140" s="70">
        <f>+B124+B126-B133</f>
        <v>49953</v>
      </c>
      <c r="C140" s="410">
        <f>+C124+C126-C133</f>
        <v>40118.2954</v>
      </c>
      <c r="D140" s="411">
        <f>+D124+D126-D133</f>
        <v>39956.2954</v>
      </c>
      <c r="F140" s="991" t="s">
        <v>87</v>
      </c>
      <c r="G140" s="992"/>
      <c r="H140" s="992"/>
      <c r="I140" s="993"/>
      <c r="J140" s="70">
        <f>+J124+J126-J133</f>
        <v>2608</v>
      </c>
      <c r="K140" s="410">
        <f>+K124+K126-K133</f>
        <v>2713</v>
      </c>
      <c r="L140" s="411">
        <f>+L124+L126-L133</f>
        <v>1346</v>
      </c>
      <c r="M140"/>
      <c r="N140"/>
    </row>
    <row r="141" spans="1:12" ht="12.75">
      <c r="A141" s="190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</row>
    <row r="142" spans="1:12" ht="12.75">
      <c r="A142" s="190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</row>
    <row r="143" ht="16.5" thickBot="1">
      <c r="A143" s="78" t="s">
        <v>237</v>
      </c>
    </row>
    <row r="144" spans="1:12" ht="12.75">
      <c r="A144" s="749" t="s">
        <v>159</v>
      </c>
      <c r="B144" s="751" t="s">
        <v>4</v>
      </c>
      <c r="C144" s="751" t="s">
        <v>185</v>
      </c>
      <c r="D144" s="747"/>
      <c r="E144" s="747"/>
      <c r="F144" s="747"/>
      <c r="G144" s="747"/>
      <c r="H144" s="748"/>
      <c r="I144" s="48"/>
      <c r="J144"/>
      <c r="K144"/>
      <c r="L144"/>
    </row>
    <row r="145" spans="1:12" ht="13.5" thickBot="1">
      <c r="A145" s="750"/>
      <c r="B145" s="752"/>
      <c r="C145" s="71" t="s">
        <v>88</v>
      </c>
      <c r="D145" s="72" t="s">
        <v>89</v>
      </c>
      <c r="E145" s="72" t="s">
        <v>90</v>
      </c>
      <c r="F145" s="72" t="s">
        <v>91</v>
      </c>
      <c r="G145" s="559" t="s">
        <v>92</v>
      </c>
      <c r="H145" s="560" t="s">
        <v>45</v>
      </c>
      <c r="I145" s="48"/>
      <c r="J145"/>
      <c r="K145"/>
      <c r="L145"/>
    </row>
    <row r="146" spans="1:12" ht="12.75">
      <c r="A146" s="626" t="s">
        <v>93</v>
      </c>
      <c r="B146" s="81">
        <v>63559</v>
      </c>
      <c r="C146" s="627">
        <v>17074</v>
      </c>
      <c r="D146" s="628">
        <v>1984</v>
      </c>
      <c r="E146" s="628">
        <v>372</v>
      </c>
      <c r="F146" s="628">
        <v>4</v>
      </c>
      <c r="G146" s="628">
        <v>700</v>
      </c>
      <c r="H146" s="629">
        <f>SUM(C146:G146)</f>
        <v>20134</v>
      </c>
      <c r="I146" s="48"/>
      <c r="J146"/>
      <c r="K146"/>
      <c r="L146"/>
    </row>
    <row r="147" spans="1:12" ht="13.5" thickBot="1">
      <c r="A147" s="457" t="s">
        <v>140</v>
      </c>
      <c r="B147" s="82">
        <v>30758</v>
      </c>
      <c r="C147" s="624">
        <v>11799</v>
      </c>
      <c r="D147" s="195">
        <v>9259</v>
      </c>
      <c r="E147" s="195"/>
      <c r="F147" s="195">
        <v>739</v>
      </c>
      <c r="G147" s="195"/>
      <c r="H147" s="625">
        <f>SUM(C147:G147)</f>
        <v>21797</v>
      </c>
      <c r="I147" s="48"/>
      <c r="J147"/>
      <c r="K147"/>
      <c r="L147"/>
    </row>
    <row r="148" spans="1:12" ht="12.75">
      <c r="A148" s="538"/>
      <c r="B148" s="48"/>
      <c r="C148" s="539"/>
      <c r="D148" s="539"/>
      <c r="E148" s="539"/>
      <c r="F148" s="539"/>
      <c r="G148" s="539"/>
      <c r="H148" s="540"/>
      <c r="I148" s="48"/>
      <c r="J148"/>
      <c r="K148"/>
      <c r="L148"/>
    </row>
    <row r="149" spans="1:14" ht="16.5" thickBot="1">
      <c r="A149" s="78" t="s">
        <v>363</v>
      </c>
      <c r="B149" s="504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2" ht="13.5" thickBot="1">
      <c r="A150" s="904" t="s">
        <v>94</v>
      </c>
      <c r="B150" s="905"/>
      <c r="C150" s="908" t="s">
        <v>95</v>
      </c>
      <c r="D150" s="877"/>
      <c r="E150" s="877"/>
      <c r="F150" s="877"/>
      <c r="G150" s="877"/>
      <c r="H150" s="909" t="s">
        <v>96</v>
      </c>
      <c r="I150" s="877"/>
      <c r="J150" s="877"/>
      <c r="K150" s="877"/>
      <c r="L150" s="878"/>
    </row>
    <row r="151" spans="1:12" ht="13.5" thickBot="1">
      <c r="A151" s="906"/>
      <c r="B151" s="907"/>
      <c r="C151" s="36">
        <v>2003</v>
      </c>
      <c r="D151" s="37">
        <v>2004</v>
      </c>
      <c r="E151" s="510" t="s">
        <v>7</v>
      </c>
      <c r="F151" s="511">
        <v>2005</v>
      </c>
      <c r="G151" s="512" t="s">
        <v>7</v>
      </c>
      <c r="H151" s="84">
        <v>2003</v>
      </c>
      <c r="I151" s="496">
        <v>2004</v>
      </c>
      <c r="J151" s="510" t="s">
        <v>7</v>
      </c>
      <c r="K151" s="513">
        <v>2005</v>
      </c>
      <c r="L151" s="514" t="s">
        <v>7</v>
      </c>
    </row>
    <row r="152" spans="1:12" ht="12.75">
      <c r="A152" s="1001" t="s">
        <v>97</v>
      </c>
      <c r="B152" s="907"/>
      <c r="C152" s="515">
        <v>80</v>
      </c>
      <c r="D152" s="196">
        <v>80</v>
      </c>
      <c r="E152" s="516">
        <v>0</v>
      </c>
      <c r="F152" s="689">
        <v>80</v>
      </c>
      <c r="G152" s="517">
        <f aca="true" t="shared" si="14" ref="G152:G170">+F152-D152</f>
        <v>0</v>
      </c>
      <c r="H152" s="320">
        <v>82.2</v>
      </c>
      <c r="I152" s="197">
        <f>0.871960382513661*100</f>
        <v>87.19603825136612</v>
      </c>
      <c r="J152" s="518">
        <f>I152-H152</f>
        <v>4.996038251366116</v>
      </c>
      <c r="K152" s="519">
        <f>((6*78.63)+(74*88.03))/80</f>
        <v>87.325</v>
      </c>
      <c r="L152" s="197">
        <f aca="true" t="shared" si="15" ref="L152:L170">+K152-I152</f>
        <v>0.1289617486338841</v>
      </c>
    </row>
    <row r="153" spans="1:12" ht="12.75">
      <c r="A153" s="1001" t="s">
        <v>98</v>
      </c>
      <c r="B153" s="907"/>
      <c r="C153" s="520"/>
      <c r="D153" s="198"/>
      <c r="E153" s="521"/>
      <c r="F153" s="690"/>
      <c r="G153" s="517">
        <f t="shared" si="14"/>
        <v>0</v>
      </c>
      <c r="H153" s="323"/>
      <c r="I153" s="522"/>
      <c r="J153" s="523"/>
      <c r="K153" s="524"/>
      <c r="L153" s="197">
        <f t="shared" si="15"/>
        <v>0</v>
      </c>
    </row>
    <row r="154" spans="1:12" ht="12.75">
      <c r="A154" s="1001" t="s">
        <v>99</v>
      </c>
      <c r="B154" s="907"/>
      <c r="C154" s="520"/>
      <c r="D154" s="198"/>
      <c r="E154" s="521"/>
      <c r="F154" s="690"/>
      <c r="G154" s="517">
        <f t="shared" si="14"/>
        <v>0</v>
      </c>
      <c r="H154" s="323"/>
      <c r="I154" s="522"/>
      <c r="J154" s="523"/>
      <c r="K154" s="524"/>
      <c r="L154" s="197">
        <f t="shared" si="15"/>
        <v>0</v>
      </c>
    </row>
    <row r="155" spans="1:12" ht="12.75">
      <c r="A155" s="1001" t="s">
        <v>100</v>
      </c>
      <c r="B155" s="907"/>
      <c r="C155" s="520">
        <v>24</v>
      </c>
      <c r="D155" s="198">
        <v>24</v>
      </c>
      <c r="E155" s="521">
        <v>0</v>
      </c>
      <c r="F155" s="690">
        <v>24</v>
      </c>
      <c r="G155" s="517">
        <f t="shared" si="14"/>
        <v>0</v>
      </c>
      <c r="H155" s="323">
        <v>80</v>
      </c>
      <c r="I155" s="522">
        <f>0.784153005464481*100</f>
        <v>78.41530054644808</v>
      </c>
      <c r="J155" s="523">
        <f>I155-H155</f>
        <v>-1.58469945355192</v>
      </c>
      <c r="K155" s="524">
        <f>((4*61.64)+(20*80.23))/24</f>
        <v>77.13166666666667</v>
      </c>
      <c r="L155" s="197">
        <f t="shared" si="15"/>
        <v>-1.283633879781405</v>
      </c>
    </row>
    <row r="156" spans="1:12" ht="12.75">
      <c r="A156" s="1001" t="s">
        <v>101</v>
      </c>
      <c r="B156" s="907"/>
      <c r="C156" s="520"/>
      <c r="D156" s="198"/>
      <c r="E156" s="521"/>
      <c r="F156" s="690"/>
      <c r="G156" s="517">
        <f t="shared" si="14"/>
        <v>0</v>
      </c>
      <c r="H156" s="323"/>
      <c r="I156" s="522"/>
      <c r="J156" s="523"/>
      <c r="K156" s="524"/>
      <c r="L156" s="197">
        <f t="shared" si="15"/>
        <v>0</v>
      </c>
    </row>
    <row r="157" spans="1:12" ht="12.75">
      <c r="A157" s="1001" t="s">
        <v>102</v>
      </c>
      <c r="B157" s="907"/>
      <c r="C157" s="520">
        <v>44</v>
      </c>
      <c r="D157" s="198">
        <v>44</v>
      </c>
      <c r="E157" s="521">
        <v>0</v>
      </c>
      <c r="F157" s="690">
        <v>44</v>
      </c>
      <c r="G157" s="517">
        <f t="shared" si="14"/>
        <v>0</v>
      </c>
      <c r="H157" s="323">
        <v>71.5</v>
      </c>
      <c r="I157" s="522">
        <f>0.532662692498758*100</f>
        <v>53.266269249875805</v>
      </c>
      <c r="J157" s="523">
        <f aca="true" t="shared" si="16" ref="J157:J162">I157-H157</f>
        <v>-18.233730750124195</v>
      </c>
      <c r="K157" s="524">
        <f>((5*66.3)+(39*54.32))/44</f>
        <v>55.681363636363635</v>
      </c>
      <c r="L157" s="197">
        <f t="shared" si="15"/>
        <v>2.41509438648783</v>
      </c>
    </row>
    <row r="158" spans="1:12" ht="12.75">
      <c r="A158" s="1001" t="s">
        <v>103</v>
      </c>
      <c r="B158" s="907"/>
      <c r="C158" s="520">
        <v>41</v>
      </c>
      <c r="D158" s="198">
        <v>41</v>
      </c>
      <c r="E158" s="521">
        <v>0</v>
      </c>
      <c r="F158" s="690">
        <v>41</v>
      </c>
      <c r="G158" s="517">
        <f t="shared" si="14"/>
        <v>0</v>
      </c>
      <c r="H158" s="323">
        <v>71.8</v>
      </c>
      <c r="I158" s="522">
        <f>0.718979075036652*100</f>
        <v>71.89790750366521</v>
      </c>
      <c r="J158" s="523">
        <f t="shared" si="16"/>
        <v>0.09790750366521195</v>
      </c>
      <c r="K158" s="524">
        <f>((14*72.58)+(17*58.52)+(10*81.89))/41</f>
        <v>69.0209756097561</v>
      </c>
      <c r="L158" s="197">
        <f t="shared" si="15"/>
        <v>-2.876931893909102</v>
      </c>
    </row>
    <row r="159" spans="1:12" ht="12.75">
      <c r="A159" s="1001" t="s">
        <v>104</v>
      </c>
      <c r="B159" s="907"/>
      <c r="C159" s="520">
        <v>67</v>
      </c>
      <c r="D159" s="198">
        <v>66</v>
      </c>
      <c r="E159" s="521">
        <v>-1</v>
      </c>
      <c r="F159" s="690">
        <v>66</v>
      </c>
      <c r="G159" s="517">
        <f t="shared" si="14"/>
        <v>0</v>
      </c>
      <c r="H159" s="323">
        <v>72.9</v>
      </c>
      <c r="I159" s="522">
        <f>0.715308825964564*100</f>
        <v>71.53088259645637</v>
      </c>
      <c r="J159" s="523">
        <f t="shared" si="16"/>
        <v>-1.3691174035436404</v>
      </c>
      <c r="K159" s="524">
        <f>((9*74.67)+(57*69.08))/66</f>
        <v>69.84227272727273</v>
      </c>
      <c r="L159" s="197">
        <f t="shared" si="15"/>
        <v>-1.6886098691836366</v>
      </c>
    </row>
    <row r="160" spans="1:12" ht="12.75">
      <c r="A160" s="1001" t="s">
        <v>105</v>
      </c>
      <c r="B160" s="907"/>
      <c r="C160" s="520">
        <v>5</v>
      </c>
      <c r="D160" s="198">
        <v>5</v>
      </c>
      <c r="E160" s="521">
        <v>0</v>
      </c>
      <c r="F160" s="690">
        <v>5</v>
      </c>
      <c r="G160" s="517">
        <f t="shared" si="14"/>
        <v>0</v>
      </c>
      <c r="H160" s="323">
        <v>58</v>
      </c>
      <c r="I160" s="522">
        <f>0.734972677595628*100</f>
        <v>73.49726775956285</v>
      </c>
      <c r="J160" s="523">
        <f t="shared" si="16"/>
        <v>15.497267759562845</v>
      </c>
      <c r="K160" s="524">
        <v>74.19</v>
      </c>
      <c r="L160" s="197">
        <f t="shared" si="15"/>
        <v>0.6927322404371523</v>
      </c>
    </row>
    <row r="161" spans="1:12" ht="12.75">
      <c r="A161" s="1001" t="s">
        <v>106</v>
      </c>
      <c r="B161" s="907"/>
      <c r="C161" s="520">
        <v>24</v>
      </c>
      <c r="D161" s="198">
        <v>24</v>
      </c>
      <c r="E161" s="521">
        <v>0</v>
      </c>
      <c r="F161" s="690">
        <v>24</v>
      </c>
      <c r="G161" s="517">
        <f t="shared" si="14"/>
        <v>0</v>
      </c>
      <c r="H161" s="323">
        <v>76.8</v>
      </c>
      <c r="I161" s="522">
        <f>0.766962659380692*100</f>
        <v>76.69626593806922</v>
      </c>
      <c r="J161" s="523">
        <f t="shared" si="16"/>
        <v>-0.10373406193077983</v>
      </c>
      <c r="K161" s="524">
        <v>77.08</v>
      </c>
      <c r="L161" s="197">
        <f t="shared" si="15"/>
        <v>0.38373406193078097</v>
      </c>
    </row>
    <row r="162" spans="1:12" ht="12.75">
      <c r="A162" s="1001" t="s">
        <v>107</v>
      </c>
      <c r="B162" s="907"/>
      <c r="C162" s="520">
        <v>20</v>
      </c>
      <c r="D162" s="198">
        <v>20</v>
      </c>
      <c r="E162" s="521">
        <v>0</v>
      </c>
      <c r="F162" s="690">
        <v>20</v>
      </c>
      <c r="G162" s="517">
        <f t="shared" si="14"/>
        <v>0</v>
      </c>
      <c r="H162" s="323">
        <v>63.2</v>
      </c>
      <c r="I162" s="522">
        <f>0.615983606557377*100</f>
        <v>61.59836065573771</v>
      </c>
      <c r="J162" s="523">
        <f t="shared" si="16"/>
        <v>-1.6016393442622956</v>
      </c>
      <c r="K162" s="524">
        <v>57.04</v>
      </c>
      <c r="L162" s="197">
        <f t="shared" si="15"/>
        <v>-4.558360655737708</v>
      </c>
    </row>
    <row r="163" spans="1:12" ht="12.75">
      <c r="A163" s="1001" t="s">
        <v>108</v>
      </c>
      <c r="B163" s="907"/>
      <c r="C163" s="520"/>
      <c r="D163" s="198"/>
      <c r="E163" s="521"/>
      <c r="F163" s="690"/>
      <c r="G163" s="517">
        <f t="shared" si="14"/>
        <v>0</v>
      </c>
      <c r="H163" s="323"/>
      <c r="I163" s="522"/>
      <c r="J163" s="523"/>
      <c r="K163" s="524"/>
      <c r="L163" s="197">
        <f t="shared" si="15"/>
        <v>0</v>
      </c>
    </row>
    <row r="164" spans="1:12" ht="12.75">
      <c r="A164" s="1001" t="s">
        <v>109</v>
      </c>
      <c r="B164" s="907"/>
      <c r="C164" s="520"/>
      <c r="D164" s="198"/>
      <c r="E164" s="521"/>
      <c r="F164" s="690"/>
      <c r="G164" s="517">
        <f t="shared" si="14"/>
        <v>0</v>
      </c>
      <c r="H164" s="323"/>
      <c r="I164" s="522"/>
      <c r="J164" s="523"/>
      <c r="K164" s="524"/>
      <c r="L164" s="197">
        <f t="shared" si="15"/>
        <v>0</v>
      </c>
    </row>
    <row r="165" spans="1:12" ht="12.75">
      <c r="A165" s="1001" t="s">
        <v>110</v>
      </c>
      <c r="B165" s="907"/>
      <c r="C165" s="520"/>
      <c r="D165" s="198"/>
      <c r="E165" s="521"/>
      <c r="F165" s="690"/>
      <c r="G165" s="517">
        <f t="shared" si="14"/>
        <v>0</v>
      </c>
      <c r="H165" s="323"/>
      <c r="I165" s="522"/>
      <c r="J165" s="523"/>
      <c r="K165" s="524"/>
      <c r="L165" s="197">
        <f t="shared" si="15"/>
        <v>0</v>
      </c>
    </row>
    <row r="166" spans="1:12" ht="12.75">
      <c r="A166" s="1001" t="s">
        <v>111</v>
      </c>
      <c r="B166" s="907"/>
      <c r="C166" s="520"/>
      <c r="D166" s="198"/>
      <c r="E166" s="521"/>
      <c r="F166" s="690"/>
      <c r="G166" s="517">
        <f t="shared" si="14"/>
        <v>0</v>
      </c>
      <c r="H166" s="323"/>
      <c r="I166" s="522"/>
      <c r="J166" s="523"/>
      <c r="K166" s="524"/>
      <c r="L166" s="197">
        <f t="shared" si="15"/>
        <v>0</v>
      </c>
    </row>
    <row r="167" spans="1:12" ht="12.75">
      <c r="A167" s="1001" t="s">
        <v>112</v>
      </c>
      <c r="B167" s="907"/>
      <c r="C167" s="520"/>
      <c r="D167" s="198"/>
      <c r="E167" s="521"/>
      <c r="F167" s="690"/>
      <c r="G167" s="517">
        <f t="shared" si="14"/>
        <v>0</v>
      </c>
      <c r="H167" s="323"/>
      <c r="I167" s="522"/>
      <c r="J167" s="523"/>
      <c r="K167" s="524"/>
      <c r="L167" s="197">
        <f t="shared" si="15"/>
        <v>0</v>
      </c>
    </row>
    <row r="168" spans="1:12" ht="12.75">
      <c r="A168" s="1001" t="s">
        <v>113</v>
      </c>
      <c r="B168" s="907"/>
      <c r="C168" s="520">
        <v>46</v>
      </c>
      <c r="D168" s="198">
        <v>46</v>
      </c>
      <c r="E168" s="521">
        <v>0</v>
      </c>
      <c r="F168" s="690">
        <v>46</v>
      </c>
      <c r="G168" s="517">
        <f t="shared" si="14"/>
        <v>0</v>
      </c>
      <c r="H168" s="323">
        <v>97.3</v>
      </c>
      <c r="I168" s="522">
        <f>0.973271560940841*100</f>
        <v>97.32715609408412</v>
      </c>
      <c r="J168" s="523">
        <f>I168-H168</f>
        <v>0.027156094084119786</v>
      </c>
      <c r="K168" s="524">
        <v>96.35</v>
      </c>
      <c r="L168" s="197">
        <f t="shared" si="15"/>
        <v>-0.9771560940841226</v>
      </c>
    </row>
    <row r="169" spans="1:12" ht="13.5" thickBot="1">
      <c r="A169" s="1002" t="s">
        <v>114</v>
      </c>
      <c r="B169" s="1003"/>
      <c r="C169" s="525"/>
      <c r="D169" s="326"/>
      <c r="E169" s="526"/>
      <c r="F169" s="527"/>
      <c r="G169" s="528">
        <f t="shared" si="14"/>
        <v>0</v>
      </c>
      <c r="H169" s="328"/>
      <c r="I169" s="529"/>
      <c r="J169" s="530"/>
      <c r="K169" s="531"/>
      <c r="L169" s="197">
        <f t="shared" si="15"/>
        <v>0</v>
      </c>
    </row>
    <row r="170" spans="1:12" ht="13.5" thickBot="1">
      <c r="A170" s="1004" t="s">
        <v>4</v>
      </c>
      <c r="B170" s="1005"/>
      <c r="C170" s="61">
        <f>SUM(C152:C169)</f>
        <v>351</v>
      </c>
      <c r="D170" s="52">
        <f>SUM(D152:D169)</f>
        <v>350</v>
      </c>
      <c r="E170" s="532">
        <v>4</v>
      </c>
      <c r="F170" s="533">
        <f>SUM(F152:F169)</f>
        <v>350</v>
      </c>
      <c r="G170" s="534">
        <f t="shared" si="14"/>
        <v>0</v>
      </c>
      <c r="H170" s="535">
        <v>77.9</v>
      </c>
      <c r="I170" s="200">
        <f>98042/128100*100</f>
        <v>76.53551912568307</v>
      </c>
      <c r="J170" s="536">
        <f>I170-H170</f>
        <v>-1.3644808743169392</v>
      </c>
      <c r="K170" s="537">
        <v>75.77</v>
      </c>
      <c r="L170" s="200">
        <f t="shared" si="15"/>
        <v>-0.7655191256830705</v>
      </c>
    </row>
    <row r="171" spans="1:14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6.5" thickBot="1">
      <c r="A172" s="392" t="s">
        <v>229</v>
      </c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2" ht="12.75">
      <c r="A173" s="743" t="s">
        <v>115</v>
      </c>
      <c r="B173" s="745" t="s">
        <v>116</v>
      </c>
      <c r="C173" s="746"/>
      <c r="D173" s="740"/>
      <c r="E173" s="803" t="s">
        <v>115</v>
      </c>
      <c r="F173" s="804"/>
      <c r="G173" s="746" t="s">
        <v>117</v>
      </c>
      <c r="H173" s="746"/>
      <c r="I173" s="802"/>
      <c r="J173" s="746" t="s">
        <v>158</v>
      </c>
      <c r="K173" s="746"/>
      <c r="L173" s="802"/>
    </row>
    <row r="174" spans="1:12" ht="27.75" thickBot="1">
      <c r="A174" s="744"/>
      <c r="B174" s="53" t="s">
        <v>118</v>
      </c>
      <c r="C174" s="54" t="s">
        <v>119</v>
      </c>
      <c r="D174" s="329" t="s">
        <v>120</v>
      </c>
      <c r="E174" s="805"/>
      <c r="F174" s="806"/>
      <c r="G174" s="54" t="s">
        <v>118</v>
      </c>
      <c r="H174" s="54" t="s">
        <v>119</v>
      </c>
      <c r="I174" s="41" t="s">
        <v>120</v>
      </c>
      <c r="J174" s="54" t="s">
        <v>118</v>
      </c>
      <c r="K174" s="54" t="s">
        <v>119</v>
      </c>
      <c r="L174" s="41" t="s">
        <v>120</v>
      </c>
    </row>
    <row r="175" spans="1:12" ht="21" customHeight="1">
      <c r="A175" s="330" t="s">
        <v>121</v>
      </c>
      <c r="B175" s="505">
        <v>82.5</v>
      </c>
      <c r="C175" s="506">
        <v>35817960</v>
      </c>
      <c r="D175" s="239">
        <f aca="true" t="shared" si="17" ref="D175:D181">+IF(B175&gt;0,C175/B175/12,"")</f>
        <v>36179.757575757576</v>
      </c>
      <c r="E175" s="741" t="s">
        <v>121</v>
      </c>
      <c r="F175" s="742"/>
      <c r="G175" s="394">
        <v>83.21</v>
      </c>
      <c r="H175" s="334">
        <v>35863059</v>
      </c>
      <c r="I175" s="239">
        <f aca="true" t="shared" si="18" ref="I175:I185">+IF(G175&gt;0,H175/G175/12,"")</f>
        <v>35916.214998197334</v>
      </c>
      <c r="J175" s="394">
        <v>85.82</v>
      </c>
      <c r="K175" s="334">
        <v>38595778</v>
      </c>
      <c r="L175" s="239">
        <f>+IF(J175&gt;0,K175/J175/12,"")</f>
        <v>37477.450866153966</v>
      </c>
    </row>
    <row r="176" spans="1:12" ht="21" customHeight="1">
      <c r="A176" s="330" t="s">
        <v>122</v>
      </c>
      <c r="B176" s="240">
        <v>2.48</v>
      </c>
      <c r="C176" s="507">
        <v>739392</v>
      </c>
      <c r="D176" s="235">
        <f t="shared" si="17"/>
        <v>24845.16129032258</v>
      </c>
      <c r="E176" s="741" t="s">
        <v>122</v>
      </c>
      <c r="F176" s="742"/>
      <c r="G176" s="395">
        <v>3</v>
      </c>
      <c r="H176" s="332">
        <v>806807</v>
      </c>
      <c r="I176" s="235">
        <f t="shared" si="18"/>
        <v>22411.30555555556</v>
      </c>
      <c r="J176" s="395">
        <v>4</v>
      </c>
      <c r="K176" s="332">
        <v>1121745</v>
      </c>
      <c r="L176" s="235">
        <f>+IF(J176&gt;0,K176/J176/12,"")</f>
        <v>23369.6875</v>
      </c>
    </row>
    <row r="177" spans="1:12" ht="21" customHeight="1">
      <c r="A177" s="330" t="s">
        <v>123</v>
      </c>
      <c r="B177" s="240">
        <v>5.93</v>
      </c>
      <c r="C177" s="507">
        <v>1615389</v>
      </c>
      <c r="D177" s="235">
        <f t="shared" si="17"/>
        <v>22700.801011804386</v>
      </c>
      <c r="E177" s="741" t="s">
        <v>124</v>
      </c>
      <c r="F177" s="742"/>
      <c r="G177" s="395">
        <v>268.18</v>
      </c>
      <c r="H177" s="332">
        <v>54173241</v>
      </c>
      <c r="I177" s="235">
        <f t="shared" si="18"/>
        <v>16833.607092251474</v>
      </c>
      <c r="J177" s="395">
        <v>261.1</v>
      </c>
      <c r="K177" s="332">
        <v>55836562</v>
      </c>
      <c r="L177" s="235">
        <f aca="true" t="shared" si="19" ref="L177:L184">+IF(J177&gt;0,K177/J177/12,"")</f>
        <v>17820.937699476573</v>
      </c>
    </row>
    <row r="178" spans="1:12" ht="21" customHeight="1">
      <c r="A178" s="330" t="s">
        <v>125</v>
      </c>
      <c r="B178" s="240">
        <v>5.25</v>
      </c>
      <c r="C178" s="507">
        <v>911957</v>
      </c>
      <c r="D178" s="235">
        <f t="shared" si="17"/>
        <v>14475.507936507936</v>
      </c>
      <c r="E178" s="741" t="s">
        <v>126</v>
      </c>
      <c r="F178" s="742"/>
      <c r="G178" s="395">
        <v>55.06</v>
      </c>
      <c r="H178" s="332">
        <v>12397766</v>
      </c>
      <c r="I178" s="235">
        <f t="shared" si="18"/>
        <v>18764.024094926746</v>
      </c>
      <c r="J178" s="395">
        <v>44.25</v>
      </c>
      <c r="K178" s="332">
        <v>10567422</v>
      </c>
      <c r="L178" s="235">
        <f t="shared" si="19"/>
        <v>19900.98305084746</v>
      </c>
    </row>
    <row r="179" spans="1:12" ht="21" customHeight="1">
      <c r="A179" s="330" t="s">
        <v>127</v>
      </c>
      <c r="B179" s="240">
        <v>332.35</v>
      </c>
      <c r="C179" s="507">
        <v>70517703</v>
      </c>
      <c r="D179" s="235">
        <f t="shared" si="17"/>
        <v>17681.586429968407</v>
      </c>
      <c r="E179" s="741" t="s">
        <v>128</v>
      </c>
      <c r="F179" s="742"/>
      <c r="G179" s="395">
        <v>12.52</v>
      </c>
      <c r="H179" s="332">
        <v>1916373</v>
      </c>
      <c r="I179" s="235">
        <f t="shared" si="18"/>
        <v>12755.411341853034</v>
      </c>
      <c r="J179" s="395">
        <v>10.79</v>
      </c>
      <c r="K179" s="332">
        <v>1743537</v>
      </c>
      <c r="L179" s="235">
        <f t="shared" si="19"/>
        <v>13465.685820203893</v>
      </c>
    </row>
    <row r="180" spans="1:12" ht="21" customHeight="1">
      <c r="A180" s="330" t="s">
        <v>129</v>
      </c>
      <c r="B180" s="240">
        <v>10</v>
      </c>
      <c r="C180" s="507">
        <v>2407919</v>
      </c>
      <c r="D180" s="235">
        <f t="shared" si="17"/>
        <v>20065.991666666665</v>
      </c>
      <c r="E180" s="741" t="s">
        <v>130</v>
      </c>
      <c r="F180" s="742"/>
      <c r="G180" s="395">
        <v>71.78</v>
      </c>
      <c r="H180" s="332">
        <v>11592868</v>
      </c>
      <c r="I180" s="235">
        <f t="shared" si="18"/>
        <v>13458.795393331477</v>
      </c>
      <c r="J180" s="395">
        <v>80.03</v>
      </c>
      <c r="K180" s="332">
        <v>13274258</v>
      </c>
      <c r="L180" s="235">
        <f t="shared" si="19"/>
        <v>13822.168770044567</v>
      </c>
    </row>
    <row r="181" spans="1:12" ht="21" customHeight="1">
      <c r="A181" s="330" t="s">
        <v>131</v>
      </c>
      <c r="B181" s="240">
        <v>82.77</v>
      </c>
      <c r="C181" s="507">
        <v>11396880</v>
      </c>
      <c r="D181" s="235">
        <f t="shared" si="17"/>
        <v>11474.44726350127</v>
      </c>
      <c r="E181" s="741" t="s">
        <v>132</v>
      </c>
      <c r="F181" s="742"/>
      <c r="G181" s="395">
        <v>0</v>
      </c>
      <c r="H181" s="332">
        <v>0</v>
      </c>
      <c r="I181" s="235">
        <f t="shared" si="18"/>
      </c>
      <c r="J181" s="395">
        <v>11.31</v>
      </c>
      <c r="K181" s="332">
        <v>2726230</v>
      </c>
      <c r="L181" s="235">
        <f t="shared" si="19"/>
        <v>20087.164750957854</v>
      </c>
    </row>
    <row r="182" spans="1:12" ht="21" customHeight="1">
      <c r="A182" s="330"/>
      <c r="B182" s="240"/>
      <c r="C182" s="507"/>
      <c r="D182" s="235"/>
      <c r="E182" s="741" t="s">
        <v>133</v>
      </c>
      <c r="F182" s="742"/>
      <c r="G182" s="395">
        <v>0</v>
      </c>
      <c r="H182" s="332">
        <v>0</v>
      </c>
      <c r="I182" s="235">
        <f t="shared" si="18"/>
      </c>
      <c r="J182" s="395"/>
      <c r="K182" s="332">
        <v>0</v>
      </c>
      <c r="L182" s="235">
        <f t="shared" si="19"/>
      </c>
    </row>
    <row r="183" spans="1:12" ht="21" customHeight="1">
      <c r="A183" s="330" t="s">
        <v>134</v>
      </c>
      <c r="B183" s="240">
        <v>59.36</v>
      </c>
      <c r="C183" s="507">
        <v>10515348</v>
      </c>
      <c r="D183" s="235">
        <f>+IF(B183&gt;0,C183/B183/12,"")</f>
        <v>14762.112533692722</v>
      </c>
      <c r="E183" s="741" t="s">
        <v>134</v>
      </c>
      <c r="F183" s="742"/>
      <c r="G183" s="396">
        <v>57.24</v>
      </c>
      <c r="H183" s="234">
        <v>10540682</v>
      </c>
      <c r="I183" s="235">
        <f t="shared" si="18"/>
        <v>15345.740158397391</v>
      </c>
      <c r="J183" s="396">
        <v>56.02</v>
      </c>
      <c r="K183" s="234">
        <v>10928507</v>
      </c>
      <c r="L183" s="235">
        <f t="shared" si="19"/>
        <v>16256.853207187909</v>
      </c>
    </row>
    <row r="184" spans="1:12" ht="21" customHeight="1" thickBot="1">
      <c r="A184" s="508" t="s">
        <v>135</v>
      </c>
      <c r="B184" s="240">
        <v>81.14</v>
      </c>
      <c r="C184" s="507">
        <v>11259120</v>
      </c>
      <c r="D184" s="235">
        <f>+IF(B184&gt;0,C184/B184/12,"")</f>
        <v>11563.470544737489</v>
      </c>
      <c r="E184" s="739" t="s">
        <v>136</v>
      </c>
      <c r="F184" s="793"/>
      <c r="G184" s="394">
        <v>78.04</v>
      </c>
      <c r="H184" s="334">
        <v>10562287</v>
      </c>
      <c r="I184" s="239">
        <f t="shared" si="18"/>
        <v>11278.710703912524</v>
      </c>
      <c r="J184" s="394">
        <v>80.17</v>
      </c>
      <c r="K184" s="334">
        <v>11205557</v>
      </c>
      <c r="L184" s="235">
        <f t="shared" si="19"/>
        <v>11647.703837678266</v>
      </c>
    </row>
    <row r="185" spans="1:12" ht="21" customHeight="1" thickBot="1">
      <c r="A185" s="88" t="s">
        <v>4</v>
      </c>
      <c r="B185" s="89">
        <f>SUM(B175:B184)</f>
        <v>661.78</v>
      </c>
      <c r="C185" s="509">
        <f>SUM(C175:C184)</f>
        <v>145181668</v>
      </c>
      <c r="D185" s="87">
        <f>+IF(B185&gt;0,C185/B185/12,"")</f>
        <v>18281.713459659302</v>
      </c>
      <c r="E185" s="794" t="s">
        <v>4</v>
      </c>
      <c r="F185" s="795"/>
      <c r="G185" s="397">
        <f>SUM(G175:G184)</f>
        <v>629.03</v>
      </c>
      <c r="H185" s="86">
        <f>SUM(H175:H184)</f>
        <v>137853083</v>
      </c>
      <c r="I185" s="87">
        <f t="shared" si="18"/>
        <v>18262.65347704667</v>
      </c>
      <c r="J185" s="397">
        <f>SUM(J175:J184)</f>
        <v>633.49</v>
      </c>
      <c r="K185" s="86">
        <f>SUM(K175:K184)</f>
        <v>145999596</v>
      </c>
      <c r="L185" s="87">
        <f>+IF(J185&gt;0,K185/J185/12,"")</f>
        <v>19205.722268701953</v>
      </c>
    </row>
  </sheetData>
  <mergeCells count="273">
    <mergeCell ref="A169:B169"/>
    <mergeCell ref="A170:B170"/>
    <mergeCell ref="A165:B165"/>
    <mergeCell ref="A166:B166"/>
    <mergeCell ref="A167:B167"/>
    <mergeCell ref="A168:B168"/>
    <mergeCell ref="A161:B161"/>
    <mergeCell ref="A162:B162"/>
    <mergeCell ref="A163:B163"/>
    <mergeCell ref="A164:B164"/>
    <mergeCell ref="A157:B157"/>
    <mergeCell ref="A158:B158"/>
    <mergeCell ref="A159:B159"/>
    <mergeCell ref="A160:B160"/>
    <mergeCell ref="A153:B153"/>
    <mergeCell ref="A154:B154"/>
    <mergeCell ref="A155:B155"/>
    <mergeCell ref="A156:B156"/>
    <mergeCell ref="E182:F182"/>
    <mergeCell ref="E183:F183"/>
    <mergeCell ref="E184:F184"/>
    <mergeCell ref="E185:F185"/>
    <mergeCell ref="E178:F178"/>
    <mergeCell ref="E179:F179"/>
    <mergeCell ref="E180:F180"/>
    <mergeCell ref="E181:F181"/>
    <mergeCell ref="J173:L173"/>
    <mergeCell ref="E175:F175"/>
    <mergeCell ref="E176:F176"/>
    <mergeCell ref="E177:F177"/>
    <mergeCell ref="A173:A174"/>
    <mergeCell ref="B173:D173"/>
    <mergeCell ref="E173:F174"/>
    <mergeCell ref="G173:I173"/>
    <mergeCell ref="A150:B151"/>
    <mergeCell ref="C150:G150"/>
    <mergeCell ref="H150:L150"/>
    <mergeCell ref="A152:B152"/>
    <mergeCell ref="A63:B63"/>
    <mergeCell ref="A64:B64"/>
    <mergeCell ref="A65:B65"/>
    <mergeCell ref="F68:I68"/>
    <mergeCell ref="A68:A69"/>
    <mergeCell ref="L68:M69"/>
    <mergeCell ref="L78:M79"/>
    <mergeCell ref="F124:I124"/>
    <mergeCell ref="F123:I123"/>
    <mergeCell ref="F84:G84"/>
    <mergeCell ref="H84:I84"/>
    <mergeCell ref="J84:K84"/>
    <mergeCell ref="L84:M84"/>
    <mergeCell ref="F85:G85"/>
    <mergeCell ref="H85:I85"/>
    <mergeCell ref="F126:I126"/>
    <mergeCell ref="F127:I127"/>
    <mergeCell ref="F128:I128"/>
    <mergeCell ref="F130:I130"/>
    <mergeCell ref="F129:I129"/>
    <mergeCell ref="F131:I131"/>
    <mergeCell ref="F132:I132"/>
    <mergeCell ref="F133:I133"/>
    <mergeCell ref="F135:I135"/>
    <mergeCell ref="F134:I134"/>
    <mergeCell ref="F138:I138"/>
    <mergeCell ref="F139:I139"/>
    <mergeCell ref="F140:I140"/>
    <mergeCell ref="F136:I136"/>
    <mergeCell ref="F137:I137"/>
    <mergeCell ref="B84:C84"/>
    <mergeCell ref="D84:E84"/>
    <mergeCell ref="B85:C85"/>
    <mergeCell ref="D85:E85"/>
    <mergeCell ref="B86:C86"/>
    <mergeCell ref="D86:E86"/>
    <mergeCell ref="J85:K85"/>
    <mergeCell ref="L85:M85"/>
    <mergeCell ref="F86:G86"/>
    <mergeCell ref="H86:I86"/>
    <mergeCell ref="J86:K86"/>
    <mergeCell ref="L86:M86"/>
    <mergeCell ref="B87:C87"/>
    <mergeCell ref="D87:E87"/>
    <mergeCell ref="F87:G87"/>
    <mergeCell ref="H87:I87"/>
    <mergeCell ref="B88:C88"/>
    <mergeCell ref="D88:E88"/>
    <mergeCell ref="F88:G88"/>
    <mergeCell ref="H88:I88"/>
    <mergeCell ref="L87:M87"/>
    <mergeCell ref="J88:K88"/>
    <mergeCell ref="L88:M88"/>
    <mergeCell ref="J89:K89"/>
    <mergeCell ref="L89:M89"/>
    <mergeCell ref="L90:M90"/>
    <mergeCell ref="B89:C89"/>
    <mergeCell ref="D89:E89"/>
    <mergeCell ref="B90:C90"/>
    <mergeCell ref="D90:E90"/>
    <mergeCell ref="F90:G90"/>
    <mergeCell ref="H90:I90"/>
    <mergeCell ref="F89:G89"/>
    <mergeCell ref="H89:I89"/>
    <mergeCell ref="L92:M92"/>
    <mergeCell ref="B91:C91"/>
    <mergeCell ref="D91:E91"/>
    <mergeCell ref="F91:G91"/>
    <mergeCell ref="L71:M71"/>
    <mergeCell ref="B93:C93"/>
    <mergeCell ref="D93:E93"/>
    <mergeCell ref="F93:G93"/>
    <mergeCell ref="L91:M91"/>
    <mergeCell ref="B92:C92"/>
    <mergeCell ref="D92:E92"/>
    <mergeCell ref="F92:G92"/>
    <mergeCell ref="H92:I92"/>
    <mergeCell ref="J92:K92"/>
    <mergeCell ref="D71:E71"/>
    <mergeCell ref="F71:G71"/>
    <mergeCell ref="H71:I71"/>
    <mergeCell ref="J71:K71"/>
    <mergeCell ref="B76:C76"/>
    <mergeCell ref="D76:E76"/>
    <mergeCell ref="F76:G76"/>
    <mergeCell ref="B72:C72"/>
    <mergeCell ref="D72:E72"/>
    <mergeCell ref="F72:G72"/>
    <mergeCell ref="F73:G73"/>
    <mergeCell ref="D73:E73"/>
    <mergeCell ref="B43:F43"/>
    <mergeCell ref="G43:K43"/>
    <mergeCell ref="J72:K72"/>
    <mergeCell ref="H72:I72"/>
    <mergeCell ref="D68:E68"/>
    <mergeCell ref="H69:I69"/>
    <mergeCell ref="B59:C59"/>
    <mergeCell ref="D59:E59"/>
    <mergeCell ref="F59:G59"/>
    <mergeCell ref="B71:C71"/>
    <mergeCell ref="H93:I93"/>
    <mergeCell ref="J91:K91"/>
    <mergeCell ref="H91:I91"/>
    <mergeCell ref="H73:I73"/>
    <mergeCell ref="J73:K73"/>
    <mergeCell ref="J90:K90"/>
    <mergeCell ref="J87:K87"/>
    <mergeCell ref="J79:K79"/>
    <mergeCell ref="H76:I76"/>
    <mergeCell ref="J76:K76"/>
    <mergeCell ref="B58:C58"/>
    <mergeCell ref="D58:E58"/>
    <mergeCell ref="F58:G58"/>
    <mergeCell ref="L75:M75"/>
    <mergeCell ref="B75:C75"/>
    <mergeCell ref="D75:E75"/>
    <mergeCell ref="F75:G75"/>
    <mergeCell ref="H75:I75"/>
    <mergeCell ref="L73:M73"/>
    <mergeCell ref="B74:C74"/>
    <mergeCell ref="B3:M3"/>
    <mergeCell ref="D38:F38"/>
    <mergeCell ref="A55:A56"/>
    <mergeCell ref="B55:G55"/>
    <mergeCell ref="H55:K55"/>
    <mergeCell ref="B56:C56"/>
    <mergeCell ref="D56:E56"/>
    <mergeCell ref="F56:G56"/>
    <mergeCell ref="B4:B6"/>
    <mergeCell ref="C4:C6"/>
    <mergeCell ref="H96:I96"/>
    <mergeCell ref="A144:A145"/>
    <mergeCell ref="B144:B145"/>
    <mergeCell ref="K5:K6"/>
    <mergeCell ref="F5:F6"/>
    <mergeCell ref="H82:I82"/>
    <mergeCell ref="J75:K75"/>
    <mergeCell ref="J96:K96"/>
    <mergeCell ref="A42:K42"/>
    <mergeCell ref="F57:G57"/>
    <mergeCell ref="D83:E83"/>
    <mergeCell ref="J83:K83"/>
    <mergeCell ref="L83:M83"/>
    <mergeCell ref="D4:F4"/>
    <mergeCell ref="I4:K4"/>
    <mergeCell ref="D74:E74"/>
    <mergeCell ref="F74:G74"/>
    <mergeCell ref="H74:I74"/>
    <mergeCell ref="J74:K74"/>
    <mergeCell ref="L74:M74"/>
    <mergeCell ref="L96:M96"/>
    <mergeCell ref="J94:K94"/>
    <mergeCell ref="L94:M94"/>
    <mergeCell ref="J70:K70"/>
    <mergeCell ref="L80:M80"/>
    <mergeCell ref="J81:K81"/>
    <mergeCell ref="L82:M82"/>
    <mergeCell ref="J93:K93"/>
    <mergeCell ref="L72:M72"/>
    <mergeCell ref="L93:M93"/>
    <mergeCell ref="F78:I78"/>
    <mergeCell ref="H70:I70"/>
    <mergeCell ref="F96:G96"/>
    <mergeCell ref="B96:C96"/>
    <mergeCell ref="D96:E96"/>
    <mergeCell ref="B94:C94"/>
    <mergeCell ref="D94:E94"/>
    <mergeCell ref="B70:C70"/>
    <mergeCell ref="F83:G83"/>
    <mergeCell ref="H79:I79"/>
    <mergeCell ref="F94:G94"/>
    <mergeCell ref="D69:E69"/>
    <mergeCell ref="F69:G69"/>
    <mergeCell ref="B81:C81"/>
    <mergeCell ref="D81:E81"/>
    <mergeCell ref="F81:G81"/>
    <mergeCell ref="B79:C79"/>
    <mergeCell ref="B69:C69"/>
    <mergeCell ref="F70:G70"/>
    <mergeCell ref="B73:C73"/>
    <mergeCell ref="A3:A6"/>
    <mergeCell ref="A78:A79"/>
    <mergeCell ref="B78:C78"/>
    <mergeCell ref="D78:E78"/>
    <mergeCell ref="D79:E79"/>
    <mergeCell ref="D70:E70"/>
    <mergeCell ref="B57:C57"/>
    <mergeCell ref="D57:E57"/>
    <mergeCell ref="A43:A44"/>
    <mergeCell ref="B68:C68"/>
    <mergeCell ref="L4:M4"/>
    <mergeCell ref="G4:H4"/>
    <mergeCell ref="F80:G80"/>
    <mergeCell ref="H80:I80"/>
    <mergeCell ref="F79:G79"/>
    <mergeCell ref="J68:K68"/>
    <mergeCell ref="J69:K69"/>
    <mergeCell ref="J78:K78"/>
    <mergeCell ref="L76:M76"/>
    <mergeCell ref="L70:M70"/>
    <mergeCell ref="I108:I110"/>
    <mergeCell ref="I114:L114"/>
    <mergeCell ref="L81:M81"/>
    <mergeCell ref="J82:K82"/>
    <mergeCell ref="H83:I83"/>
    <mergeCell ref="H81:I81"/>
    <mergeCell ref="C108:H108"/>
    <mergeCell ref="H114:H115"/>
    <mergeCell ref="A98:C98"/>
    <mergeCell ref="A114:A115"/>
    <mergeCell ref="J80:K80"/>
    <mergeCell ref="B80:C80"/>
    <mergeCell ref="B82:C82"/>
    <mergeCell ref="D82:E82"/>
    <mergeCell ref="D80:E80"/>
    <mergeCell ref="B114:B115"/>
    <mergeCell ref="B108:B110"/>
    <mergeCell ref="C144:H144"/>
    <mergeCell ref="F82:G82"/>
    <mergeCell ref="C114:F114"/>
    <mergeCell ref="G114:G115"/>
    <mergeCell ref="C109:C110"/>
    <mergeCell ref="D109:H109"/>
    <mergeCell ref="H94:I94"/>
    <mergeCell ref="B83:C83"/>
    <mergeCell ref="D39:F39"/>
    <mergeCell ref="D40:F40"/>
    <mergeCell ref="A108:A110"/>
    <mergeCell ref="F125:I125"/>
    <mergeCell ref="B99:C99"/>
    <mergeCell ref="B100:C100"/>
    <mergeCell ref="B101:C101"/>
    <mergeCell ref="B102:C102"/>
    <mergeCell ref="B103:C103"/>
    <mergeCell ref="B104:C104"/>
  </mergeCells>
  <printOptions horizontalCentered="1"/>
  <pageMargins left="0.2362204724409449" right="0.2755905511811024" top="0.32" bottom="0.2" header="0.2362204724409449" footer="0.2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32"/>
  <sheetViews>
    <sheetView workbookViewId="0" topLeftCell="A19">
      <selection activeCell="A1" sqref="A1"/>
    </sheetView>
  </sheetViews>
  <sheetFormatPr defaultColWidth="9.00390625" defaultRowHeight="12.75"/>
  <cols>
    <col min="1" max="1" width="31.00390625" style="98" customWidth="1"/>
    <col min="2" max="4" width="8.875" style="114" customWidth="1"/>
    <col min="5" max="5" width="9.375" style="114" customWidth="1"/>
    <col min="6" max="7" width="8.875" style="114" customWidth="1"/>
    <col min="8" max="8" width="9.375" style="114" customWidth="1"/>
    <col min="9" max="9" width="8.875" style="114" customWidth="1"/>
    <col min="10" max="10" width="9.375" style="114" customWidth="1"/>
    <col min="11" max="11" width="9.875" style="114" customWidth="1"/>
    <col min="12" max="12" width="8.875" style="114" customWidth="1"/>
    <col min="13" max="14" width="8.125" style="114" customWidth="1"/>
    <col min="15" max="34" width="9.125" style="98" customWidth="1"/>
  </cols>
  <sheetData>
    <row r="1" spans="12:14" ht="15.75">
      <c r="L1" s="115"/>
      <c r="N1" s="116"/>
    </row>
    <row r="2" spans="1:14" ht="15.75" customHeight="1">
      <c r="A2" s="117"/>
      <c r="B2" s="118"/>
      <c r="C2" s="118"/>
      <c r="D2" s="118"/>
      <c r="E2" s="118"/>
      <c r="F2" s="118"/>
      <c r="G2" s="118"/>
      <c r="H2" s="118"/>
      <c r="L2" s="115"/>
      <c r="N2" s="116"/>
    </row>
    <row r="3" spans="1:14" ht="15.75" customHeight="1" thickBot="1">
      <c r="A3" s="119" t="s">
        <v>177</v>
      </c>
      <c r="B3" s="118"/>
      <c r="C3" s="118"/>
      <c r="D3" s="118"/>
      <c r="E3" s="118"/>
      <c r="F3" s="118"/>
      <c r="G3" s="118"/>
      <c r="H3" s="118"/>
      <c r="L3" s="115"/>
      <c r="N3" s="116"/>
    </row>
    <row r="4" spans="1:14" ht="21.75" customHeight="1" thickBot="1">
      <c r="A4" s="960" t="s">
        <v>0</v>
      </c>
      <c r="B4" s="1078" t="s">
        <v>178</v>
      </c>
      <c r="C4" s="1079"/>
      <c r="D4" s="1079"/>
      <c r="E4" s="1079"/>
      <c r="F4" s="1079"/>
      <c r="G4" s="1079"/>
      <c r="H4" s="1079"/>
      <c r="I4" s="1079"/>
      <c r="J4" s="1079"/>
      <c r="K4" s="1079"/>
      <c r="L4" s="1079"/>
      <c r="M4" s="1079"/>
      <c r="N4" s="1080"/>
    </row>
    <row r="5" spans="1:14" ht="10.5" customHeight="1">
      <c r="A5" s="961"/>
      <c r="B5" s="1" t="s">
        <v>1</v>
      </c>
      <c r="C5" s="2"/>
      <c r="D5" s="3"/>
      <c r="E5" s="1" t="s">
        <v>154</v>
      </c>
      <c r="F5" s="2"/>
      <c r="G5" s="3"/>
      <c r="H5" s="883" t="s">
        <v>173</v>
      </c>
      <c r="I5" s="884"/>
      <c r="J5" s="2" t="s">
        <v>155</v>
      </c>
      <c r="K5" s="4"/>
      <c r="L5" s="5"/>
      <c r="M5" s="883" t="s">
        <v>156</v>
      </c>
      <c r="N5" s="884"/>
    </row>
    <row r="6" spans="1:14" s="114" customFormat="1" ht="9.75">
      <c r="A6" s="961"/>
      <c r="B6" s="120" t="s">
        <v>179</v>
      </c>
      <c r="C6" s="121" t="s">
        <v>3</v>
      </c>
      <c r="D6" s="122" t="s">
        <v>4</v>
      </c>
      <c r="E6" s="120" t="s">
        <v>179</v>
      </c>
      <c r="F6" s="121" t="s">
        <v>3</v>
      </c>
      <c r="G6" s="122" t="s">
        <v>4</v>
      </c>
      <c r="H6" s="120" t="s">
        <v>4</v>
      </c>
      <c r="I6" s="122" t="s">
        <v>5</v>
      </c>
      <c r="J6" s="123" t="s">
        <v>179</v>
      </c>
      <c r="K6" s="121" t="s">
        <v>3</v>
      </c>
      <c r="L6" s="1075" t="s">
        <v>4</v>
      </c>
      <c r="M6" s="120" t="s">
        <v>4</v>
      </c>
      <c r="N6" s="122" t="s">
        <v>5</v>
      </c>
    </row>
    <row r="7" spans="1:14" s="114" customFormat="1" ht="10.5" customHeight="1" thickBot="1">
      <c r="A7" s="1077"/>
      <c r="B7" s="124" t="s">
        <v>6</v>
      </c>
      <c r="C7" s="125" t="s">
        <v>6</v>
      </c>
      <c r="D7" s="126"/>
      <c r="E7" s="124" t="s">
        <v>6</v>
      </c>
      <c r="F7" s="125" t="s">
        <v>6</v>
      </c>
      <c r="G7" s="126"/>
      <c r="H7" s="127" t="s">
        <v>7</v>
      </c>
      <c r="I7" s="126" t="s">
        <v>8</v>
      </c>
      <c r="J7" s="128" t="s">
        <v>6</v>
      </c>
      <c r="K7" s="125" t="s">
        <v>6</v>
      </c>
      <c r="L7" s="1076"/>
      <c r="M7" s="127" t="s">
        <v>7</v>
      </c>
      <c r="N7" s="126" t="s">
        <v>8</v>
      </c>
    </row>
    <row r="8" spans="1:14" ht="17.25" customHeight="1" thickTop="1">
      <c r="A8" s="129" t="s">
        <v>9</v>
      </c>
      <c r="B8" s="204">
        <v>986</v>
      </c>
      <c r="C8" s="17">
        <v>0</v>
      </c>
      <c r="D8" s="205">
        <f aca="true" t="shared" si="0" ref="D8:D16">SUM(B8:C8)</f>
        <v>986</v>
      </c>
      <c r="E8" s="130">
        <v>854.17</v>
      </c>
      <c r="F8" s="131"/>
      <c r="G8" s="132">
        <f aca="true" t="shared" si="1" ref="G8:G16">E8+F8</f>
        <v>854.17</v>
      </c>
      <c r="H8" s="133"/>
      <c r="I8" s="134"/>
      <c r="J8" s="130">
        <v>862</v>
      </c>
      <c r="K8" s="131">
        <v>0</v>
      </c>
      <c r="L8" s="132">
        <f aca="true" t="shared" si="2" ref="L8:L16">J8+K8</f>
        <v>862</v>
      </c>
      <c r="M8" s="133"/>
      <c r="N8" s="134"/>
    </row>
    <row r="9" spans="1:14" ht="17.25" customHeight="1">
      <c r="A9" s="135" t="s">
        <v>10</v>
      </c>
      <c r="B9" s="206">
        <v>457589</v>
      </c>
      <c r="C9" s="11">
        <v>992</v>
      </c>
      <c r="D9" s="207">
        <f t="shared" si="0"/>
        <v>458581</v>
      </c>
      <c r="E9" s="136">
        <v>479406.85</v>
      </c>
      <c r="F9" s="137">
        <v>973.76</v>
      </c>
      <c r="G9" s="138">
        <f t="shared" si="1"/>
        <v>480380.61</v>
      </c>
      <c r="H9" s="139">
        <f aca="true" t="shared" si="3" ref="H9:H36">+G9-D9</f>
        <v>21799.609999999986</v>
      </c>
      <c r="I9" s="140">
        <f>+G9/D9</f>
        <v>1.047537098135335</v>
      </c>
      <c r="J9" s="136">
        <v>490692</v>
      </c>
      <c r="K9" s="137">
        <v>970</v>
      </c>
      <c r="L9" s="138">
        <f t="shared" si="2"/>
        <v>491662</v>
      </c>
      <c r="M9" s="139">
        <f aca="true" t="shared" si="4" ref="M9:M36">+L9-G9</f>
        <v>11281.390000000014</v>
      </c>
      <c r="N9" s="140">
        <f>+L9/G9</f>
        <v>1.023484274271603</v>
      </c>
    </row>
    <row r="10" spans="1:14" ht="17.25" customHeight="1">
      <c r="A10" s="135" t="s">
        <v>11</v>
      </c>
      <c r="B10" s="206">
        <v>33913</v>
      </c>
      <c r="C10" s="11">
        <v>3400</v>
      </c>
      <c r="D10" s="207">
        <f t="shared" si="0"/>
        <v>37313</v>
      </c>
      <c r="E10" s="136">
        <v>39224.24</v>
      </c>
      <c r="F10" s="137">
        <v>72.85</v>
      </c>
      <c r="G10" s="138">
        <f t="shared" si="1"/>
        <v>39297.09</v>
      </c>
      <c r="H10" s="139">
        <f t="shared" si="3"/>
        <v>1984.0899999999965</v>
      </c>
      <c r="I10" s="140">
        <f>+G10/D10</f>
        <v>1.0531742288210542</v>
      </c>
      <c r="J10" s="136">
        <v>39000</v>
      </c>
      <c r="K10" s="137">
        <v>100</v>
      </c>
      <c r="L10" s="138">
        <f t="shared" si="2"/>
        <v>39100</v>
      </c>
      <c r="M10" s="139">
        <f t="shared" si="4"/>
        <v>-197.0899999999965</v>
      </c>
      <c r="N10" s="140">
        <f>+L10/G10</f>
        <v>0.9949846159092188</v>
      </c>
    </row>
    <row r="11" spans="1:14" ht="17.25" customHeight="1">
      <c r="A11" s="135" t="s">
        <v>12</v>
      </c>
      <c r="B11" s="206">
        <v>129.93</v>
      </c>
      <c r="C11" s="11"/>
      <c r="D11" s="207">
        <f t="shared" si="0"/>
        <v>129.93</v>
      </c>
      <c r="E11" s="136">
        <v>141.37</v>
      </c>
      <c r="F11" s="137">
        <v>9.96</v>
      </c>
      <c r="G11" s="138">
        <f t="shared" si="1"/>
        <v>151.33</v>
      </c>
      <c r="H11" s="139">
        <f t="shared" si="3"/>
        <v>21.400000000000006</v>
      </c>
      <c r="I11" s="140">
        <f>+G11/D11</f>
        <v>1.164704071423074</v>
      </c>
      <c r="J11" s="136">
        <v>145</v>
      </c>
      <c r="K11" s="137">
        <v>8</v>
      </c>
      <c r="L11" s="138">
        <f t="shared" si="2"/>
        <v>153</v>
      </c>
      <c r="M11" s="139">
        <f t="shared" si="4"/>
        <v>1.6699999999999875</v>
      </c>
      <c r="N11" s="140">
        <f>+L11/G11</f>
        <v>1.0110354853631136</v>
      </c>
    </row>
    <row r="12" spans="1:14" ht="17.25" customHeight="1">
      <c r="A12" s="135" t="s">
        <v>13</v>
      </c>
      <c r="B12" s="206">
        <f>71.72+209.23+558.74+635.18</f>
        <v>1474.87</v>
      </c>
      <c r="C12" s="11">
        <v>0</v>
      </c>
      <c r="D12" s="207">
        <f t="shared" si="0"/>
        <v>1474.87</v>
      </c>
      <c r="E12" s="136">
        <f>2246.66+179.45+525.79+650.89</f>
        <v>3602.7899999999995</v>
      </c>
      <c r="F12" s="137"/>
      <c r="G12" s="138">
        <f t="shared" si="1"/>
        <v>3602.7899999999995</v>
      </c>
      <c r="H12" s="139">
        <f t="shared" si="3"/>
        <v>2127.9199999999996</v>
      </c>
      <c r="I12" s="140">
        <f>+G12/D12</f>
        <v>2.442784787811807</v>
      </c>
      <c r="J12" s="136">
        <v>3500</v>
      </c>
      <c r="K12" s="137">
        <v>0</v>
      </c>
      <c r="L12" s="138">
        <f t="shared" si="2"/>
        <v>3500</v>
      </c>
      <c r="M12" s="139">
        <f t="shared" si="4"/>
        <v>-102.78999999999951</v>
      </c>
      <c r="N12" s="140">
        <f>+L12/G12</f>
        <v>0.9714693334887685</v>
      </c>
    </row>
    <row r="13" spans="1:14" ht="17.25" customHeight="1">
      <c r="A13" s="135" t="s">
        <v>14</v>
      </c>
      <c r="B13" s="206">
        <v>559</v>
      </c>
      <c r="C13" s="11">
        <v>0</v>
      </c>
      <c r="D13" s="207">
        <f t="shared" si="0"/>
        <v>559</v>
      </c>
      <c r="E13" s="136">
        <v>525.79</v>
      </c>
      <c r="F13" s="137"/>
      <c r="G13" s="138">
        <f t="shared" si="1"/>
        <v>525.79</v>
      </c>
      <c r="H13" s="139">
        <f t="shared" si="3"/>
        <v>-33.210000000000036</v>
      </c>
      <c r="I13" s="140">
        <f>+G13/D13</f>
        <v>0.9405903398926654</v>
      </c>
      <c r="J13" s="136">
        <v>500</v>
      </c>
      <c r="K13" s="137">
        <v>0</v>
      </c>
      <c r="L13" s="138">
        <f t="shared" si="2"/>
        <v>500</v>
      </c>
      <c r="M13" s="139">
        <f t="shared" si="4"/>
        <v>-25.789999999999964</v>
      </c>
      <c r="N13" s="140">
        <f>+L13/G13</f>
        <v>0.9509499990490501</v>
      </c>
    </row>
    <row r="14" spans="1:14" ht="17.25" customHeight="1">
      <c r="A14" s="135" t="s">
        <v>15</v>
      </c>
      <c r="B14" s="206">
        <v>0</v>
      </c>
      <c r="C14" s="11"/>
      <c r="D14" s="207">
        <f t="shared" si="0"/>
        <v>0</v>
      </c>
      <c r="E14" s="136">
        <v>0</v>
      </c>
      <c r="F14" s="137"/>
      <c r="G14" s="138">
        <f t="shared" si="1"/>
        <v>0</v>
      </c>
      <c r="H14" s="139">
        <f t="shared" si="3"/>
        <v>0</v>
      </c>
      <c r="I14" s="140"/>
      <c r="J14" s="136">
        <v>0</v>
      </c>
      <c r="K14" s="137">
        <v>0</v>
      </c>
      <c r="L14" s="138">
        <f t="shared" si="2"/>
        <v>0</v>
      </c>
      <c r="M14" s="139">
        <f t="shared" si="4"/>
        <v>0</v>
      </c>
      <c r="N14" s="140"/>
    </row>
    <row r="15" spans="1:14" ht="21" customHeight="1">
      <c r="A15" s="135" t="s">
        <v>16</v>
      </c>
      <c r="B15" s="206">
        <v>0</v>
      </c>
      <c r="C15" s="11"/>
      <c r="D15" s="207">
        <f t="shared" si="0"/>
        <v>0</v>
      </c>
      <c r="E15" s="136">
        <v>0</v>
      </c>
      <c r="F15" s="137"/>
      <c r="G15" s="138">
        <f t="shared" si="1"/>
        <v>0</v>
      </c>
      <c r="H15" s="139">
        <f t="shared" si="3"/>
        <v>0</v>
      </c>
      <c r="I15" s="140"/>
      <c r="J15" s="136">
        <v>0</v>
      </c>
      <c r="K15" s="137">
        <v>0</v>
      </c>
      <c r="L15" s="138">
        <f t="shared" si="2"/>
        <v>0</v>
      </c>
      <c r="M15" s="139">
        <f t="shared" si="4"/>
        <v>0</v>
      </c>
      <c r="N15" s="140"/>
    </row>
    <row r="16" spans="1:14" ht="18.75" customHeight="1" thickBot="1">
      <c r="A16" s="141" t="s">
        <v>17</v>
      </c>
      <c r="B16" s="208">
        <v>3786</v>
      </c>
      <c r="C16" s="209">
        <v>0</v>
      </c>
      <c r="D16" s="210">
        <f t="shared" si="0"/>
        <v>3786</v>
      </c>
      <c r="E16" s="142">
        <v>1722.86</v>
      </c>
      <c r="F16" s="143"/>
      <c r="G16" s="144">
        <f t="shared" si="1"/>
        <v>1722.86</v>
      </c>
      <c r="H16" s="145">
        <f t="shared" si="3"/>
        <v>-2063.1400000000003</v>
      </c>
      <c r="I16" s="146">
        <f>+G16/D16</f>
        <v>0.4550607501320655</v>
      </c>
      <c r="J16" s="142">
        <v>1457</v>
      </c>
      <c r="K16" s="143">
        <v>0</v>
      </c>
      <c r="L16" s="144">
        <f t="shared" si="2"/>
        <v>1457</v>
      </c>
      <c r="M16" s="145">
        <f t="shared" si="4"/>
        <v>-265.8599999999999</v>
      </c>
      <c r="N16" s="146">
        <f>+L16/G16</f>
        <v>0.8456868230732619</v>
      </c>
    </row>
    <row r="17" spans="1:14" ht="14.25" customHeight="1" thickBot="1">
      <c r="A17" s="147" t="s">
        <v>18</v>
      </c>
      <c r="B17" s="13">
        <f aca="true" t="shared" si="5" ref="B17:G17">SUM(B8+B9+B10+B11+B12+B14+B16)</f>
        <v>497878.8</v>
      </c>
      <c r="C17" s="33">
        <f t="shared" si="5"/>
        <v>4392</v>
      </c>
      <c r="D17" s="211">
        <f t="shared" si="5"/>
        <v>502270.8</v>
      </c>
      <c r="E17" s="150">
        <f t="shared" si="5"/>
        <v>524952.2799999999</v>
      </c>
      <c r="F17" s="151">
        <f t="shared" si="5"/>
        <v>1056.57</v>
      </c>
      <c r="G17" s="152">
        <f t="shared" si="5"/>
        <v>526008.85</v>
      </c>
      <c r="H17" s="153">
        <f t="shared" si="3"/>
        <v>23738.04999999999</v>
      </c>
      <c r="I17" s="154">
        <f>+G17/D17</f>
        <v>1.0472614573652301</v>
      </c>
      <c r="J17" s="150">
        <f>SUM(J8+J9+J10+J11+J12+J14+J16)</f>
        <v>535656</v>
      </c>
      <c r="K17" s="151">
        <f>SUM(K8+K9+K10+K11+K12+K14+K16)</f>
        <v>1078</v>
      </c>
      <c r="L17" s="152">
        <f>SUM(L8+L9+L10+L11+L12+L14+L16)</f>
        <v>536734</v>
      </c>
      <c r="M17" s="153">
        <f t="shared" si="4"/>
        <v>10725.150000000023</v>
      </c>
      <c r="N17" s="154">
        <f>+L17/G17</f>
        <v>1.0203896759531708</v>
      </c>
    </row>
    <row r="18" spans="1:34" s="20" customFormat="1" ht="18.75" customHeight="1">
      <c r="A18" s="129" t="s">
        <v>19</v>
      </c>
      <c r="B18" s="212">
        <v>108885.82</v>
      </c>
      <c r="C18" s="213">
        <v>92.8</v>
      </c>
      <c r="D18" s="205">
        <f aca="true" t="shared" si="6" ref="D18:D35">SUM(B18:C18)</f>
        <v>108978.62000000001</v>
      </c>
      <c r="E18" s="155">
        <v>117213.03</v>
      </c>
      <c r="F18" s="156">
        <v>116.15</v>
      </c>
      <c r="G18" s="132">
        <f aca="true" t="shared" si="7" ref="G18:G35">E18+F18</f>
        <v>117329.18</v>
      </c>
      <c r="H18" s="133">
        <f t="shared" si="3"/>
        <v>8350.559999999983</v>
      </c>
      <c r="I18" s="157">
        <f>+G18/D18</f>
        <v>1.0766256720813678</v>
      </c>
      <c r="J18" s="155">
        <v>110000</v>
      </c>
      <c r="K18" s="156">
        <v>100</v>
      </c>
      <c r="L18" s="132">
        <f aca="true" t="shared" si="8" ref="L18:L35">J18+K18</f>
        <v>110100</v>
      </c>
      <c r="M18" s="133">
        <f t="shared" si="4"/>
        <v>-7229.179999999993</v>
      </c>
      <c r="N18" s="157">
        <f>+L18/G18</f>
        <v>0.9383854894409047</v>
      </c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</row>
    <row r="19" spans="1:14" ht="18.75" customHeight="1">
      <c r="A19" s="135" t="s">
        <v>20</v>
      </c>
      <c r="B19" s="206">
        <v>3509</v>
      </c>
      <c r="C19" s="11">
        <v>4</v>
      </c>
      <c r="D19" s="205">
        <f t="shared" si="6"/>
        <v>3513</v>
      </c>
      <c r="E19" s="136">
        <v>9679</v>
      </c>
      <c r="F19" s="137">
        <v>37</v>
      </c>
      <c r="G19" s="132">
        <f t="shared" si="7"/>
        <v>9716</v>
      </c>
      <c r="H19" s="139">
        <f t="shared" si="3"/>
        <v>6203</v>
      </c>
      <c r="I19" s="140">
        <f>+G19/D19</f>
        <v>2.7657272986051806</v>
      </c>
      <c r="J19" s="136">
        <v>4500</v>
      </c>
      <c r="K19" s="137">
        <v>45</v>
      </c>
      <c r="L19" s="132">
        <f t="shared" si="8"/>
        <v>4545</v>
      </c>
      <c r="M19" s="133">
        <f t="shared" si="4"/>
        <v>-5171</v>
      </c>
      <c r="N19" s="157"/>
    </row>
    <row r="20" spans="1:14" ht="18.75" customHeight="1">
      <c r="A20" s="135" t="s">
        <v>21</v>
      </c>
      <c r="B20" s="206">
        <v>18584.04</v>
      </c>
      <c r="C20" s="11">
        <v>9.98</v>
      </c>
      <c r="D20" s="205">
        <f t="shared" si="6"/>
        <v>18594.02</v>
      </c>
      <c r="E20" s="136">
        <v>19319.53</v>
      </c>
      <c r="F20" s="137">
        <v>17.35</v>
      </c>
      <c r="G20" s="132">
        <f t="shared" si="7"/>
        <v>19336.879999999997</v>
      </c>
      <c r="H20" s="139">
        <f t="shared" si="3"/>
        <v>742.859999999997</v>
      </c>
      <c r="I20" s="140">
        <f>+G20/D20</f>
        <v>1.0399515543169253</v>
      </c>
      <c r="J20" s="136">
        <v>22500</v>
      </c>
      <c r="K20" s="137">
        <v>20</v>
      </c>
      <c r="L20" s="132">
        <f t="shared" si="8"/>
        <v>22520</v>
      </c>
      <c r="M20" s="133">
        <f t="shared" si="4"/>
        <v>3183.1200000000026</v>
      </c>
      <c r="N20" s="157">
        <f>+L20/G20</f>
        <v>1.1646139397875976</v>
      </c>
    </row>
    <row r="21" spans="1:14" ht="18.75" customHeight="1">
      <c r="A21" s="135" t="s">
        <v>22</v>
      </c>
      <c r="B21" s="206">
        <v>0</v>
      </c>
      <c r="C21" s="11">
        <v>0</v>
      </c>
      <c r="D21" s="205">
        <f t="shared" si="6"/>
        <v>0</v>
      </c>
      <c r="E21" s="136">
        <v>0</v>
      </c>
      <c r="F21" s="137">
        <v>0</v>
      </c>
      <c r="G21" s="132">
        <f t="shared" si="7"/>
        <v>0</v>
      </c>
      <c r="H21" s="139">
        <f t="shared" si="3"/>
        <v>0</v>
      </c>
      <c r="I21" s="140"/>
      <c r="J21" s="136">
        <v>0</v>
      </c>
      <c r="K21" s="137">
        <v>0</v>
      </c>
      <c r="L21" s="132">
        <f t="shared" si="8"/>
        <v>0</v>
      </c>
      <c r="M21" s="133">
        <f t="shared" si="4"/>
        <v>0</v>
      </c>
      <c r="N21" s="157"/>
    </row>
    <row r="22" spans="1:14" ht="18.75" customHeight="1">
      <c r="A22" s="135" t="s">
        <v>23</v>
      </c>
      <c r="B22" s="206">
        <v>28223.25</v>
      </c>
      <c r="C22" s="11">
        <v>2842.12</v>
      </c>
      <c r="D22" s="205">
        <f t="shared" si="6"/>
        <v>31065.37</v>
      </c>
      <c r="E22" s="136">
        <v>32998.41</v>
      </c>
      <c r="F22" s="137">
        <v>66.84</v>
      </c>
      <c r="G22" s="132">
        <f t="shared" si="7"/>
        <v>33065.25</v>
      </c>
      <c r="H22" s="139">
        <f t="shared" si="3"/>
        <v>1999.880000000001</v>
      </c>
      <c r="I22" s="140">
        <f aca="true" t="shared" si="9" ref="I22:I36">+G22/D22</f>
        <v>1.0643765067018356</v>
      </c>
      <c r="J22" s="136">
        <v>33000</v>
      </c>
      <c r="K22" s="137">
        <v>92</v>
      </c>
      <c r="L22" s="132">
        <f t="shared" si="8"/>
        <v>33092</v>
      </c>
      <c r="M22" s="133">
        <f t="shared" si="4"/>
        <v>26.75</v>
      </c>
      <c r="N22" s="157">
        <f aca="true" t="shared" si="10" ref="N22:N36">+L22/G22</f>
        <v>1.0008090064342474</v>
      </c>
    </row>
    <row r="23" spans="1:14" ht="18.75" customHeight="1">
      <c r="A23" s="135" t="s">
        <v>24</v>
      </c>
      <c r="B23" s="206">
        <f>11840.14+476.51+66.52+59215.32</f>
        <v>71598.49</v>
      </c>
      <c r="C23" s="11">
        <f>145.92+14.89</f>
        <v>160.81</v>
      </c>
      <c r="D23" s="205">
        <f t="shared" si="6"/>
        <v>71759.3</v>
      </c>
      <c r="E23" s="136">
        <f>12048.67+489.34+29.77+66109.21</f>
        <v>78676.99</v>
      </c>
      <c r="F23" s="137">
        <f>11.56+79.2</f>
        <v>90.76</v>
      </c>
      <c r="G23" s="132">
        <f t="shared" si="7"/>
        <v>78767.75</v>
      </c>
      <c r="H23" s="139">
        <f t="shared" si="3"/>
        <v>7008.449999999997</v>
      </c>
      <c r="I23" s="140">
        <f t="shared" si="9"/>
        <v>1.0976660864863508</v>
      </c>
      <c r="J23" s="136">
        <v>78820</v>
      </c>
      <c r="K23" s="137">
        <v>80</v>
      </c>
      <c r="L23" s="132">
        <f t="shared" si="8"/>
        <v>78900</v>
      </c>
      <c r="M23" s="133">
        <f t="shared" si="4"/>
        <v>132.25</v>
      </c>
      <c r="N23" s="157">
        <f t="shared" si="10"/>
        <v>1.0016789866411062</v>
      </c>
    </row>
    <row r="24" spans="1:14" ht="18.75" customHeight="1">
      <c r="A24" s="135" t="s">
        <v>25</v>
      </c>
      <c r="B24" s="214">
        <v>11840</v>
      </c>
      <c r="C24" s="11">
        <v>15</v>
      </c>
      <c r="D24" s="205">
        <f t="shared" si="6"/>
        <v>11855</v>
      </c>
      <c r="E24" s="159">
        <v>12048.67</v>
      </c>
      <c r="F24" s="137">
        <v>11.56</v>
      </c>
      <c r="G24" s="132">
        <f t="shared" si="7"/>
        <v>12060.23</v>
      </c>
      <c r="H24" s="139">
        <f t="shared" si="3"/>
        <v>205.22999999999956</v>
      </c>
      <c r="I24" s="140">
        <f t="shared" si="9"/>
        <v>1.0173116828342472</v>
      </c>
      <c r="J24" s="159">
        <v>12100</v>
      </c>
      <c r="K24" s="137">
        <v>0</v>
      </c>
      <c r="L24" s="132">
        <f t="shared" si="8"/>
        <v>12100</v>
      </c>
      <c r="M24" s="133">
        <f t="shared" si="4"/>
        <v>39.77000000000044</v>
      </c>
      <c r="N24" s="157">
        <f t="shared" si="10"/>
        <v>1.0032976153854445</v>
      </c>
    </row>
    <row r="25" spans="1:14" ht="18.75" customHeight="1">
      <c r="A25" s="135" t="s">
        <v>26</v>
      </c>
      <c r="B25" s="214">
        <v>59215</v>
      </c>
      <c r="C25" s="11">
        <v>146</v>
      </c>
      <c r="D25" s="205">
        <f t="shared" si="6"/>
        <v>59361</v>
      </c>
      <c r="E25" s="159">
        <v>66109.21</v>
      </c>
      <c r="F25" s="137">
        <v>79.2</v>
      </c>
      <c r="G25" s="132">
        <f t="shared" si="7"/>
        <v>66188.41</v>
      </c>
      <c r="H25" s="139">
        <f t="shared" si="3"/>
        <v>6827.4100000000035</v>
      </c>
      <c r="I25" s="140">
        <f t="shared" si="9"/>
        <v>1.1150150772392649</v>
      </c>
      <c r="J25" s="159">
        <v>66200</v>
      </c>
      <c r="K25" s="137">
        <v>80</v>
      </c>
      <c r="L25" s="132">
        <f t="shared" si="8"/>
        <v>66280</v>
      </c>
      <c r="M25" s="133">
        <f t="shared" si="4"/>
        <v>91.58999999999651</v>
      </c>
      <c r="N25" s="157">
        <f t="shared" si="10"/>
        <v>1.0013837770086937</v>
      </c>
    </row>
    <row r="26" spans="1:14" ht="18.75" customHeight="1">
      <c r="A26" s="160" t="s">
        <v>27</v>
      </c>
      <c r="B26" s="206">
        <f>191157.96+66850.57+3804.31+22.33</f>
        <v>261835.16999999998</v>
      </c>
      <c r="C26" s="11">
        <f>93.52+32.89+1.88</f>
        <v>128.29</v>
      </c>
      <c r="D26" s="205">
        <f t="shared" si="6"/>
        <v>261963.46</v>
      </c>
      <c r="E26" s="136">
        <f>198539.36+69438.55+4307.11+16.22</f>
        <v>272301.23999999993</v>
      </c>
      <c r="F26" s="137">
        <f>84.66+29.63+1.69</f>
        <v>115.97999999999999</v>
      </c>
      <c r="G26" s="132">
        <f t="shared" si="7"/>
        <v>272417.2199999999</v>
      </c>
      <c r="H26" s="139">
        <f t="shared" si="3"/>
        <v>10453.759999999922</v>
      </c>
      <c r="I26" s="140">
        <f t="shared" si="9"/>
        <v>1.0399054127625278</v>
      </c>
      <c r="J26" s="136">
        <v>302168.99337</v>
      </c>
      <c r="K26" s="137">
        <v>137.56363636363636</v>
      </c>
      <c r="L26" s="132">
        <f t="shared" si="8"/>
        <v>302306.55700636364</v>
      </c>
      <c r="M26" s="133">
        <f t="shared" si="4"/>
        <v>29889.337006363727</v>
      </c>
      <c r="N26" s="157">
        <f t="shared" si="10"/>
        <v>1.109718970799143</v>
      </c>
    </row>
    <row r="27" spans="1:14" ht="18.75" customHeight="1">
      <c r="A27" s="135" t="s">
        <v>28</v>
      </c>
      <c r="B27" s="214">
        <v>191158</v>
      </c>
      <c r="C27" s="215">
        <v>94</v>
      </c>
      <c r="D27" s="205">
        <f t="shared" si="6"/>
        <v>191252</v>
      </c>
      <c r="E27" s="159">
        <v>198539.36</v>
      </c>
      <c r="F27" s="161">
        <v>84.66</v>
      </c>
      <c r="G27" s="132">
        <f t="shared" si="7"/>
        <v>198624.02</v>
      </c>
      <c r="H27" s="139">
        <f t="shared" si="3"/>
        <v>7372.0199999999895</v>
      </c>
      <c r="I27" s="140">
        <f t="shared" si="9"/>
        <v>1.0385461067073807</v>
      </c>
      <c r="J27" s="159">
        <v>219923.66</v>
      </c>
      <c r="K27" s="161">
        <v>100.35927272727272</v>
      </c>
      <c r="L27" s="132">
        <f t="shared" si="8"/>
        <v>220024.01927272728</v>
      </c>
      <c r="M27" s="133">
        <f t="shared" si="4"/>
        <v>21399.99927272729</v>
      </c>
      <c r="N27" s="157">
        <f t="shared" si="10"/>
        <v>1.1077412453575721</v>
      </c>
    </row>
    <row r="28" spans="1:14" ht="18.75" customHeight="1">
      <c r="A28" s="160" t="s">
        <v>29</v>
      </c>
      <c r="B28" s="206">
        <v>189780</v>
      </c>
      <c r="C28" s="11"/>
      <c r="D28" s="205">
        <f t="shared" si="6"/>
        <v>189780</v>
      </c>
      <c r="E28" s="136">
        <v>197208.452</v>
      </c>
      <c r="F28" s="137">
        <v>84.659</v>
      </c>
      <c r="G28" s="132">
        <v>197293.111</v>
      </c>
      <c r="H28" s="139">
        <f t="shared" si="3"/>
        <v>7513.111000000004</v>
      </c>
      <c r="I28" s="140">
        <f t="shared" si="9"/>
        <v>1.0395885288228475</v>
      </c>
      <c r="J28" s="136">
        <v>218368.23799999998</v>
      </c>
      <c r="K28" s="137">
        <v>100.35927272727272</v>
      </c>
      <c r="L28" s="132">
        <f t="shared" si="8"/>
        <v>218468.59727272726</v>
      </c>
      <c r="M28" s="133">
        <f t="shared" si="4"/>
        <v>21175.486272727256</v>
      </c>
      <c r="N28" s="157">
        <f t="shared" si="10"/>
        <v>1.107330084488998</v>
      </c>
    </row>
    <row r="29" spans="1:14" ht="18.75" customHeight="1">
      <c r="A29" s="135" t="s">
        <v>30</v>
      </c>
      <c r="B29" s="206">
        <v>1378</v>
      </c>
      <c r="C29" s="11"/>
      <c r="D29" s="205">
        <f t="shared" si="6"/>
        <v>1378</v>
      </c>
      <c r="E29" s="136">
        <v>1330.5480000000098</v>
      </c>
      <c r="F29" s="137">
        <v>0</v>
      </c>
      <c r="G29" s="132">
        <v>1330.5480000000098</v>
      </c>
      <c r="H29" s="139">
        <f t="shared" si="3"/>
        <v>-47.45199999999022</v>
      </c>
      <c r="I29" s="140">
        <f t="shared" si="9"/>
        <v>0.9655645863570462</v>
      </c>
      <c r="J29" s="136">
        <v>1555.422</v>
      </c>
      <c r="K29" s="137">
        <v>0</v>
      </c>
      <c r="L29" s="132">
        <f t="shared" si="8"/>
        <v>1555.422</v>
      </c>
      <c r="M29" s="133">
        <f t="shared" si="4"/>
        <v>224.87399999999025</v>
      </c>
      <c r="N29" s="157">
        <f t="shared" si="10"/>
        <v>1.1690085588794907</v>
      </c>
    </row>
    <row r="30" spans="1:14" ht="18.75" customHeight="1">
      <c r="A30" s="135" t="s">
        <v>31</v>
      </c>
      <c r="B30" s="206">
        <f>66850.57+3804.31+22.33</f>
        <v>70677.21</v>
      </c>
      <c r="C30" s="11">
        <f>32.89+1.88</f>
        <v>34.77</v>
      </c>
      <c r="D30" s="205">
        <f t="shared" si="6"/>
        <v>70711.98000000001</v>
      </c>
      <c r="E30" s="136">
        <v>73761.88</v>
      </c>
      <c r="F30" s="137">
        <v>31</v>
      </c>
      <c r="G30" s="132">
        <v>73792.88</v>
      </c>
      <c r="H30" s="139">
        <f t="shared" si="3"/>
        <v>3080.899999999994</v>
      </c>
      <c r="I30" s="140">
        <f t="shared" si="9"/>
        <v>1.0435697034646745</v>
      </c>
      <c r="J30" s="136">
        <v>82245.33337000001</v>
      </c>
      <c r="K30" s="137">
        <v>37.20436363636364</v>
      </c>
      <c r="L30" s="132">
        <f t="shared" si="8"/>
        <v>82282.53773363637</v>
      </c>
      <c r="M30" s="133">
        <f t="shared" si="4"/>
        <v>8489.65773363637</v>
      </c>
      <c r="N30" s="157">
        <f t="shared" si="10"/>
        <v>1.115047112047075</v>
      </c>
    </row>
    <row r="31" spans="1:14" ht="18.75" customHeight="1">
      <c r="A31" s="160" t="s">
        <v>32</v>
      </c>
      <c r="B31" s="206">
        <v>0.89</v>
      </c>
      <c r="C31" s="11">
        <v>0</v>
      </c>
      <c r="D31" s="205">
        <f t="shared" si="6"/>
        <v>0.89</v>
      </c>
      <c r="E31" s="136">
        <v>0.77</v>
      </c>
      <c r="F31" s="137"/>
      <c r="G31" s="132">
        <f t="shared" si="7"/>
        <v>0.77</v>
      </c>
      <c r="H31" s="139">
        <f t="shared" si="3"/>
        <v>-0.12</v>
      </c>
      <c r="I31" s="140">
        <f t="shared" si="9"/>
        <v>0.8651685393258427</v>
      </c>
      <c r="J31" s="136">
        <v>1</v>
      </c>
      <c r="K31" s="137">
        <v>0</v>
      </c>
      <c r="L31" s="132">
        <f t="shared" si="8"/>
        <v>1</v>
      </c>
      <c r="M31" s="133">
        <f t="shared" si="4"/>
        <v>0.22999999999999998</v>
      </c>
      <c r="N31" s="157">
        <f t="shared" si="10"/>
        <v>1.2987012987012987</v>
      </c>
    </row>
    <row r="32" spans="1:14" ht="18.75" customHeight="1">
      <c r="A32" s="160" t="s">
        <v>33</v>
      </c>
      <c r="B32" s="206">
        <f>45.66+1.46+200.05+937.76+3847.41</f>
        <v>5032.34</v>
      </c>
      <c r="C32" s="11">
        <v>6</v>
      </c>
      <c r="D32" s="205">
        <f t="shared" si="6"/>
        <v>5038.34</v>
      </c>
      <c r="E32" s="136">
        <f>37.11+96.99+21.03+98.23+2018.87</f>
        <v>2272.23</v>
      </c>
      <c r="F32" s="137">
        <f>0.8+0.25</f>
        <v>1.05</v>
      </c>
      <c r="G32" s="132">
        <f t="shared" si="7"/>
        <v>2273.28</v>
      </c>
      <c r="H32" s="139">
        <f t="shared" si="3"/>
        <v>-2765.06</v>
      </c>
      <c r="I32" s="140">
        <f t="shared" si="9"/>
        <v>0.45119622732884246</v>
      </c>
      <c r="J32" s="136">
        <v>2100</v>
      </c>
      <c r="K32" s="137">
        <v>0.6</v>
      </c>
      <c r="L32" s="132">
        <f t="shared" si="8"/>
        <v>2100.6</v>
      </c>
      <c r="M32" s="133">
        <f t="shared" si="4"/>
        <v>-172.6800000000003</v>
      </c>
      <c r="N32" s="157">
        <f t="shared" si="10"/>
        <v>0.9240392736486486</v>
      </c>
    </row>
    <row r="33" spans="1:14" ht="18.75" customHeight="1">
      <c r="A33" s="135" t="s">
        <v>34</v>
      </c>
      <c r="B33" s="214">
        <v>3359.6</v>
      </c>
      <c r="C33" s="11"/>
      <c r="D33" s="205">
        <f t="shared" si="6"/>
        <v>3359.6</v>
      </c>
      <c r="E33" s="159">
        <v>2303.56</v>
      </c>
      <c r="F33" s="137"/>
      <c r="G33" s="132">
        <f t="shared" si="7"/>
        <v>2303.56</v>
      </c>
      <c r="H33" s="139">
        <f t="shared" si="3"/>
        <v>-1056.04</v>
      </c>
      <c r="I33" s="140">
        <f t="shared" si="9"/>
        <v>0.6856649601142993</v>
      </c>
      <c r="J33" s="159">
        <v>5213.525</v>
      </c>
      <c r="K33" s="137">
        <v>0</v>
      </c>
      <c r="L33" s="132">
        <f t="shared" si="8"/>
        <v>5213.525</v>
      </c>
      <c r="M33" s="133">
        <f t="shared" si="4"/>
        <v>2909.9649999999997</v>
      </c>
      <c r="N33" s="157">
        <f t="shared" si="10"/>
        <v>2.263246887426418</v>
      </c>
    </row>
    <row r="34" spans="1:14" ht="18.75" customHeight="1">
      <c r="A34" s="135" t="s">
        <v>35</v>
      </c>
      <c r="B34" s="214">
        <v>3360</v>
      </c>
      <c r="C34" s="11">
        <v>0</v>
      </c>
      <c r="D34" s="205">
        <f t="shared" si="6"/>
        <v>3360</v>
      </c>
      <c r="E34" s="159">
        <v>2303.56</v>
      </c>
      <c r="F34" s="137"/>
      <c r="G34" s="132">
        <f t="shared" si="7"/>
        <v>2303.56</v>
      </c>
      <c r="H34" s="139">
        <f t="shared" si="3"/>
        <v>-1056.44</v>
      </c>
      <c r="I34" s="140">
        <f t="shared" si="9"/>
        <v>0.6855833333333333</v>
      </c>
      <c r="J34" s="159">
        <v>5213.525</v>
      </c>
      <c r="K34" s="137">
        <v>0</v>
      </c>
      <c r="L34" s="132">
        <f t="shared" si="8"/>
        <v>5213.525</v>
      </c>
      <c r="M34" s="133">
        <f t="shared" si="4"/>
        <v>2909.9649999999997</v>
      </c>
      <c r="N34" s="157">
        <f t="shared" si="10"/>
        <v>2.263246887426418</v>
      </c>
    </row>
    <row r="35" spans="1:14" ht="18.75" customHeight="1" thickBot="1">
      <c r="A35" s="162" t="s">
        <v>36</v>
      </c>
      <c r="B35" s="216">
        <f>1304.4-62.32</f>
        <v>1242.0800000000002</v>
      </c>
      <c r="C35" s="209">
        <v>0</v>
      </c>
      <c r="D35" s="217">
        <f t="shared" si="6"/>
        <v>1242.0800000000002</v>
      </c>
      <c r="E35" s="163">
        <f>500+10.82</f>
        <v>510.82</v>
      </c>
      <c r="F35" s="143"/>
      <c r="G35" s="164">
        <f t="shared" si="7"/>
        <v>510.82</v>
      </c>
      <c r="H35" s="145">
        <f t="shared" si="3"/>
        <v>-731.2600000000002</v>
      </c>
      <c r="I35" s="146">
        <f t="shared" si="9"/>
        <v>0.41126175447636215</v>
      </c>
      <c r="J35" s="163">
        <v>0</v>
      </c>
      <c r="K35" s="143">
        <v>0</v>
      </c>
      <c r="L35" s="164">
        <f t="shared" si="8"/>
        <v>0</v>
      </c>
      <c r="M35" s="133">
        <f t="shared" si="4"/>
        <v>-510.82</v>
      </c>
      <c r="N35" s="157">
        <f t="shared" si="10"/>
        <v>0</v>
      </c>
    </row>
    <row r="36" spans="1:14" ht="20.25" customHeight="1" thickBot="1">
      <c r="A36" s="147" t="s">
        <v>37</v>
      </c>
      <c r="B36" s="16">
        <f aca="true" t="shared" si="11" ref="B36:G36">SUM(B18+B20+B21+B22+B23+B26+B31+B32+B33+B35)</f>
        <v>498761.68000000005</v>
      </c>
      <c r="C36" s="14">
        <f t="shared" si="11"/>
        <v>3240</v>
      </c>
      <c r="D36" s="15">
        <f t="shared" si="11"/>
        <v>502001.68000000005</v>
      </c>
      <c r="E36" s="148">
        <f t="shared" si="11"/>
        <v>525596.58</v>
      </c>
      <c r="F36" s="149">
        <f t="shared" si="11"/>
        <v>408.13000000000005</v>
      </c>
      <c r="G36" s="165">
        <f t="shared" si="11"/>
        <v>526004.71</v>
      </c>
      <c r="H36" s="153">
        <f t="shared" si="3"/>
        <v>24003.02999999991</v>
      </c>
      <c r="I36" s="154">
        <f t="shared" si="9"/>
        <v>1.047814640779688</v>
      </c>
      <c r="J36" s="148">
        <f>SUM(J18+J20+J21+J22+J23+J26+J31+J32+J33+J35)</f>
        <v>553803.5183700001</v>
      </c>
      <c r="K36" s="149">
        <f>SUM(K18+K20+K21+K22+K23+K26+K31+K32+K33+K35)</f>
        <v>430.1636363636364</v>
      </c>
      <c r="L36" s="165">
        <f>SUM(L18+L20+L21+L22+L23+L26+L31+L32+L33+L35)</f>
        <v>554233.6820063636</v>
      </c>
      <c r="M36" s="153">
        <f t="shared" si="4"/>
        <v>28228.972006363678</v>
      </c>
      <c r="N36" s="154">
        <f t="shared" si="10"/>
        <v>1.0536667666081616</v>
      </c>
    </row>
    <row r="37" spans="1:14" ht="14.25" customHeight="1" thickBot="1">
      <c r="A37" s="147" t="s">
        <v>38</v>
      </c>
      <c r="B37" s="862">
        <f>+D17-D36</f>
        <v>269.11999999993714</v>
      </c>
      <c r="C37" s="1071"/>
      <c r="D37" s="1072"/>
      <c r="E37" s="862">
        <f>+G17-G36</f>
        <v>4.14000000001397</v>
      </c>
      <c r="F37" s="1071">
        <f>SUM(F17-F36)</f>
        <v>648.4399999999998</v>
      </c>
      <c r="G37" s="1072">
        <f>SUM(G17-G36)</f>
        <v>4.14000000001397</v>
      </c>
      <c r="H37" s="166"/>
      <c r="I37" s="167"/>
      <c r="J37" s="862">
        <f>+L17-L36</f>
        <v>-17499.68200636364</v>
      </c>
      <c r="K37" s="1071">
        <v>647.8363636363636</v>
      </c>
      <c r="L37" s="1072">
        <v>-9900.402006363729</v>
      </c>
      <c r="M37" s="166"/>
      <c r="N37" s="167"/>
    </row>
    <row r="38" spans="1:34" ht="19.5" customHeight="1" thickBot="1">
      <c r="A38" s="18" t="s">
        <v>39</v>
      </c>
      <c r="B38" s="862">
        <v>-52907.81</v>
      </c>
      <c r="C38" s="1073"/>
      <c r="D38" s="1074"/>
      <c r="E38" s="862">
        <v>-18880.2</v>
      </c>
      <c r="F38" s="1073"/>
      <c r="G38" s="1074"/>
      <c r="H38"/>
      <c r="I38"/>
      <c r="J38" s="504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3.5" customHeight="1" thickBot="1">
      <c r="A39" s="19" t="s">
        <v>40</v>
      </c>
      <c r="B39" s="855">
        <f>SUM(B37:D38)</f>
        <v>-52638.69000000006</v>
      </c>
      <c r="C39" s="998"/>
      <c r="D39" s="868"/>
      <c r="E39" s="855">
        <f>+E37+E38</f>
        <v>-18876.059999999987</v>
      </c>
      <c r="F39" s="998"/>
      <c r="G39" s="868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ht="7.5" customHeight="1" thickBot="1">
      <c r="A40" s="168"/>
    </row>
    <row r="41" spans="1:14" ht="17.25" customHeight="1" thickBot="1">
      <c r="A41" s="1115" t="s">
        <v>157</v>
      </c>
      <c r="B41" s="877"/>
      <c r="C41" s="877"/>
      <c r="D41" s="877"/>
      <c r="E41" s="877"/>
      <c r="F41" s="877"/>
      <c r="G41" s="877"/>
      <c r="H41" s="877"/>
      <c r="I41" s="877"/>
      <c r="J41" s="877"/>
      <c r="K41" s="878"/>
      <c r="L41"/>
      <c r="M41"/>
      <c r="N41"/>
    </row>
    <row r="42" spans="1:32" s="20" customFormat="1" ht="22.5" customHeight="1">
      <c r="A42" s="874" t="s">
        <v>42</v>
      </c>
      <c r="B42" s="1122" t="s">
        <v>147</v>
      </c>
      <c r="C42" s="968"/>
      <c r="D42" s="968"/>
      <c r="E42" s="841"/>
      <c r="F42" s="779"/>
      <c r="G42" s="1122" t="s">
        <v>148</v>
      </c>
      <c r="H42" s="841"/>
      <c r="I42" s="841"/>
      <c r="J42" s="841"/>
      <c r="K42" s="779"/>
      <c r="L42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</row>
    <row r="43" spans="1:34" ht="13.5" thickBot="1">
      <c r="A43" s="875"/>
      <c r="B43" s="24">
        <v>2004</v>
      </c>
      <c r="C43" s="21">
        <v>2005</v>
      </c>
      <c r="D43" s="21">
        <v>2006</v>
      </c>
      <c r="E43" s="22" t="s">
        <v>7</v>
      </c>
      <c r="F43" s="23" t="s">
        <v>48</v>
      </c>
      <c r="G43" s="24">
        <v>2004</v>
      </c>
      <c r="H43" s="21">
        <v>2005</v>
      </c>
      <c r="I43" s="21">
        <v>2006</v>
      </c>
      <c r="J43" s="22" t="s">
        <v>7</v>
      </c>
      <c r="K43" s="23" t="s">
        <v>48</v>
      </c>
      <c r="L43" s="98"/>
      <c r="M43" s="98"/>
      <c r="N43" s="98"/>
      <c r="AE43"/>
      <c r="AF43"/>
      <c r="AG43"/>
      <c r="AH43"/>
    </row>
    <row r="44" spans="1:30" s="20" customFormat="1" ht="25.5" customHeight="1">
      <c r="A44" s="218" t="s">
        <v>141</v>
      </c>
      <c r="B44" s="56">
        <v>1657000</v>
      </c>
      <c r="C44" s="25">
        <v>1680000</v>
      </c>
      <c r="D44" s="25">
        <v>1457000</v>
      </c>
      <c r="E44" s="17">
        <f>+D44-C44</f>
        <v>-223000</v>
      </c>
      <c r="F44" s="26">
        <f>+D44/C44</f>
        <v>0.8672619047619048</v>
      </c>
      <c r="G44" s="27">
        <v>0</v>
      </c>
      <c r="H44" s="28">
        <v>0</v>
      </c>
      <c r="I44" s="28">
        <v>0</v>
      </c>
      <c r="J44" s="17">
        <f>+I44-H44</f>
        <v>0</v>
      </c>
      <c r="K44" s="26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</row>
    <row r="45" spans="1:30" s="20" customFormat="1" ht="21" customHeight="1">
      <c r="A45" s="219" t="s">
        <v>142</v>
      </c>
      <c r="B45" s="27">
        <v>1232000</v>
      </c>
      <c r="C45" s="25">
        <v>0</v>
      </c>
      <c r="D45" s="25">
        <v>0</v>
      </c>
      <c r="E45" s="17">
        <f aca="true" t="shared" si="12" ref="E45:E51">+D45-C45</f>
        <v>0</v>
      </c>
      <c r="F45" s="26"/>
      <c r="G45" s="27">
        <v>21068000</v>
      </c>
      <c r="H45" s="28">
        <v>24400000</v>
      </c>
      <c r="I45" s="28">
        <f>+B58</f>
        <v>24400000</v>
      </c>
      <c r="J45" s="17">
        <f aca="true" t="shared" si="13" ref="J45:J52">+I45-H45</f>
        <v>0</v>
      </c>
      <c r="K45" s="26">
        <f>+I45/H45</f>
        <v>1</v>
      </c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</row>
    <row r="46" spans="1:30" s="20" customFormat="1" ht="21" customHeight="1">
      <c r="A46" s="220" t="s">
        <v>143</v>
      </c>
      <c r="B46" s="27">
        <v>775240.42</v>
      </c>
      <c r="C46" s="25">
        <v>0</v>
      </c>
      <c r="D46" s="25">
        <v>0</v>
      </c>
      <c r="E46" s="17">
        <f t="shared" si="12"/>
        <v>0</v>
      </c>
      <c r="F46" s="26"/>
      <c r="G46" s="27">
        <v>1690747.04</v>
      </c>
      <c r="H46" s="28">
        <v>1564896.93</v>
      </c>
      <c r="I46" s="28">
        <f>+G127</f>
        <v>160297.58</v>
      </c>
      <c r="J46" s="17">
        <f t="shared" si="13"/>
        <v>-1404599.3499999999</v>
      </c>
      <c r="K46" s="26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</row>
    <row r="47" spans="1:30" s="20" customFormat="1" ht="21" customHeight="1">
      <c r="A47" s="220" t="s">
        <v>144</v>
      </c>
      <c r="B47" s="27">
        <v>68651</v>
      </c>
      <c r="C47" s="25"/>
      <c r="D47" s="25">
        <v>0</v>
      </c>
      <c r="E47" s="17">
        <f t="shared" si="12"/>
        <v>0</v>
      </c>
      <c r="F47" s="26"/>
      <c r="G47" s="27">
        <v>83322</v>
      </c>
      <c r="H47" s="28">
        <v>124412.1</v>
      </c>
      <c r="I47" s="28">
        <v>0</v>
      </c>
      <c r="J47" s="17">
        <f t="shared" si="13"/>
        <v>-124412.1</v>
      </c>
      <c r="K47" s="26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</row>
    <row r="48" spans="1:30" s="20" customFormat="1" ht="21" customHeight="1">
      <c r="A48" s="58" t="s">
        <v>49</v>
      </c>
      <c r="B48" s="31"/>
      <c r="C48" s="25">
        <v>0</v>
      </c>
      <c r="D48" s="25">
        <v>0</v>
      </c>
      <c r="E48" s="17">
        <f t="shared" si="12"/>
        <v>0</v>
      </c>
      <c r="F48" s="26"/>
      <c r="G48" s="31">
        <v>1575000</v>
      </c>
      <c r="H48" s="221"/>
      <c r="I48" s="221">
        <v>0</v>
      </c>
      <c r="J48" s="17">
        <f t="shared" si="13"/>
        <v>0</v>
      </c>
      <c r="K48" s="26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</row>
    <row r="49" spans="1:30" s="20" customFormat="1" ht="21" customHeight="1">
      <c r="A49" s="57" t="s">
        <v>180</v>
      </c>
      <c r="B49" s="27"/>
      <c r="C49" s="25"/>
      <c r="D49" s="25">
        <v>0</v>
      </c>
      <c r="E49" s="17">
        <f t="shared" si="12"/>
        <v>0</v>
      </c>
      <c r="F49" s="26"/>
      <c r="G49" s="27"/>
      <c r="H49" s="28">
        <v>7743000</v>
      </c>
      <c r="I49" s="28">
        <v>0</v>
      </c>
      <c r="J49" s="17">
        <f t="shared" si="13"/>
        <v>-7743000</v>
      </c>
      <c r="K49" s="26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</row>
    <row r="50" spans="1:30" s="20" customFormat="1" ht="21" customHeight="1">
      <c r="A50" s="202" t="s">
        <v>186</v>
      </c>
      <c r="B50" s="27"/>
      <c r="C50" s="25">
        <v>0</v>
      </c>
      <c r="D50" s="25">
        <v>0</v>
      </c>
      <c r="E50" s="17">
        <f t="shared" si="12"/>
        <v>0</v>
      </c>
      <c r="F50" s="26"/>
      <c r="G50" s="27"/>
      <c r="H50" s="28">
        <v>38425000</v>
      </c>
      <c r="I50" s="28">
        <v>0</v>
      </c>
      <c r="J50" s="17">
        <f t="shared" si="13"/>
        <v>-38425000</v>
      </c>
      <c r="K50" s="26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</row>
    <row r="51" spans="1:30" s="20" customFormat="1" ht="21" customHeight="1" thickBot="1">
      <c r="A51" s="241" t="s">
        <v>181</v>
      </c>
      <c r="B51" s="31">
        <v>53143</v>
      </c>
      <c r="C51" s="242">
        <v>42857</v>
      </c>
      <c r="D51" s="242">
        <v>0</v>
      </c>
      <c r="E51" s="17">
        <f t="shared" si="12"/>
        <v>-42857</v>
      </c>
      <c r="F51" s="243"/>
      <c r="G51" s="31"/>
      <c r="H51" s="221"/>
      <c r="I51" s="221"/>
      <c r="J51" s="17">
        <f t="shared" si="13"/>
        <v>0</v>
      </c>
      <c r="K51" s="243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</row>
    <row r="52" spans="1:30" s="20" customFormat="1" ht="18.75" customHeight="1" thickBot="1">
      <c r="A52" s="59" t="s">
        <v>54</v>
      </c>
      <c r="B52" s="16">
        <f>SUM(B44:B51)</f>
        <v>3786034.42</v>
      </c>
      <c r="C52" s="33">
        <f>SUM(C44:C51)</f>
        <v>1722857</v>
      </c>
      <c r="D52" s="33">
        <f>SUM(D44:D51)</f>
        <v>1457000</v>
      </c>
      <c r="E52" s="33">
        <f>+D52-C52</f>
        <v>-265857</v>
      </c>
      <c r="F52" s="244">
        <f>+D52/C52</f>
        <v>0.8456882956623795</v>
      </c>
      <c r="G52" s="16">
        <f>SUM(G44:G51)</f>
        <v>24417069.04</v>
      </c>
      <c r="H52" s="33">
        <f>SUM(H44:H51)</f>
        <v>72257309.03</v>
      </c>
      <c r="I52" s="33">
        <f>SUM(I44:I51)</f>
        <v>24560297.58</v>
      </c>
      <c r="J52" s="33">
        <f t="shared" si="13"/>
        <v>-47697011.45</v>
      </c>
      <c r="K52" s="244">
        <f>+I52/H52</f>
        <v>0.339900529229548</v>
      </c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</row>
    <row r="53" spans="1:34" ht="10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3.5" thickBo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11" s="98" customFormat="1" ht="18" customHeight="1">
      <c r="A55" s="1116" t="s">
        <v>44</v>
      </c>
      <c r="B55" s="840" t="s">
        <v>41</v>
      </c>
      <c r="C55" s="1118"/>
      <c r="D55" s="1118"/>
      <c r="E55" s="1118"/>
      <c r="F55" s="1118"/>
      <c r="G55" s="1119"/>
      <c r="H55" s="840" t="s">
        <v>146</v>
      </c>
      <c r="I55" s="1120"/>
      <c r="J55" s="1120"/>
      <c r="K55" s="1121"/>
    </row>
    <row r="56" spans="1:11" s="98" customFormat="1" ht="31.5" customHeight="1" thickBot="1">
      <c r="A56" s="1117"/>
      <c r="B56" s="914" t="s">
        <v>45</v>
      </c>
      <c r="C56" s="817"/>
      <c r="D56" s="816" t="s">
        <v>46</v>
      </c>
      <c r="E56" s="817"/>
      <c r="F56" s="816" t="s">
        <v>47</v>
      </c>
      <c r="G56" s="924"/>
      <c r="H56" s="110" t="s">
        <v>50</v>
      </c>
      <c r="I56" s="108" t="s">
        <v>52</v>
      </c>
      <c r="J56" s="109" t="s">
        <v>51</v>
      </c>
      <c r="K56" s="85" t="s">
        <v>53</v>
      </c>
    </row>
    <row r="57" spans="1:11" s="98" customFormat="1" ht="22.5" customHeight="1">
      <c r="A57" s="111">
        <v>2004</v>
      </c>
      <c r="B57" s="1111">
        <f>SUM(D57:G57)</f>
        <v>22300000</v>
      </c>
      <c r="C57" s="823"/>
      <c r="D57" s="822">
        <v>15000000</v>
      </c>
      <c r="E57" s="823"/>
      <c r="F57" s="822">
        <v>7300000</v>
      </c>
      <c r="G57" s="1112"/>
      <c r="H57" s="105">
        <f>+G45/B57</f>
        <v>0.9447533632286995</v>
      </c>
      <c r="I57" s="106">
        <v>0.2238</v>
      </c>
      <c r="J57" s="106">
        <v>0.7209</v>
      </c>
      <c r="K57" s="107">
        <f>+B45/B57</f>
        <v>0.05524663677130045</v>
      </c>
    </row>
    <row r="58" spans="1:11" s="98" customFormat="1" ht="22.5" customHeight="1">
      <c r="A58" s="112">
        <v>2005</v>
      </c>
      <c r="B58" s="1113">
        <f>SUM(D58:G58)</f>
        <v>24400000</v>
      </c>
      <c r="C58" s="845"/>
      <c r="D58" s="844">
        <v>17000000</v>
      </c>
      <c r="E58" s="845"/>
      <c r="F58" s="844">
        <v>7400000</v>
      </c>
      <c r="G58" s="1114"/>
      <c r="H58" s="99">
        <f>+H45/B58</f>
        <v>1</v>
      </c>
      <c r="I58" s="100">
        <f>11966957.59/B58</f>
        <v>0.49044908155737704</v>
      </c>
      <c r="J58" s="100">
        <f>12433042.41/B58</f>
        <v>0.5095509184426229</v>
      </c>
      <c r="K58" s="101">
        <v>0</v>
      </c>
    </row>
    <row r="59" spans="1:11" s="98" customFormat="1" ht="22.5" customHeight="1" thickBot="1">
      <c r="A59" s="113">
        <v>2006</v>
      </c>
      <c r="B59" s="1081">
        <f>SUM(D59:G59)</f>
        <v>24400000</v>
      </c>
      <c r="C59" s="847"/>
      <c r="D59" s="846">
        <v>17000000</v>
      </c>
      <c r="E59" s="847"/>
      <c r="F59" s="846">
        <v>7400000</v>
      </c>
      <c r="G59" s="1082"/>
      <c r="H59" s="102">
        <f>+E127/B59</f>
        <v>1</v>
      </c>
      <c r="I59" s="103">
        <f>+E82/B59</f>
        <v>0.42649770901639344</v>
      </c>
      <c r="J59" s="103">
        <f>+E105/B59</f>
        <v>0.5735022909836065</v>
      </c>
      <c r="K59" s="104">
        <v>0</v>
      </c>
    </row>
    <row r="60" spans="1:34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6.5" thickBot="1">
      <c r="A61" s="78" t="s">
        <v>175</v>
      </c>
      <c r="B61" s="76"/>
      <c r="C61" s="76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3.5" thickBot="1">
      <c r="A62" s="73" t="s">
        <v>150</v>
      </c>
      <c r="B62" s="68"/>
      <c r="C62" s="69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8" customHeight="1">
      <c r="A63" s="828" t="s">
        <v>137</v>
      </c>
      <c r="B63" s="829"/>
      <c r="C63" s="421">
        <f>+D52/1000</f>
        <v>1457</v>
      </c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8" customHeight="1">
      <c r="A64" s="830" t="s">
        <v>43</v>
      </c>
      <c r="B64" s="831"/>
      <c r="C64" s="422">
        <f>+I52/1000</f>
        <v>24560.29758</v>
      </c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8" customHeight="1" thickBot="1">
      <c r="A65" s="881" t="s">
        <v>138</v>
      </c>
      <c r="B65" s="882"/>
      <c r="C65" s="423">
        <f>+J28</f>
        <v>218368.23799999998</v>
      </c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7" spans="1:34" ht="14.25" customHeight="1" thickBot="1">
      <c r="A67" s="78" t="s">
        <v>235</v>
      </c>
      <c r="B67"/>
      <c r="C67"/>
      <c r="D67"/>
      <c r="E67"/>
      <c r="F67" s="292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33.75" customHeight="1">
      <c r="A68" s="842" t="s">
        <v>197</v>
      </c>
      <c r="B68" s="923"/>
      <c r="C68" s="865" t="s">
        <v>269</v>
      </c>
      <c r="D68" s="997"/>
      <c r="E68" s="859" t="s">
        <v>55</v>
      </c>
      <c r="F68" s="860"/>
      <c r="G68" s="860" t="s">
        <v>56</v>
      </c>
      <c r="H68" s="879"/>
      <c r="I68" s="879"/>
      <c r="J68" s="858" t="s">
        <v>176</v>
      </c>
      <c r="K68" s="869"/>
      <c r="L68" s="997" t="s">
        <v>270</v>
      </c>
      <c r="M68" s="866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23.25" customHeight="1" thickBot="1">
      <c r="A69" s="914"/>
      <c r="B69" s="924"/>
      <c r="C69" s="861" t="s">
        <v>199</v>
      </c>
      <c r="D69" s="825"/>
      <c r="E69" s="824" t="s">
        <v>58</v>
      </c>
      <c r="F69" s="825"/>
      <c r="G69" s="824" t="s">
        <v>59</v>
      </c>
      <c r="H69" s="825"/>
      <c r="I69" s="37" t="s">
        <v>200</v>
      </c>
      <c r="J69" s="861" t="s">
        <v>60</v>
      </c>
      <c r="K69" s="870"/>
      <c r="L69" s="998"/>
      <c r="M69" s="868"/>
      <c r="N69" s="98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6.5" customHeight="1">
      <c r="A70" s="1048" t="s">
        <v>238</v>
      </c>
      <c r="B70" s="1052"/>
      <c r="C70" s="1067">
        <v>101031</v>
      </c>
      <c r="D70" s="1068"/>
      <c r="E70" s="1068"/>
      <c r="F70" s="1068"/>
      <c r="G70" s="1068"/>
      <c r="H70" s="1068"/>
      <c r="I70" s="437"/>
      <c r="J70" s="1069">
        <f>+E70+G70+I70</f>
        <v>0</v>
      </c>
      <c r="K70" s="1070"/>
      <c r="L70" s="1065"/>
      <c r="M70" s="1066"/>
      <c r="N70" s="98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13" s="224" customFormat="1" ht="16.5" customHeight="1">
      <c r="A71" s="1028" t="s">
        <v>239</v>
      </c>
      <c r="B71" s="1044"/>
      <c r="C71" s="1061"/>
      <c r="D71" s="1060"/>
      <c r="E71" s="1060">
        <v>2324233.1</v>
      </c>
      <c r="F71" s="1060"/>
      <c r="G71" s="1060"/>
      <c r="H71" s="1060"/>
      <c r="I71" s="435"/>
      <c r="J71" s="1058">
        <f aca="true" t="shared" si="14" ref="J71:J81">+E71+G71+I71</f>
        <v>2324233.1</v>
      </c>
      <c r="K71" s="1059"/>
      <c r="L71" s="1055"/>
      <c r="M71" s="1056"/>
    </row>
    <row r="72" spans="1:13" s="224" customFormat="1" ht="16.5" customHeight="1">
      <c r="A72" s="1028" t="s">
        <v>240</v>
      </c>
      <c r="B72" s="1044"/>
      <c r="C72" s="1061"/>
      <c r="D72" s="1060"/>
      <c r="E72" s="1060">
        <v>52500</v>
      </c>
      <c r="F72" s="1060"/>
      <c r="G72" s="1060"/>
      <c r="H72" s="1060"/>
      <c r="I72" s="435"/>
      <c r="J72" s="1058">
        <f t="shared" si="14"/>
        <v>52500</v>
      </c>
      <c r="K72" s="1059"/>
      <c r="L72" s="1055"/>
      <c r="M72" s="1056"/>
    </row>
    <row r="73" spans="1:13" s="224" customFormat="1" ht="16.5" customHeight="1">
      <c r="A73" s="1028" t="s">
        <v>241</v>
      </c>
      <c r="B73" s="1044"/>
      <c r="C73" s="1061"/>
      <c r="D73" s="1060"/>
      <c r="E73" s="1060">
        <v>2366918</v>
      </c>
      <c r="F73" s="1060"/>
      <c r="G73" s="1060"/>
      <c r="H73" s="1060"/>
      <c r="I73" s="435"/>
      <c r="J73" s="1058">
        <f t="shared" si="14"/>
        <v>2366918</v>
      </c>
      <c r="K73" s="1059"/>
      <c r="L73" s="1055"/>
      <c r="M73" s="1056"/>
    </row>
    <row r="74" spans="1:13" s="224" customFormat="1" ht="16.5" customHeight="1">
      <c r="A74" s="1028" t="s">
        <v>242</v>
      </c>
      <c r="B74" s="1044"/>
      <c r="C74" s="1061"/>
      <c r="D74" s="1060"/>
      <c r="E74" s="1060">
        <v>80000</v>
      </c>
      <c r="F74" s="1060"/>
      <c r="G74" s="1060"/>
      <c r="H74" s="1060"/>
      <c r="I74" s="435"/>
      <c r="J74" s="1058">
        <f t="shared" si="14"/>
        <v>80000</v>
      </c>
      <c r="K74" s="1059"/>
      <c r="L74" s="1055"/>
      <c r="M74" s="1056"/>
    </row>
    <row r="75" spans="1:13" s="224" customFormat="1" ht="16.5" customHeight="1">
      <c r="A75" s="1028" t="s">
        <v>243</v>
      </c>
      <c r="B75" s="1044"/>
      <c r="C75" s="1061"/>
      <c r="D75" s="1060"/>
      <c r="E75" s="1060">
        <f>1900000*1.19</f>
        <v>2261000</v>
      </c>
      <c r="F75" s="1060"/>
      <c r="G75" s="1060"/>
      <c r="H75" s="1060"/>
      <c r="I75" s="435"/>
      <c r="J75" s="1058">
        <f t="shared" si="14"/>
        <v>2261000</v>
      </c>
      <c r="K75" s="1059"/>
      <c r="L75" s="1055"/>
      <c r="M75" s="1056"/>
    </row>
    <row r="76" spans="1:13" s="224" customFormat="1" ht="16.5" customHeight="1">
      <c r="A76" s="1028" t="s">
        <v>244</v>
      </c>
      <c r="B76" s="1044"/>
      <c r="C76" s="1061"/>
      <c r="D76" s="1060"/>
      <c r="E76" s="1060">
        <v>1558900</v>
      </c>
      <c r="F76" s="1060"/>
      <c r="G76" s="1060"/>
      <c r="H76" s="1060"/>
      <c r="I76" s="435"/>
      <c r="J76" s="1058">
        <f t="shared" si="14"/>
        <v>1558900</v>
      </c>
      <c r="K76" s="1059"/>
      <c r="L76" s="1055"/>
      <c r="M76" s="1056"/>
    </row>
    <row r="77" spans="1:13" s="224" customFormat="1" ht="16.5" customHeight="1">
      <c r="A77" s="1028" t="s">
        <v>245</v>
      </c>
      <c r="B77" s="1044"/>
      <c r="C77" s="1061"/>
      <c r="D77" s="1060"/>
      <c r="E77" s="1060">
        <v>1000000</v>
      </c>
      <c r="F77" s="1060"/>
      <c r="G77" s="1060"/>
      <c r="H77" s="1060"/>
      <c r="I77" s="435"/>
      <c r="J77" s="1058">
        <f t="shared" si="14"/>
        <v>1000000</v>
      </c>
      <c r="K77" s="1059"/>
      <c r="L77" s="1055"/>
      <c r="M77" s="1056"/>
    </row>
    <row r="78" spans="1:13" s="224" customFormat="1" ht="16.5" customHeight="1">
      <c r="A78" s="1028" t="s">
        <v>246</v>
      </c>
      <c r="B78" s="1044"/>
      <c r="C78" s="1061"/>
      <c r="D78" s="1060"/>
      <c r="E78" s="1060">
        <v>50000</v>
      </c>
      <c r="F78" s="1060"/>
      <c r="G78" s="1060"/>
      <c r="H78" s="1060"/>
      <c r="I78" s="435"/>
      <c r="J78" s="1058">
        <f t="shared" si="14"/>
        <v>50000</v>
      </c>
      <c r="K78" s="1059"/>
      <c r="L78" s="1055"/>
      <c r="M78" s="1056"/>
    </row>
    <row r="79" spans="1:13" s="224" customFormat="1" ht="16.5" customHeight="1">
      <c r="A79" s="1028" t="s">
        <v>247</v>
      </c>
      <c r="B79" s="1044"/>
      <c r="C79" s="1061"/>
      <c r="D79" s="1060"/>
      <c r="E79" s="1060">
        <v>100000</v>
      </c>
      <c r="F79" s="1060"/>
      <c r="G79" s="1060"/>
      <c r="H79" s="1060"/>
      <c r="I79" s="435"/>
      <c r="J79" s="1058">
        <f t="shared" si="14"/>
        <v>100000</v>
      </c>
      <c r="K79" s="1059"/>
      <c r="L79" s="1055"/>
      <c r="M79" s="1056"/>
    </row>
    <row r="80" spans="1:13" s="224" customFormat="1" ht="16.5" customHeight="1">
      <c r="A80" s="1028" t="s">
        <v>248</v>
      </c>
      <c r="B80" s="1045"/>
      <c r="C80" s="1061"/>
      <c r="D80" s="1060"/>
      <c r="E80" s="1060">
        <v>552993</v>
      </c>
      <c r="F80" s="1060"/>
      <c r="G80" s="1060"/>
      <c r="H80" s="1060"/>
      <c r="I80" s="435"/>
      <c r="J80" s="1058">
        <f t="shared" si="14"/>
        <v>552993</v>
      </c>
      <c r="K80" s="1059"/>
      <c r="L80" s="1055"/>
      <c r="M80" s="1056"/>
    </row>
    <row r="81" spans="1:13" s="224" customFormat="1" ht="16.5" customHeight="1" thickBot="1">
      <c r="A81" s="1046" t="s">
        <v>249</v>
      </c>
      <c r="B81" s="1047"/>
      <c r="C81" s="1062"/>
      <c r="D81" s="1057"/>
      <c r="E81" s="1057">
        <v>60000</v>
      </c>
      <c r="F81" s="1057"/>
      <c r="G81" s="1057"/>
      <c r="H81" s="1057"/>
      <c r="I81" s="436"/>
      <c r="J81" s="1053">
        <f t="shared" si="14"/>
        <v>60000</v>
      </c>
      <c r="K81" s="1054"/>
      <c r="L81" s="1050"/>
      <c r="M81" s="1051"/>
    </row>
    <row r="82" spans="1:13" s="224" customFormat="1" ht="23.25" customHeight="1" thickBot="1">
      <c r="A82" s="1063" t="s">
        <v>201</v>
      </c>
      <c r="B82" s="1064"/>
      <c r="C82" s="837">
        <f>SUM(C70:C71)</f>
        <v>101031</v>
      </c>
      <c r="D82" s="834"/>
      <c r="E82" s="834">
        <f>SUM(E71:F81)</f>
        <v>10406544.1</v>
      </c>
      <c r="F82" s="834"/>
      <c r="G82" s="834">
        <f>SUM(G70:G71)</f>
        <v>0</v>
      </c>
      <c r="H82" s="834"/>
      <c r="I82" s="90">
        <f>SUM(I70:I71)</f>
        <v>0</v>
      </c>
      <c r="J82" s="833">
        <f>SUM(J70:K81)</f>
        <v>10406544.1</v>
      </c>
      <c r="K82" s="839"/>
      <c r="L82" s="837">
        <f>SUM(L70:L71)</f>
        <v>0</v>
      </c>
      <c r="M82" s="839"/>
    </row>
    <row r="83" ht="4.5" customHeight="1" thickBot="1"/>
    <row r="84" spans="1:34" ht="33.75" customHeight="1">
      <c r="A84" s="842" t="s">
        <v>197</v>
      </c>
      <c r="B84" s="913"/>
      <c r="C84" s="865" t="s">
        <v>269</v>
      </c>
      <c r="D84" s="997"/>
      <c r="E84" s="859" t="s">
        <v>55</v>
      </c>
      <c r="F84" s="859"/>
      <c r="G84" s="860" t="s">
        <v>56</v>
      </c>
      <c r="H84" s="879"/>
      <c r="I84" s="879"/>
      <c r="J84" s="859" t="s">
        <v>176</v>
      </c>
      <c r="K84" s="869"/>
      <c r="L84" s="865" t="s">
        <v>270</v>
      </c>
      <c r="M84" s="866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ht="21.75" customHeight="1" thickBot="1">
      <c r="A85" s="914"/>
      <c r="B85" s="915"/>
      <c r="C85" s="861" t="s">
        <v>199</v>
      </c>
      <c r="D85" s="825"/>
      <c r="E85" s="824" t="s">
        <v>58</v>
      </c>
      <c r="F85" s="824"/>
      <c r="G85" s="824" t="s">
        <v>59</v>
      </c>
      <c r="H85" s="825"/>
      <c r="I85" s="37" t="s">
        <v>200</v>
      </c>
      <c r="J85" s="824" t="s">
        <v>60</v>
      </c>
      <c r="K85" s="870"/>
      <c r="L85" s="867"/>
      <c r="M85" s="868"/>
      <c r="N85" s="98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5" customHeight="1">
      <c r="A86" s="1048" t="s">
        <v>250</v>
      </c>
      <c r="B86" s="1049"/>
      <c r="C86" s="1040">
        <v>406098</v>
      </c>
      <c r="D86" s="1043"/>
      <c r="E86" s="1039"/>
      <c r="F86" s="1043"/>
      <c r="G86" s="1039"/>
      <c r="H86" s="1043"/>
      <c r="I86" s="425"/>
      <c r="J86" s="1039">
        <f>+E86+G86+I86</f>
        <v>0</v>
      </c>
      <c r="K86" s="1040"/>
      <c r="L86" s="1041"/>
      <c r="M86" s="1042"/>
      <c r="N86" s="98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13" ht="15" customHeight="1">
      <c r="A87" s="1028" t="s">
        <v>251</v>
      </c>
      <c r="B87" s="1029"/>
      <c r="C87" s="1035">
        <v>152007.8</v>
      </c>
      <c r="D87" s="1037"/>
      <c r="E87" s="1034"/>
      <c r="F87" s="1037"/>
      <c r="G87" s="1034"/>
      <c r="H87" s="1035"/>
      <c r="I87" s="424"/>
      <c r="J87" s="1034">
        <f aca="true" t="shared" si="15" ref="J87:J103">+E87+G87+I87</f>
        <v>0</v>
      </c>
      <c r="K87" s="1035"/>
      <c r="L87" s="1030"/>
      <c r="M87" s="1031"/>
    </row>
    <row r="88" spans="1:13" ht="15" customHeight="1">
      <c r="A88" s="1028" t="s">
        <v>252</v>
      </c>
      <c r="B88" s="1029"/>
      <c r="C88" s="1035">
        <v>174930</v>
      </c>
      <c r="D88" s="1037"/>
      <c r="E88" s="1034"/>
      <c r="F88" s="1037"/>
      <c r="G88" s="1034"/>
      <c r="H88" s="1035"/>
      <c r="I88" s="424"/>
      <c r="J88" s="1034">
        <f t="shared" si="15"/>
        <v>0</v>
      </c>
      <c r="K88" s="1035"/>
      <c r="L88" s="1030"/>
      <c r="M88" s="1031"/>
    </row>
    <row r="89" spans="1:13" ht="15" customHeight="1">
      <c r="A89" s="1028" t="s">
        <v>253</v>
      </c>
      <c r="B89" s="1029"/>
      <c r="C89" s="1035">
        <v>16934079.549999997</v>
      </c>
      <c r="D89" s="1037"/>
      <c r="E89" s="1034">
        <v>3065920.45</v>
      </c>
      <c r="F89" s="1037"/>
      <c r="G89" s="1034"/>
      <c r="H89" s="1035"/>
      <c r="I89" s="424"/>
      <c r="J89" s="1034">
        <f t="shared" si="15"/>
        <v>3065920.45</v>
      </c>
      <c r="K89" s="1035"/>
      <c r="L89" s="1030"/>
      <c r="M89" s="1031"/>
    </row>
    <row r="90" spans="1:13" ht="15" customHeight="1">
      <c r="A90" s="1028" t="s">
        <v>254</v>
      </c>
      <c r="B90" s="1029"/>
      <c r="C90" s="1035"/>
      <c r="D90" s="1037"/>
      <c r="E90" s="1034">
        <v>300000</v>
      </c>
      <c r="F90" s="1037"/>
      <c r="G90" s="1034"/>
      <c r="H90" s="1035"/>
      <c r="I90" s="424"/>
      <c r="J90" s="1034">
        <f t="shared" si="15"/>
        <v>300000</v>
      </c>
      <c r="K90" s="1035"/>
      <c r="L90" s="1030"/>
      <c r="M90" s="1031"/>
    </row>
    <row r="91" spans="1:13" ht="15" customHeight="1">
      <c r="A91" s="1028" t="s">
        <v>255</v>
      </c>
      <c r="B91" s="1029"/>
      <c r="C91" s="1035"/>
      <c r="D91" s="1037"/>
      <c r="E91" s="1034">
        <v>1000000</v>
      </c>
      <c r="F91" s="1037"/>
      <c r="G91" s="1034"/>
      <c r="H91" s="1035"/>
      <c r="I91" s="424"/>
      <c r="J91" s="1034">
        <f t="shared" si="15"/>
        <v>1000000</v>
      </c>
      <c r="K91" s="1035"/>
      <c r="L91" s="1030"/>
      <c r="M91" s="1031"/>
    </row>
    <row r="92" spans="1:13" ht="15" customHeight="1">
      <c r="A92" s="1028" t="s">
        <v>256</v>
      </c>
      <c r="B92" s="1029"/>
      <c r="C92" s="1035"/>
      <c r="D92" s="1037"/>
      <c r="E92" s="1034">
        <v>680000</v>
      </c>
      <c r="F92" s="1037"/>
      <c r="G92" s="1034"/>
      <c r="H92" s="1035"/>
      <c r="I92" s="424"/>
      <c r="J92" s="1034">
        <f t="shared" si="15"/>
        <v>680000</v>
      </c>
      <c r="K92" s="1035"/>
      <c r="L92" s="1030"/>
      <c r="M92" s="1031"/>
    </row>
    <row r="93" spans="1:13" ht="15" customHeight="1">
      <c r="A93" s="1028" t="s">
        <v>257</v>
      </c>
      <c r="B93" s="1029"/>
      <c r="C93" s="1035"/>
      <c r="D93" s="1037"/>
      <c r="E93" s="1034">
        <v>2100000</v>
      </c>
      <c r="F93" s="1037"/>
      <c r="G93" s="1034"/>
      <c r="H93" s="1035"/>
      <c r="I93" s="424"/>
      <c r="J93" s="1034">
        <f t="shared" si="15"/>
        <v>2100000</v>
      </c>
      <c r="K93" s="1035"/>
      <c r="L93" s="1030"/>
      <c r="M93" s="1031"/>
    </row>
    <row r="94" spans="1:13" ht="15" customHeight="1">
      <c r="A94" s="1028" t="s">
        <v>258</v>
      </c>
      <c r="B94" s="1029"/>
      <c r="C94" s="1035"/>
      <c r="D94" s="1037"/>
      <c r="E94" s="1034">
        <v>400000</v>
      </c>
      <c r="F94" s="1037"/>
      <c r="G94" s="1034"/>
      <c r="H94" s="1035"/>
      <c r="I94" s="424"/>
      <c r="J94" s="1034">
        <f t="shared" si="15"/>
        <v>400000</v>
      </c>
      <c r="K94" s="1035"/>
      <c r="L94" s="1030"/>
      <c r="M94" s="1031"/>
    </row>
    <row r="95" spans="1:13" ht="15" customHeight="1">
      <c r="A95" s="1028" t="s">
        <v>259</v>
      </c>
      <c r="B95" s="1029"/>
      <c r="C95" s="1035"/>
      <c r="D95" s="1037"/>
      <c r="E95" s="1034">
        <v>1560000</v>
      </c>
      <c r="F95" s="1037"/>
      <c r="G95" s="1034"/>
      <c r="H95" s="1035"/>
      <c r="I95" s="424"/>
      <c r="J95" s="1034">
        <f t="shared" si="15"/>
        <v>1560000</v>
      </c>
      <c r="K95" s="1035"/>
      <c r="L95" s="1030"/>
      <c r="M95" s="1031"/>
    </row>
    <row r="96" spans="1:13" ht="15" customHeight="1">
      <c r="A96" s="1028" t="s">
        <v>260</v>
      </c>
      <c r="B96" s="1029"/>
      <c r="C96" s="1035"/>
      <c r="D96" s="1037"/>
      <c r="E96" s="1034">
        <v>1000000</v>
      </c>
      <c r="F96" s="1037"/>
      <c r="G96" s="1034"/>
      <c r="H96" s="1035"/>
      <c r="I96" s="424"/>
      <c r="J96" s="1034">
        <f t="shared" si="15"/>
        <v>1000000</v>
      </c>
      <c r="K96" s="1035"/>
      <c r="L96" s="1030"/>
      <c r="M96" s="1031"/>
    </row>
    <row r="97" spans="1:13" ht="15" customHeight="1">
      <c r="A97" s="1028" t="s">
        <v>261</v>
      </c>
      <c r="B97" s="1029"/>
      <c r="C97" s="1035"/>
      <c r="D97" s="1037"/>
      <c r="E97" s="1034">
        <v>1800000</v>
      </c>
      <c r="F97" s="1037"/>
      <c r="G97" s="1034"/>
      <c r="H97" s="1035"/>
      <c r="I97" s="424"/>
      <c r="J97" s="1034">
        <f t="shared" si="15"/>
        <v>1800000</v>
      </c>
      <c r="K97" s="1035"/>
      <c r="L97" s="1030"/>
      <c r="M97" s="1031"/>
    </row>
    <row r="98" spans="1:13" ht="15.75" customHeight="1">
      <c r="A98" s="1028" t="s">
        <v>262</v>
      </c>
      <c r="B98" s="1029"/>
      <c r="C98" s="1035"/>
      <c r="D98" s="1037"/>
      <c r="E98" s="1034">
        <v>250000</v>
      </c>
      <c r="F98" s="1037"/>
      <c r="G98" s="1034"/>
      <c r="H98" s="1035"/>
      <c r="I98" s="424"/>
      <c r="J98" s="1034">
        <f t="shared" si="15"/>
        <v>250000</v>
      </c>
      <c r="K98" s="1035"/>
      <c r="L98" s="1030"/>
      <c r="M98" s="1031"/>
    </row>
    <row r="99" spans="1:13" ht="15.75" customHeight="1">
      <c r="A99" s="1028" t="s">
        <v>263</v>
      </c>
      <c r="B99" s="1029"/>
      <c r="C99" s="1035"/>
      <c r="D99" s="1037"/>
      <c r="E99" s="1034">
        <v>500000</v>
      </c>
      <c r="F99" s="1037"/>
      <c r="G99" s="1034"/>
      <c r="H99" s="1035"/>
      <c r="I99" s="424"/>
      <c r="J99" s="1034">
        <f t="shared" si="15"/>
        <v>500000</v>
      </c>
      <c r="K99" s="1035"/>
      <c r="L99" s="1030"/>
      <c r="M99" s="1031"/>
    </row>
    <row r="100" spans="1:13" ht="15.75" customHeight="1">
      <c r="A100" s="1028" t="s">
        <v>264</v>
      </c>
      <c r="B100" s="1029"/>
      <c r="C100" s="1035"/>
      <c r="D100" s="1037"/>
      <c r="E100" s="1034">
        <v>85000</v>
      </c>
      <c r="F100" s="1037"/>
      <c r="G100" s="1034"/>
      <c r="H100" s="1035"/>
      <c r="I100" s="424"/>
      <c r="J100" s="1034">
        <f t="shared" si="15"/>
        <v>85000</v>
      </c>
      <c r="K100" s="1035"/>
      <c r="L100" s="1030"/>
      <c r="M100" s="1031"/>
    </row>
    <row r="101" spans="1:13" ht="15.75" customHeight="1">
      <c r="A101" s="1028" t="s">
        <v>265</v>
      </c>
      <c r="B101" s="1029"/>
      <c r="C101" s="1035"/>
      <c r="D101" s="1037"/>
      <c r="E101" s="1034">
        <v>200000</v>
      </c>
      <c r="F101" s="1037"/>
      <c r="G101" s="1034"/>
      <c r="H101" s="1035"/>
      <c r="I101" s="424"/>
      <c r="J101" s="1034">
        <f t="shared" si="15"/>
        <v>200000</v>
      </c>
      <c r="K101" s="1035"/>
      <c r="L101" s="1030"/>
      <c r="M101" s="1031"/>
    </row>
    <row r="102" spans="1:13" ht="15.75" customHeight="1">
      <c r="A102" s="1028" t="s">
        <v>266</v>
      </c>
      <c r="B102" s="1029"/>
      <c r="C102" s="1035"/>
      <c r="D102" s="1037"/>
      <c r="E102" s="1034">
        <v>500000</v>
      </c>
      <c r="F102" s="1037"/>
      <c r="G102" s="1034"/>
      <c r="H102" s="1037"/>
      <c r="I102" s="424"/>
      <c r="J102" s="1034">
        <f t="shared" si="15"/>
        <v>500000</v>
      </c>
      <c r="K102" s="1035"/>
      <c r="L102" s="1030"/>
      <c r="M102" s="1031"/>
    </row>
    <row r="103" spans="1:13" ht="15.75" customHeight="1">
      <c r="A103" s="1028" t="s">
        <v>267</v>
      </c>
      <c r="B103" s="1029"/>
      <c r="C103" s="1035"/>
      <c r="D103" s="1037"/>
      <c r="E103" s="1034">
        <v>77274</v>
      </c>
      <c r="F103" s="1037"/>
      <c r="G103" s="1034"/>
      <c r="H103" s="1037"/>
      <c r="I103" s="424"/>
      <c r="J103" s="1034">
        <f t="shared" si="15"/>
        <v>77274</v>
      </c>
      <c r="K103" s="1035"/>
      <c r="L103" s="1030"/>
      <c r="M103" s="1031"/>
    </row>
    <row r="104" spans="1:13" ht="15.75" customHeight="1" thickBot="1">
      <c r="A104" s="1032" t="s">
        <v>268</v>
      </c>
      <c r="B104" s="1033"/>
      <c r="C104" s="1038"/>
      <c r="D104" s="1037"/>
      <c r="E104" s="1034">
        <f>1548528.45-552993-420274-100000</f>
        <v>475261.44999999995</v>
      </c>
      <c r="F104" s="1037"/>
      <c r="G104" s="1034">
        <v>160297.58</v>
      </c>
      <c r="H104" s="1037"/>
      <c r="I104" s="424"/>
      <c r="J104" s="1034">
        <f>+E104+G104+I104</f>
        <v>635559.0299999999</v>
      </c>
      <c r="K104" s="1036"/>
      <c r="L104" s="1030"/>
      <c r="M104" s="1031"/>
    </row>
    <row r="105" spans="1:13" s="224" customFormat="1" ht="21.75" customHeight="1" thickBot="1">
      <c r="A105" s="1063" t="s">
        <v>201</v>
      </c>
      <c r="B105" s="1064"/>
      <c r="C105" s="837">
        <f>SUM(C86:D104)</f>
        <v>17667115.349999998</v>
      </c>
      <c r="D105" s="834"/>
      <c r="E105" s="834">
        <f>SUM(E86:F104)</f>
        <v>13993455.899999999</v>
      </c>
      <c r="F105" s="834"/>
      <c r="G105" s="834">
        <f>SUM(G86:H104)</f>
        <v>160297.58</v>
      </c>
      <c r="H105" s="834"/>
      <c r="I105" s="90">
        <f>SUM(I74:I75)</f>
        <v>0</v>
      </c>
      <c r="J105" s="834">
        <f>SUM(J86:K104)</f>
        <v>14153753.479999999</v>
      </c>
      <c r="K105" s="835"/>
      <c r="L105" s="833">
        <f>SUM(L66:M104)</f>
        <v>0</v>
      </c>
      <c r="M105" s="839"/>
    </row>
    <row r="106" spans="1:34" ht="4.5" customHeight="1" thickBo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13" ht="15.75" customHeight="1">
      <c r="A107" s="1108" t="s">
        <v>308</v>
      </c>
      <c r="B107" s="1109"/>
      <c r="C107" s="1105"/>
      <c r="D107" s="1110"/>
      <c r="E107" s="1104"/>
      <c r="F107" s="1110"/>
      <c r="G107" s="1104"/>
      <c r="H107" s="1110"/>
      <c r="I107" s="438"/>
      <c r="J107" s="1104"/>
      <c r="K107" s="1105"/>
      <c r="L107" s="1106">
        <v>35000000</v>
      </c>
      <c r="M107" s="1107"/>
    </row>
    <row r="108" spans="1:13" ht="15.75" customHeight="1">
      <c r="A108" s="1028" t="s">
        <v>309</v>
      </c>
      <c r="B108" s="1029"/>
      <c r="C108" s="1035"/>
      <c r="D108" s="1037"/>
      <c r="E108" s="1034"/>
      <c r="F108" s="1037"/>
      <c r="G108" s="1034"/>
      <c r="H108" s="1037"/>
      <c r="I108" s="424"/>
      <c r="J108" s="1034"/>
      <c r="K108" s="1035"/>
      <c r="L108" s="1030">
        <v>100000</v>
      </c>
      <c r="M108" s="1031"/>
    </row>
    <row r="109" spans="1:13" ht="15.75" customHeight="1">
      <c r="A109" s="1028" t="s">
        <v>310</v>
      </c>
      <c r="B109" s="1029"/>
      <c r="C109" s="1035"/>
      <c r="D109" s="1037"/>
      <c r="E109" s="1034"/>
      <c r="F109" s="1037"/>
      <c r="G109" s="1034"/>
      <c r="H109" s="1037"/>
      <c r="I109" s="424"/>
      <c r="J109" s="1034"/>
      <c r="K109" s="1035"/>
      <c r="L109" s="1030">
        <v>150000</v>
      </c>
      <c r="M109" s="1031"/>
    </row>
    <row r="110" spans="1:13" ht="15.75" customHeight="1">
      <c r="A110" s="1028" t="s">
        <v>311</v>
      </c>
      <c r="B110" s="1029"/>
      <c r="C110" s="1035"/>
      <c r="D110" s="1037"/>
      <c r="E110" s="1034"/>
      <c r="F110" s="1037"/>
      <c r="G110" s="1034"/>
      <c r="H110" s="1037"/>
      <c r="I110" s="424"/>
      <c r="J110" s="1034"/>
      <c r="K110" s="1035"/>
      <c r="L110" s="1030">
        <v>540000</v>
      </c>
      <c r="M110" s="1031"/>
    </row>
    <row r="111" spans="1:13" ht="15.75" customHeight="1">
      <c r="A111" s="1028" t="s">
        <v>312</v>
      </c>
      <c r="B111" s="1029"/>
      <c r="C111" s="1035"/>
      <c r="D111" s="1037"/>
      <c r="E111" s="1034"/>
      <c r="F111" s="1037"/>
      <c r="G111" s="1034"/>
      <c r="H111" s="1037"/>
      <c r="I111" s="424"/>
      <c r="J111" s="1034"/>
      <c r="K111" s="1035"/>
      <c r="L111" s="1030">
        <v>510000</v>
      </c>
      <c r="M111" s="1031"/>
    </row>
    <row r="112" spans="1:13" ht="15.75" customHeight="1">
      <c r="A112" s="1028" t="s">
        <v>313</v>
      </c>
      <c r="B112" s="1029"/>
      <c r="C112" s="1035"/>
      <c r="D112" s="1037"/>
      <c r="E112" s="1034"/>
      <c r="F112" s="1037"/>
      <c r="G112" s="1034"/>
      <c r="H112" s="1037"/>
      <c r="I112" s="424"/>
      <c r="J112" s="1034"/>
      <c r="K112" s="1035"/>
      <c r="L112" s="1030">
        <v>100000</v>
      </c>
      <c r="M112" s="1031"/>
    </row>
    <row r="113" spans="1:13" ht="15.75" customHeight="1">
      <c r="A113" s="1028" t="s">
        <v>314</v>
      </c>
      <c r="B113" s="1029"/>
      <c r="C113" s="1035"/>
      <c r="D113" s="1037"/>
      <c r="E113" s="1034"/>
      <c r="F113" s="1037"/>
      <c r="G113" s="1034"/>
      <c r="H113" s="1037"/>
      <c r="I113" s="424"/>
      <c r="J113" s="1034"/>
      <c r="K113" s="1035"/>
      <c r="L113" s="1030">
        <v>140000</v>
      </c>
      <c r="M113" s="1031"/>
    </row>
    <row r="114" spans="1:13" ht="15.75" customHeight="1">
      <c r="A114" s="1028" t="s">
        <v>315</v>
      </c>
      <c r="B114" s="1029"/>
      <c r="C114" s="1035"/>
      <c r="D114" s="1037"/>
      <c r="E114" s="1034"/>
      <c r="F114" s="1037"/>
      <c r="G114" s="1034"/>
      <c r="H114" s="1037"/>
      <c r="I114" s="424"/>
      <c r="J114" s="1034"/>
      <c r="K114" s="1035"/>
      <c r="L114" s="1030">
        <v>2150000</v>
      </c>
      <c r="M114" s="1031"/>
    </row>
    <row r="115" spans="1:13" ht="15.75" customHeight="1">
      <c r="A115" s="1028" t="s">
        <v>316</v>
      </c>
      <c r="B115" s="1029"/>
      <c r="C115" s="1035"/>
      <c r="D115" s="1037"/>
      <c r="E115" s="1034"/>
      <c r="F115" s="1037"/>
      <c r="G115" s="1034"/>
      <c r="H115" s="1037"/>
      <c r="I115" s="424"/>
      <c r="J115" s="1034"/>
      <c r="K115" s="1035"/>
      <c r="L115" s="1030">
        <f>480000+240000</f>
        <v>720000</v>
      </c>
      <c r="M115" s="1031"/>
    </row>
    <row r="116" spans="1:13" ht="15.75" customHeight="1">
      <c r="A116" s="1028" t="s">
        <v>317</v>
      </c>
      <c r="B116" s="1029"/>
      <c r="C116" s="1035"/>
      <c r="D116" s="1037"/>
      <c r="E116" s="1034"/>
      <c r="F116" s="1037"/>
      <c r="G116" s="1034"/>
      <c r="H116" s="1037"/>
      <c r="I116" s="424"/>
      <c r="J116" s="1034"/>
      <c r="K116" s="1035"/>
      <c r="L116" s="1030">
        <v>160000</v>
      </c>
      <c r="M116" s="1031"/>
    </row>
    <row r="117" spans="1:13" ht="15.75" customHeight="1">
      <c r="A117" s="1028" t="s">
        <v>318</v>
      </c>
      <c r="B117" s="1029"/>
      <c r="C117" s="1035"/>
      <c r="D117" s="1037"/>
      <c r="E117" s="1034"/>
      <c r="F117" s="1037"/>
      <c r="G117" s="1034"/>
      <c r="H117" s="1037"/>
      <c r="I117" s="424"/>
      <c r="J117" s="1034"/>
      <c r="K117" s="1035"/>
      <c r="L117" s="1030">
        <v>990000</v>
      </c>
      <c r="M117" s="1031"/>
    </row>
    <row r="118" spans="1:13" ht="15.75" customHeight="1">
      <c r="A118" s="1028" t="s">
        <v>319</v>
      </c>
      <c r="B118" s="1029"/>
      <c r="C118" s="1035"/>
      <c r="D118" s="1037"/>
      <c r="E118" s="1034"/>
      <c r="F118" s="1037"/>
      <c r="G118" s="1034"/>
      <c r="H118" s="1037"/>
      <c r="I118" s="424"/>
      <c r="J118" s="1034"/>
      <c r="K118" s="1035"/>
      <c r="L118" s="1030">
        <v>40000</v>
      </c>
      <c r="M118" s="1031"/>
    </row>
    <row r="119" spans="1:13" ht="15.75" customHeight="1">
      <c r="A119" s="1028" t="s">
        <v>320</v>
      </c>
      <c r="B119" s="1029"/>
      <c r="C119" s="1035"/>
      <c r="D119" s="1037"/>
      <c r="E119" s="1034"/>
      <c r="F119" s="1037"/>
      <c r="G119" s="1034"/>
      <c r="H119" s="1037"/>
      <c r="I119" s="424"/>
      <c r="J119" s="1034"/>
      <c r="K119" s="1035"/>
      <c r="L119" s="1030">
        <v>50000</v>
      </c>
      <c r="M119" s="1031"/>
    </row>
    <row r="120" spans="1:13" ht="15.75" customHeight="1">
      <c r="A120" s="1028" t="s">
        <v>321</v>
      </c>
      <c r="B120" s="1029"/>
      <c r="C120" s="1035"/>
      <c r="D120" s="1037"/>
      <c r="E120" s="1034"/>
      <c r="F120" s="1037"/>
      <c r="G120" s="1034"/>
      <c r="H120" s="1037"/>
      <c r="I120" s="424"/>
      <c r="J120" s="1034"/>
      <c r="K120" s="1035"/>
      <c r="L120" s="1030">
        <v>150000</v>
      </c>
      <c r="M120" s="1031"/>
    </row>
    <row r="121" spans="1:13" ht="15.75" customHeight="1">
      <c r="A121" s="1028" t="s">
        <v>322</v>
      </c>
      <c r="B121" s="1029"/>
      <c r="C121" s="1035"/>
      <c r="D121" s="1037"/>
      <c r="E121" s="1034"/>
      <c r="F121" s="1037"/>
      <c r="G121" s="1034"/>
      <c r="H121" s="1037"/>
      <c r="I121" s="424"/>
      <c r="J121" s="1034"/>
      <c r="K121" s="1035"/>
      <c r="L121" s="1030">
        <v>500000</v>
      </c>
      <c r="M121" s="1031"/>
    </row>
    <row r="122" spans="1:13" ht="15.75" customHeight="1">
      <c r="A122" s="1028" t="s">
        <v>323</v>
      </c>
      <c r="B122" s="1029"/>
      <c r="C122" s="1035"/>
      <c r="D122" s="1037"/>
      <c r="E122" s="1034"/>
      <c r="F122" s="1037"/>
      <c r="G122" s="1034"/>
      <c r="H122" s="1037"/>
      <c r="I122" s="424"/>
      <c r="J122" s="1034"/>
      <c r="K122" s="1035"/>
      <c r="L122" s="1030">
        <v>3500000</v>
      </c>
      <c r="M122" s="1031"/>
    </row>
    <row r="123" spans="1:13" ht="15.75" customHeight="1">
      <c r="A123" s="1028" t="s">
        <v>324</v>
      </c>
      <c r="B123" s="1029"/>
      <c r="C123" s="1035"/>
      <c r="D123" s="1037"/>
      <c r="E123" s="1034"/>
      <c r="F123" s="1037"/>
      <c r="G123" s="1034"/>
      <c r="H123" s="1037"/>
      <c r="I123" s="424"/>
      <c r="J123" s="1034"/>
      <c r="K123" s="1035"/>
      <c r="L123" s="1030">
        <v>250000</v>
      </c>
      <c r="M123" s="1031"/>
    </row>
    <row r="124" spans="1:13" ht="15.75" customHeight="1">
      <c r="A124" s="1028" t="s">
        <v>325</v>
      </c>
      <c r="B124" s="1029"/>
      <c r="C124" s="1035"/>
      <c r="D124" s="1037"/>
      <c r="E124" s="1034"/>
      <c r="F124" s="1037"/>
      <c r="G124" s="1034"/>
      <c r="H124" s="1037"/>
      <c r="I124" s="424"/>
      <c r="J124" s="1034"/>
      <c r="K124" s="1035"/>
      <c r="L124" s="1030">
        <v>1300000</v>
      </c>
      <c r="M124" s="1031"/>
    </row>
    <row r="125" spans="1:13" ht="15.75" customHeight="1">
      <c r="A125" s="1028" t="s">
        <v>326</v>
      </c>
      <c r="B125" s="1029"/>
      <c r="C125" s="1035"/>
      <c r="D125" s="1037"/>
      <c r="E125" s="1034"/>
      <c r="F125" s="1037"/>
      <c r="G125" s="1034"/>
      <c r="H125" s="1037"/>
      <c r="I125" s="424"/>
      <c r="J125" s="1034"/>
      <c r="K125" s="1035"/>
      <c r="L125" s="1030">
        <v>130000000</v>
      </c>
      <c r="M125" s="1031"/>
    </row>
    <row r="126" spans="1:13" ht="4.5" customHeight="1" thickBot="1">
      <c r="A126" s="439"/>
      <c r="B126" s="440"/>
      <c r="C126" s="440"/>
      <c r="D126" s="440"/>
      <c r="E126" s="440"/>
      <c r="F126" s="440"/>
      <c r="G126" s="440"/>
      <c r="H126" s="440"/>
      <c r="I126" s="440"/>
      <c r="J126" s="440"/>
      <c r="K126" s="440"/>
      <c r="L126" s="440"/>
      <c r="M126" s="441"/>
    </row>
    <row r="127" spans="1:13" s="168" customFormat="1" ht="19.5" customHeight="1" thickBot="1">
      <c r="A127" s="918" t="s">
        <v>61</v>
      </c>
      <c r="B127" s="919"/>
      <c r="C127" s="837">
        <f>SUM(C107:D125)+C105+C82</f>
        <v>17768146.349999998</v>
      </c>
      <c r="D127" s="834"/>
      <c r="E127" s="837">
        <f>SUM(E107:F125)+E105+E82</f>
        <v>24400000</v>
      </c>
      <c r="F127" s="834"/>
      <c r="G127" s="837">
        <f>SUM(G107:H125)+G105+G82</f>
        <v>160297.58</v>
      </c>
      <c r="H127" s="834"/>
      <c r="I127" s="90">
        <f>SUM(I107:I125)+I105</f>
        <v>0</v>
      </c>
      <c r="J127" s="834">
        <f>SUM(J107:K125)+J105+J82</f>
        <v>24560297.58</v>
      </c>
      <c r="K127" s="839"/>
      <c r="L127" s="833">
        <f>SUM(L107:M126)+L105</f>
        <v>176350000</v>
      </c>
      <c r="M127" s="839"/>
    </row>
    <row r="128" ht="13.5" thickBot="1"/>
    <row r="129" spans="1:11" ht="24.75" customHeight="1" thickBot="1">
      <c r="A129" s="803" t="s">
        <v>271</v>
      </c>
      <c r="B129" s="1128"/>
      <c r="C129" s="859" t="s">
        <v>272</v>
      </c>
      <c r="D129" s="1129"/>
      <c r="F129" s="1091" t="s">
        <v>280</v>
      </c>
      <c r="G129" s="1092"/>
      <c r="H129" s="1092"/>
      <c r="I129" s="1093"/>
      <c r="J129" s="1136" t="s">
        <v>272</v>
      </c>
      <c r="K129" s="1005"/>
    </row>
    <row r="130" spans="1:11" ht="12.75">
      <c r="A130" s="1028" t="s">
        <v>273</v>
      </c>
      <c r="B130" s="1123"/>
      <c r="C130" s="1124">
        <v>150000</v>
      </c>
      <c r="D130" s="1125"/>
      <c r="F130" s="1094" t="s">
        <v>281</v>
      </c>
      <c r="G130" s="940"/>
      <c r="H130" s="940"/>
      <c r="I130" s="940"/>
      <c r="J130" s="1134">
        <v>125000</v>
      </c>
      <c r="K130" s="1135"/>
    </row>
    <row r="131" spans="1:11" ht="12.75">
      <c r="A131" s="1028" t="s">
        <v>274</v>
      </c>
      <c r="B131" s="1123"/>
      <c r="C131" s="1124">
        <v>500000</v>
      </c>
      <c r="D131" s="1125"/>
      <c r="F131" s="1095" t="s">
        <v>282</v>
      </c>
      <c r="G131" s="990"/>
      <c r="H131" s="990"/>
      <c r="I131" s="990"/>
      <c r="J131" s="1124">
        <v>125000</v>
      </c>
      <c r="K131" s="1125"/>
    </row>
    <row r="132" spans="1:11" ht="12.75">
      <c r="A132" s="1028" t="s">
        <v>275</v>
      </c>
      <c r="B132" s="1123"/>
      <c r="C132" s="1124">
        <v>800000</v>
      </c>
      <c r="D132" s="1125"/>
      <c r="F132" s="1095" t="s">
        <v>283</v>
      </c>
      <c r="G132" s="990"/>
      <c r="H132" s="990"/>
      <c r="I132" s="990"/>
      <c r="J132" s="1124">
        <v>90000</v>
      </c>
      <c r="K132" s="1125"/>
    </row>
    <row r="133" spans="1:11" ht="18" customHeight="1">
      <c r="A133" s="1028" t="s">
        <v>276</v>
      </c>
      <c r="B133" s="1123"/>
      <c r="C133" s="1124">
        <v>1500000</v>
      </c>
      <c r="D133" s="1125"/>
      <c r="F133" s="1095" t="s">
        <v>284</v>
      </c>
      <c r="G133" s="990"/>
      <c r="H133" s="990"/>
      <c r="I133" s="990"/>
      <c r="J133" s="1124">
        <v>50000</v>
      </c>
      <c r="K133" s="1125"/>
    </row>
    <row r="134" spans="1:11" ht="12.75">
      <c r="A134" s="1028" t="s">
        <v>277</v>
      </c>
      <c r="B134" s="1123"/>
      <c r="C134" s="1124">
        <v>150000</v>
      </c>
      <c r="D134" s="1125"/>
      <c r="F134" s="1095" t="s">
        <v>285</v>
      </c>
      <c r="G134" s="990"/>
      <c r="H134" s="990"/>
      <c r="I134" s="990"/>
      <c r="J134" s="1124">
        <v>40000</v>
      </c>
      <c r="K134" s="1125"/>
    </row>
    <row r="135" spans="1:11" ht="12.75">
      <c r="A135" s="1028" t="s">
        <v>278</v>
      </c>
      <c r="B135" s="1123"/>
      <c r="C135" s="1124">
        <v>130000</v>
      </c>
      <c r="D135" s="1125"/>
      <c r="F135" s="1095" t="s">
        <v>286</v>
      </c>
      <c r="G135" s="990"/>
      <c r="H135" s="990"/>
      <c r="I135" s="990"/>
      <c r="J135" s="1124">
        <v>120000</v>
      </c>
      <c r="K135" s="1125"/>
    </row>
    <row r="136" spans="1:11" ht="13.5" thickBot="1">
      <c r="A136" s="1046" t="s">
        <v>279</v>
      </c>
      <c r="B136" s="1131"/>
      <c r="C136" s="1126">
        <v>50000</v>
      </c>
      <c r="D136" s="1127"/>
      <c r="F136" s="1095" t="s">
        <v>287</v>
      </c>
      <c r="G136" s="990"/>
      <c r="H136" s="990"/>
      <c r="I136" s="990"/>
      <c r="J136" s="1124">
        <v>37000</v>
      </c>
      <c r="K136" s="1125"/>
    </row>
    <row r="137" spans="1:14" s="428" customFormat="1" ht="15.75" customHeight="1" thickBot="1">
      <c r="A137" s="956" t="s">
        <v>4</v>
      </c>
      <c r="B137" s="1130"/>
      <c r="C137" s="834">
        <f>SUM(C130:C136)</f>
        <v>3280000</v>
      </c>
      <c r="D137" s="839"/>
      <c r="E137" s="427"/>
      <c r="F137" s="1095" t="s">
        <v>288</v>
      </c>
      <c r="G137" s="1132"/>
      <c r="H137" s="1132"/>
      <c r="I137" s="1132"/>
      <c r="J137" s="1124">
        <v>10000</v>
      </c>
      <c r="K137" s="1125"/>
      <c r="L137" s="427"/>
      <c r="M137" s="427"/>
      <c r="N137" s="427"/>
    </row>
    <row r="138" spans="6:11" ht="12.75">
      <c r="F138" s="1095" t="s">
        <v>289</v>
      </c>
      <c r="G138" s="990"/>
      <c r="H138" s="990"/>
      <c r="I138" s="990"/>
      <c r="J138" s="1124">
        <v>20000</v>
      </c>
      <c r="K138" s="1125"/>
    </row>
    <row r="139" spans="6:11" ht="18" customHeight="1" thickBot="1">
      <c r="F139" s="1096" t="s">
        <v>290</v>
      </c>
      <c r="G139" s="1097"/>
      <c r="H139" s="1097"/>
      <c r="I139" s="1098"/>
      <c r="J139" s="1124">
        <v>150000</v>
      </c>
      <c r="K139" s="1125"/>
    </row>
    <row r="140" spans="1:11" ht="16.5" customHeight="1" thickBot="1">
      <c r="A140" s="1137" t="s">
        <v>300</v>
      </c>
      <c r="B140" s="1138"/>
      <c r="C140" s="834">
        <f>+C137+J149</f>
        <v>4280000</v>
      </c>
      <c r="D140" s="839"/>
      <c r="F140" s="1095" t="s">
        <v>291</v>
      </c>
      <c r="G140" s="990"/>
      <c r="H140" s="990"/>
      <c r="I140" s="990"/>
      <c r="J140" s="1124">
        <v>35000</v>
      </c>
      <c r="K140" s="1125"/>
    </row>
    <row r="141" spans="6:11" ht="12.75">
      <c r="F141" s="1095" t="s">
        <v>292</v>
      </c>
      <c r="G141" s="990"/>
      <c r="H141" s="990"/>
      <c r="I141" s="990"/>
      <c r="J141" s="1124">
        <v>45000</v>
      </c>
      <c r="K141" s="1125"/>
    </row>
    <row r="142" spans="6:11" ht="12.75">
      <c r="F142" s="1095" t="s">
        <v>293</v>
      </c>
      <c r="G142" s="990"/>
      <c r="H142" s="990"/>
      <c r="I142" s="990"/>
      <c r="J142" s="1124">
        <v>10000</v>
      </c>
      <c r="K142" s="1125"/>
    </row>
    <row r="143" spans="6:11" ht="12" customHeight="1">
      <c r="F143" s="1095" t="s">
        <v>294</v>
      </c>
      <c r="G143" s="990"/>
      <c r="H143" s="990"/>
      <c r="I143" s="990"/>
      <c r="J143" s="1124">
        <v>8000</v>
      </c>
      <c r="K143" s="1125"/>
    </row>
    <row r="144" spans="6:11" ht="12" customHeight="1">
      <c r="F144" s="1095" t="s">
        <v>295</v>
      </c>
      <c r="G144" s="990"/>
      <c r="H144" s="990"/>
      <c r="I144" s="990"/>
      <c r="J144" s="1124">
        <v>10000</v>
      </c>
      <c r="K144" s="1125"/>
    </row>
    <row r="145" spans="6:11" ht="12" customHeight="1">
      <c r="F145" s="1095" t="s">
        <v>296</v>
      </c>
      <c r="G145" s="990"/>
      <c r="H145" s="990"/>
      <c r="I145" s="990"/>
      <c r="J145" s="1124">
        <v>20000</v>
      </c>
      <c r="K145" s="1125"/>
    </row>
    <row r="146" spans="6:11" ht="12" customHeight="1">
      <c r="F146" s="1095" t="s">
        <v>297</v>
      </c>
      <c r="G146" s="990"/>
      <c r="H146" s="990"/>
      <c r="I146" s="990"/>
      <c r="J146" s="1124">
        <v>60000</v>
      </c>
      <c r="K146" s="1125"/>
    </row>
    <row r="147" spans="6:11" ht="12" customHeight="1">
      <c r="F147" s="1095" t="s">
        <v>298</v>
      </c>
      <c r="G147" s="990"/>
      <c r="H147" s="990"/>
      <c r="I147" s="990"/>
      <c r="J147" s="1124">
        <v>10000</v>
      </c>
      <c r="K147" s="1125"/>
    </row>
    <row r="148" spans="6:11" ht="12" customHeight="1" thickBot="1">
      <c r="F148" s="1143" t="s">
        <v>299</v>
      </c>
      <c r="G148" s="1144"/>
      <c r="H148" s="1144"/>
      <c r="I148" s="1144"/>
      <c r="J148" s="1126">
        <v>35000</v>
      </c>
      <c r="K148" s="1127"/>
    </row>
    <row r="149" spans="6:11" ht="15" customHeight="1" thickBot="1">
      <c r="F149" s="794" t="s">
        <v>4</v>
      </c>
      <c r="G149" s="1133"/>
      <c r="H149" s="1133"/>
      <c r="I149" s="1133"/>
      <c r="J149" s="834">
        <f>SUM(J130:J148)</f>
        <v>1000000</v>
      </c>
      <c r="K149" s="839"/>
    </row>
    <row r="150" ht="12" customHeight="1"/>
    <row r="151" ht="0.75" customHeight="1"/>
    <row r="152" ht="12" customHeight="1" thickBot="1"/>
    <row r="153" spans="1:9" ht="12" customHeight="1">
      <c r="A153" s="1083" t="s">
        <v>62</v>
      </c>
      <c r="B153" s="1086" t="s">
        <v>225</v>
      </c>
      <c r="C153" s="811" t="s">
        <v>160</v>
      </c>
      <c r="D153" s="954"/>
      <c r="E153" s="954"/>
      <c r="F153" s="954"/>
      <c r="G153" s="954"/>
      <c r="H153" s="955"/>
      <c r="I153" s="894" t="s">
        <v>226</v>
      </c>
    </row>
    <row r="154" spans="1:9" ht="12" customHeight="1">
      <c r="A154" s="1084"/>
      <c r="B154" s="1087"/>
      <c r="C154" s="1145" t="s">
        <v>45</v>
      </c>
      <c r="D154" s="1147" t="s">
        <v>63</v>
      </c>
      <c r="E154" s="1148"/>
      <c r="F154" s="1148"/>
      <c r="G154" s="1148"/>
      <c r="H154" s="1149"/>
      <c r="I154" s="1089"/>
    </row>
    <row r="155" spans="1:9" ht="12" customHeight="1" thickBot="1">
      <c r="A155" s="1085"/>
      <c r="B155" s="1088"/>
      <c r="C155" s="1146"/>
      <c r="D155" s="169">
        <v>1</v>
      </c>
      <c r="E155" s="169">
        <v>2</v>
      </c>
      <c r="F155" s="169">
        <v>3</v>
      </c>
      <c r="G155" s="169">
        <v>4</v>
      </c>
      <c r="H155" s="170">
        <v>5</v>
      </c>
      <c r="I155" s="1090"/>
    </row>
    <row r="156" spans="1:9" s="224" customFormat="1" ht="12" customHeight="1" thickBot="1">
      <c r="A156" s="171">
        <v>136916.285</v>
      </c>
      <c r="B156" s="222">
        <v>13340.681999999999</v>
      </c>
      <c r="C156" s="222">
        <f>SUM(D156:H156)</f>
        <v>5213.525</v>
      </c>
      <c r="D156" s="222">
        <v>1159.37</v>
      </c>
      <c r="E156" s="222">
        <v>3416.583</v>
      </c>
      <c r="F156" s="222">
        <v>31.347</v>
      </c>
      <c r="G156" s="222">
        <v>32.46</v>
      </c>
      <c r="H156" s="222">
        <v>573.765</v>
      </c>
      <c r="I156" s="223">
        <f>SUM(A156-B156-C156)</f>
        <v>118362.07800000001</v>
      </c>
    </row>
    <row r="157" spans="1:12" s="224" customFormat="1" ht="12" customHeight="1">
      <c r="A157" s="412"/>
      <c r="B157" s="413"/>
      <c r="C157" s="413"/>
      <c r="D157" s="413"/>
      <c r="E157" s="413"/>
      <c r="F157" s="413"/>
      <c r="G157" s="413"/>
      <c r="H157" s="413"/>
      <c r="I157" s="413"/>
      <c r="L157" s="622"/>
    </row>
    <row r="158" ht="18.75" customHeight="1" thickBot="1">
      <c r="A158" s="78" t="s">
        <v>236</v>
      </c>
    </row>
    <row r="159" spans="1:13" s="74" customFormat="1" ht="27" customHeight="1">
      <c r="A159" s="764" t="s">
        <v>64</v>
      </c>
      <c r="B159" s="910" t="s">
        <v>151</v>
      </c>
      <c r="C159" s="768" t="s">
        <v>161</v>
      </c>
      <c r="D159" s="761"/>
      <c r="E159" s="761"/>
      <c r="F159" s="760"/>
      <c r="G159" s="65" t="s">
        <v>162</v>
      </c>
      <c r="H159" s="62" t="s">
        <v>65</v>
      </c>
      <c r="I159" s="768" t="s">
        <v>163</v>
      </c>
      <c r="J159" s="761"/>
      <c r="K159" s="761"/>
      <c r="L159" s="760"/>
      <c r="M159" s="75"/>
    </row>
    <row r="160" spans="1:13" s="74" customFormat="1" ht="21.75" customHeight="1" thickBot="1">
      <c r="A160" s="765"/>
      <c r="B160" s="867"/>
      <c r="C160" s="38" t="s">
        <v>164</v>
      </c>
      <c r="D160" s="39" t="s">
        <v>66</v>
      </c>
      <c r="E160" s="39" t="s">
        <v>67</v>
      </c>
      <c r="F160" s="40" t="s">
        <v>68</v>
      </c>
      <c r="G160" s="66"/>
      <c r="H160" s="67"/>
      <c r="I160" s="60" t="s">
        <v>152</v>
      </c>
      <c r="J160" s="39" t="s">
        <v>66</v>
      </c>
      <c r="K160" s="39" t="s">
        <v>67</v>
      </c>
      <c r="L160" s="40" t="s">
        <v>153</v>
      </c>
      <c r="M160" s="77"/>
    </row>
    <row r="161" spans="1:12" ht="12" customHeight="1">
      <c r="A161" s="172" t="s">
        <v>69</v>
      </c>
      <c r="B161" s="81">
        <v>28590.2</v>
      </c>
      <c r="C161" s="557" t="s">
        <v>70</v>
      </c>
      <c r="D161" s="558" t="s">
        <v>70</v>
      </c>
      <c r="E161" s="558" t="s">
        <v>70</v>
      </c>
      <c r="F161" s="316" t="s">
        <v>70</v>
      </c>
      <c r="G161" s="175">
        <v>29747.43</v>
      </c>
      <c r="H161" s="176"/>
      <c r="I161" s="182" t="s">
        <v>70</v>
      </c>
      <c r="J161" s="173" t="s">
        <v>70</v>
      </c>
      <c r="K161" s="173" t="s">
        <v>70</v>
      </c>
      <c r="L161" s="225" t="s">
        <v>70</v>
      </c>
    </row>
    <row r="162" spans="1:12" ht="12" customHeight="1">
      <c r="A162" s="177" t="s">
        <v>71</v>
      </c>
      <c r="B162" s="178">
        <v>0</v>
      </c>
      <c r="C162" s="94">
        <v>1404.17</v>
      </c>
      <c r="D162" s="42"/>
      <c r="E162" s="42"/>
      <c r="F162" s="179">
        <v>1404.17</v>
      </c>
      <c r="G162" s="180">
        <v>1404.17</v>
      </c>
      <c r="H162" s="181">
        <f>+G162-F162</f>
        <v>0</v>
      </c>
      <c r="I162" s="94">
        <v>1404</v>
      </c>
      <c r="J162" s="42">
        <v>0</v>
      </c>
      <c r="K162" s="42">
        <v>0</v>
      </c>
      <c r="L162" s="179">
        <v>1404</v>
      </c>
    </row>
    <row r="163" spans="1:12" ht="12" customHeight="1">
      <c r="A163" s="177" t="s">
        <v>72</v>
      </c>
      <c r="B163" s="178">
        <v>0</v>
      </c>
      <c r="C163" s="621">
        <v>206.71</v>
      </c>
      <c r="D163" s="400"/>
      <c r="E163" s="400"/>
      <c r="F163" s="401">
        <v>170.69</v>
      </c>
      <c r="G163" s="180">
        <v>170.69</v>
      </c>
      <c r="H163" s="181">
        <f>+G163-F163</f>
        <v>0</v>
      </c>
      <c r="I163" s="94">
        <f>+L169</f>
        <v>171</v>
      </c>
      <c r="J163" s="42">
        <f>+L171</f>
        <v>400</v>
      </c>
      <c r="K163" s="42">
        <f>+L178</f>
        <v>500</v>
      </c>
      <c r="L163" s="179">
        <f>+L186</f>
        <v>71</v>
      </c>
    </row>
    <row r="164" spans="1:12" ht="12" customHeight="1">
      <c r="A164" s="177" t="s">
        <v>73</v>
      </c>
      <c r="B164" s="178">
        <f>+B161</f>
        <v>28590.2</v>
      </c>
      <c r="C164" s="182" t="s">
        <v>70</v>
      </c>
      <c r="D164" s="173" t="s">
        <v>70</v>
      </c>
      <c r="E164" s="173" t="s">
        <v>70</v>
      </c>
      <c r="F164" s="225" t="s">
        <v>70</v>
      </c>
      <c r="G164" s="180">
        <f>+G161-G162-G163</f>
        <v>28172.570000000003</v>
      </c>
      <c r="H164" s="181"/>
      <c r="I164" s="182" t="s">
        <v>70</v>
      </c>
      <c r="J164" s="173" t="s">
        <v>70</v>
      </c>
      <c r="K164" s="173" t="s">
        <v>70</v>
      </c>
      <c r="L164" s="225" t="s">
        <v>70</v>
      </c>
    </row>
    <row r="165" spans="1:12" ht="12.75">
      <c r="A165" s="177" t="s">
        <v>74</v>
      </c>
      <c r="B165" s="178">
        <v>0</v>
      </c>
      <c r="C165" s="94">
        <v>44004.65</v>
      </c>
      <c r="D165" s="42">
        <f>+H52/1000+G34</f>
        <v>74560.86903</v>
      </c>
      <c r="E165" s="42">
        <f>+H52/1000+33758.28</f>
        <v>106015.58903</v>
      </c>
      <c r="F165" s="179">
        <v>9839.11</v>
      </c>
      <c r="G165" s="180">
        <f>15132.31-5293.44</f>
        <v>9838.869999999999</v>
      </c>
      <c r="H165" s="181">
        <f>+G165-F165</f>
        <v>-0.2400000000016007</v>
      </c>
      <c r="I165" s="226">
        <f>+D169</f>
        <v>9839</v>
      </c>
      <c r="J165" s="184">
        <f>+D171</f>
        <v>37974.3</v>
      </c>
      <c r="K165" s="184">
        <f>+D178</f>
        <v>42429.445999999996</v>
      </c>
      <c r="L165" s="179">
        <f>+D186</f>
        <v>5383.854000000007</v>
      </c>
    </row>
    <row r="166" spans="1:12" ht="13.5" thickBot="1">
      <c r="A166" s="185" t="s">
        <v>75</v>
      </c>
      <c r="B166" s="186">
        <v>2412.33</v>
      </c>
      <c r="C166" s="95">
        <v>2854.26</v>
      </c>
      <c r="D166" s="96"/>
      <c r="E166" s="96"/>
      <c r="F166" s="187">
        <v>1238.76</v>
      </c>
      <c r="G166" s="188">
        <v>725.54</v>
      </c>
      <c r="H166" s="189">
        <f>+G166-F166</f>
        <v>-513.22</v>
      </c>
      <c r="I166" s="95">
        <v>1239</v>
      </c>
      <c r="J166" s="96">
        <v>4322</v>
      </c>
      <c r="K166" s="96">
        <v>5481</v>
      </c>
      <c r="L166" s="187">
        <f>+I166+J166-K166</f>
        <v>80</v>
      </c>
    </row>
    <row r="167" spans="1:12" ht="5.25" customHeight="1" thickBot="1">
      <c r="A167" s="190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 s="158" customFormat="1" ht="19.5" customHeight="1" thickBot="1">
      <c r="A168" s="88" t="s">
        <v>76</v>
      </c>
      <c r="B168" s="377">
        <v>2004</v>
      </c>
      <c r="C168" s="377">
        <v>2005</v>
      </c>
      <c r="D168" s="378">
        <v>2006</v>
      </c>
      <c r="F168" s="956" t="s">
        <v>77</v>
      </c>
      <c r="G168" s="1139"/>
      <c r="H168" s="1139"/>
      <c r="I168" s="836"/>
      <c r="J168" s="398">
        <v>2004</v>
      </c>
      <c r="K168" s="398">
        <v>2005</v>
      </c>
      <c r="L168" s="378">
        <v>2006</v>
      </c>
    </row>
    <row r="169" spans="1:34" ht="12.75">
      <c r="A169" s="43" t="s">
        <v>78</v>
      </c>
      <c r="B169" s="44">
        <v>33673</v>
      </c>
      <c r="C169" s="44">
        <f>+B186</f>
        <v>44004.3</v>
      </c>
      <c r="D169" s="653">
        <v>9839</v>
      </c>
      <c r="F169" s="1140" t="s">
        <v>79</v>
      </c>
      <c r="G169" s="1141"/>
      <c r="H169" s="1141"/>
      <c r="I169" s="1142"/>
      <c r="J169" s="402">
        <v>242</v>
      </c>
      <c r="K169" s="402">
        <f>+J186</f>
        <v>207</v>
      </c>
      <c r="L169" s="430">
        <v>171</v>
      </c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ht="12.75">
      <c r="A170" s="46"/>
      <c r="B170" s="42"/>
      <c r="C170" s="42"/>
      <c r="D170" s="654">
        <v>1764</v>
      </c>
      <c r="F170" s="988"/>
      <c r="G170" s="989"/>
      <c r="H170" s="989"/>
      <c r="I170" s="990"/>
      <c r="J170" s="403"/>
      <c r="K170" s="403"/>
      <c r="L170" s="431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ht="12.75">
      <c r="A171" s="405" t="s">
        <v>66</v>
      </c>
      <c r="B171" s="406">
        <f>+B172+B173+B175+B176+B177+1781</f>
        <v>29842</v>
      </c>
      <c r="C171" s="406">
        <f>+C172+C173+C176+C177</f>
        <v>75636</v>
      </c>
      <c r="D171" s="408">
        <f>SUM(D172:D177)</f>
        <v>37974.3</v>
      </c>
      <c r="F171" s="994" t="s">
        <v>66</v>
      </c>
      <c r="G171" s="995"/>
      <c r="H171" s="995"/>
      <c r="I171" s="996"/>
      <c r="J171" s="407">
        <f>+J172+J173</f>
        <v>272</v>
      </c>
      <c r="K171" s="407">
        <f>+K172+K173</f>
        <v>400</v>
      </c>
      <c r="L171" s="432">
        <f>SUM(L172:L177)</f>
        <v>400</v>
      </c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ht="12.75">
      <c r="A172" s="46" t="s">
        <v>80</v>
      </c>
      <c r="B172" s="42">
        <v>3360</v>
      </c>
      <c r="C172" s="42">
        <v>2998</v>
      </c>
      <c r="D172" s="654">
        <v>5214</v>
      </c>
      <c r="F172" s="988" t="s">
        <v>81</v>
      </c>
      <c r="G172" s="989"/>
      <c r="H172" s="989"/>
      <c r="I172" s="990"/>
      <c r="J172" s="403"/>
      <c r="K172" s="403"/>
      <c r="L172" s="431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ht="12.75">
      <c r="A173" s="46" t="s">
        <v>452</v>
      </c>
      <c r="B173" s="42">
        <v>24417</v>
      </c>
      <c r="C173" s="42">
        <v>72238</v>
      </c>
      <c r="D173" s="654">
        <v>24400</v>
      </c>
      <c r="F173" s="988" t="s">
        <v>82</v>
      </c>
      <c r="G173" s="989"/>
      <c r="H173" s="989"/>
      <c r="I173" s="990"/>
      <c r="J173" s="403">
        <v>272</v>
      </c>
      <c r="K173" s="403">
        <v>400</v>
      </c>
      <c r="L173" s="431">
        <v>400</v>
      </c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ht="12.75">
      <c r="A174" s="46" t="s">
        <v>453</v>
      </c>
      <c r="B174" s="42"/>
      <c r="C174" s="42"/>
      <c r="D174" s="654">
        <v>160.3</v>
      </c>
      <c r="F174" s="988"/>
      <c r="G174" s="989"/>
      <c r="H174" s="989"/>
      <c r="I174" s="990"/>
      <c r="J174" s="403"/>
      <c r="K174" s="403"/>
      <c r="L174" s="431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ht="12.75">
      <c r="A175" s="46" t="s">
        <v>83</v>
      </c>
      <c r="B175" s="42"/>
      <c r="C175" s="42"/>
      <c r="D175" s="654">
        <v>0</v>
      </c>
      <c r="F175" s="988"/>
      <c r="G175" s="989"/>
      <c r="H175" s="989"/>
      <c r="I175" s="990"/>
      <c r="J175" s="403"/>
      <c r="K175" s="403"/>
      <c r="L175" s="431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ht="12.75">
      <c r="A176" s="46" t="s">
        <v>82</v>
      </c>
      <c r="B176" s="42">
        <v>244</v>
      </c>
      <c r="C176" s="42">
        <v>200</v>
      </c>
      <c r="D176" s="654">
        <v>8000</v>
      </c>
      <c r="F176" s="988"/>
      <c r="G176" s="989"/>
      <c r="H176" s="989"/>
      <c r="I176" s="990"/>
      <c r="J176" s="403"/>
      <c r="K176" s="403"/>
      <c r="L176" s="431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ht="12.75">
      <c r="A177" s="47" t="s">
        <v>84</v>
      </c>
      <c r="B177" s="42">
        <v>40</v>
      </c>
      <c r="C177" s="42">
        <v>200</v>
      </c>
      <c r="D177" s="655">
        <v>200</v>
      </c>
      <c r="F177" s="988"/>
      <c r="G177" s="989"/>
      <c r="H177" s="989"/>
      <c r="I177" s="990"/>
      <c r="J177" s="403">
        <f>+J178+J179+J180</f>
        <v>614</v>
      </c>
      <c r="K177" s="403">
        <f>+K178+K179+K180</f>
        <v>500</v>
      </c>
      <c r="L177" s="431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ht="12.75">
      <c r="A178" s="405" t="s">
        <v>67</v>
      </c>
      <c r="B178" s="406">
        <f>+B179+B180</f>
        <v>19510.7</v>
      </c>
      <c r="C178" s="406">
        <f>+C179+C180+C182+C184+C185</f>
        <v>111257.48941000007</v>
      </c>
      <c r="D178" s="408">
        <f>SUM(D179:D184)</f>
        <v>42429.445999999996</v>
      </c>
      <c r="F178" s="994" t="s">
        <v>67</v>
      </c>
      <c r="G178" s="995"/>
      <c r="H178" s="995"/>
      <c r="I178" s="996"/>
      <c r="J178" s="407">
        <f>+J179+J180</f>
        <v>307</v>
      </c>
      <c r="K178" s="407">
        <v>300</v>
      </c>
      <c r="L178" s="432">
        <f>SUM(L179:L183)</f>
        <v>500</v>
      </c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ht="12.75">
      <c r="A179" s="46" t="s">
        <v>187</v>
      </c>
      <c r="B179" s="42">
        <v>12944</v>
      </c>
      <c r="C179" s="42">
        <v>15788</v>
      </c>
      <c r="D179" s="654">
        <v>17768.146</v>
      </c>
      <c r="F179" s="988" t="s">
        <v>85</v>
      </c>
      <c r="G179" s="989"/>
      <c r="H179" s="989"/>
      <c r="I179" s="990"/>
      <c r="J179" s="403">
        <v>267</v>
      </c>
      <c r="K179" s="403"/>
      <c r="L179" s="431">
        <v>300</v>
      </c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ht="12.75">
      <c r="A180" s="46" t="s">
        <v>303</v>
      </c>
      <c r="B180" s="42">
        <v>6566.7</v>
      </c>
      <c r="C180" s="42">
        <v>11966.957</v>
      </c>
      <c r="D180" s="654">
        <v>13993</v>
      </c>
      <c r="F180" s="988" t="s">
        <v>86</v>
      </c>
      <c r="G180" s="989"/>
      <c r="H180" s="989"/>
      <c r="I180" s="990"/>
      <c r="J180" s="403">
        <v>40</v>
      </c>
      <c r="K180" s="403">
        <v>200</v>
      </c>
      <c r="L180" s="431">
        <v>0</v>
      </c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:34" ht="12.75">
      <c r="A181" s="46" t="s">
        <v>304</v>
      </c>
      <c r="B181" s="400"/>
      <c r="C181" s="400"/>
      <c r="D181" s="656">
        <v>160.3</v>
      </c>
      <c r="F181" s="988" t="s">
        <v>189</v>
      </c>
      <c r="G181" s="989"/>
      <c r="H181" s="989"/>
      <c r="I181" s="990"/>
      <c r="J181" s="403"/>
      <c r="K181" s="403"/>
      <c r="L181" s="431">
        <v>200</v>
      </c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:34" ht="12.75">
      <c r="A182" s="46" t="s">
        <v>306</v>
      </c>
      <c r="B182" s="400"/>
      <c r="C182" s="400">
        <v>12433.04241</v>
      </c>
      <c r="D182" s="656">
        <v>10407</v>
      </c>
      <c r="F182" s="988"/>
      <c r="G182" s="989"/>
      <c r="H182" s="989"/>
      <c r="I182" s="990"/>
      <c r="J182" s="403"/>
      <c r="K182" s="403"/>
      <c r="L182" s="431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</row>
    <row r="183" spans="1:34" ht="12.75">
      <c r="A183" s="46" t="s">
        <v>305</v>
      </c>
      <c r="B183" s="400"/>
      <c r="C183" s="400"/>
      <c r="D183" s="656">
        <v>0</v>
      </c>
      <c r="F183" s="988"/>
      <c r="G183" s="989"/>
      <c r="H183" s="989"/>
      <c r="I183" s="990"/>
      <c r="J183" s="404"/>
      <c r="K183" s="404"/>
      <c r="L183" s="431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</row>
    <row r="184" spans="1:34" ht="12.75">
      <c r="A184" s="46" t="s">
        <v>307</v>
      </c>
      <c r="B184" s="400"/>
      <c r="C184" s="400">
        <v>37311</v>
      </c>
      <c r="D184" s="656">
        <v>101</v>
      </c>
      <c r="F184" s="988"/>
      <c r="G184" s="989"/>
      <c r="H184" s="989"/>
      <c r="I184" s="990"/>
      <c r="J184" s="404"/>
      <c r="K184" s="404"/>
      <c r="L184" s="431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</row>
    <row r="185" spans="1:34" ht="12.75">
      <c r="A185" s="46" t="s">
        <v>341</v>
      </c>
      <c r="B185" s="400"/>
      <c r="C185" s="400">
        <f>+(B39-E38)*-1</f>
        <v>33758.49000000006</v>
      </c>
      <c r="D185" s="656"/>
      <c r="F185" s="988"/>
      <c r="G185" s="989"/>
      <c r="H185" s="989"/>
      <c r="I185" s="990"/>
      <c r="J185" s="404"/>
      <c r="K185" s="404"/>
      <c r="L185" s="431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</row>
    <row r="186" spans="1:34" ht="13.5" thickBot="1">
      <c r="A186" s="409" t="s">
        <v>87</v>
      </c>
      <c r="B186" s="70">
        <f>+B169+B171-B178</f>
        <v>44004.3</v>
      </c>
      <c r="C186" s="70">
        <f>+D169</f>
        <v>9839</v>
      </c>
      <c r="D186" s="411">
        <f>+D169+D171-D178</f>
        <v>5383.854000000007</v>
      </c>
      <c r="F186" s="991" t="s">
        <v>87</v>
      </c>
      <c r="G186" s="992"/>
      <c r="H186" s="992"/>
      <c r="I186" s="993"/>
      <c r="J186" s="410">
        <f>+J169+J171-J178</f>
        <v>207</v>
      </c>
      <c r="K186" s="410">
        <f>+K169+K171-K177</f>
        <v>107</v>
      </c>
      <c r="L186" s="433">
        <f>+L169+L171-L178</f>
        <v>71</v>
      </c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</row>
    <row r="187" spans="1:12" ht="29.25" customHeight="1" thickBot="1">
      <c r="A187" s="78" t="s">
        <v>237</v>
      </c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</row>
    <row r="188" spans="1:34" ht="12.75">
      <c r="A188" s="1099" t="s">
        <v>184</v>
      </c>
      <c r="B188" s="1101" t="s">
        <v>4</v>
      </c>
      <c r="C188" s="1103" t="s">
        <v>185</v>
      </c>
      <c r="D188" s="747"/>
      <c r="E188" s="747"/>
      <c r="F188" s="747"/>
      <c r="G188" s="747"/>
      <c r="H188" s="748"/>
      <c r="I188" s="48"/>
      <c r="J188" s="728"/>
      <c r="M188" s="98"/>
      <c r="N188" s="9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</row>
    <row r="189" spans="1:34" ht="12.75">
      <c r="A189" s="1100"/>
      <c r="B189" s="1102"/>
      <c r="C189" s="191" t="s">
        <v>88</v>
      </c>
      <c r="D189" s="192" t="s">
        <v>89</v>
      </c>
      <c r="E189" s="192" t="s">
        <v>90</v>
      </c>
      <c r="F189" s="192" t="s">
        <v>91</v>
      </c>
      <c r="G189" s="193" t="s">
        <v>92</v>
      </c>
      <c r="H189" s="194" t="s">
        <v>45</v>
      </c>
      <c r="I189" s="48"/>
      <c r="J189" s="728"/>
      <c r="M189" s="98"/>
      <c r="N189" s="98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</row>
    <row r="190" spans="1:9" s="168" customFormat="1" ht="12.75" customHeight="1">
      <c r="A190" s="233" t="s">
        <v>140</v>
      </c>
      <c r="B190" s="42">
        <v>88113</v>
      </c>
      <c r="C190" s="688">
        <v>14644.687</v>
      </c>
      <c r="D190" s="234">
        <v>21112.106</v>
      </c>
      <c r="E190" s="234">
        <v>22416.339</v>
      </c>
      <c r="F190" s="234">
        <v>4091.47</v>
      </c>
      <c r="G190" s="234">
        <v>0</v>
      </c>
      <c r="H190" s="235">
        <f>SUM(C190:G190)</f>
        <v>62264.602</v>
      </c>
      <c r="I190" s="48"/>
    </row>
    <row r="191" spans="1:9" s="168" customFormat="1" ht="12.75" customHeight="1" thickBot="1">
      <c r="A191" s="236" t="s">
        <v>93</v>
      </c>
      <c r="B191" s="237">
        <v>73801</v>
      </c>
      <c r="C191" s="624">
        <v>6076.3589999999995</v>
      </c>
      <c r="D191" s="195">
        <v>3354.758</v>
      </c>
      <c r="E191" s="195">
        <v>110.96900000000001</v>
      </c>
      <c r="F191" s="195">
        <v>302.994</v>
      </c>
      <c r="G191" s="195">
        <v>584.3919999999999</v>
      </c>
      <c r="H191" s="238">
        <f>SUM(C191:G191)</f>
        <v>10429.471999999998</v>
      </c>
      <c r="I191" s="48"/>
    </row>
    <row r="192" ht="2.25" customHeight="1"/>
    <row r="193" ht="13.5" thickBot="1"/>
    <row r="194" spans="1:12" ht="13.5" thickBot="1">
      <c r="A194" s="904" t="s">
        <v>94</v>
      </c>
      <c r="B194" s="1021"/>
      <c r="C194" s="908" t="s">
        <v>95</v>
      </c>
      <c r="D194" s="1024"/>
      <c r="E194" s="1024"/>
      <c r="F194" s="1024"/>
      <c r="G194" s="1024"/>
      <c r="H194" s="909" t="s">
        <v>96</v>
      </c>
      <c r="I194" s="1024"/>
      <c r="J194" s="1024"/>
      <c r="K194" s="1024"/>
      <c r="L194" s="1025"/>
    </row>
    <row r="195" spans="1:12" ht="13.5" thickBot="1">
      <c r="A195" s="1022"/>
      <c r="B195" s="1023"/>
      <c r="C195" s="36">
        <v>2003</v>
      </c>
      <c r="D195" s="37">
        <v>2004</v>
      </c>
      <c r="E195" s="49" t="s">
        <v>7</v>
      </c>
      <c r="F195" s="37">
        <v>2005</v>
      </c>
      <c r="G195" s="49" t="s">
        <v>7</v>
      </c>
      <c r="H195" s="84">
        <v>2003</v>
      </c>
      <c r="I195" s="37">
        <v>2004</v>
      </c>
      <c r="J195" s="666" t="s">
        <v>7</v>
      </c>
      <c r="K195" s="667">
        <v>2005</v>
      </c>
      <c r="L195" s="50" t="s">
        <v>7</v>
      </c>
    </row>
    <row r="196" spans="1:12" ht="12.75">
      <c r="A196" s="1026" t="s">
        <v>97</v>
      </c>
      <c r="B196" s="1027"/>
      <c r="C196" s="515">
        <v>100</v>
      </c>
      <c r="D196" s="196">
        <v>100</v>
      </c>
      <c r="E196" s="668">
        <f aca="true" t="shared" si="16" ref="E196:E209">+D196-C196</f>
        <v>0</v>
      </c>
      <c r="F196" s="196">
        <v>100</v>
      </c>
      <c r="G196" s="319">
        <f aca="true" t="shared" si="17" ref="G196:G214">+F196-D196</f>
        <v>0</v>
      </c>
      <c r="H196" s="669">
        <v>84.3</v>
      </c>
      <c r="I196" s="670">
        <v>79.9</v>
      </c>
      <c r="J196" s="670">
        <f aca="true" t="shared" si="18" ref="J196:J209">+I196-H196</f>
        <v>-4.3999999999999915</v>
      </c>
      <c r="K196" s="671">
        <v>76.1</v>
      </c>
      <c r="L196" s="197">
        <f aca="true" t="shared" si="19" ref="L196:L214">+K196-I196</f>
        <v>-3.8000000000000114</v>
      </c>
    </row>
    <row r="197" spans="1:12" ht="12.75">
      <c r="A197" s="1001" t="s">
        <v>98</v>
      </c>
      <c r="B197" s="1019"/>
      <c r="C197" s="520">
        <v>28</v>
      </c>
      <c r="D197" s="198">
        <v>28</v>
      </c>
      <c r="E197" s="672">
        <f t="shared" si="16"/>
        <v>0</v>
      </c>
      <c r="F197" s="198">
        <v>28</v>
      </c>
      <c r="G197" s="319">
        <f t="shared" si="17"/>
        <v>0</v>
      </c>
      <c r="H197" s="673">
        <v>69.8</v>
      </c>
      <c r="I197" s="674">
        <v>64.31</v>
      </c>
      <c r="J197" s="674">
        <f t="shared" si="18"/>
        <v>-5.489999999999995</v>
      </c>
      <c r="K197" s="675">
        <v>62.671232876712324</v>
      </c>
      <c r="L197" s="197">
        <f t="shared" si="19"/>
        <v>-1.6387671232876784</v>
      </c>
    </row>
    <row r="198" spans="1:12" ht="12.75">
      <c r="A198" s="1001" t="s">
        <v>99</v>
      </c>
      <c r="B198" s="1019"/>
      <c r="C198" s="520">
        <v>24</v>
      </c>
      <c r="D198" s="198">
        <v>24</v>
      </c>
      <c r="E198" s="672">
        <f t="shared" si="16"/>
        <v>0</v>
      </c>
      <c r="F198" s="198">
        <v>24</v>
      </c>
      <c r="G198" s="319">
        <f t="shared" si="17"/>
        <v>0</v>
      </c>
      <c r="H198" s="673">
        <v>74.8</v>
      </c>
      <c r="I198" s="674">
        <v>77.96</v>
      </c>
      <c r="J198" s="674">
        <f t="shared" si="18"/>
        <v>3.1599999999999966</v>
      </c>
      <c r="K198" s="675">
        <v>75.94805791772006</v>
      </c>
      <c r="L198" s="197">
        <f t="shared" si="19"/>
        <v>-2.01194208227993</v>
      </c>
    </row>
    <row r="199" spans="1:12" ht="12.75">
      <c r="A199" s="1001" t="s">
        <v>100</v>
      </c>
      <c r="B199" s="1019"/>
      <c r="C199" s="520">
        <v>30</v>
      </c>
      <c r="D199" s="198">
        <v>30</v>
      </c>
      <c r="E199" s="672">
        <f t="shared" si="16"/>
        <v>0</v>
      </c>
      <c r="F199" s="198">
        <v>30</v>
      </c>
      <c r="G199" s="319">
        <f t="shared" si="17"/>
        <v>0</v>
      </c>
      <c r="H199" s="673">
        <v>78.9</v>
      </c>
      <c r="I199" s="674">
        <v>78.65</v>
      </c>
      <c r="J199" s="674">
        <f t="shared" si="18"/>
        <v>-0.25</v>
      </c>
      <c r="K199" s="675">
        <v>78.9295516925892</v>
      </c>
      <c r="L199" s="197">
        <f t="shared" si="19"/>
        <v>0.27955169258919454</v>
      </c>
    </row>
    <row r="200" spans="1:12" ht="12.75">
      <c r="A200" s="1001" t="s">
        <v>101</v>
      </c>
      <c r="B200" s="1019"/>
      <c r="C200" s="520">
        <v>60</v>
      </c>
      <c r="D200" s="198">
        <v>50</v>
      </c>
      <c r="E200" s="672">
        <f t="shared" si="16"/>
        <v>-10</v>
      </c>
      <c r="F200" s="198">
        <v>0</v>
      </c>
      <c r="G200" s="319">
        <f t="shared" si="17"/>
        <v>-50</v>
      </c>
      <c r="H200" s="673">
        <v>76.9</v>
      </c>
      <c r="I200" s="674">
        <v>91.01</v>
      </c>
      <c r="J200" s="674">
        <f t="shared" si="18"/>
        <v>14.11</v>
      </c>
      <c r="K200" s="675"/>
      <c r="L200" s="197">
        <f t="shared" si="19"/>
        <v>-91.01</v>
      </c>
    </row>
    <row r="201" spans="1:12" ht="12.75">
      <c r="A201" s="1001" t="s">
        <v>102</v>
      </c>
      <c r="B201" s="1019"/>
      <c r="C201" s="520">
        <v>52</v>
      </c>
      <c r="D201" s="198">
        <v>52</v>
      </c>
      <c r="E201" s="672">
        <f t="shared" si="16"/>
        <v>0</v>
      </c>
      <c r="F201" s="198">
        <v>52</v>
      </c>
      <c r="G201" s="319">
        <f t="shared" si="17"/>
        <v>0</v>
      </c>
      <c r="H201" s="673">
        <v>63.6</v>
      </c>
      <c r="I201" s="674">
        <v>59.12</v>
      </c>
      <c r="J201" s="674">
        <f t="shared" si="18"/>
        <v>-4.480000000000004</v>
      </c>
      <c r="K201" s="675">
        <v>65.52988047808765</v>
      </c>
      <c r="L201" s="197">
        <f t="shared" si="19"/>
        <v>6.409880478087651</v>
      </c>
    </row>
    <row r="202" spans="1:12" ht="12.75">
      <c r="A202" s="1001" t="s">
        <v>103</v>
      </c>
      <c r="B202" s="1019"/>
      <c r="C202" s="520">
        <v>84</v>
      </c>
      <c r="D202" s="198">
        <v>63</v>
      </c>
      <c r="E202" s="672">
        <f t="shared" si="16"/>
        <v>-21</v>
      </c>
      <c r="F202" s="198">
        <v>56</v>
      </c>
      <c r="G202" s="319">
        <f t="shared" si="17"/>
        <v>-7</v>
      </c>
      <c r="H202" s="673">
        <v>49.9</v>
      </c>
      <c r="I202" s="674">
        <v>66.42</v>
      </c>
      <c r="J202" s="674">
        <f t="shared" si="18"/>
        <v>16.520000000000003</v>
      </c>
      <c r="K202" s="675">
        <v>75.58204258540458</v>
      </c>
      <c r="L202" s="197">
        <f t="shared" si="19"/>
        <v>9.162042585404578</v>
      </c>
    </row>
    <row r="203" spans="1:12" ht="12.75">
      <c r="A203" s="1001" t="s">
        <v>104</v>
      </c>
      <c r="B203" s="1019"/>
      <c r="C203" s="520">
        <v>102</v>
      </c>
      <c r="D203" s="198">
        <v>102</v>
      </c>
      <c r="E203" s="672">
        <f t="shared" si="16"/>
        <v>0</v>
      </c>
      <c r="F203" s="198">
        <v>102</v>
      </c>
      <c r="G203" s="319">
        <f t="shared" si="17"/>
        <v>0</v>
      </c>
      <c r="H203" s="673">
        <v>78.8</v>
      </c>
      <c r="I203" s="674">
        <v>76.67</v>
      </c>
      <c r="J203" s="674">
        <f t="shared" si="18"/>
        <v>-2.1299999999999955</v>
      </c>
      <c r="K203" s="675">
        <v>77.57801019967154</v>
      </c>
      <c r="L203" s="197">
        <f t="shared" si="19"/>
        <v>0.9080101996715371</v>
      </c>
    </row>
    <row r="204" spans="1:12" ht="12.75">
      <c r="A204" s="1001" t="s">
        <v>105</v>
      </c>
      <c r="B204" s="1019"/>
      <c r="C204" s="520">
        <v>5</v>
      </c>
      <c r="D204" s="198">
        <v>5</v>
      </c>
      <c r="E204" s="672">
        <f t="shared" si="16"/>
        <v>0</v>
      </c>
      <c r="F204" s="198">
        <v>5</v>
      </c>
      <c r="G204" s="319">
        <f t="shared" si="17"/>
        <v>0</v>
      </c>
      <c r="H204" s="673">
        <v>65.5</v>
      </c>
      <c r="I204" s="674">
        <v>56.66</v>
      </c>
      <c r="J204" s="674">
        <f t="shared" si="18"/>
        <v>-8.840000000000003</v>
      </c>
      <c r="K204" s="675">
        <v>77.9306549257017</v>
      </c>
      <c r="L204" s="197">
        <f t="shared" si="19"/>
        <v>21.270654925701706</v>
      </c>
    </row>
    <row r="205" spans="1:12" ht="12.75">
      <c r="A205" s="1001" t="s">
        <v>106</v>
      </c>
      <c r="B205" s="1019"/>
      <c r="C205" s="520">
        <v>42</v>
      </c>
      <c r="D205" s="198">
        <v>42</v>
      </c>
      <c r="E205" s="672">
        <f t="shared" si="16"/>
        <v>0</v>
      </c>
      <c r="F205" s="198">
        <v>42</v>
      </c>
      <c r="G205" s="319">
        <f t="shared" si="17"/>
        <v>0</v>
      </c>
      <c r="H205" s="673">
        <v>89.5</v>
      </c>
      <c r="I205" s="674">
        <v>91.64</v>
      </c>
      <c r="J205" s="674">
        <f t="shared" si="18"/>
        <v>2.1400000000000006</v>
      </c>
      <c r="K205" s="675">
        <v>93.39074114962833</v>
      </c>
      <c r="L205" s="197">
        <f t="shared" si="19"/>
        <v>1.7507411496283254</v>
      </c>
    </row>
    <row r="206" spans="1:12" ht="12.75">
      <c r="A206" s="1001" t="s">
        <v>107</v>
      </c>
      <c r="B206" s="1019"/>
      <c r="C206" s="520">
        <v>32</v>
      </c>
      <c r="D206" s="198">
        <v>32</v>
      </c>
      <c r="E206" s="672">
        <f t="shared" si="16"/>
        <v>0</v>
      </c>
      <c r="F206" s="198">
        <v>24</v>
      </c>
      <c r="G206" s="319">
        <f t="shared" si="17"/>
        <v>-8</v>
      </c>
      <c r="H206" s="673">
        <v>75.1</v>
      </c>
      <c r="I206" s="674">
        <v>72.95</v>
      </c>
      <c r="J206" s="674">
        <f t="shared" si="18"/>
        <v>-2.1499999999999915</v>
      </c>
      <c r="K206" s="675">
        <v>80.63251523636963</v>
      </c>
      <c r="L206" s="197">
        <f t="shared" si="19"/>
        <v>7.682515236369625</v>
      </c>
    </row>
    <row r="207" spans="1:12" ht="12.75">
      <c r="A207" s="1001" t="s">
        <v>108</v>
      </c>
      <c r="B207" s="1019"/>
      <c r="C207" s="520">
        <v>15</v>
      </c>
      <c r="D207" s="198">
        <v>15</v>
      </c>
      <c r="E207" s="672">
        <f t="shared" si="16"/>
        <v>0</v>
      </c>
      <c r="F207" s="198">
        <v>15</v>
      </c>
      <c r="G207" s="319">
        <f t="shared" si="17"/>
        <v>0</v>
      </c>
      <c r="H207" s="673">
        <v>80.5</v>
      </c>
      <c r="I207" s="674">
        <v>78.87</v>
      </c>
      <c r="J207" s="674">
        <f t="shared" si="18"/>
        <v>-1.6299999999999955</v>
      </c>
      <c r="K207" s="675">
        <v>95.69090532421795</v>
      </c>
      <c r="L207" s="197">
        <f t="shared" si="19"/>
        <v>16.820905324217946</v>
      </c>
    </row>
    <row r="208" spans="1:12" ht="12.75">
      <c r="A208" s="1001" t="s">
        <v>109</v>
      </c>
      <c r="B208" s="1019"/>
      <c r="C208" s="520">
        <v>18</v>
      </c>
      <c r="D208" s="198">
        <v>18</v>
      </c>
      <c r="E208" s="672">
        <f t="shared" si="16"/>
        <v>0</v>
      </c>
      <c r="F208" s="198">
        <v>18</v>
      </c>
      <c r="G208" s="319">
        <f t="shared" si="17"/>
        <v>0</v>
      </c>
      <c r="H208" s="673">
        <v>69</v>
      </c>
      <c r="I208" s="674">
        <v>74.49</v>
      </c>
      <c r="J208" s="674">
        <f t="shared" si="18"/>
        <v>5.489999999999995</v>
      </c>
      <c r="K208" s="675">
        <v>74.84974572353214</v>
      </c>
      <c r="L208" s="197">
        <f t="shared" si="19"/>
        <v>0.35974572353214285</v>
      </c>
    </row>
    <row r="209" spans="1:12" ht="12.75">
      <c r="A209" s="1001" t="s">
        <v>110</v>
      </c>
      <c r="B209" s="1019"/>
      <c r="C209" s="520">
        <v>20</v>
      </c>
      <c r="D209" s="198">
        <v>20</v>
      </c>
      <c r="E209" s="672">
        <f t="shared" si="16"/>
        <v>0</v>
      </c>
      <c r="F209" s="198">
        <v>24</v>
      </c>
      <c r="G209" s="319">
        <f t="shared" si="17"/>
        <v>4</v>
      </c>
      <c r="H209" s="673">
        <v>85.2</v>
      </c>
      <c r="I209" s="674">
        <v>89.73</v>
      </c>
      <c r="J209" s="674">
        <f t="shared" si="18"/>
        <v>4.530000000000001</v>
      </c>
      <c r="K209" s="675">
        <v>86.99245921235011</v>
      </c>
      <c r="L209" s="197">
        <f t="shared" si="19"/>
        <v>-2.737540787649891</v>
      </c>
    </row>
    <row r="210" spans="1:12" ht="12.75">
      <c r="A210" s="1001" t="s">
        <v>111</v>
      </c>
      <c r="B210" s="1019"/>
      <c r="C210" s="520"/>
      <c r="D210" s="198"/>
      <c r="E210" s="672"/>
      <c r="F210" s="198"/>
      <c r="G210" s="319">
        <f t="shared" si="17"/>
        <v>0</v>
      </c>
      <c r="H210" s="673"/>
      <c r="I210" s="674"/>
      <c r="J210" s="674"/>
      <c r="K210" s="675">
        <v>0</v>
      </c>
      <c r="L210" s="197">
        <f t="shared" si="19"/>
        <v>0</v>
      </c>
    </row>
    <row r="211" spans="1:12" ht="12.75">
      <c r="A211" s="1001" t="s">
        <v>112</v>
      </c>
      <c r="B211" s="1019"/>
      <c r="C211" s="520">
        <v>15</v>
      </c>
      <c r="D211" s="198">
        <v>21</v>
      </c>
      <c r="E211" s="672">
        <f>+D211-C211</f>
        <v>6</v>
      </c>
      <c r="F211" s="198">
        <v>23</v>
      </c>
      <c r="G211" s="319">
        <f t="shared" si="17"/>
        <v>2</v>
      </c>
      <c r="H211" s="673">
        <v>87.9</v>
      </c>
      <c r="I211" s="674">
        <v>80.95</v>
      </c>
      <c r="J211" s="674">
        <f>+I211-H211</f>
        <v>-6.950000000000003</v>
      </c>
      <c r="K211" s="675">
        <v>87.11930829017429</v>
      </c>
      <c r="L211" s="197">
        <f t="shared" si="19"/>
        <v>6.1693082901742855</v>
      </c>
    </row>
    <row r="212" spans="1:12" ht="12.75">
      <c r="A212" s="1020" t="s">
        <v>449</v>
      </c>
      <c r="B212" s="1019"/>
      <c r="C212" s="520">
        <v>20</v>
      </c>
      <c r="D212" s="198">
        <v>41</v>
      </c>
      <c r="E212" s="672">
        <f>+D212-C212</f>
        <v>21</v>
      </c>
      <c r="F212" s="198">
        <v>41</v>
      </c>
      <c r="G212" s="319">
        <f t="shared" si="17"/>
        <v>0</v>
      </c>
      <c r="H212" s="673">
        <v>94.1</v>
      </c>
      <c r="I212" s="674">
        <v>99.25</v>
      </c>
      <c r="J212" s="674">
        <f>+I212-H212</f>
        <v>5.150000000000006</v>
      </c>
      <c r="K212" s="675">
        <v>102.9496547563183</v>
      </c>
      <c r="L212" s="197">
        <f t="shared" si="19"/>
        <v>3.6996547563182958</v>
      </c>
    </row>
    <row r="213" spans="1:12" ht="13.5" thickBot="1">
      <c r="A213" s="1002" t="s">
        <v>114</v>
      </c>
      <c r="B213" s="1009"/>
      <c r="C213" s="525"/>
      <c r="D213" s="326"/>
      <c r="E213" s="676"/>
      <c r="F213" s="326"/>
      <c r="G213" s="327">
        <f t="shared" si="17"/>
        <v>0</v>
      </c>
      <c r="H213" s="677"/>
      <c r="I213" s="678"/>
      <c r="J213" s="678"/>
      <c r="K213" s="679"/>
      <c r="L213" s="680">
        <f t="shared" si="19"/>
        <v>0</v>
      </c>
    </row>
    <row r="214" spans="1:12" ht="13.5" thickBot="1">
      <c r="A214" s="1004" t="s">
        <v>4</v>
      </c>
      <c r="B214" s="1010"/>
      <c r="C214" s="681">
        <f>SUM(C196:C213)</f>
        <v>647</v>
      </c>
      <c r="D214" s="52">
        <f>SUM(D196:D213)</f>
        <v>643</v>
      </c>
      <c r="E214" s="51">
        <f>+D214-C214</f>
        <v>-4</v>
      </c>
      <c r="F214" s="682">
        <f>SUM(F196:F213)</f>
        <v>584</v>
      </c>
      <c r="G214" s="683">
        <f t="shared" si="17"/>
        <v>-59</v>
      </c>
      <c r="H214" s="684">
        <v>75</v>
      </c>
      <c r="I214" s="685">
        <v>77.82</v>
      </c>
      <c r="J214" s="686">
        <f>+I214-H214</f>
        <v>2.819999999999993</v>
      </c>
      <c r="K214" s="687">
        <v>79.34088666319172</v>
      </c>
      <c r="L214" s="200">
        <f t="shared" si="19"/>
        <v>1.5208866631917317</v>
      </c>
    </row>
    <row r="215" spans="1:12" ht="4.5" customHeight="1">
      <c r="A215" s="665"/>
      <c r="B215" s="665"/>
      <c r="C215" s="1011"/>
      <c r="D215" s="1012"/>
      <c r="E215" s="1012"/>
      <c r="F215" s="1012"/>
      <c r="G215" s="1012"/>
      <c r="H215" s="665"/>
      <c r="I215" s="665"/>
      <c r="J215" s="665"/>
      <c r="K215" s="665"/>
      <c r="L215" s="665"/>
    </row>
    <row r="216" spans="1:12" ht="4.5" customHeight="1">
      <c r="A216" s="665"/>
      <c r="B216" s="665"/>
      <c r="C216" s="665"/>
      <c r="D216" s="665"/>
      <c r="E216" s="665"/>
      <c r="F216" s="665"/>
      <c r="G216" s="665"/>
      <c r="H216" s="665"/>
      <c r="I216" s="665"/>
      <c r="J216" s="665"/>
      <c r="K216" s="665"/>
      <c r="L216" s="665"/>
    </row>
    <row r="217" spans="1:12" ht="12.75">
      <c r="A217" s="1013" t="s">
        <v>450</v>
      </c>
      <c r="B217" s="1014"/>
      <c r="C217" s="1014"/>
      <c r="D217" s="1014"/>
      <c r="E217" s="1014"/>
      <c r="F217" s="1014"/>
      <c r="G217" s="1014"/>
      <c r="H217" s="1014"/>
      <c r="I217" s="1014"/>
      <c r="J217" s="1014"/>
      <c r="K217" s="1014"/>
      <c r="L217" s="1015"/>
    </row>
    <row r="218" spans="1:12" ht="12.75">
      <c r="A218" s="1016"/>
      <c r="B218" s="1017"/>
      <c r="C218" s="1017"/>
      <c r="D218" s="1017"/>
      <c r="E218" s="1017"/>
      <c r="F218" s="1017"/>
      <c r="G218" s="1017"/>
      <c r="H218" s="1017"/>
      <c r="I218" s="1017"/>
      <c r="J218" s="1017"/>
      <c r="K218" s="1017"/>
      <c r="L218" s="1018"/>
    </row>
    <row r="219" ht="13.5" thickBot="1"/>
    <row r="220" spans="1:12" ht="12.75">
      <c r="A220" s="743" t="s">
        <v>451</v>
      </c>
      <c r="B220" s="745" t="s">
        <v>116</v>
      </c>
      <c r="C220" s="746"/>
      <c r="D220" s="740"/>
      <c r="E220" s="803" t="s">
        <v>115</v>
      </c>
      <c r="F220" s="804"/>
      <c r="G220" s="746" t="s">
        <v>117</v>
      </c>
      <c r="H220" s="746"/>
      <c r="I220" s="802"/>
      <c r="J220" s="746" t="s">
        <v>158</v>
      </c>
      <c r="K220" s="746"/>
      <c r="L220" s="802"/>
    </row>
    <row r="221" spans="1:12" ht="27.75" thickBot="1">
      <c r="A221" s="1008"/>
      <c r="B221" s="53" t="s">
        <v>118</v>
      </c>
      <c r="C221" s="54" t="s">
        <v>119</v>
      </c>
      <c r="D221" s="329" t="s">
        <v>120</v>
      </c>
      <c r="E221" s="805"/>
      <c r="F221" s="806"/>
      <c r="G221" s="54" t="s">
        <v>118</v>
      </c>
      <c r="H221" s="54" t="s">
        <v>119</v>
      </c>
      <c r="I221" s="41" t="s">
        <v>120</v>
      </c>
      <c r="J221" s="54" t="s">
        <v>118</v>
      </c>
      <c r="K221" s="54" t="s">
        <v>119</v>
      </c>
      <c r="L221" s="41" t="s">
        <v>120</v>
      </c>
    </row>
    <row r="222" spans="1:12" ht="18.75" customHeight="1">
      <c r="A222" s="330" t="s">
        <v>121</v>
      </c>
      <c r="B222" s="505">
        <v>120.98</v>
      </c>
      <c r="C222" s="506">
        <v>51550901</v>
      </c>
      <c r="D222" s="239">
        <f aca="true" t="shared" si="20" ref="D222:D228">+IF(B222&gt;0,C222/B222/12,"")</f>
        <v>35509.24464098749</v>
      </c>
      <c r="E222" s="741" t="s">
        <v>121</v>
      </c>
      <c r="F222" s="1006"/>
      <c r="G222" s="394">
        <v>121.23</v>
      </c>
      <c r="H222" s="334">
        <v>53467097</v>
      </c>
      <c r="I222" s="239">
        <f aca="true" t="shared" si="21" ref="I222:I232">+IF(G222&gt;0,H222/G222/12,"")</f>
        <v>36753.20808930683</v>
      </c>
      <c r="J222" s="394">
        <v>119.2</v>
      </c>
      <c r="K222" s="334">
        <v>54706758</v>
      </c>
      <c r="L222" s="239">
        <f aca="true" t="shared" si="22" ref="L222:L232">+IF(J222&gt;0,K222/J222/12,"")</f>
        <v>38245.77600671141</v>
      </c>
    </row>
    <row r="223" spans="1:12" ht="18.75" customHeight="1">
      <c r="A223" s="330" t="s">
        <v>122</v>
      </c>
      <c r="B223" s="240">
        <v>4.32</v>
      </c>
      <c r="C223" s="507">
        <v>1492945</v>
      </c>
      <c r="D223" s="235">
        <f t="shared" si="20"/>
        <v>28799.093364197528</v>
      </c>
      <c r="E223" s="741" t="s">
        <v>122</v>
      </c>
      <c r="F223" s="1006"/>
      <c r="G223" s="395">
        <v>4.39</v>
      </c>
      <c r="H223" s="332">
        <v>1742169</v>
      </c>
      <c r="I223" s="235">
        <f t="shared" si="21"/>
        <v>33070.78587699317</v>
      </c>
      <c r="J223" s="395">
        <v>3.62</v>
      </c>
      <c r="K223" s="332">
        <v>1674494</v>
      </c>
      <c r="L223" s="235">
        <f t="shared" si="22"/>
        <v>38547.28360957643</v>
      </c>
    </row>
    <row r="224" spans="1:12" ht="18.75" customHeight="1">
      <c r="A224" s="330" t="s">
        <v>123</v>
      </c>
      <c r="B224" s="240">
        <v>10.96</v>
      </c>
      <c r="C224" s="507">
        <v>2236467</v>
      </c>
      <c r="D224" s="235">
        <f t="shared" si="20"/>
        <v>17004.76733576642</v>
      </c>
      <c r="E224" s="741" t="s">
        <v>124</v>
      </c>
      <c r="F224" s="1006"/>
      <c r="G224" s="395">
        <v>430.78</v>
      </c>
      <c r="H224" s="332">
        <v>84231304</v>
      </c>
      <c r="I224" s="235">
        <f t="shared" si="21"/>
        <v>16294.338951050035</v>
      </c>
      <c r="J224" s="395">
        <v>430.03</v>
      </c>
      <c r="K224" s="332">
        <v>86442324</v>
      </c>
      <c r="L224" s="235">
        <f t="shared" si="22"/>
        <v>16751.219682347746</v>
      </c>
    </row>
    <row r="225" spans="1:12" ht="18.75" customHeight="1">
      <c r="A225" s="330" t="s">
        <v>125</v>
      </c>
      <c r="B225" s="240">
        <v>9.33</v>
      </c>
      <c r="C225" s="507">
        <v>1557713</v>
      </c>
      <c r="D225" s="235">
        <f t="shared" si="20"/>
        <v>13913.12075741336</v>
      </c>
      <c r="E225" s="741" t="s">
        <v>126</v>
      </c>
      <c r="F225" s="1006"/>
      <c r="G225" s="395">
        <v>50.99</v>
      </c>
      <c r="H225" s="332">
        <v>10719487</v>
      </c>
      <c r="I225" s="235">
        <f t="shared" si="21"/>
        <v>17518.936719618225</v>
      </c>
      <c r="J225" s="395">
        <v>46.83</v>
      </c>
      <c r="K225" s="332">
        <v>10811826</v>
      </c>
      <c r="L225" s="235">
        <f t="shared" si="22"/>
        <v>19239.493914157592</v>
      </c>
    </row>
    <row r="226" spans="1:12" ht="18.75" customHeight="1">
      <c r="A226" s="330" t="s">
        <v>127</v>
      </c>
      <c r="B226" s="240">
        <v>497.57</v>
      </c>
      <c r="C226" s="507">
        <v>97572834</v>
      </c>
      <c r="D226" s="235">
        <f t="shared" si="20"/>
        <v>16341.558976626404</v>
      </c>
      <c r="E226" s="741" t="s">
        <v>128</v>
      </c>
      <c r="F226" s="1006"/>
      <c r="G226" s="395">
        <v>13.29</v>
      </c>
      <c r="H226" s="332">
        <v>2396532</v>
      </c>
      <c r="I226" s="235">
        <f t="shared" si="21"/>
        <v>15027.163280662155</v>
      </c>
      <c r="J226" s="395">
        <v>13.78</v>
      </c>
      <c r="K226" s="332">
        <v>2739699</v>
      </c>
      <c r="L226" s="235">
        <f t="shared" si="22"/>
        <v>16568.087808417997</v>
      </c>
    </row>
    <row r="227" spans="1:12" ht="18.75" customHeight="1">
      <c r="A227" s="330" t="s">
        <v>129</v>
      </c>
      <c r="B227" s="240">
        <v>17.28</v>
      </c>
      <c r="C227" s="507">
        <v>2418514</v>
      </c>
      <c r="D227" s="235">
        <f t="shared" si="20"/>
        <v>11663.358410493827</v>
      </c>
      <c r="E227" s="741" t="s">
        <v>130</v>
      </c>
      <c r="F227" s="1006"/>
      <c r="G227" s="395">
        <v>110.97</v>
      </c>
      <c r="H227" s="332">
        <v>13547918</v>
      </c>
      <c r="I227" s="235">
        <f t="shared" si="21"/>
        <v>10173.859301312668</v>
      </c>
      <c r="J227" s="395">
        <v>121.06</v>
      </c>
      <c r="K227" s="332">
        <v>15297000</v>
      </c>
      <c r="L227" s="235">
        <f t="shared" si="22"/>
        <v>10529.90252767223</v>
      </c>
    </row>
    <row r="228" spans="1:12" ht="18.75" customHeight="1">
      <c r="A228" s="330" t="s">
        <v>131</v>
      </c>
      <c r="B228" s="240">
        <v>91.07</v>
      </c>
      <c r="C228" s="507">
        <v>11021584</v>
      </c>
      <c r="D228" s="235">
        <f t="shared" si="20"/>
        <v>10085.267742761978</v>
      </c>
      <c r="E228" s="741" t="s">
        <v>132</v>
      </c>
      <c r="F228" s="1006"/>
      <c r="G228" s="395">
        <v>15.2</v>
      </c>
      <c r="H228" s="332">
        <v>2940578</v>
      </c>
      <c r="I228" s="235">
        <f t="shared" si="21"/>
        <v>16121.589912280702</v>
      </c>
      <c r="J228" s="395">
        <v>11.82</v>
      </c>
      <c r="K228" s="332">
        <v>2353301</v>
      </c>
      <c r="L228" s="235">
        <f t="shared" si="22"/>
        <v>16591.23660462493</v>
      </c>
    </row>
    <row r="229" spans="1:12" ht="18.75" customHeight="1">
      <c r="A229" s="330"/>
      <c r="B229" s="240"/>
      <c r="C229" s="507"/>
      <c r="D229" s="235"/>
      <c r="E229" s="741" t="s">
        <v>133</v>
      </c>
      <c r="F229" s="1006"/>
      <c r="G229" s="395">
        <v>0.08</v>
      </c>
      <c r="H229" s="332">
        <v>23151</v>
      </c>
      <c r="I229" s="235">
        <f t="shared" si="21"/>
        <v>24115.625</v>
      </c>
      <c r="J229" s="395">
        <v>0.12</v>
      </c>
      <c r="K229" s="332">
        <v>27231</v>
      </c>
      <c r="L229" s="235">
        <f t="shared" si="22"/>
        <v>18910.416666666668</v>
      </c>
    </row>
    <row r="230" spans="1:12" ht="18.75" customHeight="1">
      <c r="A230" s="330" t="s">
        <v>134</v>
      </c>
      <c r="B230" s="240">
        <v>62.1</v>
      </c>
      <c r="C230" s="507">
        <v>12259800</v>
      </c>
      <c r="D230" s="235">
        <f>+IF(B230&gt;0,C230/B230/12,"")</f>
        <v>16451.690821256037</v>
      </c>
      <c r="E230" s="741" t="s">
        <v>134</v>
      </c>
      <c r="F230" s="1006"/>
      <c r="G230" s="396">
        <v>60.36</v>
      </c>
      <c r="H230" s="234">
        <v>12421848</v>
      </c>
      <c r="I230" s="235">
        <f t="shared" si="21"/>
        <v>17149.668654738238</v>
      </c>
      <c r="J230" s="396">
        <v>58.04</v>
      </c>
      <c r="K230" s="234">
        <v>13717580</v>
      </c>
      <c r="L230" s="235">
        <f t="shared" si="22"/>
        <v>19695.583505628303</v>
      </c>
    </row>
    <row r="231" spans="1:12" ht="18.75" customHeight="1" thickBot="1">
      <c r="A231" s="508" t="s">
        <v>135</v>
      </c>
      <c r="B231" s="240">
        <v>92.63</v>
      </c>
      <c r="C231" s="507">
        <v>11834393</v>
      </c>
      <c r="D231" s="235">
        <f>+IF(B231&gt;0,C231/B231/12,"")</f>
        <v>10646.652452409227</v>
      </c>
      <c r="E231" s="739" t="s">
        <v>136</v>
      </c>
      <c r="F231" s="1007"/>
      <c r="G231" s="394">
        <v>70.07</v>
      </c>
      <c r="H231" s="334">
        <v>8966609</v>
      </c>
      <c r="I231" s="239">
        <f t="shared" si="21"/>
        <v>10663.870653156368</v>
      </c>
      <c r="J231" s="394">
        <v>68.38</v>
      </c>
      <c r="K231" s="334">
        <v>9438239</v>
      </c>
      <c r="L231" s="235">
        <f t="shared" si="22"/>
        <v>11502.192405186703</v>
      </c>
    </row>
    <row r="232" spans="1:12" ht="18.75" customHeight="1" thickBot="1">
      <c r="A232" s="88" t="s">
        <v>4</v>
      </c>
      <c r="B232" s="89">
        <f>SUM(B222:B231)</f>
        <v>906.24</v>
      </c>
      <c r="C232" s="509">
        <f>SUM(C222:C231)</f>
        <v>191945151</v>
      </c>
      <c r="D232" s="87">
        <f>+IF(B232&gt;0,C232/B232/12,"")</f>
        <v>17650.32358977754</v>
      </c>
      <c r="E232" s="794" t="s">
        <v>4</v>
      </c>
      <c r="F232" s="795"/>
      <c r="G232" s="397">
        <f>SUM(G222:G231)</f>
        <v>877.3600000000001</v>
      </c>
      <c r="H232" s="86">
        <f>SUM(H222:H231)</f>
        <v>190456693</v>
      </c>
      <c r="I232" s="87">
        <f t="shared" si="21"/>
        <v>18089.94151013647</v>
      </c>
      <c r="J232" s="397">
        <f>SUM(J222:J231)</f>
        <v>872.88</v>
      </c>
      <c r="K232" s="86">
        <f>SUM(K222:K231)</f>
        <v>197208452</v>
      </c>
      <c r="L232" s="87">
        <f t="shared" si="22"/>
        <v>18827.37336938258</v>
      </c>
    </row>
  </sheetData>
  <mergeCells count="506">
    <mergeCell ref="J105:K105"/>
    <mergeCell ref="L105:M105"/>
    <mergeCell ref="A105:B105"/>
    <mergeCell ref="C105:D105"/>
    <mergeCell ref="E105:F105"/>
    <mergeCell ref="G105:H105"/>
    <mergeCell ref="L124:M124"/>
    <mergeCell ref="A125:B125"/>
    <mergeCell ref="C125:D125"/>
    <mergeCell ref="E125:F125"/>
    <mergeCell ref="G125:H125"/>
    <mergeCell ref="J125:K125"/>
    <mergeCell ref="L125:M125"/>
    <mergeCell ref="A124:B124"/>
    <mergeCell ref="C124:D124"/>
    <mergeCell ref="E124:F124"/>
    <mergeCell ref="G124:H124"/>
    <mergeCell ref="L122:M122"/>
    <mergeCell ref="A123:B123"/>
    <mergeCell ref="C123:D123"/>
    <mergeCell ref="E123:F123"/>
    <mergeCell ref="G123:H123"/>
    <mergeCell ref="J123:K123"/>
    <mergeCell ref="L123:M123"/>
    <mergeCell ref="A122:B122"/>
    <mergeCell ref="C122:D122"/>
    <mergeCell ref="E122:F122"/>
    <mergeCell ref="G122:H122"/>
    <mergeCell ref="L120:M120"/>
    <mergeCell ref="A121:B121"/>
    <mergeCell ref="C121:D121"/>
    <mergeCell ref="E121:F121"/>
    <mergeCell ref="G121:H121"/>
    <mergeCell ref="J121:K121"/>
    <mergeCell ref="L121:M121"/>
    <mergeCell ref="A120:B120"/>
    <mergeCell ref="L118:M118"/>
    <mergeCell ref="J119:K119"/>
    <mergeCell ref="L119:M119"/>
    <mergeCell ref="C118:D118"/>
    <mergeCell ref="E118:F118"/>
    <mergeCell ref="G118:H118"/>
    <mergeCell ref="J118:K118"/>
    <mergeCell ref="C119:D119"/>
    <mergeCell ref="E119:F119"/>
    <mergeCell ref="G119:H119"/>
    <mergeCell ref="C120:D120"/>
    <mergeCell ref="E120:F120"/>
    <mergeCell ref="G120:H120"/>
    <mergeCell ref="C117:D117"/>
    <mergeCell ref="E117:F117"/>
    <mergeCell ref="G117:H117"/>
    <mergeCell ref="J117:K117"/>
    <mergeCell ref="C116:D116"/>
    <mergeCell ref="E116:F116"/>
    <mergeCell ref="G116:H116"/>
    <mergeCell ref="J116:K116"/>
    <mergeCell ref="C115:D115"/>
    <mergeCell ref="E115:F115"/>
    <mergeCell ref="G115:H115"/>
    <mergeCell ref="J115:K115"/>
    <mergeCell ref="C114:D114"/>
    <mergeCell ref="E114:F114"/>
    <mergeCell ref="G114:H114"/>
    <mergeCell ref="J114:K114"/>
    <mergeCell ref="C113:D113"/>
    <mergeCell ref="E113:F113"/>
    <mergeCell ref="G113:H113"/>
    <mergeCell ref="J113:K113"/>
    <mergeCell ref="C112:D112"/>
    <mergeCell ref="E112:F112"/>
    <mergeCell ref="G112:H112"/>
    <mergeCell ref="J112:K112"/>
    <mergeCell ref="F174:I174"/>
    <mergeCell ref="F177:I177"/>
    <mergeCell ref="F182:I182"/>
    <mergeCell ref="F184:I184"/>
    <mergeCell ref="F178:I178"/>
    <mergeCell ref="F179:I179"/>
    <mergeCell ref="F180:I180"/>
    <mergeCell ref="F181:I181"/>
    <mergeCell ref="F183:I183"/>
    <mergeCell ref="A140:B140"/>
    <mergeCell ref="C140:D140"/>
    <mergeCell ref="F168:I168"/>
    <mergeCell ref="F169:I169"/>
    <mergeCell ref="F147:I147"/>
    <mergeCell ref="F148:I148"/>
    <mergeCell ref="C154:C155"/>
    <mergeCell ref="D154:H154"/>
    <mergeCell ref="A159:A160"/>
    <mergeCell ref="B159:B160"/>
    <mergeCell ref="J147:K147"/>
    <mergeCell ref="J148:K148"/>
    <mergeCell ref="J149:K149"/>
    <mergeCell ref="J129:K129"/>
    <mergeCell ref="J143:K143"/>
    <mergeCell ref="J144:K144"/>
    <mergeCell ref="J145:K145"/>
    <mergeCell ref="J146:K146"/>
    <mergeCell ref="J139:K139"/>
    <mergeCell ref="J140:K140"/>
    <mergeCell ref="J141:K141"/>
    <mergeCell ref="J142:K142"/>
    <mergeCell ref="F149:I14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F145:I145"/>
    <mergeCell ref="F146:I146"/>
    <mergeCell ref="F141:I141"/>
    <mergeCell ref="F142:I142"/>
    <mergeCell ref="F143:I143"/>
    <mergeCell ref="F144:I144"/>
    <mergeCell ref="F137:I137"/>
    <mergeCell ref="F138:I138"/>
    <mergeCell ref="F140:I140"/>
    <mergeCell ref="F133:I133"/>
    <mergeCell ref="F134:I134"/>
    <mergeCell ref="F135:I135"/>
    <mergeCell ref="F136:I136"/>
    <mergeCell ref="C137:D137"/>
    <mergeCell ref="A129:B129"/>
    <mergeCell ref="C129:D129"/>
    <mergeCell ref="A137:B137"/>
    <mergeCell ref="A134:B134"/>
    <mergeCell ref="A135:B135"/>
    <mergeCell ref="A136:B136"/>
    <mergeCell ref="C130:D130"/>
    <mergeCell ref="C131:D131"/>
    <mergeCell ref="C132:D132"/>
    <mergeCell ref="C133:D133"/>
    <mergeCell ref="C134:D134"/>
    <mergeCell ref="C135:D135"/>
    <mergeCell ref="C136:D136"/>
    <mergeCell ref="A130:B130"/>
    <mergeCell ref="A131:B131"/>
    <mergeCell ref="A132:B132"/>
    <mergeCell ref="A133:B133"/>
    <mergeCell ref="A41:K41"/>
    <mergeCell ref="A55:A56"/>
    <mergeCell ref="B55:G55"/>
    <mergeCell ref="H55:K55"/>
    <mergeCell ref="B56:C56"/>
    <mergeCell ref="D56:E56"/>
    <mergeCell ref="F56:G56"/>
    <mergeCell ref="B42:F42"/>
    <mergeCell ref="G42:K42"/>
    <mergeCell ref="B57:C57"/>
    <mergeCell ref="D57:E57"/>
    <mergeCell ref="F57:G57"/>
    <mergeCell ref="B58:C58"/>
    <mergeCell ref="D58:E58"/>
    <mergeCell ref="F58:G58"/>
    <mergeCell ref="A107:B107"/>
    <mergeCell ref="C107:D107"/>
    <mergeCell ref="E107:F107"/>
    <mergeCell ref="G107:H107"/>
    <mergeCell ref="J109:K109"/>
    <mergeCell ref="L109:M109"/>
    <mergeCell ref="A108:B108"/>
    <mergeCell ref="C108:D108"/>
    <mergeCell ref="E108:F108"/>
    <mergeCell ref="G108:H108"/>
    <mergeCell ref="J107:K107"/>
    <mergeCell ref="L107:M107"/>
    <mergeCell ref="J108:K108"/>
    <mergeCell ref="L108:M108"/>
    <mergeCell ref="J110:K110"/>
    <mergeCell ref="L110:M110"/>
    <mergeCell ref="A109:B109"/>
    <mergeCell ref="C109:D109"/>
    <mergeCell ref="A110:B110"/>
    <mergeCell ref="C110:D110"/>
    <mergeCell ref="E110:F110"/>
    <mergeCell ref="G110:H110"/>
    <mergeCell ref="E109:F109"/>
    <mergeCell ref="G109:H109"/>
    <mergeCell ref="A111:B111"/>
    <mergeCell ref="C111:D111"/>
    <mergeCell ref="E111:F111"/>
    <mergeCell ref="G111:H111"/>
    <mergeCell ref="A188:A189"/>
    <mergeCell ref="B188:B189"/>
    <mergeCell ref="C188:H188"/>
    <mergeCell ref="F186:I186"/>
    <mergeCell ref="F173:I173"/>
    <mergeCell ref="F175:I175"/>
    <mergeCell ref="F176:I176"/>
    <mergeCell ref="J111:K111"/>
    <mergeCell ref="J120:K120"/>
    <mergeCell ref="J122:K122"/>
    <mergeCell ref="J124:K124"/>
    <mergeCell ref="F171:I171"/>
    <mergeCell ref="F172:I172"/>
    <mergeCell ref="F170:I170"/>
    <mergeCell ref="L111:M111"/>
    <mergeCell ref="L112:M112"/>
    <mergeCell ref="L113:M113"/>
    <mergeCell ref="L114:M114"/>
    <mergeCell ref="L115:M115"/>
    <mergeCell ref="L116:M116"/>
    <mergeCell ref="L117:M117"/>
    <mergeCell ref="I153:I155"/>
    <mergeCell ref="L127:M127"/>
    <mergeCell ref="F129:I129"/>
    <mergeCell ref="F130:I130"/>
    <mergeCell ref="F131:I131"/>
    <mergeCell ref="F132:I132"/>
    <mergeCell ref="F139:I139"/>
    <mergeCell ref="C159:F159"/>
    <mergeCell ref="I159:L159"/>
    <mergeCell ref="A153:A155"/>
    <mergeCell ref="B153:B155"/>
    <mergeCell ref="C153:H153"/>
    <mergeCell ref="C76:D76"/>
    <mergeCell ref="A63:B63"/>
    <mergeCell ref="A64:B64"/>
    <mergeCell ref="A65:B65"/>
    <mergeCell ref="C72:D72"/>
    <mergeCell ref="B59:C59"/>
    <mergeCell ref="D59:E59"/>
    <mergeCell ref="F59:G59"/>
    <mergeCell ref="G69:H69"/>
    <mergeCell ref="A84:B85"/>
    <mergeCell ref="C84:D84"/>
    <mergeCell ref="E84:F84"/>
    <mergeCell ref="G84:I84"/>
    <mergeCell ref="M5:N5"/>
    <mergeCell ref="L6:L7"/>
    <mergeCell ref="A4:A7"/>
    <mergeCell ref="H5:I5"/>
    <mergeCell ref="B4:N4"/>
    <mergeCell ref="B39:D39"/>
    <mergeCell ref="E39:G39"/>
    <mergeCell ref="B37:D37"/>
    <mergeCell ref="E37:G37"/>
    <mergeCell ref="B38:D38"/>
    <mergeCell ref="E38:G38"/>
    <mergeCell ref="J37:L37"/>
    <mergeCell ref="A42:A43"/>
    <mergeCell ref="A68:B69"/>
    <mergeCell ref="C68:D68"/>
    <mergeCell ref="E68:F68"/>
    <mergeCell ref="G68:I68"/>
    <mergeCell ref="J68:K68"/>
    <mergeCell ref="L68:M69"/>
    <mergeCell ref="C69:D69"/>
    <mergeCell ref="E69:F69"/>
    <mergeCell ref="J69:K69"/>
    <mergeCell ref="C70:D70"/>
    <mergeCell ref="E70:F70"/>
    <mergeCell ref="G70:H70"/>
    <mergeCell ref="J70:K70"/>
    <mergeCell ref="J82:K82"/>
    <mergeCell ref="L82:M82"/>
    <mergeCell ref="L70:M70"/>
    <mergeCell ref="C71:D71"/>
    <mergeCell ref="E71:F71"/>
    <mergeCell ref="G71:H71"/>
    <mergeCell ref="J71:K71"/>
    <mergeCell ref="L71:M71"/>
    <mergeCell ref="C77:D77"/>
    <mergeCell ref="C78:D78"/>
    <mergeCell ref="A82:B82"/>
    <mergeCell ref="C82:D82"/>
    <mergeCell ref="E82:F82"/>
    <mergeCell ref="G82:H82"/>
    <mergeCell ref="C79:D79"/>
    <mergeCell ref="C80:D80"/>
    <mergeCell ref="C81:D81"/>
    <mergeCell ref="E72:F72"/>
    <mergeCell ref="E75:F75"/>
    <mergeCell ref="E78:F78"/>
    <mergeCell ref="E81:F81"/>
    <mergeCell ref="C73:D73"/>
    <mergeCell ref="C74:D74"/>
    <mergeCell ref="C75:D75"/>
    <mergeCell ref="G72:H72"/>
    <mergeCell ref="E73:F73"/>
    <mergeCell ref="G73:H73"/>
    <mergeCell ref="E74:F74"/>
    <mergeCell ref="G74:H74"/>
    <mergeCell ref="G75:H75"/>
    <mergeCell ref="E76:F76"/>
    <mergeCell ref="G76:H76"/>
    <mergeCell ref="E77:F77"/>
    <mergeCell ref="G77:H77"/>
    <mergeCell ref="G78:H78"/>
    <mergeCell ref="E79:F79"/>
    <mergeCell ref="G79:H79"/>
    <mergeCell ref="E80:F80"/>
    <mergeCell ref="G80:H80"/>
    <mergeCell ref="G81:H8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102:B102"/>
    <mergeCell ref="A86:B86"/>
    <mergeCell ref="A87:B87"/>
    <mergeCell ref="A88:B88"/>
    <mergeCell ref="A89:B89"/>
    <mergeCell ref="A90:B90"/>
    <mergeCell ref="A91:B91"/>
    <mergeCell ref="J84:K84"/>
    <mergeCell ref="L84:M85"/>
    <mergeCell ref="C85:D85"/>
    <mergeCell ref="E85:F85"/>
    <mergeCell ref="G85:H85"/>
    <mergeCell ref="J85:K85"/>
    <mergeCell ref="J86:K86"/>
    <mergeCell ref="L86:M86"/>
    <mergeCell ref="C87:D87"/>
    <mergeCell ref="C88:D88"/>
    <mergeCell ref="C86:D86"/>
    <mergeCell ref="E86:F86"/>
    <mergeCell ref="G86:H86"/>
    <mergeCell ref="E87:F87"/>
    <mergeCell ref="E88:F88"/>
    <mergeCell ref="C89:D89"/>
    <mergeCell ref="C90:D90"/>
    <mergeCell ref="C91:D91"/>
    <mergeCell ref="C92:D92"/>
    <mergeCell ref="C93:D93"/>
    <mergeCell ref="C94:D94"/>
    <mergeCell ref="C95:D95"/>
    <mergeCell ref="C96:D96"/>
    <mergeCell ref="C104:D104"/>
    <mergeCell ref="C97:D97"/>
    <mergeCell ref="C98:D98"/>
    <mergeCell ref="C99:D99"/>
    <mergeCell ref="C100:D100"/>
    <mergeCell ref="C101:D101"/>
    <mergeCell ref="C102:D102"/>
    <mergeCell ref="C103:D103"/>
    <mergeCell ref="E98:F98"/>
    <mergeCell ref="E99:F99"/>
    <mergeCell ref="E100:F100"/>
    <mergeCell ref="E101:F101"/>
    <mergeCell ref="E102:F102"/>
    <mergeCell ref="E103:F103"/>
    <mergeCell ref="E89:F89"/>
    <mergeCell ref="E90:F90"/>
    <mergeCell ref="E96:F96"/>
    <mergeCell ref="E97:F97"/>
    <mergeCell ref="E91:F91"/>
    <mergeCell ref="E92:F92"/>
    <mergeCell ref="E93:F93"/>
    <mergeCell ref="E94:F94"/>
    <mergeCell ref="E95:F95"/>
    <mergeCell ref="E104:F104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101:M101"/>
    <mergeCell ref="L102:M102"/>
    <mergeCell ref="L103:M103"/>
    <mergeCell ref="L96:M96"/>
    <mergeCell ref="L97:M97"/>
    <mergeCell ref="L98:M98"/>
    <mergeCell ref="L99:M99"/>
    <mergeCell ref="L104:M104"/>
    <mergeCell ref="A95:B95"/>
    <mergeCell ref="A96:B96"/>
    <mergeCell ref="A97:B97"/>
    <mergeCell ref="A98:B98"/>
    <mergeCell ref="A99:B99"/>
    <mergeCell ref="A100:B100"/>
    <mergeCell ref="A101:B101"/>
    <mergeCell ref="A104:B104"/>
    <mergeCell ref="L100:M100"/>
    <mergeCell ref="A92:B92"/>
    <mergeCell ref="A93:B93"/>
    <mergeCell ref="A94:B94"/>
    <mergeCell ref="A103:B103"/>
    <mergeCell ref="A127:B127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C127:D127"/>
    <mergeCell ref="E127:F127"/>
    <mergeCell ref="G127:H127"/>
    <mergeCell ref="J127:K127"/>
    <mergeCell ref="A194:B195"/>
    <mergeCell ref="C194:G194"/>
    <mergeCell ref="H194:L194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C215:G215"/>
    <mergeCell ref="A217:L218"/>
    <mergeCell ref="A220:A221"/>
    <mergeCell ref="B220:D220"/>
    <mergeCell ref="E220:F221"/>
    <mergeCell ref="G220:I220"/>
    <mergeCell ref="J220:L220"/>
    <mergeCell ref="E222:F222"/>
    <mergeCell ref="E223:F223"/>
    <mergeCell ref="E224:F224"/>
    <mergeCell ref="E232:F232"/>
    <mergeCell ref="E225:F225"/>
    <mergeCell ref="E226:F226"/>
    <mergeCell ref="E227:F227"/>
    <mergeCell ref="E228:F228"/>
    <mergeCell ref="F185:I185"/>
    <mergeCell ref="E229:F229"/>
    <mergeCell ref="E230:F230"/>
    <mergeCell ref="E231:F231"/>
  </mergeCells>
  <printOptions horizontalCentered="1"/>
  <pageMargins left="0.2362204724409449" right="0.2755905511811024" top="0.25" bottom="0.1968503937007874" header="0.2362204724409449" footer="0.1968503937007874"/>
  <pageSetup horizontalDpi="600" verticalDpi="600" orientation="portrait" paperSize="9" scale="68" r:id="rId1"/>
  <rowBreaks count="1" manualBreakCount="1">
    <brk id="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218"/>
  <sheetViews>
    <sheetView workbookViewId="0" topLeftCell="A16">
      <selection activeCell="I36" sqref="I36:J36"/>
    </sheetView>
  </sheetViews>
  <sheetFormatPr defaultColWidth="9.00390625" defaultRowHeight="12.75"/>
  <cols>
    <col min="1" max="1" width="31.625" style="426" customWidth="1"/>
    <col min="2" max="2" width="9.625" style="224" customWidth="1"/>
    <col min="3" max="4" width="10.00390625" style="224" customWidth="1"/>
    <col min="5" max="5" width="9.625" style="224" customWidth="1"/>
    <col min="6" max="7" width="8.875" style="224" customWidth="1"/>
    <col min="8" max="8" width="9.00390625" style="541" customWidth="1"/>
    <col min="9" max="9" width="8.875" style="541" customWidth="1"/>
    <col min="10" max="10" width="9.375" style="426" customWidth="1"/>
    <col min="11" max="11" width="9.625" style="426" customWidth="1"/>
    <col min="12" max="14" width="8.875" style="426" customWidth="1"/>
  </cols>
  <sheetData>
    <row r="1" spans="12:14" ht="15.75">
      <c r="L1" s="115"/>
      <c r="N1" s="116"/>
    </row>
    <row r="2" spans="1:14" ht="15.75" customHeight="1" thickBot="1">
      <c r="A2" s="119" t="s">
        <v>145</v>
      </c>
      <c r="B2" s="255"/>
      <c r="C2" s="255"/>
      <c r="D2" s="255"/>
      <c r="E2" s="255"/>
      <c r="F2" s="255"/>
      <c r="G2" s="255"/>
      <c r="H2" s="118"/>
      <c r="L2" s="115"/>
      <c r="N2" s="116"/>
    </row>
    <row r="3" spans="1:14" ht="23.25" customHeight="1" thickBot="1">
      <c r="A3" s="960" t="s">
        <v>0</v>
      </c>
      <c r="B3" s="876" t="s">
        <v>364</v>
      </c>
      <c r="C3" s="1171"/>
      <c r="D3" s="1171"/>
      <c r="E3" s="1171"/>
      <c r="F3" s="1171"/>
      <c r="G3" s="1171"/>
      <c r="H3" s="1171"/>
      <c r="I3" s="1171"/>
      <c r="J3" s="1171"/>
      <c r="K3" s="1171"/>
      <c r="L3" s="1171"/>
      <c r="M3" s="1172"/>
      <c r="N3"/>
    </row>
    <row r="4" spans="1:26" ht="10.5" customHeight="1">
      <c r="A4" s="1169"/>
      <c r="B4" s="865" t="s">
        <v>213</v>
      </c>
      <c r="C4" s="850" t="s">
        <v>212</v>
      </c>
      <c r="D4" s="1" t="s">
        <v>154</v>
      </c>
      <c r="E4" s="2"/>
      <c r="F4" s="3"/>
      <c r="G4" s="883" t="s">
        <v>173</v>
      </c>
      <c r="H4" s="884"/>
      <c r="I4" s="2" t="s">
        <v>155</v>
      </c>
      <c r="J4" s="4"/>
      <c r="K4" s="5"/>
      <c r="L4" s="883" t="s">
        <v>156</v>
      </c>
      <c r="M4" s="884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13" s="114" customFormat="1" ht="9.75">
      <c r="A5" s="1169"/>
      <c r="B5" s="1173"/>
      <c r="C5" s="851"/>
      <c r="D5" s="120" t="s">
        <v>179</v>
      </c>
      <c r="E5" s="121" t="s">
        <v>3</v>
      </c>
      <c r="F5" s="122" t="s">
        <v>4</v>
      </c>
      <c r="G5" s="120" t="s">
        <v>4</v>
      </c>
      <c r="H5" s="122" t="s">
        <v>5</v>
      </c>
      <c r="I5" s="123" t="s">
        <v>179</v>
      </c>
      <c r="J5" s="121" t="s">
        <v>3</v>
      </c>
      <c r="K5" s="1075" t="s">
        <v>4</v>
      </c>
      <c r="L5" s="120" t="s">
        <v>4</v>
      </c>
      <c r="M5" s="122" t="s">
        <v>5</v>
      </c>
    </row>
    <row r="6" spans="1:13" s="114" customFormat="1" ht="10.5" customHeight="1" thickBot="1">
      <c r="A6" s="1170"/>
      <c r="B6" s="1174"/>
      <c r="C6" s="852"/>
      <c r="D6" s="610" t="s">
        <v>6</v>
      </c>
      <c r="E6" s="611" t="s">
        <v>6</v>
      </c>
      <c r="F6" s="612"/>
      <c r="G6" s="613" t="s">
        <v>7</v>
      </c>
      <c r="H6" s="612" t="s">
        <v>8</v>
      </c>
      <c r="I6" s="614" t="s">
        <v>6</v>
      </c>
      <c r="J6" s="611" t="s">
        <v>6</v>
      </c>
      <c r="K6" s="1168"/>
      <c r="L6" s="613" t="s">
        <v>7</v>
      </c>
      <c r="M6" s="612" t="s">
        <v>8</v>
      </c>
    </row>
    <row r="7" spans="1:13" s="168" customFormat="1" ht="18" customHeight="1">
      <c r="A7" s="542" t="s">
        <v>9</v>
      </c>
      <c r="B7" s="443">
        <v>0</v>
      </c>
      <c r="C7" s="568">
        <v>0</v>
      </c>
      <c r="D7" s="285"/>
      <c r="E7" s="25"/>
      <c r="F7" s="544"/>
      <c r="G7" s="258"/>
      <c r="H7" s="261"/>
      <c r="I7" s="56"/>
      <c r="J7" s="25"/>
      <c r="K7" s="544">
        <v>0</v>
      </c>
      <c r="L7" s="444"/>
      <c r="M7" s="545"/>
    </row>
    <row r="8" spans="1:13" s="168" customFormat="1" ht="18" customHeight="1">
      <c r="A8" s="546" t="s">
        <v>10</v>
      </c>
      <c r="B8" s="443">
        <v>431570</v>
      </c>
      <c r="C8" s="568">
        <v>439420.29</v>
      </c>
      <c r="D8" s="286">
        <v>472314</v>
      </c>
      <c r="E8" s="28">
        <v>932</v>
      </c>
      <c r="F8" s="543">
        <f aca="true" t="shared" si="0" ref="F8:F35">D8+E8</f>
        <v>473246</v>
      </c>
      <c r="G8" s="447">
        <f>+F8-C8</f>
        <v>33825.71000000002</v>
      </c>
      <c r="H8" s="448">
        <f>+F8/C8</f>
        <v>1.0769780339455877</v>
      </c>
      <c r="I8" s="27">
        <f>485594+800*9</f>
        <v>492794</v>
      </c>
      <c r="J8" s="28">
        <v>930</v>
      </c>
      <c r="K8" s="543">
        <f>+I8+J8</f>
        <v>493724</v>
      </c>
      <c r="L8" s="447">
        <f>+K8-F8</f>
        <v>20478</v>
      </c>
      <c r="M8" s="448">
        <f>+K8/F8</f>
        <v>1.0432713641531044</v>
      </c>
    </row>
    <row r="9" spans="1:13" s="168" customFormat="1" ht="18" customHeight="1">
      <c r="A9" s="546" t="s">
        <v>11</v>
      </c>
      <c r="B9" s="443">
        <v>41027</v>
      </c>
      <c r="C9" s="568">
        <v>49432.27</v>
      </c>
      <c r="D9" s="286">
        <v>45669</v>
      </c>
      <c r="E9" s="28">
        <v>2524</v>
      </c>
      <c r="F9" s="543">
        <f t="shared" si="0"/>
        <v>48193</v>
      </c>
      <c r="G9" s="447">
        <f aca="true" t="shared" si="1" ref="G9:G35">+F9-C9</f>
        <v>-1239.2699999999968</v>
      </c>
      <c r="H9" s="448">
        <f aca="true" t="shared" si="2" ref="H9:H35">+F9/C9</f>
        <v>0.974929939490944</v>
      </c>
      <c r="I9" s="27">
        <v>48257</v>
      </c>
      <c r="J9" s="28">
        <v>2200</v>
      </c>
      <c r="K9" s="543">
        <v>50457</v>
      </c>
      <c r="L9" s="447">
        <f aca="true" t="shared" si="3" ref="L9:L35">+K9-F9</f>
        <v>2264</v>
      </c>
      <c r="M9" s="448">
        <f aca="true" t="shared" si="4" ref="M9:M35">+K9/F9</f>
        <v>1.04697777685556</v>
      </c>
    </row>
    <row r="10" spans="1:13" s="168" customFormat="1" ht="18" customHeight="1">
      <c r="A10" s="546" t="s">
        <v>12</v>
      </c>
      <c r="B10" s="443">
        <v>13827</v>
      </c>
      <c r="C10" s="568">
        <v>13075.16</v>
      </c>
      <c r="D10" s="286">
        <v>10917</v>
      </c>
      <c r="E10" s="28">
        <v>0</v>
      </c>
      <c r="F10" s="543">
        <f t="shared" si="0"/>
        <v>10917</v>
      </c>
      <c r="G10" s="447">
        <f t="shared" si="1"/>
        <v>-2158.16</v>
      </c>
      <c r="H10" s="448">
        <f t="shared" si="2"/>
        <v>0.8349419815895178</v>
      </c>
      <c r="I10" s="27">
        <v>11000</v>
      </c>
      <c r="J10" s="28"/>
      <c r="K10" s="543">
        <v>11000</v>
      </c>
      <c r="L10" s="447">
        <f t="shared" si="3"/>
        <v>83</v>
      </c>
      <c r="M10" s="448">
        <f t="shared" si="4"/>
        <v>1.0076028212878996</v>
      </c>
    </row>
    <row r="11" spans="1:13" s="168" customFormat="1" ht="18" customHeight="1">
      <c r="A11" s="546" t="s">
        <v>13</v>
      </c>
      <c r="B11" s="443">
        <v>5219</v>
      </c>
      <c r="C11" s="568">
        <v>2139.75</v>
      </c>
      <c r="D11" s="286">
        <v>2607</v>
      </c>
      <c r="E11" s="28">
        <v>299</v>
      </c>
      <c r="F11" s="543">
        <f t="shared" si="0"/>
        <v>2906</v>
      </c>
      <c r="G11" s="447">
        <f t="shared" si="1"/>
        <v>766.25</v>
      </c>
      <c r="H11" s="448">
        <f t="shared" si="2"/>
        <v>1.3581025820773456</v>
      </c>
      <c r="I11" s="27">
        <v>2700</v>
      </c>
      <c r="J11" s="28">
        <v>300</v>
      </c>
      <c r="K11" s="543">
        <v>3000</v>
      </c>
      <c r="L11" s="447">
        <f t="shared" si="3"/>
        <v>94</v>
      </c>
      <c r="M11" s="448">
        <f t="shared" si="4"/>
        <v>1.032346868547832</v>
      </c>
    </row>
    <row r="12" spans="1:13" s="168" customFormat="1" ht="18" customHeight="1">
      <c r="A12" s="546" t="s">
        <v>14</v>
      </c>
      <c r="B12" s="443">
        <v>0</v>
      </c>
      <c r="C12" s="568">
        <v>0</v>
      </c>
      <c r="D12" s="286"/>
      <c r="E12" s="28"/>
      <c r="F12" s="543">
        <f t="shared" si="0"/>
        <v>0</v>
      </c>
      <c r="G12" s="447">
        <f t="shared" si="1"/>
        <v>0</v>
      </c>
      <c r="H12" s="448"/>
      <c r="I12" s="27"/>
      <c r="J12" s="28"/>
      <c r="K12" s="543">
        <v>0</v>
      </c>
      <c r="L12" s="447">
        <f t="shared" si="3"/>
        <v>0</v>
      </c>
      <c r="M12" s="448"/>
    </row>
    <row r="13" spans="1:13" s="168" customFormat="1" ht="18" customHeight="1">
      <c r="A13" s="546" t="s">
        <v>15</v>
      </c>
      <c r="B13" s="443">
        <v>6081</v>
      </c>
      <c r="C13" s="568">
        <v>4831.66</v>
      </c>
      <c r="D13" s="286">
        <v>4149</v>
      </c>
      <c r="E13" s="28">
        <v>20</v>
      </c>
      <c r="F13" s="543">
        <f t="shared" si="0"/>
        <v>4169</v>
      </c>
      <c r="G13" s="447">
        <f t="shared" si="1"/>
        <v>-662.6599999999999</v>
      </c>
      <c r="H13" s="448">
        <f t="shared" si="2"/>
        <v>0.8628504489140378</v>
      </c>
      <c r="I13" s="27">
        <v>3980</v>
      </c>
      <c r="J13" s="28">
        <v>20</v>
      </c>
      <c r="K13" s="543">
        <v>4000</v>
      </c>
      <c r="L13" s="447">
        <f t="shared" si="3"/>
        <v>-169</v>
      </c>
      <c r="M13" s="448">
        <f t="shared" si="4"/>
        <v>0.959462700887503</v>
      </c>
    </row>
    <row r="14" spans="1:13" s="168" customFormat="1" ht="20.25" customHeight="1">
      <c r="A14" s="546" t="s">
        <v>16</v>
      </c>
      <c r="B14" s="443">
        <v>0</v>
      </c>
      <c r="C14" s="568">
        <v>0</v>
      </c>
      <c r="D14" s="286"/>
      <c r="E14" s="28"/>
      <c r="F14" s="543">
        <f t="shared" si="0"/>
        <v>0</v>
      </c>
      <c r="G14" s="447">
        <f t="shared" si="1"/>
        <v>0</v>
      </c>
      <c r="H14" s="448"/>
      <c r="I14" s="27"/>
      <c r="J14" s="28"/>
      <c r="K14" s="543">
        <v>0</v>
      </c>
      <c r="L14" s="447">
        <f t="shared" si="3"/>
        <v>0</v>
      </c>
      <c r="M14" s="448"/>
    </row>
    <row r="15" spans="1:13" s="168" customFormat="1" ht="16.5" customHeight="1" thickBot="1">
      <c r="A15" s="547" t="s">
        <v>17</v>
      </c>
      <c r="B15" s="443">
        <v>24713</v>
      </c>
      <c r="C15" s="568">
        <v>25252</v>
      </c>
      <c r="D15" s="564">
        <v>17481</v>
      </c>
      <c r="E15" s="63"/>
      <c r="F15" s="543">
        <f t="shared" si="0"/>
        <v>17481</v>
      </c>
      <c r="G15" s="481">
        <f t="shared" si="1"/>
        <v>-7771</v>
      </c>
      <c r="H15" s="475">
        <f t="shared" si="2"/>
        <v>0.6922619990495802</v>
      </c>
      <c r="I15" s="548">
        <f>18741-2500+281.237+10</f>
        <v>16532.237</v>
      </c>
      <c r="J15" s="63"/>
      <c r="K15" s="543">
        <f>SUM(I15:J15)</f>
        <v>16532.237</v>
      </c>
      <c r="L15" s="481">
        <f t="shared" si="3"/>
        <v>-948.762999999999</v>
      </c>
      <c r="M15" s="475">
        <f t="shared" si="4"/>
        <v>0.9457260454207426</v>
      </c>
    </row>
    <row r="16" spans="1:13" s="168" customFormat="1" ht="15" customHeight="1" thickBot="1">
      <c r="A16" s="489" t="s">
        <v>18</v>
      </c>
      <c r="B16" s="14">
        <v>522437</v>
      </c>
      <c r="C16" s="15">
        <v>534151.13</v>
      </c>
      <c r="D16" s="55">
        <f>SUM(D7+D8+D9+D10+D11+D13+D15)</f>
        <v>553137</v>
      </c>
      <c r="E16" s="33">
        <f>SUM(E7+E8+E9+E10+E11+E13+E15)</f>
        <v>3775</v>
      </c>
      <c r="F16" s="14">
        <f t="shared" si="0"/>
        <v>556912</v>
      </c>
      <c r="G16" s="484">
        <f t="shared" si="1"/>
        <v>22760.869999999995</v>
      </c>
      <c r="H16" s="464">
        <f t="shared" si="2"/>
        <v>1.042611292425797</v>
      </c>
      <c r="I16" s="55">
        <f>SUM(I7+I8+I9+I10+I11+I13+I15)</f>
        <v>575263.237</v>
      </c>
      <c r="J16" s="33">
        <f>SUM(J7+J8+J9+J10+J11+J13+J15)</f>
        <v>3450</v>
      </c>
      <c r="K16" s="55">
        <f>SUM(K7+K8+K9+K10+K11+K13+K15)</f>
        <v>578713.237</v>
      </c>
      <c r="L16" s="484">
        <f t="shared" si="3"/>
        <v>21801.236999999965</v>
      </c>
      <c r="M16" s="464">
        <f t="shared" si="4"/>
        <v>1.039146646148763</v>
      </c>
    </row>
    <row r="17" spans="1:13" s="168" customFormat="1" ht="19.5" customHeight="1">
      <c r="A17" s="549" t="s">
        <v>19</v>
      </c>
      <c r="B17" s="443">
        <v>139211</v>
      </c>
      <c r="C17" s="568">
        <v>135955.2</v>
      </c>
      <c r="D17" s="285">
        <v>133946</v>
      </c>
      <c r="E17" s="25">
        <v>437</v>
      </c>
      <c r="F17" s="543">
        <f t="shared" si="0"/>
        <v>134383</v>
      </c>
      <c r="G17" s="444">
        <f t="shared" si="1"/>
        <v>-1572.2000000000116</v>
      </c>
      <c r="H17" s="550">
        <f t="shared" si="2"/>
        <v>0.9884358965306218</v>
      </c>
      <c r="I17" s="56">
        <v>132611</v>
      </c>
      <c r="J17" s="25">
        <v>428</v>
      </c>
      <c r="K17" s="543">
        <v>133039</v>
      </c>
      <c r="L17" s="444">
        <f t="shared" si="3"/>
        <v>-1344</v>
      </c>
      <c r="M17" s="550">
        <f t="shared" si="4"/>
        <v>0.989998734959035</v>
      </c>
    </row>
    <row r="18" spans="1:13" s="168" customFormat="1" ht="19.5" customHeight="1">
      <c r="A18" s="546" t="s">
        <v>20</v>
      </c>
      <c r="B18" s="443">
        <v>4365</v>
      </c>
      <c r="C18" s="568">
        <v>5266</v>
      </c>
      <c r="D18" s="285">
        <v>6176</v>
      </c>
      <c r="E18" s="25"/>
      <c r="F18" s="543">
        <f t="shared" si="0"/>
        <v>6176</v>
      </c>
      <c r="G18" s="447">
        <f t="shared" si="1"/>
        <v>910</v>
      </c>
      <c r="H18" s="448">
        <f t="shared" si="2"/>
        <v>1.1728066843904292</v>
      </c>
      <c r="I18" s="56">
        <v>6000</v>
      </c>
      <c r="J18" s="25"/>
      <c r="K18" s="543">
        <v>6000</v>
      </c>
      <c r="L18" s="447">
        <f t="shared" si="3"/>
        <v>-176</v>
      </c>
      <c r="M18" s="448">
        <f t="shared" si="4"/>
        <v>0.9715025906735751</v>
      </c>
    </row>
    <row r="19" spans="1:13" s="168" customFormat="1" ht="19.5" customHeight="1">
      <c r="A19" s="546" t="s">
        <v>21</v>
      </c>
      <c r="B19" s="443">
        <v>5482</v>
      </c>
      <c r="C19" s="568">
        <v>5797.31</v>
      </c>
      <c r="D19" s="565">
        <v>6517</v>
      </c>
      <c r="E19" s="28">
        <v>3</v>
      </c>
      <c r="F19" s="543">
        <f t="shared" si="0"/>
        <v>6520</v>
      </c>
      <c r="G19" s="447">
        <f t="shared" si="1"/>
        <v>722.6899999999996</v>
      </c>
      <c r="H19" s="448">
        <f t="shared" si="2"/>
        <v>1.124659540373035</v>
      </c>
      <c r="I19" s="554">
        <v>7996</v>
      </c>
      <c r="J19" s="434">
        <v>4</v>
      </c>
      <c r="K19" s="733">
        <f>SUM(I19:J19)</f>
        <v>8000</v>
      </c>
      <c r="L19" s="447">
        <f t="shared" si="3"/>
        <v>1480</v>
      </c>
      <c r="M19" s="448">
        <f t="shared" si="4"/>
        <v>1.2269938650306749</v>
      </c>
    </row>
    <row r="20" spans="1:13" s="168" customFormat="1" ht="19.5" customHeight="1">
      <c r="A20" s="546" t="s">
        <v>22</v>
      </c>
      <c r="B20" s="443">
        <v>12705</v>
      </c>
      <c r="C20" s="568">
        <v>13547.61</v>
      </c>
      <c r="D20" s="286">
        <v>14221</v>
      </c>
      <c r="E20" s="28">
        <v>138</v>
      </c>
      <c r="F20" s="543">
        <f t="shared" si="0"/>
        <v>14359</v>
      </c>
      <c r="G20" s="447">
        <f t="shared" si="1"/>
        <v>811.3899999999994</v>
      </c>
      <c r="H20" s="448">
        <f t="shared" si="2"/>
        <v>1.0598917447431686</v>
      </c>
      <c r="I20" s="552">
        <v>15860</v>
      </c>
      <c r="J20" s="434">
        <v>140</v>
      </c>
      <c r="K20" s="733">
        <f>SUM(I20:J20)</f>
        <v>16000</v>
      </c>
      <c r="L20" s="447">
        <f t="shared" si="3"/>
        <v>1641</v>
      </c>
      <c r="M20" s="448">
        <f t="shared" si="4"/>
        <v>1.1142837244933492</v>
      </c>
    </row>
    <row r="21" spans="1:13" s="168" customFormat="1" ht="19.5" customHeight="1">
      <c r="A21" s="546" t="s">
        <v>23</v>
      </c>
      <c r="B21" s="443">
        <v>32256</v>
      </c>
      <c r="C21" s="568">
        <v>41095.47</v>
      </c>
      <c r="D21" s="286">
        <v>38804</v>
      </c>
      <c r="E21" s="28">
        <v>2100</v>
      </c>
      <c r="F21" s="543">
        <f t="shared" si="0"/>
        <v>40904</v>
      </c>
      <c r="G21" s="447">
        <f t="shared" si="1"/>
        <v>-191.47000000000116</v>
      </c>
      <c r="H21" s="448">
        <f t="shared" si="2"/>
        <v>0.9953408490035519</v>
      </c>
      <c r="I21" s="27">
        <v>40950</v>
      </c>
      <c r="J21" s="28">
        <v>2000</v>
      </c>
      <c r="K21" s="543">
        <v>42950</v>
      </c>
      <c r="L21" s="447">
        <f t="shared" si="3"/>
        <v>2046</v>
      </c>
      <c r="M21" s="448">
        <f t="shared" si="4"/>
        <v>1.0500195579894387</v>
      </c>
    </row>
    <row r="22" spans="1:13" s="168" customFormat="1" ht="19.5" customHeight="1">
      <c r="A22" s="546" t="s">
        <v>24</v>
      </c>
      <c r="B22" s="443">
        <v>56070</v>
      </c>
      <c r="C22" s="568">
        <v>58955.79</v>
      </c>
      <c r="D22" s="286">
        <v>66391</v>
      </c>
      <c r="E22" s="28">
        <v>27</v>
      </c>
      <c r="F22" s="543">
        <f t="shared" si="0"/>
        <v>66418</v>
      </c>
      <c r="G22" s="447">
        <f t="shared" si="1"/>
        <v>7462.209999999999</v>
      </c>
      <c r="H22" s="448">
        <f t="shared" si="2"/>
        <v>1.1265729795156676</v>
      </c>
      <c r="I22" s="27">
        <f>66388+2000+10</f>
        <v>68398</v>
      </c>
      <c r="J22" s="28">
        <v>30</v>
      </c>
      <c r="K22" s="543">
        <f>SUM(I22:J22)</f>
        <v>68428</v>
      </c>
      <c r="L22" s="447">
        <f t="shared" si="3"/>
        <v>2010</v>
      </c>
      <c r="M22" s="448">
        <f t="shared" si="4"/>
        <v>1.0302628805444307</v>
      </c>
    </row>
    <row r="23" spans="1:13" s="168" customFormat="1" ht="19.5" customHeight="1">
      <c r="A23" s="546" t="s">
        <v>25</v>
      </c>
      <c r="B23" s="443">
        <v>5532</v>
      </c>
      <c r="C23" s="568">
        <v>7201.7</v>
      </c>
      <c r="D23" s="566">
        <v>7769</v>
      </c>
      <c r="E23" s="28">
        <v>3</v>
      </c>
      <c r="F23" s="543">
        <f t="shared" si="0"/>
        <v>7772</v>
      </c>
      <c r="G23" s="447">
        <f t="shared" si="1"/>
        <v>570.3000000000002</v>
      </c>
      <c r="H23" s="448">
        <f t="shared" si="2"/>
        <v>1.0791896357804407</v>
      </c>
      <c r="I23" s="552">
        <f>9769</f>
        <v>9769</v>
      </c>
      <c r="J23" s="434">
        <v>3</v>
      </c>
      <c r="K23" s="733">
        <f>SUM(I23:J23)</f>
        <v>9772</v>
      </c>
      <c r="L23" s="447">
        <f t="shared" si="3"/>
        <v>2000</v>
      </c>
      <c r="M23" s="448">
        <f t="shared" si="4"/>
        <v>1.2573340195573854</v>
      </c>
    </row>
    <row r="24" spans="1:13" s="168" customFormat="1" ht="19.5" customHeight="1">
      <c r="A24" s="546" t="s">
        <v>26</v>
      </c>
      <c r="B24" s="443">
        <v>49883</v>
      </c>
      <c r="C24" s="568">
        <v>50968.96</v>
      </c>
      <c r="D24" s="566">
        <v>57857</v>
      </c>
      <c r="E24" s="28">
        <v>24</v>
      </c>
      <c r="F24" s="543">
        <f t="shared" si="0"/>
        <v>57881</v>
      </c>
      <c r="G24" s="447">
        <f t="shared" si="1"/>
        <v>6912.040000000001</v>
      </c>
      <c r="H24" s="448">
        <f t="shared" si="2"/>
        <v>1.1356127337108703</v>
      </c>
      <c r="I24" s="552">
        <v>57856</v>
      </c>
      <c r="J24" s="28">
        <v>25</v>
      </c>
      <c r="K24" s="543">
        <v>57881</v>
      </c>
      <c r="L24" s="447">
        <f t="shared" si="3"/>
        <v>0</v>
      </c>
      <c r="M24" s="448">
        <f t="shared" si="4"/>
        <v>1</v>
      </c>
    </row>
    <row r="25" spans="1:13" s="168" customFormat="1" ht="19.5" customHeight="1">
      <c r="A25" s="553" t="s">
        <v>27</v>
      </c>
      <c r="B25" s="443">
        <v>270021</v>
      </c>
      <c r="C25" s="568">
        <v>266987.76</v>
      </c>
      <c r="D25" s="565">
        <v>286315</v>
      </c>
      <c r="E25" s="28">
        <v>107</v>
      </c>
      <c r="F25" s="543">
        <f t="shared" si="0"/>
        <v>286422</v>
      </c>
      <c r="G25" s="447">
        <f t="shared" si="1"/>
        <v>19434.23999999999</v>
      </c>
      <c r="H25" s="448">
        <f t="shared" si="2"/>
        <v>1.0727907526547285</v>
      </c>
      <c r="I25" s="551">
        <v>314954</v>
      </c>
      <c r="J25" s="28">
        <v>110</v>
      </c>
      <c r="K25" s="733">
        <v>315064</v>
      </c>
      <c r="L25" s="447">
        <f t="shared" si="3"/>
        <v>28642</v>
      </c>
      <c r="M25" s="448">
        <f t="shared" si="4"/>
        <v>1.0999993017296157</v>
      </c>
    </row>
    <row r="26" spans="1:13" s="168" customFormat="1" ht="19.5" customHeight="1">
      <c r="A26" s="546" t="s">
        <v>28</v>
      </c>
      <c r="B26" s="443">
        <v>197052</v>
      </c>
      <c r="C26" s="568">
        <v>194945.12</v>
      </c>
      <c r="D26" s="567">
        <v>208995</v>
      </c>
      <c r="E26" s="434">
        <v>78</v>
      </c>
      <c r="F26" s="543">
        <f t="shared" si="0"/>
        <v>209073</v>
      </c>
      <c r="G26" s="447">
        <f t="shared" si="1"/>
        <v>14127.880000000005</v>
      </c>
      <c r="H26" s="448">
        <f t="shared" si="2"/>
        <v>1.0724710626252147</v>
      </c>
      <c r="I26" s="554">
        <v>229900</v>
      </c>
      <c r="J26" s="434">
        <v>80</v>
      </c>
      <c r="K26" s="733">
        <v>229980</v>
      </c>
      <c r="L26" s="447">
        <f t="shared" si="3"/>
        <v>20907</v>
      </c>
      <c r="M26" s="448">
        <f t="shared" si="4"/>
        <v>1.0999985650944886</v>
      </c>
    </row>
    <row r="27" spans="1:13" s="168" customFormat="1" ht="19.5" customHeight="1">
      <c r="A27" s="553" t="s">
        <v>29</v>
      </c>
      <c r="B27" s="443">
        <v>196348</v>
      </c>
      <c r="C27" s="568">
        <v>193724</v>
      </c>
      <c r="D27" s="565">
        <v>207630</v>
      </c>
      <c r="E27" s="28">
        <v>78</v>
      </c>
      <c r="F27" s="543">
        <f t="shared" si="0"/>
        <v>207708</v>
      </c>
      <c r="G27" s="447">
        <f t="shared" si="1"/>
        <v>13984</v>
      </c>
      <c r="H27" s="448">
        <f t="shared" si="2"/>
        <v>1.0721851706551588</v>
      </c>
      <c r="I27" s="551">
        <f>+K27-J27</f>
        <v>228426</v>
      </c>
      <c r="J27" s="28">
        <v>80</v>
      </c>
      <c r="K27" s="733">
        <f>+K26-K28</f>
        <v>228506</v>
      </c>
      <c r="L27" s="447">
        <f t="shared" si="3"/>
        <v>20798</v>
      </c>
      <c r="M27" s="448">
        <f t="shared" si="4"/>
        <v>1.100130953068731</v>
      </c>
    </row>
    <row r="28" spans="1:13" s="168" customFormat="1" ht="19.5" customHeight="1">
      <c r="A28" s="546" t="s">
        <v>30</v>
      </c>
      <c r="B28" s="443">
        <v>704</v>
      </c>
      <c r="C28" s="568">
        <v>1221</v>
      </c>
      <c r="D28" s="565">
        <v>1365</v>
      </c>
      <c r="E28" s="28"/>
      <c r="F28" s="543">
        <f t="shared" si="0"/>
        <v>1365</v>
      </c>
      <c r="G28" s="447">
        <f t="shared" si="1"/>
        <v>144</v>
      </c>
      <c r="H28" s="448">
        <f t="shared" si="2"/>
        <v>1.117936117936118</v>
      </c>
      <c r="I28" s="551">
        <v>1474</v>
      </c>
      <c r="J28" s="28"/>
      <c r="K28" s="733">
        <v>1474</v>
      </c>
      <c r="L28" s="447">
        <f t="shared" si="3"/>
        <v>109</v>
      </c>
      <c r="M28" s="448">
        <f t="shared" si="4"/>
        <v>1.0798534798534798</v>
      </c>
    </row>
    <row r="29" spans="1:13" s="168" customFormat="1" ht="19.5" customHeight="1">
      <c r="A29" s="546" t="s">
        <v>31</v>
      </c>
      <c r="B29" s="443">
        <v>73269</v>
      </c>
      <c r="C29" s="568">
        <v>72042.64</v>
      </c>
      <c r="D29" s="565">
        <v>77320</v>
      </c>
      <c r="E29" s="28">
        <v>29</v>
      </c>
      <c r="F29" s="543">
        <f t="shared" si="0"/>
        <v>77349</v>
      </c>
      <c r="G29" s="447">
        <f t="shared" si="1"/>
        <v>5306.360000000001</v>
      </c>
      <c r="H29" s="448">
        <f t="shared" si="2"/>
        <v>1.073655823828777</v>
      </c>
      <c r="I29" s="551">
        <f>+K29-J29</f>
        <v>85054</v>
      </c>
      <c r="J29" s="28">
        <v>30</v>
      </c>
      <c r="K29" s="733">
        <f>+K25-K26</f>
        <v>85084</v>
      </c>
      <c r="L29" s="447">
        <f t="shared" si="3"/>
        <v>7735</v>
      </c>
      <c r="M29" s="448">
        <f t="shared" si="4"/>
        <v>1.1000012928415364</v>
      </c>
    </row>
    <row r="30" spans="1:13" s="168" customFormat="1" ht="19.5" customHeight="1">
      <c r="A30" s="553" t="s">
        <v>32</v>
      </c>
      <c r="B30" s="443">
        <v>0</v>
      </c>
      <c r="C30" s="568">
        <v>0</v>
      </c>
      <c r="D30" s="286"/>
      <c r="E30" s="28"/>
      <c r="F30" s="543">
        <f t="shared" si="0"/>
        <v>0</v>
      </c>
      <c r="G30" s="447">
        <f t="shared" si="1"/>
        <v>0</v>
      </c>
      <c r="H30" s="448"/>
      <c r="I30" s="27"/>
      <c r="J30" s="28"/>
      <c r="K30" s="543">
        <v>0</v>
      </c>
      <c r="L30" s="447">
        <f t="shared" si="3"/>
        <v>0</v>
      </c>
      <c r="M30" s="448"/>
    </row>
    <row r="31" spans="1:13" s="168" customFormat="1" ht="19.5" customHeight="1">
      <c r="A31" s="553" t="s">
        <v>33</v>
      </c>
      <c r="B31" s="443">
        <v>1892</v>
      </c>
      <c r="C31" s="568">
        <v>2328.86</v>
      </c>
      <c r="D31" s="286">
        <v>2017</v>
      </c>
      <c r="E31" s="28">
        <v>1</v>
      </c>
      <c r="F31" s="543">
        <f t="shared" si="0"/>
        <v>2018</v>
      </c>
      <c r="G31" s="447">
        <f t="shared" si="1"/>
        <v>-310.8600000000001</v>
      </c>
      <c r="H31" s="448">
        <f t="shared" si="2"/>
        <v>0.8665183823845143</v>
      </c>
      <c r="I31" s="27">
        <v>2000</v>
      </c>
      <c r="J31" s="28"/>
      <c r="K31" s="543">
        <v>2000</v>
      </c>
      <c r="L31" s="447">
        <f t="shared" si="3"/>
        <v>-18</v>
      </c>
      <c r="M31" s="448">
        <f t="shared" si="4"/>
        <v>0.9910802775024777</v>
      </c>
    </row>
    <row r="32" spans="1:13" s="168" customFormat="1" ht="19.5" customHeight="1">
      <c r="A32" s="546" t="s">
        <v>34</v>
      </c>
      <c r="B32" s="443">
        <v>7103</v>
      </c>
      <c r="C32" s="568">
        <v>9351.13</v>
      </c>
      <c r="D32" s="566">
        <v>5804</v>
      </c>
      <c r="E32" s="28">
        <v>3</v>
      </c>
      <c r="F32" s="543">
        <f t="shared" si="0"/>
        <v>5807</v>
      </c>
      <c r="G32" s="447">
        <f t="shared" si="1"/>
        <v>-3544.129999999999</v>
      </c>
      <c r="H32" s="448">
        <f t="shared" si="2"/>
        <v>0.6209944680482467</v>
      </c>
      <c r="I32" s="552">
        <v>8104</v>
      </c>
      <c r="J32" s="28"/>
      <c r="K32" s="543">
        <v>8104</v>
      </c>
      <c r="L32" s="447">
        <f t="shared" si="3"/>
        <v>2297</v>
      </c>
      <c r="M32" s="448">
        <f t="shared" si="4"/>
        <v>1.3955570862751852</v>
      </c>
    </row>
    <row r="33" spans="1:13" s="168" customFormat="1" ht="21" customHeight="1">
      <c r="A33" s="546" t="s">
        <v>35</v>
      </c>
      <c r="B33" s="443">
        <v>1418</v>
      </c>
      <c r="C33" s="568">
        <v>4905.14</v>
      </c>
      <c r="D33" s="566">
        <v>2308</v>
      </c>
      <c r="E33" s="28">
        <v>1</v>
      </c>
      <c r="F33" s="543">
        <f t="shared" si="0"/>
        <v>2309</v>
      </c>
      <c r="G33" s="447">
        <f t="shared" si="1"/>
        <v>-2596.1400000000003</v>
      </c>
      <c r="H33" s="448">
        <f t="shared" si="2"/>
        <v>0.4707307028953302</v>
      </c>
      <c r="I33" s="552">
        <v>4901</v>
      </c>
      <c r="J33" s="28"/>
      <c r="K33" s="543">
        <v>4901</v>
      </c>
      <c r="L33" s="447">
        <f t="shared" si="3"/>
        <v>2592</v>
      </c>
      <c r="M33" s="448">
        <f t="shared" si="4"/>
        <v>2.122563880467735</v>
      </c>
    </row>
    <row r="34" spans="1:13" s="168" customFormat="1" ht="16.5" customHeight="1" thickBot="1">
      <c r="A34" s="555" t="s">
        <v>36</v>
      </c>
      <c r="B34" s="443">
        <v>0</v>
      </c>
      <c r="C34" s="568">
        <v>0</v>
      </c>
      <c r="D34" s="288"/>
      <c r="E34" s="63"/>
      <c r="F34" s="543">
        <f t="shared" si="0"/>
        <v>0</v>
      </c>
      <c r="G34" s="481">
        <f t="shared" si="1"/>
        <v>0</v>
      </c>
      <c r="H34" s="475"/>
      <c r="I34" s="31"/>
      <c r="J34" s="63"/>
      <c r="K34" s="543">
        <v>0</v>
      </c>
      <c r="L34" s="481">
        <f t="shared" si="3"/>
        <v>0</v>
      </c>
      <c r="M34" s="475"/>
    </row>
    <row r="35" spans="1:13" s="168" customFormat="1" ht="15" customHeight="1" thickBot="1">
      <c r="A35" s="489" t="s">
        <v>37</v>
      </c>
      <c r="B35" s="14">
        <v>524740</v>
      </c>
      <c r="C35" s="15">
        <v>534019.13</v>
      </c>
      <c r="D35" s="55">
        <f>SUM(D17+D19+D20+D21+D22+D25+D30+D31+D32+D34)</f>
        <v>554015</v>
      </c>
      <c r="E35" s="33">
        <f>SUM(E17+E19+E20+E21+E22+E25+E30+E31+E32+E34)</f>
        <v>2816</v>
      </c>
      <c r="F35" s="14">
        <f t="shared" si="0"/>
        <v>556831</v>
      </c>
      <c r="G35" s="484">
        <f t="shared" si="1"/>
        <v>22811.869999999995</v>
      </c>
      <c r="H35" s="464">
        <f t="shared" si="2"/>
        <v>1.0427173273736468</v>
      </c>
      <c r="I35" s="55">
        <f>SUM(I17+I19+I20+I21+I22+I25+I30+I31+I32+I34)</f>
        <v>590873</v>
      </c>
      <c r="J35" s="33">
        <f>SUM(J17+J19+J20+J21+J22+J25+J30+J31+J32+J34)</f>
        <v>2712</v>
      </c>
      <c r="K35" s="55">
        <f>SUM(K17+K19+K20+K21+K22+K25+K30+K31+K32+K34)</f>
        <v>593585</v>
      </c>
      <c r="L35" s="484">
        <f t="shared" si="3"/>
        <v>36754</v>
      </c>
      <c r="M35" s="464">
        <f t="shared" si="4"/>
        <v>1.0660056641961384</v>
      </c>
    </row>
    <row r="36" spans="1:14" ht="15" customHeight="1" thickBot="1">
      <c r="A36" s="12" t="s">
        <v>38</v>
      </c>
      <c r="B36" s="13">
        <f>+B16-B35</f>
        <v>-2303</v>
      </c>
      <c r="C36" s="15">
        <f>+C16-C35</f>
        <v>132</v>
      </c>
      <c r="D36" s="862">
        <f>+F16-F35</f>
        <v>81</v>
      </c>
      <c r="E36" s="1073"/>
      <c r="F36" s="1074"/>
      <c r="G36" s="484">
        <f>+D36-C36</f>
        <v>-51</v>
      </c>
      <c r="H36" s="464">
        <f>+D36/C36</f>
        <v>0.6136363636363636</v>
      </c>
      <c r="I36" s="569">
        <f>+I16-I35</f>
        <v>-15609.763000000035</v>
      </c>
      <c r="J36" s="570">
        <f>+J16-J35</f>
        <v>738</v>
      </c>
      <c r="K36" s="734">
        <f>+K16-K35</f>
        <v>-14871.763000000035</v>
      </c>
      <c r="L36"/>
      <c r="M36"/>
      <c r="N36"/>
    </row>
    <row r="37" spans="1:14" ht="21" customHeight="1" thickBot="1">
      <c r="A37" s="19" t="s">
        <v>39</v>
      </c>
      <c r="B37" s="572">
        <v>-16728.18</v>
      </c>
      <c r="C37" s="571">
        <v>-19030.78</v>
      </c>
      <c r="D37" s="862">
        <v>0</v>
      </c>
      <c r="E37" s="1073"/>
      <c r="F37" s="1074"/>
      <c r="G37"/>
      <c r="H37"/>
      <c r="I37"/>
      <c r="J37"/>
      <c r="K37"/>
      <c r="L37"/>
      <c r="M37"/>
      <c r="N37"/>
    </row>
    <row r="38" spans="1:14" ht="19.5" customHeight="1" thickBot="1">
      <c r="A38" s="19" t="s">
        <v>40</v>
      </c>
      <c r="B38" s="13">
        <v>-19031.18</v>
      </c>
      <c r="C38" s="15">
        <v>-18898.78</v>
      </c>
      <c r="D38" s="862">
        <f>+D36+D37</f>
        <v>81</v>
      </c>
      <c r="E38" s="1073"/>
      <c r="F38" s="1074"/>
      <c r="G38"/>
      <c r="H38"/>
      <c r="I38"/>
      <c r="J38"/>
      <c r="K38"/>
      <c r="L38"/>
      <c r="M38"/>
      <c r="N38"/>
    </row>
    <row r="39" spans="1:14" ht="5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6.75" customHeight="1">
      <c r="A40" s="224"/>
      <c r="M40" s="541"/>
      <c r="N40" s="541"/>
    </row>
    <row r="41" spans="1:10" ht="5.25" customHeight="1" thickBot="1">
      <c r="A41" s="538"/>
      <c r="B41" s="538"/>
      <c r="C41" s="538"/>
      <c r="D41" s="538"/>
      <c r="E41" s="538"/>
      <c r="F41" s="538"/>
      <c r="G41" s="538"/>
      <c r="H41" s="190"/>
      <c r="I41" s="190"/>
      <c r="J41" s="556"/>
    </row>
    <row r="42" spans="1:30" ht="17.25" customHeight="1" thickBot="1">
      <c r="A42" s="1115" t="s">
        <v>157</v>
      </c>
      <c r="B42" s="877"/>
      <c r="C42" s="877"/>
      <c r="D42" s="877"/>
      <c r="E42" s="877"/>
      <c r="F42" s="877"/>
      <c r="G42" s="877"/>
      <c r="H42" s="877"/>
      <c r="I42" s="877"/>
      <c r="J42" s="877"/>
      <c r="K42" s="87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</row>
    <row r="43" spans="1:32" s="20" customFormat="1" ht="15.75" customHeight="1">
      <c r="A43" s="874" t="s">
        <v>42</v>
      </c>
      <c r="B43" s="1122" t="s">
        <v>147</v>
      </c>
      <c r="C43" s="968"/>
      <c r="D43" s="968"/>
      <c r="E43" s="841"/>
      <c r="F43" s="779"/>
      <c r="G43" s="1122" t="s">
        <v>148</v>
      </c>
      <c r="H43" s="841"/>
      <c r="I43" s="841"/>
      <c r="J43" s="841"/>
      <c r="K43" s="779"/>
      <c r="L43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</row>
    <row r="44" spans="1:30" ht="13.5" thickBot="1">
      <c r="A44" s="875"/>
      <c r="B44" s="24">
        <v>2004</v>
      </c>
      <c r="C44" s="21">
        <v>2005</v>
      </c>
      <c r="D44" s="21">
        <v>2006</v>
      </c>
      <c r="E44" s="22" t="s">
        <v>7</v>
      </c>
      <c r="F44" s="23" t="s">
        <v>48</v>
      </c>
      <c r="G44" s="24">
        <v>2004</v>
      </c>
      <c r="H44" s="21">
        <v>2005</v>
      </c>
      <c r="I44" s="21">
        <v>2006</v>
      </c>
      <c r="J44" s="22" t="s">
        <v>7</v>
      </c>
      <c r="K44" s="23" t="s">
        <v>48</v>
      </c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</row>
    <row r="45" spans="1:30" s="20" customFormat="1" ht="27.75" customHeight="1">
      <c r="A45" s="218" t="s">
        <v>141</v>
      </c>
      <c r="B45" s="56">
        <v>1535000</v>
      </c>
      <c r="C45" s="25">
        <v>1152000</v>
      </c>
      <c r="D45" s="25">
        <v>920000</v>
      </c>
      <c r="E45" s="17">
        <f>+D45-C45</f>
        <v>-232000</v>
      </c>
      <c r="F45" s="26">
        <f>+D45/C45</f>
        <v>0.7986111111111112</v>
      </c>
      <c r="G45" s="27"/>
      <c r="H45" s="28">
        <v>49980</v>
      </c>
      <c r="I45" s="28"/>
      <c r="J45" s="17">
        <f>+I45-H45</f>
        <v>-49980</v>
      </c>
      <c r="K45" s="26">
        <f>+I45/H45</f>
        <v>0</v>
      </c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</row>
    <row r="46" spans="1:30" s="20" customFormat="1" ht="21" customHeight="1">
      <c r="A46" s="219" t="s">
        <v>142</v>
      </c>
      <c r="B46" s="27">
        <v>21334000</v>
      </c>
      <c r="C46" s="25">
        <v>13554100</v>
      </c>
      <c r="D46" s="25">
        <v>15321000</v>
      </c>
      <c r="E46" s="17">
        <f aca="true" t="shared" si="5" ref="E46:E53">+D46-C46</f>
        <v>1766900</v>
      </c>
      <c r="F46" s="26">
        <f aca="true" t="shared" si="6" ref="F46:F53">+D46/C46</f>
        <v>1.130359079540508</v>
      </c>
      <c r="G46" s="27">
        <v>9266000</v>
      </c>
      <c r="H46" s="28">
        <v>22145900</v>
      </c>
      <c r="I46" s="28">
        <v>20379000</v>
      </c>
      <c r="J46" s="17">
        <f aca="true" t="shared" si="7" ref="J46:J53">+I46-H46</f>
        <v>-1766900</v>
      </c>
      <c r="K46" s="26">
        <f>+I46/H46</f>
        <v>0.9202154800662876</v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</row>
    <row r="47" spans="1:30" s="20" customFormat="1" ht="21" customHeight="1">
      <c r="A47" s="220" t="s">
        <v>143</v>
      </c>
      <c r="B47" s="27">
        <v>1351724</v>
      </c>
      <c r="C47" s="25">
        <v>1574518.4</v>
      </c>
      <c r="D47" s="25">
        <v>281237</v>
      </c>
      <c r="E47" s="17">
        <f t="shared" si="5"/>
        <v>-1293281.4</v>
      </c>
      <c r="F47" s="26">
        <f t="shared" si="6"/>
        <v>0.1786177919546701</v>
      </c>
      <c r="G47" s="27"/>
      <c r="H47" s="28"/>
      <c r="I47" s="28"/>
      <c r="J47" s="17">
        <f t="shared" si="7"/>
        <v>0</v>
      </c>
      <c r="K47" s="26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</row>
    <row r="48" spans="1:30" s="20" customFormat="1" ht="21" customHeight="1">
      <c r="A48" s="220" t="s">
        <v>144</v>
      </c>
      <c r="B48" s="27">
        <v>12500</v>
      </c>
      <c r="C48" s="25"/>
      <c r="D48" s="25"/>
      <c r="E48" s="17">
        <f t="shared" si="5"/>
        <v>0</v>
      </c>
      <c r="F48" s="26"/>
      <c r="G48" s="27"/>
      <c r="H48" s="28"/>
      <c r="I48" s="28"/>
      <c r="J48" s="17">
        <f t="shared" si="7"/>
        <v>0</v>
      </c>
      <c r="K48" s="26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</row>
    <row r="49" spans="1:30" s="20" customFormat="1" ht="21" customHeight="1">
      <c r="A49" s="58" t="s">
        <v>49</v>
      </c>
      <c r="B49" s="31"/>
      <c r="C49" s="25">
        <v>21000</v>
      </c>
      <c r="D49" s="25"/>
      <c r="E49" s="17">
        <f t="shared" si="5"/>
        <v>-21000</v>
      </c>
      <c r="F49" s="26">
        <f t="shared" si="6"/>
        <v>0</v>
      </c>
      <c r="G49" s="31">
        <v>18526000</v>
      </c>
      <c r="H49" s="221"/>
      <c r="I49" s="221"/>
      <c r="J49" s="17">
        <f t="shared" si="7"/>
        <v>0</v>
      </c>
      <c r="K49" s="26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</row>
    <row r="50" spans="1:30" s="20" customFormat="1" ht="21" customHeight="1">
      <c r="A50" s="57" t="s">
        <v>196</v>
      </c>
      <c r="B50" s="27"/>
      <c r="C50" s="25"/>
      <c r="D50" s="25"/>
      <c r="E50" s="17">
        <f t="shared" si="5"/>
        <v>0</v>
      </c>
      <c r="F50" s="26"/>
      <c r="G50" s="27"/>
      <c r="H50" s="28">
        <f>17289979.5-H45</f>
        <v>17239999.5</v>
      </c>
      <c r="I50" s="28"/>
      <c r="J50" s="17">
        <f t="shared" si="7"/>
        <v>-17239999.5</v>
      </c>
      <c r="K50" s="26">
        <f>+I50/H50</f>
        <v>0</v>
      </c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</row>
    <row r="51" spans="1:30" s="20" customFormat="1" ht="21" customHeight="1">
      <c r="A51" s="202"/>
      <c r="B51" s="27"/>
      <c r="C51" s="25"/>
      <c r="D51" s="25"/>
      <c r="E51" s="17">
        <f t="shared" si="5"/>
        <v>0</v>
      </c>
      <c r="F51" s="26"/>
      <c r="G51" s="27"/>
      <c r="H51" s="28"/>
      <c r="I51" s="28"/>
      <c r="J51" s="17">
        <f t="shared" si="7"/>
        <v>0</v>
      </c>
      <c r="K51" s="26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</row>
    <row r="52" spans="1:30" s="20" customFormat="1" ht="21" customHeight="1" thickBot="1">
      <c r="A52" s="241" t="s">
        <v>469</v>
      </c>
      <c r="B52" s="31">
        <v>1019047</v>
      </c>
      <c r="C52" s="242">
        <v>1113472</v>
      </c>
      <c r="D52" s="242">
        <v>10000</v>
      </c>
      <c r="E52" s="574">
        <f t="shared" si="5"/>
        <v>-1103472</v>
      </c>
      <c r="F52" s="243">
        <f t="shared" si="6"/>
        <v>0.008980917346821474</v>
      </c>
      <c r="G52" s="31">
        <v>197957</v>
      </c>
      <c r="H52" s="221"/>
      <c r="I52" s="221"/>
      <c r="J52" s="574">
        <f t="shared" si="7"/>
        <v>0</v>
      </c>
      <c r="K52" s="243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</row>
    <row r="53" spans="1:30" s="20" customFormat="1" ht="18.75" customHeight="1" thickBot="1">
      <c r="A53" s="59" t="s">
        <v>54</v>
      </c>
      <c r="B53" s="16">
        <f>SUM(B45:B52)</f>
        <v>25252271</v>
      </c>
      <c r="C53" s="33">
        <f>SUM(C45:C52)</f>
        <v>17415090.4</v>
      </c>
      <c r="D53" s="33">
        <f>SUM(D45:D52)</f>
        <v>16532237</v>
      </c>
      <c r="E53" s="33">
        <f t="shared" si="5"/>
        <v>-882853.3999999985</v>
      </c>
      <c r="F53" s="244">
        <f t="shared" si="6"/>
        <v>0.9493052645882333</v>
      </c>
      <c r="G53" s="16">
        <f>SUM(G45:G52)</f>
        <v>27989957</v>
      </c>
      <c r="H53" s="33">
        <f>SUM(H45:H52)</f>
        <v>39435879.5</v>
      </c>
      <c r="I53" s="33">
        <f>SUM(I45:I52)</f>
        <v>20379000</v>
      </c>
      <c r="J53" s="34">
        <f t="shared" si="7"/>
        <v>-19056879.5</v>
      </c>
      <c r="K53" s="35">
        <f>+I53/H53</f>
        <v>0.5167629138333278</v>
      </c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</row>
    <row r="54" spans="1:14" ht="13.5" thickBot="1">
      <c r="A54"/>
      <c r="B54"/>
      <c r="C54"/>
      <c r="D54"/>
      <c r="E54"/>
      <c r="F54"/>
      <c r="G54"/>
      <c r="H54"/>
      <c r="I54"/>
      <c r="J54"/>
      <c r="K54"/>
      <c r="L54"/>
      <c r="M54" s="504"/>
      <c r="N54"/>
    </row>
    <row r="55" spans="1:11" s="98" customFormat="1" ht="18" customHeight="1">
      <c r="A55" s="1116" t="s">
        <v>44</v>
      </c>
      <c r="B55" s="840" t="s">
        <v>41</v>
      </c>
      <c r="C55" s="1118"/>
      <c r="D55" s="1118"/>
      <c r="E55" s="1118"/>
      <c r="F55" s="1118"/>
      <c r="G55" s="1119"/>
      <c r="H55" s="840" t="s">
        <v>146</v>
      </c>
      <c r="I55" s="1120"/>
      <c r="J55" s="1120"/>
      <c r="K55" s="1121"/>
    </row>
    <row r="56" spans="1:11" s="98" customFormat="1" ht="25.5" customHeight="1" thickBot="1">
      <c r="A56" s="1117"/>
      <c r="B56" s="914" t="s">
        <v>45</v>
      </c>
      <c r="C56" s="817"/>
      <c r="D56" s="816" t="s">
        <v>46</v>
      </c>
      <c r="E56" s="817"/>
      <c r="F56" s="816" t="s">
        <v>47</v>
      </c>
      <c r="G56" s="924"/>
      <c r="H56" s="110" t="s">
        <v>50</v>
      </c>
      <c r="I56" s="108" t="s">
        <v>52</v>
      </c>
      <c r="J56" s="623" t="s">
        <v>51</v>
      </c>
      <c r="K56" s="85" t="s">
        <v>53</v>
      </c>
    </row>
    <row r="57" spans="1:11" s="98" customFormat="1" ht="18.75" customHeight="1">
      <c r="A57" s="111">
        <v>2004</v>
      </c>
      <c r="B57" s="1111">
        <f>+D57+F57</f>
        <v>30600000</v>
      </c>
      <c r="C57" s="823"/>
      <c r="D57" s="822">
        <f>23800000-800000</f>
        <v>23000000</v>
      </c>
      <c r="E57" s="823"/>
      <c r="F57" s="822">
        <v>7600000</v>
      </c>
      <c r="G57" s="1112"/>
      <c r="H57" s="105">
        <v>0.3028104575163399</v>
      </c>
      <c r="I57" s="106">
        <v>0.1277997300653595</v>
      </c>
      <c r="J57" s="106">
        <v>0.17501074183006535</v>
      </c>
      <c r="K57" s="107">
        <v>0.6971895424836602</v>
      </c>
    </row>
    <row r="58" spans="1:11" s="98" customFormat="1" ht="18.75" customHeight="1">
      <c r="A58" s="112">
        <v>2005</v>
      </c>
      <c r="B58" s="1113">
        <f>+C46+H46</f>
        <v>35700000</v>
      </c>
      <c r="C58" s="845"/>
      <c r="D58" s="844">
        <v>27300000</v>
      </c>
      <c r="E58" s="845"/>
      <c r="F58" s="844">
        <v>8400000</v>
      </c>
      <c r="G58" s="1114"/>
      <c r="H58" s="99">
        <v>0.4452380952380952</v>
      </c>
      <c r="I58" s="100">
        <v>0.15815126050420167</v>
      </c>
      <c r="J58" s="100">
        <v>0.28708683473389357</v>
      </c>
      <c r="K58" s="101">
        <v>0.5547619047619048</v>
      </c>
    </row>
    <row r="59" spans="1:11" s="98" customFormat="1" ht="18.75" customHeight="1" thickBot="1">
      <c r="A59" s="113">
        <v>2006</v>
      </c>
      <c r="B59" s="1081">
        <f>+B58</f>
        <v>35700000</v>
      </c>
      <c r="C59" s="847"/>
      <c r="D59" s="846">
        <f>+D58</f>
        <v>27300000</v>
      </c>
      <c r="E59" s="847"/>
      <c r="F59" s="846">
        <f>+F58</f>
        <v>8400000</v>
      </c>
      <c r="G59" s="1082"/>
      <c r="H59" s="102">
        <f>+I46/B59</f>
        <v>0.5708403361344537</v>
      </c>
      <c r="I59" s="103">
        <f>+D85/B59</f>
        <v>0.2688795518207283</v>
      </c>
      <c r="J59" s="103">
        <f>+D121/B59</f>
        <v>0.30196078431372547</v>
      </c>
      <c r="K59" s="104">
        <f>+D46/B59</f>
        <v>0.4291596638655462</v>
      </c>
    </row>
    <row r="60" spans="1:14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6.5" thickBot="1">
      <c r="A61" s="78" t="s">
        <v>175</v>
      </c>
      <c r="B61" s="76"/>
      <c r="C61" s="76"/>
      <c r="D61"/>
      <c r="E61"/>
      <c r="F61"/>
      <c r="G61"/>
      <c r="H61"/>
      <c r="I61"/>
      <c r="J61"/>
      <c r="K61"/>
      <c r="L61"/>
      <c r="M61"/>
      <c r="N61"/>
    </row>
    <row r="62" spans="1:14" ht="13.5" thickBot="1">
      <c r="A62" s="73" t="s">
        <v>150</v>
      </c>
      <c r="B62" s="68"/>
      <c r="C62" s="69"/>
      <c r="D62"/>
      <c r="E62"/>
      <c r="F62"/>
      <c r="G62"/>
      <c r="H62"/>
      <c r="I62"/>
      <c r="J62"/>
      <c r="K62"/>
      <c r="L62"/>
      <c r="M62"/>
      <c r="N62"/>
    </row>
    <row r="63" spans="1:14" ht="18" customHeight="1">
      <c r="A63" s="828" t="s">
        <v>137</v>
      </c>
      <c r="B63" s="829"/>
      <c r="C63" s="421">
        <f>+D53/1000+0.1</f>
        <v>16532.337</v>
      </c>
      <c r="D63"/>
      <c r="E63"/>
      <c r="F63"/>
      <c r="G63"/>
      <c r="H63"/>
      <c r="I63"/>
      <c r="J63"/>
      <c r="K63"/>
      <c r="L63"/>
      <c r="M63"/>
      <c r="N63"/>
    </row>
    <row r="64" spans="1:14" ht="18" customHeight="1">
      <c r="A64" s="830" t="s">
        <v>43</v>
      </c>
      <c r="B64" s="831"/>
      <c r="C64" s="422">
        <f>+I53/1000</f>
        <v>20379</v>
      </c>
      <c r="D64"/>
      <c r="E64"/>
      <c r="F64"/>
      <c r="G64"/>
      <c r="H64"/>
      <c r="I64"/>
      <c r="J64"/>
      <c r="K64"/>
      <c r="L64"/>
      <c r="M64"/>
      <c r="N64"/>
    </row>
    <row r="65" spans="1:14" ht="18" customHeight="1" thickBot="1">
      <c r="A65" s="881" t="s">
        <v>138</v>
      </c>
      <c r="B65" s="882"/>
      <c r="C65" s="423">
        <f>+I27</f>
        <v>228426</v>
      </c>
      <c r="D65"/>
      <c r="E65"/>
      <c r="F65"/>
      <c r="G65"/>
      <c r="H65"/>
      <c r="I65"/>
      <c r="J65"/>
      <c r="K65"/>
      <c r="L65"/>
      <c r="M65"/>
      <c r="N65"/>
    </row>
    <row r="66" spans="1:14" ht="18" customHeight="1">
      <c r="A66" s="615"/>
      <c r="B66" s="615"/>
      <c r="C66" s="616"/>
      <c r="D66"/>
      <c r="E66"/>
      <c r="F66"/>
      <c r="G66"/>
      <c r="H66"/>
      <c r="I66"/>
      <c r="J66"/>
      <c r="K66"/>
      <c r="L66"/>
      <c r="M66"/>
      <c r="N66"/>
    </row>
    <row r="67" spans="1:14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7.25" customHeight="1" thickBot="1">
      <c r="A68" s="78" t="s">
        <v>235</v>
      </c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33" ht="30.75" customHeight="1">
      <c r="A69" s="865" t="s">
        <v>197</v>
      </c>
      <c r="B69" s="1162" t="s">
        <v>269</v>
      </c>
      <c r="C69" s="1163"/>
      <c r="D69" s="859" t="s">
        <v>55</v>
      </c>
      <c r="E69" s="860"/>
      <c r="F69" s="860" t="s">
        <v>56</v>
      </c>
      <c r="G69" s="968"/>
      <c r="H69" s="879"/>
      <c r="I69" s="879"/>
      <c r="J69" s="859" t="s">
        <v>176</v>
      </c>
      <c r="K69" s="859"/>
      <c r="L69" s="997" t="s">
        <v>270</v>
      </c>
      <c r="M69" s="866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</row>
    <row r="70" spans="1:33" ht="18.75" customHeight="1" thickBot="1">
      <c r="A70" s="1161"/>
      <c r="B70" s="824" t="s">
        <v>199</v>
      </c>
      <c r="C70" s="824"/>
      <c r="D70" s="824" t="s">
        <v>58</v>
      </c>
      <c r="E70" s="825"/>
      <c r="F70" s="1176" t="s">
        <v>59</v>
      </c>
      <c r="G70" s="1176"/>
      <c r="H70" s="824" t="s">
        <v>200</v>
      </c>
      <c r="I70" s="825"/>
      <c r="J70" s="824" t="s">
        <v>60</v>
      </c>
      <c r="K70" s="824"/>
      <c r="L70" s="998"/>
      <c r="M70" s="86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</row>
    <row r="71" spans="1:13" s="309" customFormat="1" ht="16.5" customHeight="1">
      <c r="A71" s="650" t="s">
        <v>410</v>
      </c>
      <c r="B71" s="1157">
        <v>86500</v>
      </c>
      <c r="C71" s="1159"/>
      <c r="D71" s="1196">
        <v>213500</v>
      </c>
      <c r="E71" s="1197"/>
      <c r="F71" s="1157"/>
      <c r="G71" s="1159"/>
      <c r="H71" s="1157"/>
      <c r="I71" s="1158"/>
      <c r="J71" s="1157">
        <f>+D71+F71+H71</f>
        <v>213500</v>
      </c>
      <c r="K71" s="1159"/>
      <c r="L71" s="1157"/>
      <c r="M71" s="1160"/>
    </row>
    <row r="72" spans="1:13" s="309" customFormat="1" ht="16.5" customHeight="1">
      <c r="A72" s="650" t="s">
        <v>365</v>
      </c>
      <c r="B72" s="1157">
        <v>354974</v>
      </c>
      <c r="C72" s="1159"/>
      <c r="D72" s="1196">
        <v>245026</v>
      </c>
      <c r="E72" s="1197"/>
      <c r="F72" s="1157"/>
      <c r="G72" s="1159"/>
      <c r="H72" s="1157"/>
      <c r="I72" s="1158"/>
      <c r="J72" s="1157">
        <f aca="true" t="shared" si="8" ref="J72:J82">+D72+F72+H72</f>
        <v>245026</v>
      </c>
      <c r="K72" s="1159"/>
      <c r="L72" s="1157"/>
      <c r="M72" s="1160"/>
    </row>
    <row r="73" spans="1:13" s="309" customFormat="1" ht="21" customHeight="1">
      <c r="A73" s="650" t="s">
        <v>399</v>
      </c>
      <c r="B73" s="1157">
        <v>330655</v>
      </c>
      <c r="C73" s="1159"/>
      <c r="D73" s="1196">
        <v>869345</v>
      </c>
      <c r="E73" s="1197"/>
      <c r="F73" s="1157"/>
      <c r="G73" s="1159"/>
      <c r="H73" s="1157"/>
      <c r="I73" s="1158"/>
      <c r="J73" s="1157">
        <f t="shared" si="8"/>
        <v>869345</v>
      </c>
      <c r="K73" s="1159"/>
      <c r="L73" s="1157"/>
      <c r="M73" s="1160"/>
    </row>
    <row r="74" spans="1:13" s="309" customFormat="1" ht="16.5" customHeight="1">
      <c r="A74" s="650" t="s">
        <v>400</v>
      </c>
      <c r="B74" s="1157">
        <v>32130</v>
      </c>
      <c r="C74" s="1159"/>
      <c r="D74" s="1196">
        <v>1867870</v>
      </c>
      <c r="E74" s="1197"/>
      <c r="F74" s="1157"/>
      <c r="G74" s="1159"/>
      <c r="H74" s="1157"/>
      <c r="I74" s="1158"/>
      <c r="J74" s="1157">
        <f t="shared" si="8"/>
        <v>1867870</v>
      </c>
      <c r="K74" s="1159"/>
      <c r="L74" s="1157"/>
      <c r="M74" s="1160"/>
    </row>
    <row r="75" spans="1:13" s="309" customFormat="1" ht="16.5" customHeight="1">
      <c r="A75" s="650" t="s">
        <v>401</v>
      </c>
      <c r="B75" s="1157"/>
      <c r="C75" s="1159"/>
      <c r="D75" s="1196">
        <v>120000</v>
      </c>
      <c r="E75" s="1197"/>
      <c r="F75" s="1157"/>
      <c r="G75" s="1159"/>
      <c r="H75" s="1157"/>
      <c r="I75" s="1158"/>
      <c r="J75" s="1157">
        <f t="shared" si="8"/>
        <v>120000</v>
      </c>
      <c r="K75" s="1159"/>
      <c r="L75" s="1157"/>
      <c r="M75" s="1160"/>
    </row>
    <row r="76" spans="1:13" s="309" customFormat="1" ht="16.5" customHeight="1">
      <c r="A76" s="650" t="s">
        <v>402</v>
      </c>
      <c r="B76" s="1157"/>
      <c r="C76" s="1159"/>
      <c r="D76" s="1196">
        <v>350000</v>
      </c>
      <c r="E76" s="1197"/>
      <c r="F76" s="1157"/>
      <c r="G76" s="1159"/>
      <c r="H76" s="1157"/>
      <c r="I76" s="1158"/>
      <c r="J76" s="1157">
        <f t="shared" si="8"/>
        <v>350000</v>
      </c>
      <c r="K76" s="1159"/>
      <c r="L76" s="1157"/>
      <c r="M76" s="1160"/>
    </row>
    <row r="77" spans="1:13" s="309" customFormat="1" ht="21" customHeight="1">
      <c r="A77" s="650" t="s">
        <v>403</v>
      </c>
      <c r="B77" s="1157"/>
      <c r="C77" s="1159"/>
      <c r="D77" s="1196">
        <v>100000</v>
      </c>
      <c r="E77" s="1197"/>
      <c r="F77" s="1157"/>
      <c r="G77" s="1159"/>
      <c r="H77" s="1157"/>
      <c r="I77" s="1158"/>
      <c r="J77" s="1157">
        <f t="shared" si="8"/>
        <v>100000</v>
      </c>
      <c r="K77" s="1159"/>
      <c r="L77" s="1157"/>
      <c r="M77" s="1160"/>
    </row>
    <row r="78" spans="1:13" s="309" customFormat="1" ht="16.5" customHeight="1">
      <c r="A78" s="650" t="s">
        <v>404</v>
      </c>
      <c r="B78" s="1157"/>
      <c r="C78" s="1159"/>
      <c r="D78" s="1196"/>
      <c r="E78" s="1197"/>
      <c r="F78" s="1157"/>
      <c r="G78" s="1159"/>
      <c r="H78" s="1157"/>
      <c r="I78" s="1158"/>
      <c r="J78" s="1157">
        <f t="shared" si="8"/>
        <v>0</v>
      </c>
      <c r="K78" s="1159"/>
      <c r="L78" s="1157">
        <v>6500000</v>
      </c>
      <c r="M78" s="1160"/>
    </row>
    <row r="79" spans="1:13" s="309" customFormat="1" ht="15" customHeight="1">
      <c r="A79" s="650" t="s">
        <v>405</v>
      </c>
      <c r="B79" s="1157"/>
      <c r="C79" s="1159"/>
      <c r="D79" s="1196">
        <v>1900000</v>
      </c>
      <c r="E79" s="1197"/>
      <c r="F79" s="1157"/>
      <c r="G79" s="1159"/>
      <c r="H79" s="1157"/>
      <c r="I79" s="1158"/>
      <c r="J79" s="1157">
        <f t="shared" si="8"/>
        <v>1900000</v>
      </c>
      <c r="K79" s="1159"/>
      <c r="L79" s="1157"/>
      <c r="M79" s="1160"/>
    </row>
    <row r="80" spans="1:13" s="309" customFormat="1" ht="19.5" customHeight="1">
      <c r="A80" s="650" t="s">
        <v>406</v>
      </c>
      <c r="B80" s="1157"/>
      <c r="C80" s="1159"/>
      <c r="D80" s="1196">
        <v>3129000</v>
      </c>
      <c r="E80" s="1197"/>
      <c r="F80" s="1157"/>
      <c r="G80" s="1159"/>
      <c r="H80" s="1157"/>
      <c r="I80" s="1158"/>
      <c r="J80" s="1157">
        <f t="shared" si="8"/>
        <v>3129000</v>
      </c>
      <c r="K80" s="1159"/>
      <c r="L80" s="1157"/>
      <c r="M80" s="1160"/>
    </row>
    <row r="81" spans="1:13" s="309" customFormat="1" ht="16.5" customHeight="1">
      <c r="A81" s="650" t="s">
        <v>407</v>
      </c>
      <c r="B81" s="1157"/>
      <c r="C81" s="1159"/>
      <c r="D81" s="1157"/>
      <c r="E81" s="1159"/>
      <c r="F81" s="1157"/>
      <c r="G81" s="1159"/>
      <c r="H81" s="1157"/>
      <c r="I81" s="1158"/>
      <c r="J81" s="1157">
        <f t="shared" si="8"/>
        <v>0</v>
      </c>
      <c r="K81" s="1159"/>
      <c r="L81" s="1157">
        <v>80000</v>
      </c>
      <c r="M81" s="1160"/>
    </row>
    <row r="82" spans="1:13" s="309" customFormat="1" ht="16.5" customHeight="1">
      <c r="A82" s="650" t="s">
        <v>408</v>
      </c>
      <c r="B82" s="1157"/>
      <c r="C82" s="1159"/>
      <c r="D82" s="1157"/>
      <c r="E82" s="1159"/>
      <c r="F82" s="1157"/>
      <c r="G82" s="1159"/>
      <c r="H82" s="1157"/>
      <c r="I82" s="1158"/>
      <c r="J82" s="1157">
        <f t="shared" si="8"/>
        <v>0</v>
      </c>
      <c r="K82" s="1159"/>
      <c r="L82" s="1157">
        <v>850000</v>
      </c>
      <c r="M82" s="1160"/>
    </row>
    <row r="83" spans="1:13" s="309" customFormat="1" ht="16.5" customHeight="1">
      <c r="A83" s="650" t="s">
        <v>409</v>
      </c>
      <c r="B83" s="1157"/>
      <c r="C83" s="1159"/>
      <c r="D83" s="1157"/>
      <c r="E83" s="1159"/>
      <c r="F83" s="1157"/>
      <c r="G83" s="1159"/>
      <c r="H83" s="1157"/>
      <c r="I83" s="1158"/>
      <c r="J83" s="1157">
        <f>+D83+F83+H83</f>
        <v>0</v>
      </c>
      <c r="K83" s="1159"/>
      <c r="L83" s="1157">
        <v>220000</v>
      </c>
      <c r="M83" s="1160"/>
    </row>
    <row r="84" spans="1:13" s="309" customFormat="1" ht="16.5" customHeight="1" thickBot="1">
      <c r="A84" s="650" t="s">
        <v>149</v>
      </c>
      <c r="B84" s="1157"/>
      <c r="C84" s="1159"/>
      <c r="D84" s="1157">
        <v>804259</v>
      </c>
      <c r="E84" s="1159"/>
      <c r="F84" s="1157"/>
      <c r="G84" s="1159"/>
      <c r="H84" s="1157"/>
      <c r="I84" s="1158"/>
      <c r="J84" s="1157">
        <f>+D84+F84+H84</f>
        <v>804259</v>
      </c>
      <c r="K84" s="1159"/>
      <c r="L84" s="1157"/>
      <c r="M84" s="1160"/>
    </row>
    <row r="85" spans="1:19" ht="23.25" customHeight="1" thickBot="1">
      <c r="A85" s="495" t="s">
        <v>366</v>
      </c>
      <c r="B85" s="835">
        <f>SUM(B71:C83)</f>
        <v>804259</v>
      </c>
      <c r="C85" s="837"/>
      <c r="D85" s="835">
        <f>SUM(D71:E84)</f>
        <v>9599000</v>
      </c>
      <c r="E85" s="837"/>
      <c r="F85" s="835">
        <f>SUM(F71:G83)</f>
        <v>0</v>
      </c>
      <c r="G85" s="837"/>
      <c r="H85" s="835">
        <f>SUM(H71:I83)</f>
        <v>0</v>
      </c>
      <c r="I85" s="1198"/>
      <c r="J85" s="835">
        <f>SUM(J71:K84)</f>
        <v>9599000</v>
      </c>
      <c r="K85" s="837"/>
      <c r="L85" s="835">
        <f>SUM(L71:M84)</f>
        <v>7650000</v>
      </c>
      <c r="M85" s="1199"/>
      <c r="N85" s="98"/>
      <c r="P85" s="98"/>
      <c r="Q85" s="98"/>
      <c r="R85" s="98"/>
      <c r="S85" s="98"/>
    </row>
    <row r="86" spans="1:14" ht="5.25" customHeight="1" thickBo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33" ht="32.25" customHeight="1">
      <c r="A87" s="865" t="s">
        <v>202</v>
      </c>
      <c r="B87" s="1162" t="s">
        <v>269</v>
      </c>
      <c r="C87" s="1163"/>
      <c r="D87" s="859" t="s">
        <v>55</v>
      </c>
      <c r="E87" s="860"/>
      <c r="F87" s="860" t="s">
        <v>56</v>
      </c>
      <c r="G87" s="968"/>
      <c r="H87" s="879" t="s">
        <v>367</v>
      </c>
      <c r="I87" s="879"/>
      <c r="J87" s="859" t="s">
        <v>176</v>
      </c>
      <c r="K87" s="859"/>
      <c r="L87" s="997" t="s">
        <v>270</v>
      </c>
      <c r="M87" s="866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</row>
    <row r="88" spans="1:33" ht="18" customHeight="1" thickBot="1">
      <c r="A88" s="1161" t="s">
        <v>203</v>
      </c>
      <c r="B88" s="824" t="s">
        <v>199</v>
      </c>
      <c r="C88" s="824"/>
      <c r="D88" s="824" t="s">
        <v>58</v>
      </c>
      <c r="E88" s="825"/>
      <c r="F88" s="1164" t="s">
        <v>204</v>
      </c>
      <c r="G88" s="824"/>
      <c r="H88" s="824" t="s">
        <v>200</v>
      </c>
      <c r="I88" s="825"/>
      <c r="J88" s="824" t="s">
        <v>60</v>
      </c>
      <c r="K88" s="824"/>
      <c r="L88" s="998"/>
      <c r="M88" s="86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</row>
    <row r="89" spans="1:13" s="309" customFormat="1" ht="16.5" customHeight="1">
      <c r="A89" s="651" t="s">
        <v>368</v>
      </c>
      <c r="B89" s="1165"/>
      <c r="C89" s="1167"/>
      <c r="D89" s="1157">
        <v>1000000</v>
      </c>
      <c r="E89" s="1159"/>
      <c r="F89" s="1165"/>
      <c r="G89" s="1167"/>
      <c r="H89" s="1165"/>
      <c r="I89" s="1167"/>
      <c r="J89" s="1157">
        <f>+D89+F89+H89</f>
        <v>1000000</v>
      </c>
      <c r="K89" s="1159"/>
      <c r="L89" s="1165">
        <v>2000000</v>
      </c>
      <c r="M89" s="1166"/>
    </row>
    <row r="90" spans="1:13" s="309" customFormat="1" ht="16.5" customHeight="1">
      <c r="A90" s="650" t="s">
        <v>369</v>
      </c>
      <c r="B90" s="1157"/>
      <c r="C90" s="1159"/>
      <c r="D90" s="1157">
        <v>1400000</v>
      </c>
      <c r="E90" s="1159"/>
      <c r="F90" s="1157"/>
      <c r="G90" s="1159"/>
      <c r="H90" s="1157"/>
      <c r="I90" s="1159"/>
      <c r="J90" s="1157">
        <f>+D90+F90+H90</f>
        <v>1400000</v>
      </c>
      <c r="K90" s="1159"/>
      <c r="L90" s="1157"/>
      <c r="M90" s="1160"/>
    </row>
    <row r="91" spans="1:13" s="309" customFormat="1" ht="20.25" customHeight="1">
      <c r="A91" s="650" t="s">
        <v>370</v>
      </c>
      <c r="B91" s="1157"/>
      <c r="C91" s="1159"/>
      <c r="D91" s="1157">
        <v>2000000</v>
      </c>
      <c r="E91" s="1159"/>
      <c r="F91" s="1157"/>
      <c r="G91" s="1159"/>
      <c r="H91" s="1157"/>
      <c r="I91" s="1159"/>
      <c r="J91" s="1157">
        <f aca="true" t="shared" si="9" ref="J91:J104">+D91+F91+H91</f>
        <v>2000000</v>
      </c>
      <c r="K91" s="1159"/>
      <c r="L91" s="1157"/>
      <c r="M91" s="1160"/>
    </row>
    <row r="92" spans="1:13" s="309" customFormat="1" ht="16.5" customHeight="1">
      <c r="A92" s="650" t="s">
        <v>371</v>
      </c>
      <c r="B92" s="1157"/>
      <c r="C92" s="1159"/>
      <c r="D92" s="1157"/>
      <c r="E92" s="1159"/>
      <c r="F92" s="1157"/>
      <c r="G92" s="1159"/>
      <c r="H92" s="1157"/>
      <c r="I92" s="1159"/>
      <c r="J92" s="1157">
        <f>+D92+F92+H92</f>
        <v>0</v>
      </c>
      <c r="K92" s="1159"/>
      <c r="L92" s="1157">
        <v>12000000</v>
      </c>
      <c r="M92" s="1160"/>
    </row>
    <row r="93" spans="1:13" s="309" customFormat="1" ht="19.5" customHeight="1">
      <c r="A93" s="650" t="s">
        <v>372</v>
      </c>
      <c r="B93" s="1157"/>
      <c r="C93" s="1159"/>
      <c r="D93" s="1157">
        <v>280000</v>
      </c>
      <c r="E93" s="1159"/>
      <c r="F93" s="1157"/>
      <c r="G93" s="1159"/>
      <c r="H93" s="1157"/>
      <c r="I93" s="1159"/>
      <c r="J93" s="1157">
        <f t="shared" si="9"/>
        <v>280000</v>
      </c>
      <c r="K93" s="1159"/>
      <c r="L93" s="1157"/>
      <c r="M93" s="1160"/>
    </row>
    <row r="94" spans="1:13" s="309" customFormat="1" ht="16.5" customHeight="1">
      <c r="A94" s="650" t="s">
        <v>373</v>
      </c>
      <c r="B94" s="1157"/>
      <c r="C94" s="1159"/>
      <c r="D94" s="1157">
        <v>700000</v>
      </c>
      <c r="E94" s="1159"/>
      <c r="F94" s="1157"/>
      <c r="G94" s="1159"/>
      <c r="H94" s="1157"/>
      <c r="I94" s="1159"/>
      <c r="J94" s="1157">
        <f t="shared" si="9"/>
        <v>700000</v>
      </c>
      <c r="K94" s="1159"/>
      <c r="L94" s="1157"/>
      <c r="M94" s="1160"/>
    </row>
    <row r="95" spans="1:13" s="309" customFormat="1" ht="16.5" customHeight="1">
      <c r="A95" s="650" t="s">
        <v>374</v>
      </c>
      <c r="B95" s="1157"/>
      <c r="C95" s="1159"/>
      <c r="D95" s="1157">
        <v>1000000</v>
      </c>
      <c r="E95" s="1159"/>
      <c r="F95" s="1157"/>
      <c r="G95" s="1159"/>
      <c r="H95" s="1157"/>
      <c r="I95" s="1159"/>
      <c r="J95" s="1157">
        <f t="shared" si="9"/>
        <v>1000000</v>
      </c>
      <c r="K95" s="1159"/>
      <c r="L95" s="1157"/>
      <c r="M95" s="1160"/>
    </row>
    <row r="96" spans="1:13" s="309" customFormat="1" ht="16.5" customHeight="1">
      <c r="A96" s="650" t="s">
        <v>375</v>
      </c>
      <c r="B96" s="1157"/>
      <c r="C96" s="1159"/>
      <c r="D96" s="1157"/>
      <c r="E96" s="1159"/>
      <c r="F96" s="1157"/>
      <c r="G96" s="1159"/>
      <c r="H96" s="1157"/>
      <c r="I96" s="1159"/>
      <c r="J96" s="1157">
        <f>+D96+F96+H96</f>
        <v>0</v>
      </c>
      <c r="K96" s="1159"/>
      <c r="L96" s="1157">
        <v>1000000</v>
      </c>
      <c r="M96" s="1160"/>
    </row>
    <row r="97" spans="1:13" s="309" customFormat="1" ht="16.5" customHeight="1">
      <c r="A97" s="650" t="s">
        <v>376</v>
      </c>
      <c r="B97" s="1157"/>
      <c r="C97" s="1159"/>
      <c r="D97" s="1157"/>
      <c r="E97" s="1159"/>
      <c r="F97" s="1157"/>
      <c r="G97" s="1159"/>
      <c r="H97" s="1157"/>
      <c r="I97" s="1159"/>
      <c r="J97" s="1157">
        <f>+D97+F97+H97</f>
        <v>0</v>
      </c>
      <c r="K97" s="1159"/>
      <c r="L97" s="1157">
        <v>1000000</v>
      </c>
      <c r="M97" s="1160"/>
    </row>
    <row r="98" spans="1:13" s="309" customFormat="1" ht="16.5" customHeight="1">
      <c r="A98" s="650" t="s">
        <v>377</v>
      </c>
      <c r="B98" s="1157"/>
      <c r="C98" s="1159"/>
      <c r="D98" s="1157">
        <v>250000</v>
      </c>
      <c r="E98" s="1159"/>
      <c r="F98" s="1157"/>
      <c r="G98" s="1159"/>
      <c r="H98" s="1157"/>
      <c r="I98" s="1159"/>
      <c r="J98" s="1157">
        <f t="shared" si="9"/>
        <v>250000</v>
      </c>
      <c r="K98" s="1159"/>
      <c r="L98" s="1157"/>
      <c r="M98" s="1160"/>
    </row>
    <row r="99" spans="1:13" s="309" customFormat="1" ht="16.5" customHeight="1">
      <c r="A99" s="650" t="s">
        <v>378</v>
      </c>
      <c r="B99" s="1157"/>
      <c r="C99" s="1159"/>
      <c r="D99" s="1157">
        <v>75000</v>
      </c>
      <c r="E99" s="1159"/>
      <c r="F99" s="1157"/>
      <c r="G99" s="1159"/>
      <c r="H99" s="1157"/>
      <c r="I99" s="1159"/>
      <c r="J99" s="1157">
        <f t="shared" si="9"/>
        <v>75000</v>
      </c>
      <c r="K99" s="1159"/>
      <c r="L99" s="1157"/>
      <c r="M99" s="1160"/>
    </row>
    <row r="100" spans="1:13" s="309" customFormat="1" ht="16.5" customHeight="1">
      <c r="A100" s="650" t="s">
        <v>379</v>
      </c>
      <c r="B100" s="1157"/>
      <c r="C100" s="1159"/>
      <c r="D100" s="1157">
        <v>40000</v>
      </c>
      <c r="E100" s="1159"/>
      <c r="F100" s="1157"/>
      <c r="G100" s="1159"/>
      <c r="H100" s="1157"/>
      <c r="I100" s="1159"/>
      <c r="J100" s="1157">
        <f t="shared" si="9"/>
        <v>40000</v>
      </c>
      <c r="K100" s="1159"/>
      <c r="L100" s="1157"/>
      <c r="M100" s="1160"/>
    </row>
    <row r="101" spans="1:13" s="309" customFormat="1" ht="19.5" customHeight="1">
      <c r="A101" s="650" t="s">
        <v>380</v>
      </c>
      <c r="B101" s="1157"/>
      <c r="C101" s="1159"/>
      <c r="D101" s="1157">
        <v>100000</v>
      </c>
      <c r="E101" s="1159"/>
      <c r="F101" s="1157"/>
      <c r="G101" s="1159"/>
      <c r="H101" s="1157"/>
      <c r="I101" s="1159"/>
      <c r="J101" s="1157">
        <f t="shared" si="9"/>
        <v>100000</v>
      </c>
      <c r="K101" s="1159"/>
      <c r="L101" s="1157"/>
      <c r="M101" s="1160"/>
    </row>
    <row r="102" spans="1:13" s="309" customFormat="1" ht="16.5" customHeight="1">
      <c r="A102" s="650" t="s">
        <v>381</v>
      </c>
      <c r="B102" s="1157"/>
      <c r="C102" s="1159"/>
      <c r="D102" s="1157">
        <v>70000</v>
      </c>
      <c r="E102" s="1159"/>
      <c r="F102" s="1157"/>
      <c r="G102" s="1159"/>
      <c r="H102" s="1157"/>
      <c r="I102" s="1159"/>
      <c r="J102" s="1157">
        <f t="shared" si="9"/>
        <v>70000</v>
      </c>
      <c r="K102" s="1159"/>
      <c r="L102" s="1157"/>
      <c r="M102" s="1160"/>
    </row>
    <row r="103" spans="1:13" s="309" customFormat="1" ht="16.5" customHeight="1">
      <c r="A103" s="650" t="s">
        <v>382</v>
      </c>
      <c r="B103" s="1157"/>
      <c r="C103" s="1159"/>
      <c r="D103" s="1157">
        <v>150000</v>
      </c>
      <c r="E103" s="1159"/>
      <c r="F103" s="1157"/>
      <c r="G103" s="1159"/>
      <c r="H103" s="1157"/>
      <c r="I103" s="1159"/>
      <c r="J103" s="1157">
        <f t="shared" si="9"/>
        <v>150000</v>
      </c>
      <c r="K103" s="1159"/>
      <c r="L103" s="1157"/>
      <c r="M103" s="1160"/>
    </row>
    <row r="104" spans="1:13" s="309" customFormat="1" ht="16.5" customHeight="1">
      <c r="A104" s="650" t="s">
        <v>383</v>
      </c>
      <c r="B104" s="1157"/>
      <c r="C104" s="1159"/>
      <c r="D104" s="1157">
        <v>200000</v>
      </c>
      <c r="E104" s="1159"/>
      <c r="F104" s="1157"/>
      <c r="G104" s="1159"/>
      <c r="H104" s="1157"/>
      <c r="I104" s="1159"/>
      <c r="J104" s="1157">
        <f t="shared" si="9"/>
        <v>200000</v>
      </c>
      <c r="K104" s="1159"/>
      <c r="L104" s="1157"/>
      <c r="M104" s="1160"/>
    </row>
    <row r="105" spans="1:13" s="309" customFormat="1" ht="16.5" customHeight="1">
      <c r="A105" s="650" t="s">
        <v>384</v>
      </c>
      <c r="B105" s="1157"/>
      <c r="C105" s="1159"/>
      <c r="D105" s="1157">
        <v>70000</v>
      </c>
      <c r="E105" s="1159"/>
      <c r="F105" s="1157"/>
      <c r="G105" s="1159"/>
      <c r="H105" s="1157"/>
      <c r="I105" s="1159"/>
      <c r="J105" s="1157">
        <f aca="true" t="shared" si="10" ref="J105:J119">+D105+F105+H105</f>
        <v>70000</v>
      </c>
      <c r="K105" s="1159"/>
      <c r="L105" s="1157"/>
      <c r="M105" s="1160"/>
    </row>
    <row r="106" spans="1:13" s="309" customFormat="1" ht="16.5" customHeight="1">
      <c r="A106" s="650" t="s">
        <v>385</v>
      </c>
      <c r="B106" s="1157"/>
      <c r="C106" s="1159"/>
      <c r="D106" s="1157">
        <v>70000</v>
      </c>
      <c r="E106" s="1159"/>
      <c r="F106" s="1157"/>
      <c r="G106" s="1159"/>
      <c r="H106" s="1157"/>
      <c r="I106" s="1159"/>
      <c r="J106" s="1157">
        <f t="shared" si="10"/>
        <v>70000</v>
      </c>
      <c r="K106" s="1159"/>
      <c r="L106" s="1157"/>
      <c r="M106" s="1160"/>
    </row>
    <row r="107" spans="1:13" s="309" customFormat="1" ht="16.5" customHeight="1">
      <c r="A107" s="650" t="s">
        <v>386</v>
      </c>
      <c r="B107" s="1157"/>
      <c r="C107" s="1159"/>
      <c r="D107" s="1157">
        <v>550000</v>
      </c>
      <c r="E107" s="1159"/>
      <c r="F107" s="1157"/>
      <c r="G107" s="1159"/>
      <c r="H107" s="1157"/>
      <c r="I107" s="1159"/>
      <c r="J107" s="1157">
        <f t="shared" si="10"/>
        <v>550000</v>
      </c>
      <c r="K107" s="1159"/>
      <c r="L107" s="1157"/>
      <c r="M107" s="1160"/>
    </row>
    <row r="108" spans="1:13" s="309" customFormat="1" ht="16.5" customHeight="1">
      <c r="A108" s="650" t="s">
        <v>387</v>
      </c>
      <c r="B108" s="1157"/>
      <c r="C108" s="1159"/>
      <c r="D108" s="1157">
        <v>1000000</v>
      </c>
      <c r="E108" s="1159"/>
      <c r="F108" s="1157"/>
      <c r="G108" s="1159"/>
      <c r="H108" s="1157"/>
      <c r="I108" s="1159"/>
      <c r="J108" s="1157">
        <f t="shared" si="10"/>
        <v>1000000</v>
      </c>
      <c r="K108" s="1159"/>
      <c r="L108" s="1157"/>
      <c r="M108" s="1160"/>
    </row>
    <row r="109" spans="1:13" s="309" customFormat="1" ht="16.5" customHeight="1">
      <c r="A109" s="650" t="s">
        <v>388</v>
      </c>
      <c r="B109" s="1157"/>
      <c r="C109" s="1159"/>
      <c r="D109" s="1157">
        <v>300000</v>
      </c>
      <c r="E109" s="1159"/>
      <c r="F109" s="1157"/>
      <c r="G109" s="1159"/>
      <c r="H109" s="1157"/>
      <c r="I109" s="1159"/>
      <c r="J109" s="1157">
        <f aca="true" t="shared" si="11" ref="J109:J115">+D109+F109+H109</f>
        <v>300000</v>
      </c>
      <c r="K109" s="1159"/>
      <c r="L109" s="1157"/>
      <c r="M109" s="1160"/>
    </row>
    <row r="110" spans="1:13" s="309" customFormat="1" ht="16.5" customHeight="1">
      <c r="A110" s="650" t="s">
        <v>389</v>
      </c>
      <c r="B110" s="1157"/>
      <c r="C110" s="1159"/>
      <c r="D110" s="1157">
        <v>200000</v>
      </c>
      <c r="E110" s="1159"/>
      <c r="F110" s="1157"/>
      <c r="G110" s="1159"/>
      <c r="H110" s="1157"/>
      <c r="I110" s="1159"/>
      <c r="J110" s="1157">
        <f t="shared" si="11"/>
        <v>200000</v>
      </c>
      <c r="K110" s="1159"/>
      <c r="L110" s="1157"/>
      <c r="M110" s="1160"/>
    </row>
    <row r="111" spans="1:13" s="309" customFormat="1" ht="19.5" customHeight="1">
      <c r="A111" s="650" t="s">
        <v>390</v>
      </c>
      <c r="B111" s="1157"/>
      <c r="C111" s="1159"/>
      <c r="D111" s="1157">
        <v>100000</v>
      </c>
      <c r="E111" s="1159"/>
      <c r="F111" s="1157"/>
      <c r="G111" s="1159"/>
      <c r="H111" s="1157"/>
      <c r="I111" s="1159"/>
      <c r="J111" s="1157">
        <f t="shared" si="11"/>
        <v>100000</v>
      </c>
      <c r="K111" s="1159"/>
      <c r="L111" s="1157"/>
      <c r="M111" s="1160"/>
    </row>
    <row r="112" spans="1:13" s="309" customFormat="1" ht="21.75" customHeight="1">
      <c r="A112" s="650" t="s">
        <v>391</v>
      </c>
      <c r="B112" s="1157"/>
      <c r="C112" s="1159"/>
      <c r="D112" s="1157"/>
      <c r="E112" s="1159"/>
      <c r="F112" s="1157"/>
      <c r="G112" s="1159"/>
      <c r="H112" s="1157"/>
      <c r="I112" s="1159"/>
      <c r="J112" s="1157">
        <f t="shared" si="11"/>
        <v>0</v>
      </c>
      <c r="K112" s="1159"/>
      <c r="L112" s="1157">
        <v>375000</v>
      </c>
      <c r="M112" s="1160"/>
    </row>
    <row r="113" spans="1:13" s="309" customFormat="1" ht="16.5" customHeight="1">
      <c r="A113" s="650" t="s">
        <v>392</v>
      </c>
      <c r="B113" s="1157"/>
      <c r="C113" s="1159"/>
      <c r="D113" s="1157">
        <v>25000</v>
      </c>
      <c r="E113" s="1159"/>
      <c r="F113" s="1157"/>
      <c r="G113" s="1159"/>
      <c r="H113" s="1157"/>
      <c r="I113" s="1159"/>
      <c r="J113" s="1157">
        <f t="shared" si="11"/>
        <v>25000</v>
      </c>
      <c r="K113" s="1159"/>
      <c r="L113" s="1157"/>
      <c r="M113" s="1160"/>
    </row>
    <row r="114" spans="1:13" s="309" customFormat="1" ht="16.5" customHeight="1">
      <c r="A114" s="650" t="s">
        <v>393</v>
      </c>
      <c r="B114" s="1157"/>
      <c r="C114" s="1159"/>
      <c r="D114" s="1157">
        <v>140000</v>
      </c>
      <c r="E114" s="1159"/>
      <c r="F114" s="1157"/>
      <c r="G114" s="1159"/>
      <c r="H114" s="1157"/>
      <c r="I114" s="1159"/>
      <c r="J114" s="1157">
        <f t="shared" si="11"/>
        <v>140000</v>
      </c>
      <c r="K114" s="1159"/>
      <c r="L114" s="1157"/>
      <c r="M114" s="1160"/>
    </row>
    <row r="115" spans="1:13" s="309" customFormat="1" ht="24.75" customHeight="1">
      <c r="A115" s="650" t="s">
        <v>394</v>
      </c>
      <c r="B115" s="1157"/>
      <c r="C115" s="1159"/>
      <c r="D115" s="1157">
        <v>70000</v>
      </c>
      <c r="E115" s="1159"/>
      <c r="F115" s="1157"/>
      <c r="G115" s="1159"/>
      <c r="H115" s="1157"/>
      <c r="I115" s="1159"/>
      <c r="J115" s="1157">
        <f t="shared" si="11"/>
        <v>70000</v>
      </c>
      <c r="K115" s="1159"/>
      <c r="L115" s="1157"/>
      <c r="M115" s="1160"/>
    </row>
    <row r="116" spans="1:13" s="309" customFormat="1" ht="25.5" customHeight="1">
      <c r="A116" s="650" t="s">
        <v>395</v>
      </c>
      <c r="B116" s="1157"/>
      <c r="C116" s="1159"/>
      <c r="D116" s="1157">
        <v>160000</v>
      </c>
      <c r="E116" s="1159"/>
      <c r="F116" s="1157"/>
      <c r="G116" s="1159"/>
      <c r="H116" s="1157"/>
      <c r="I116" s="1159"/>
      <c r="J116" s="1157">
        <f t="shared" si="10"/>
        <v>160000</v>
      </c>
      <c r="K116" s="1159"/>
      <c r="L116" s="1157"/>
      <c r="M116" s="1160"/>
    </row>
    <row r="117" spans="1:13" s="309" customFormat="1" ht="16.5" customHeight="1">
      <c r="A117" s="650" t="s">
        <v>396</v>
      </c>
      <c r="B117" s="1157"/>
      <c r="C117" s="1159"/>
      <c r="D117" s="1157">
        <v>60000</v>
      </c>
      <c r="E117" s="1159"/>
      <c r="F117" s="1157"/>
      <c r="G117" s="1159"/>
      <c r="H117" s="1157"/>
      <c r="I117" s="1159"/>
      <c r="J117" s="1157">
        <f t="shared" si="10"/>
        <v>60000</v>
      </c>
      <c r="K117" s="1159"/>
      <c r="L117" s="1157"/>
      <c r="M117" s="1160"/>
    </row>
    <row r="118" spans="1:13" s="309" customFormat="1" ht="15" customHeight="1">
      <c r="A118" s="650" t="s">
        <v>397</v>
      </c>
      <c r="B118" s="1157"/>
      <c r="C118" s="1159"/>
      <c r="D118" s="1157">
        <v>100000</v>
      </c>
      <c r="E118" s="1159"/>
      <c r="F118" s="1157"/>
      <c r="G118" s="1159"/>
      <c r="H118" s="1157"/>
      <c r="I118" s="1159"/>
      <c r="J118" s="1157">
        <f t="shared" si="10"/>
        <v>100000</v>
      </c>
      <c r="K118" s="1159"/>
      <c r="L118" s="1157"/>
      <c r="M118" s="1160"/>
    </row>
    <row r="119" spans="1:13" s="309" customFormat="1" ht="27" customHeight="1">
      <c r="A119" s="650" t="s">
        <v>398</v>
      </c>
      <c r="B119" s="1157"/>
      <c r="C119" s="1159"/>
      <c r="D119" s="1157">
        <v>670000</v>
      </c>
      <c r="E119" s="1159"/>
      <c r="F119" s="1157"/>
      <c r="G119" s="1159"/>
      <c r="H119" s="1157"/>
      <c r="I119" s="1159"/>
      <c r="J119" s="1157">
        <f t="shared" si="10"/>
        <v>670000</v>
      </c>
      <c r="K119" s="1159"/>
      <c r="L119" s="1157"/>
      <c r="M119" s="1160"/>
    </row>
    <row r="120" spans="1:13" s="309" customFormat="1" ht="24" customHeight="1" thickBot="1">
      <c r="A120" s="650" t="s">
        <v>447</v>
      </c>
      <c r="B120" s="1157">
        <v>650000</v>
      </c>
      <c r="C120" s="1159"/>
      <c r="D120" s="1157"/>
      <c r="E120" s="1159"/>
      <c r="F120" s="1157"/>
      <c r="G120" s="1159"/>
      <c r="H120" s="1157"/>
      <c r="I120" s="1159"/>
      <c r="J120" s="1157">
        <f>+D120+F120+H120</f>
        <v>0</v>
      </c>
      <c r="K120" s="1159"/>
      <c r="L120" s="1157"/>
      <c r="M120" s="1160"/>
    </row>
    <row r="121" spans="1:13" s="426" customFormat="1" ht="23.25" customHeight="1" thickBot="1">
      <c r="A121" s="495" t="s">
        <v>330</v>
      </c>
      <c r="B121" s="837">
        <f>SUM(B89:C120)</f>
        <v>650000</v>
      </c>
      <c r="C121" s="834"/>
      <c r="D121" s="834">
        <f>SUM(D89:E120)</f>
        <v>10780000</v>
      </c>
      <c r="E121" s="834"/>
      <c r="F121" s="834">
        <f>SUM(F89:F119)</f>
        <v>0</v>
      </c>
      <c r="G121" s="834"/>
      <c r="H121" s="834">
        <f>SUM(H89:H119)</f>
        <v>0</v>
      </c>
      <c r="I121" s="834"/>
      <c r="J121" s="834">
        <f>SUM(J89:K120)</f>
        <v>10780000</v>
      </c>
      <c r="K121" s="834"/>
      <c r="L121" s="834">
        <f>SUM(L89:M119)</f>
        <v>16375000</v>
      </c>
      <c r="M121" s="839"/>
    </row>
    <row r="122" spans="1:33" ht="3.75" customHeight="1" thickBot="1">
      <c r="A122" s="98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</row>
    <row r="123" spans="1:13" s="426" customFormat="1" ht="18" customHeight="1" thickBot="1">
      <c r="A123" s="245" t="s">
        <v>61</v>
      </c>
      <c r="B123" s="834">
        <f>+B121+B85</f>
        <v>1454259</v>
      </c>
      <c r="C123" s="834"/>
      <c r="D123" s="837">
        <f>+D121+D85</f>
        <v>20379000</v>
      </c>
      <c r="E123" s="835"/>
      <c r="F123" s="834">
        <f>+F121+F85</f>
        <v>0</v>
      </c>
      <c r="G123" s="834"/>
      <c r="H123" s="837">
        <f>+H121+H85</f>
        <v>0</v>
      </c>
      <c r="I123" s="835"/>
      <c r="J123" s="834">
        <f>+J121+J85</f>
        <v>20379000</v>
      </c>
      <c r="K123" s="834"/>
      <c r="L123" s="837">
        <f>+L121+L85</f>
        <v>24025000</v>
      </c>
      <c r="M123" s="839"/>
    </row>
    <row r="124" ht="14.25" customHeight="1" thickBot="1"/>
    <row r="125" spans="1:14" ht="25.5" customHeight="1" thickBot="1">
      <c r="A125" s="647" t="s">
        <v>206</v>
      </c>
      <c r="B125" s="64" t="s">
        <v>207</v>
      </c>
      <c r="C125" s="1177" t="s">
        <v>208</v>
      </c>
      <c r="D125" s="1178"/>
      <c r="E125" s="1179"/>
      <c r="F125" s="295" t="s">
        <v>207</v>
      </c>
      <c r="G125"/>
      <c r="H125"/>
      <c r="I125"/>
      <c r="J125"/>
      <c r="K125"/>
      <c r="L125"/>
      <c r="M125"/>
      <c r="N125"/>
    </row>
    <row r="126" spans="1:6" s="20" customFormat="1" ht="14.25" customHeight="1">
      <c r="A126" s="296" t="s">
        <v>436</v>
      </c>
      <c r="B126" s="297">
        <v>250</v>
      </c>
      <c r="C126" s="1180" t="s">
        <v>433</v>
      </c>
      <c r="D126" s="1181"/>
      <c r="E126" s="1182"/>
      <c r="F126" s="300">
        <v>600</v>
      </c>
    </row>
    <row r="127" spans="1:6" s="20" customFormat="1" ht="14.25" customHeight="1">
      <c r="A127" s="301" t="s">
        <v>360</v>
      </c>
      <c r="B127" s="302">
        <v>250</v>
      </c>
      <c r="C127" s="1183" t="s">
        <v>434</v>
      </c>
      <c r="D127" s="1184"/>
      <c r="E127" s="1185"/>
      <c r="F127" s="303">
        <f>4350+2000</f>
        <v>6350</v>
      </c>
    </row>
    <row r="128" spans="1:6" s="20" customFormat="1" ht="14.25" customHeight="1">
      <c r="A128" s="301" t="s">
        <v>437</v>
      </c>
      <c r="B128" s="302">
        <v>1400</v>
      </c>
      <c r="C128" s="1183" t="s">
        <v>435</v>
      </c>
      <c r="D128" s="1184"/>
      <c r="E128" s="1185"/>
      <c r="F128" s="303">
        <v>300</v>
      </c>
    </row>
    <row r="129" spans="1:6" s="20" customFormat="1" ht="14.25" customHeight="1">
      <c r="A129" s="301" t="s">
        <v>438</v>
      </c>
      <c r="B129" s="302">
        <v>350</v>
      </c>
      <c r="C129" s="1186"/>
      <c r="D129" s="1187"/>
      <c r="E129" s="1188"/>
      <c r="F129" s="303"/>
    </row>
    <row r="130" spans="1:6" s="20" customFormat="1" ht="14.25" customHeight="1">
      <c r="A130" s="301" t="s">
        <v>439</v>
      </c>
      <c r="B130" s="302">
        <v>80</v>
      </c>
      <c r="C130" s="1186"/>
      <c r="D130" s="1187"/>
      <c r="E130" s="1188"/>
      <c r="F130" s="303"/>
    </row>
    <row r="131" spans="1:6" s="20" customFormat="1" ht="14.25" customHeight="1">
      <c r="A131" s="301" t="s">
        <v>440</v>
      </c>
      <c r="B131" s="302">
        <v>60</v>
      </c>
      <c r="C131" s="1186"/>
      <c r="D131" s="1187"/>
      <c r="E131" s="1188"/>
      <c r="F131" s="303"/>
    </row>
    <row r="132" spans="1:6" s="20" customFormat="1" ht="14.25" customHeight="1">
      <c r="A132" s="301" t="s">
        <v>441</v>
      </c>
      <c r="B132" s="302">
        <v>50</v>
      </c>
      <c r="C132" s="1186"/>
      <c r="D132" s="1187"/>
      <c r="E132" s="1188"/>
      <c r="F132" s="303"/>
    </row>
    <row r="133" spans="1:6" s="20" customFormat="1" ht="14.25" customHeight="1">
      <c r="A133" s="301" t="s">
        <v>442</v>
      </c>
      <c r="B133" s="302">
        <v>32</v>
      </c>
      <c r="C133" s="1186"/>
      <c r="D133" s="1187"/>
      <c r="E133" s="1188"/>
      <c r="F133" s="303"/>
    </row>
    <row r="134" spans="1:6" s="20" customFormat="1" ht="14.25" customHeight="1">
      <c r="A134" s="301" t="s">
        <v>339</v>
      </c>
      <c r="B134" s="302">
        <v>50</v>
      </c>
      <c r="C134" s="1186"/>
      <c r="D134" s="1187"/>
      <c r="E134" s="1188"/>
      <c r="F134" s="304"/>
    </row>
    <row r="135" spans="1:6" s="20" customFormat="1" ht="14.25" customHeight="1" thickBot="1">
      <c r="A135" s="301" t="s">
        <v>443</v>
      </c>
      <c r="B135" s="302">
        <v>400</v>
      </c>
      <c r="C135" s="1186"/>
      <c r="D135" s="1187"/>
      <c r="E135" s="1188"/>
      <c r="F135" s="304"/>
    </row>
    <row r="136" spans="1:6" s="308" customFormat="1" ht="12" thickBot="1">
      <c r="A136" s="88" t="s">
        <v>209</v>
      </c>
      <c r="B136" s="86">
        <f>SUM(B126:B135)</f>
        <v>2922</v>
      </c>
      <c r="C136" s="1189" t="s">
        <v>4</v>
      </c>
      <c r="D136" s="1190"/>
      <c r="E136" s="1191"/>
      <c r="F136" s="87">
        <f>SUM(F126:F134)</f>
        <v>7250</v>
      </c>
    </row>
    <row r="137" ht="12" customHeight="1" thickBot="1"/>
    <row r="138" ht="13.5" hidden="1" thickBot="1"/>
    <row r="139" spans="1:9" ht="12.75" customHeight="1">
      <c r="A139" s="1083" t="s">
        <v>62</v>
      </c>
      <c r="B139" s="1086" t="s">
        <v>225</v>
      </c>
      <c r="C139" s="811" t="s">
        <v>160</v>
      </c>
      <c r="D139" s="954"/>
      <c r="E139" s="954"/>
      <c r="F139" s="954"/>
      <c r="G139" s="954"/>
      <c r="H139" s="955"/>
      <c r="I139" s="894" t="s">
        <v>226</v>
      </c>
    </row>
    <row r="140" spans="1:9" ht="12.75">
      <c r="A140" s="1084"/>
      <c r="B140" s="1087"/>
      <c r="C140" s="1145" t="s">
        <v>45</v>
      </c>
      <c r="D140" s="1147" t="s">
        <v>63</v>
      </c>
      <c r="E140" s="1148"/>
      <c r="F140" s="1148"/>
      <c r="G140" s="1148"/>
      <c r="H140" s="1149"/>
      <c r="I140" s="1089"/>
    </row>
    <row r="141" spans="1:9" ht="12.75" customHeight="1" thickBot="1">
      <c r="A141" s="1085"/>
      <c r="B141" s="1088"/>
      <c r="C141" s="1146"/>
      <c r="D141" s="169">
        <v>1</v>
      </c>
      <c r="E141" s="169">
        <v>2</v>
      </c>
      <c r="F141" s="169">
        <v>3</v>
      </c>
      <c r="G141" s="169">
        <v>4</v>
      </c>
      <c r="H141" s="170">
        <v>5</v>
      </c>
      <c r="I141" s="1090"/>
    </row>
    <row r="142" spans="1:14" s="168" customFormat="1" ht="15.75" customHeight="1" thickBot="1">
      <c r="A142" s="311">
        <v>59745.693</v>
      </c>
      <c r="B142" s="222">
        <v>6603.082</v>
      </c>
      <c r="C142" s="222">
        <f>SUM(D142:H142)</f>
        <v>4901.344000000001</v>
      </c>
      <c r="D142" s="222">
        <f>1967.564+13.488+252.696</f>
        <v>2233.748</v>
      </c>
      <c r="E142" s="222">
        <f>200.548+1392.54+939.408</f>
        <v>2532.496</v>
      </c>
      <c r="F142" s="222">
        <v>5.916</v>
      </c>
      <c r="G142" s="222">
        <v>0</v>
      </c>
      <c r="H142" s="454">
        <v>129.184</v>
      </c>
      <c r="I142" s="223">
        <f>SUM(A142-B142-C142)</f>
        <v>48241.26699999999</v>
      </c>
      <c r="J142" s="224"/>
      <c r="K142" s="224"/>
      <c r="L142" s="224"/>
      <c r="M142" s="224"/>
      <c r="N142" s="224"/>
    </row>
    <row r="143" ht="3.75" customHeight="1"/>
    <row r="144" ht="15.75" customHeight="1" thickBot="1">
      <c r="A144" s="78" t="s">
        <v>236</v>
      </c>
    </row>
    <row r="145" spans="1:12" ht="12.75" customHeight="1">
      <c r="A145" s="764" t="s">
        <v>64</v>
      </c>
      <c r="B145" s="766" t="s">
        <v>151</v>
      </c>
      <c r="C145" s="1192" t="s">
        <v>161</v>
      </c>
      <c r="D145" s="1193"/>
      <c r="E145" s="1193"/>
      <c r="F145" s="1119"/>
      <c r="G145" s="766" t="s">
        <v>162</v>
      </c>
      <c r="H145" s="866" t="s">
        <v>65</v>
      </c>
      <c r="I145" s="768" t="s">
        <v>163</v>
      </c>
      <c r="J145" s="947"/>
      <c r="K145" s="947"/>
      <c r="L145" s="1175"/>
    </row>
    <row r="146" spans="1:12" ht="18.75" thickBot="1">
      <c r="A146" s="765"/>
      <c r="B146" s="767"/>
      <c r="C146" s="38" t="s">
        <v>164</v>
      </c>
      <c r="D146" s="39" t="s">
        <v>66</v>
      </c>
      <c r="E146" s="39" t="s">
        <v>67</v>
      </c>
      <c r="F146" s="40" t="s">
        <v>68</v>
      </c>
      <c r="G146" s="767"/>
      <c r="H146" s="868"/>
      <c r="I146" s="60" t="s">
        <v>152</v>
      </c>
      <c r="J146" s="39" t="s">
        <v>66</v>
      </c>
      <c r="K146" s="39" t="s">
        <v>67</v>
      </c>
      <c r="L146" s="40" t="s">
        <v>153</v>
      </c>
    </row>
    <row r="147" spans="1:12" ht="12.75">
      <c r="A147" s="172" t="s">
        <v>69</v>
      </c>
      <c r="B147" s="175">
        <v>27184.29</v>
      </c>
      <c r="C147" s="557" t="s">
        <v>70</v>
      </c>
      <c r="D147" s="558" t="s">
        <v>70</v>
      </c>
      <c r="E147" s="558" t="s">
        <v>70</v>
      </c>
      <c r="F147" s="316" t="s">
        <v>70</v>
      </c>
      <c r="G147" s="175">
        <v>32376.11</v>
      </c>
      <c r="H147" s="176" t="s">
        <v>70</v>
      </c>
      <c r="I147" s="173" t="s">
        <v>70</v>
      </c>
      <c r="J147" s="173" t="s">
        <v>70</v>
      </c>
      <c r="K147" s="173" t="s">
        <v>70</v>
      </c>
      <c r="L147" s="174" t="s">
        <v>70</v>
      </c>
    </row>
    <row r="148" spans="1:12" ht="12.75">
      <c r="A148" s="177" t="s">
        <v>71</v>
      </c>
      <c r="B148" s="180">
        <v>543.17</v>
      </c>
      <c r="C148" s="94">
        <v>543.17</v>
      </c>
      <c r="D148" s="42">
        <v>0</v>
      </c>
      <c r="E148" s="42">
        <v>0</v>
      </c>
      <c r="F148" s="179">
        <f>+C148+D148-E148</f>
        <v>543.17</v>
      </c>
      <c r="G148" s="180">
        <v>543.17</v>
      </c>
      <c r="H148" s="181">
        <f>+G148-F148</f>
        <v>0</v>
      </c>
      <c r="I148" s="42">
        <f>+F148</f>
        <v>543.17</v>
      </c>
      <c r="J148" s="42">
        <v>0</v>
      </c>
      <c r="K148" s="42">
        <v>0</v>
      </c>
      <c r="L148" s="179">
        <f>+I148+J148-K148</f>
        <v>543.17</v>
      </c>
    </row>
    <row r="149" spans="1:12" ht="12.75">
      <c r="A149" s="177" t="s">
        <v>72</v>
      </c>
      <c r="B149" s="180">
        <v>988.65</v>
      </c>
      <c r="C149" s="94">
        <v>988.65</v>
      </c>
      <c r="D149" s="42"/>
      <c r="E149" s="42"/>
      <c r="F149" s="179">
        <v>1192.51</v>
      </c>
      <c r="G149" s="180">
        <v>1192.51</v>
      </c>
      <c r="H149" s="180">
        <f>+G149-F149</f>
        <v>0</v>
      </c>
      <c r="I149" s="42">
        <f>+F149</f>
        <v>1192.51</v>
      </c>
      <c r="J149" s="42"/>
      <c r="K149" s="42"/>
      <c r="L149" s="179">
        <f>+I149+J149-K149</f>
        <v>1192.51</v>
      </c>
    </row>
    <row r="150" spans="1:12" ht="12.75">
      <c r="A150" s="177" t="s">
        <v>73</v>
      </c>
      <c r="B150" s="180">
        <v>-58680.66</v>
      </c>
      <c r="C150" s="557" t="s">
        <v>70</v>
      </c>
      <c r="D150" s="314" t="s">
        <v>70</v>
      </c>
      <c r="E150" s="314" t="s">
        <v>70</v>
      </c>
      <c r="F150" s="316" t="s">
        <v>70</v>
      </c>
      <c r="G150" s="180">
        <v>-38558.21</v>
      </c>
      <c r="H150" s="316" t="s">
        <v>70</v>
      </c>
      <c r="I150" s="173" t="s">
        <v>70</v>
      </c>
      <c r="J150" s="173" t="s">
        <v>70</v>
      </c>
      <c r="K150" s="173" t="s">
        <v>70</v>
      </c>
      <c r="L150" s="174" t="s">
        <v>70</v>
      </c>
    </row>
    <row r="151" spans="1:12" ht="12.75">
      <c r="A151" s="177" t="s">
        <v>74</v>
      </c>
      <c r="B151" s="180">
        <v>84333.13</v>
      </c>
      <c r="C151" s="94">
        <v>84333.13</v>
      </c>
      <c r="D151" s="42"/>
      <c r="E151" s="42"/>
      <c r="F151" s="179">
        <v>69198.64</v>
      </c>
      <c r="G151" s="180">
        <v>69198.64</v>
      </c>
      <c r="H151" s="181">
        <f>+G151-F151</f>
        <v>0</v>
      </c>
      <c r="I151" s="184">
        <f>+F151</f>
        <v>69198.64</v>
      </c>
      <c r="J151" s="184">
        <f>+D158</f>
        <v>24770</v>
      </c>
      <c r="K151" s="184">
        <f>+D166</f>
        <v>21833</v>
      </c>
      <c r="L151" s="179">
        <f>+I151+J151-K151</f>
        <v>72135.64</v>
      </c>
    </row>
    <row r="152" spans="1:12" ht="13.5" thickBot="1">
      <c r="A152" s="185" t="s">
        <v>75</v>
      </c>
      <c r="B152" s="188">
        <v>206.75</v>
      </c>
      <c r="C152" s="95">
        <v>1187.51</v>
      </c>
      <c r="D152" s="96"/>
      <c r="E152" s="96"/>
      <c r="F152" s="187">
        <v>534.66</v>
      </c>
      <c r="G152" s="188">
        <v>2.72</v>
      </c>
      <c r="H152" s="189">
        <f>+G152-F152</f>
        <v>-531.9399999999999</v>
      </c>
      <c r="I152" s="96">
        <f>+F152</f>
        <v>534.66</v>
      </c>
      <c r="J152" s="96">
        <v>4486</v>
      </c>
      <c r="K152" s="96">
        <v>4500</v>
      </c>
      <c r="L152" s="187">
        <f>+I152+J152-K152</f>
        <v>520.6599999999999</v>
      </c>
    </row>
    <row r="153" spans="1:12" ht="6.75" customHeight="1" thickBot="1">
      <c r="A153" s="190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1:12" s="158" customFormat="1" ht="13.5" customHeight="1" thickBot="1">
      <c r="A154" s="227" t="s">
        <v>76</v>
      </c>
      <c r="B154" s="228">
        <v>2004</v>
      </c>
      <c r="C154" s="429">
        <v>2005</v>
      </c>
      <c r="D154" s="229">
        <v>2006</v>
      </c>
      <c r="F154" s="1194" t="s">
        <v>77</v>
      </c>
      <c r="G154" s="1195"/>
      <c r="H154" s="1195"/>
      <c r="I154" s="1195"/>
      <c r="J154" s="497">
        <v>2004</v>
      </c>
      <c r="K154" s="497">
        <v>2005</v>
      </c>
      <c r="L154" s="573">
        <v>2006</v>
      </c>
    </row>
    <row r="155" spans="1:14" ht="12.75">
      <c r="A155" s="43" t="s">
        <v>78</v>
      </c>
      <c r="B155" s="44">
        <f>+C151</f>
        <v>84333.13</v>
      </c>
      <c r="C155" s="402">
        <v>84333.13</v>
      </c>
      <c r="D155" s="45">
        <v>69199</v>
      </c>
      <c r="F155" s="988" t="s">
        <v>79</v>
      </c>
      <c r="G155" s="990"/>
      <c r="H155" s="990"/>
      <c r="I155" s="990"/>
      <c r="J155" s="42">
        <f>+C149</f>
        <v>988.65</v>
      </c>
      <c r="K155" s="726">
        <f>+J174</f>
        <v>1279.65</v>
      </c>
      <c r="L155" s="179">
        <v>1193</v>
      </c>
      <c r="M155"/>
      <c r="N155"/>
    </row>
    <row r="156" spans="1:14" ht="12.75">
      <c r="A156" s="691" t="s">
        <v>171</v>
      </c>
      <c r="B156" s="652"/>
      <c r="C156" s="402"/>
      <c r="D156" s="45">
        <v>1454</v>
      </c>
      <c r="F156" s="988"/>
      <c r="G156" s="990"/>
      <c r="H156" s="990"/>
      <c r="I156" s="990"/>
      <c r="J156" s="42"/>
      <c r="K156" s="726"/>
      <c r="L156" s="179"/>
      <c r="M156"/>
      <c r="N156"/>
    </row>
    <row r="157" spans="1:14" ht="12.75">
      <c r="A157" s="691" t="s">
        <v>172</v>
      </c>
      <c r="B157" s="652"/>
      <c r="C157" s="402"/>
      <c r="D157" s="45">
        <v>0</v>
      </c>
      <c r="F157" s="988"/>
      <c r="G157" s="990"/>
      <c r="H157" s="990"/>
      <c r="I157" s="990"/>
      <c r="J157" s="42"/>
      <c r="K157" s="726"/>
      <c r="L157" s="179"/>
      <c r="M157"/>
      <c r="N157"/>
    </row>
    <row r="158" spans="1:14" ht="12.75">
      <c r="A158" s="405" t="s">
        <v>66</v>
      </c>
      <c r="B158" s="406">
        <f>+B159+B160+B162+B164+B165</f>
        <v>33392.957</v>
      </c>
      <c r="C158" s="407">
        <f>SUM(C159:C165)</f>
        <v>43199.88</v>
      </c>
      <c r="D158" s="408">
        <f>SUM(D159:D165)</f>
        <v>24770</v>
      </c>
      <c r="F158" s="994" t="s">
        <v>66</v>
      </c>
      <c r="G158" s="996"/>
      <c r="H158" s="996"/>
      <c r="I158" s="996"/>
      <c r="J158" s="406">
        <f>+J159+J160</f>
        <v>291</v>
      </c>
      <c r="K158" s="406">
        <f>SUM(K159:K161)</f>
        <v>951</v>
      </c>
      <c r="L158" s="408">
        <f>SUM(L159:L165)</f>
        <v>381</v>
      </c>
      <c r="M158"/>
      <c r="N158"/>
    </row>
    <row r="159" spans="1:14" ht="12.75">
      <c r="A159" s="46" t="s">
        <v>80</v>
      </c>
      <c r="B159" s="42">
        <v>4905</v>
      </c>
      <c r="C159" s="403">
        <v>2309</v>
      </c>
      <c r="D159" s="179">
        <v>4091</v>
      </c>
      <c r="F159" s="988" t="s">
        <v>81</v>
      </c>
      <c r="G159" s="990"/>
      <c r="H159" s="990"/>
      <c r="I159" s="990"/>
      <c r="J159" s="42"/>
      <c r="K159" s="726">
        <v>132</v>
      </c>
      <c r="L159" s="179">
        <v>81</v>
      </c>
      <c r="M159"/>
      <c r="N159"/>
    </row>
    <row r="160" spans="1:14" ht="12.75">
      <c r="A160" s="46" t="s">
        <v>301</v>
      </c>
      <c r="B160" s="42">
        <f>+G46/1000+G52/1000</f>
        <v>9463.957</v>
      </c>
      <c r="C160" s="403">
        <v>39435.88</v>
      </c>
      <c r="D160" s="179">
        <v>20379</v>
      </c>
      <c r="F160" s="988" t="s">
        <v>82</v>
      </c>
      <c r="G160" s="990"/>
      <c r="H160" s="990"/>
      <c r="I160" s="990"/>
      <c r="J160" s="42">
        <v>291</v>
      </c>
      <c r="K160" s="726">
        <v>300</v>
      </c>
      <c r="L160" s="179">
        <v>300</v>
      </c>
      <c r="M160"/>
      <c r="N160"/>
    </row>
    <row r="161" spans="1:14" ht="12.75">
      <c r="A161" s="46" t="s">
        <v>454</v>
      </c>
      <c r="B161" s="42"/>
      <c r="C161" s="403"/>
      <c r="D161" s="179"/>
      <c r="F161" s="988" t="s">
        <v>333</v>
      </c>
      <c r="G161" s="990"/>
      <c r="H161" s="990"/>
      <c r="I161" s="990"/>
      <c r="J161" s="42"/>
      <c r="K161" s="726">
        <v>519</v>
      </c>
      <c r="L161" s="179"/>
      <c r="M161"/>
      <c r="N161"/>
    </row>
    <row r="162" spans="1:14" ht="12.75">
      <c r="A162" s="46" t="s">
        <v>83</v>
      </c>
      <c r="B162" s="42">
        <f>+G49/1000</f>
        <v>18526</v>
      </c>
      <c r="C162" s="403"/>
      <c r="D162" s="179"/>
      <c r="E162" s="622"/>
      <c r="F162" s="988"/>
      <c r="G162" s="990"/>
      <c r="H162" s="990"/>
      <c r="I162" s="990"/>
      <c r="J162" s="42"/>
      <c r="K162" s="726"/>
      <c r="L162" s="179"/>
      <c r="M162"/>
      <c r="N162"/>
    </row>
    <row r="163" spans="1:14" ht="12.75">
      <c r="A163" s="1154" t="s">
        <v>165</v>
      </c>
      <c r="B163" s="1155"/>
      <c r="C163" s="403"/>
      <c r="D163" s="179"/>
      <c r="E163" s="622"/>
      <c r="F163" s="988"/>
      <c r="G163" s="990"/>
      <c r="H163" s="990"/>
      <c r="I163" s="990"/>
      <c r="J163" s="42"/>
      <c r="K163" s="726"/>
      <c r="L163" s="179"/>
      <c r="M163"/>
      <c r="N163"/>
    </row>
    <row r="164" spans="1:14" ht="12.75">
      <c r="A164" s="46" t="s">
        <v>82</v>
      </c>
      <c r="B164" s="42"/>
      <c r="C164" s="403"/>
      <c r="D164" s="179"/>
      <c r="F164" s="988"/>
      <c r="G164" s="990"/>
      <c r="H164" s="990"/>
      <c r="I164" s="990"/>
      <c r="J164" s="42"/>
      <c r="K164" s="726"/>
      <c r="L164" s="179"/>
      <c r="M164"/>
      <c r="N164"/>
    </row>
    <row r="165" spans="1:14" ht="12.75">
      <c r="A165" s="47" t="s">
        <v>84</v>
      </c>
      <c r="B165" s="42">
        <v>498</v>
      </c>
      <c r="C165" s="403">
        <v>1455</v>
      </c>
      <c r="D165" s="179">
        <v>300</v>
      </c>
      <c r="F165" s="988"/>
      <c r="G165" s="990"/>
      <c r="H165" s="990"/>
      <c r="I165" s="990"/>
      <c r="J165" s="42"/>
      <c r="K165" s="726"/>
      <c r="L165" s="179"/>
      <c r="M165"/>
      <c r="N165"/>
    </row>
    <row r="166" spans="1:14" ht="12.75">
      <c r="A166" s="405" t="s">
        <v>67</v>
      </c>
      <c r="B166" s="406">
        <f>+B168+B171</f>
        <v>0</v>
      </c>
      <c r="C166" s="407">
        <f>SUM(C168:C173)</f>
        <v>58334.2895</v>
      </c>
      <c r="D166" s="408">
        <f>SUM(D167:D173)</f>
        <v>21833</v>
      </c>
      <c r="F166" s="994" t="s">
        <v>67</v>
      </c>
      <c r="G166" s="996"/>
      <c r="H166" s="996"/>
      <c r="I166" s="996"/>
      <c r="J166" s="406">
        <f>+J167+J169+J172</f>
        <v>580</v>
      </c>
      <c r="K166" s="406">
        <f>+K167+K169+K172</f>
        <v>300</v>
      </c>
      <c r="L166" s="408">
        <f>SUM(L167:L173)</f>
        <v>381</v>
      </c>
      <c r="M166"/>
      <c r="N166"/>
    </row>
    <row r="167" spans="1:14" ht="12.75">
      <c r="A167" s="692" t="s">
        <v>166</v>
      </c>
      <c r="B167" s="693"/>
      <c r="C167" s="403"/>
      <c r="D167" s="179">
        <v>650</v>
      </c>
      <c r="F167" s="988" t="s">
        <v>85</v>
      </c>
      <c r="G167" s="990"/>
      <c r="H167" s="990"/>
      <c r="I167" s="990"/>
      <c r="J167" s="42">
        <v>82</v>
      </c>
      <c r="K167" s="726">
        <v>50</v>
      </c>
      <c r="L167" s="179">
        <v>81</v>
      </c>
      <c r="M167"/>
      <c r="N167"/>
    </row>
    <row r="168" spans="1:14" ht="12.75">
      <c r="A168" s="692" t="s">
        <v>167</v>
      </c>
      <c r="B168" s="693"/>
      <c r="C168" s="403">
        <v>30715.3415</v>
      </c>
      <c r="D168" s="179">
        <v>10780</v>
      </c>
      <c r="F168" s="988" t="s">
        <v>86</v>
      </c>
      <c r="G168" s="990"/>
      <c r="H168" s="990"/>
      <c r="I168" s="990"/>
      <c r="J168" s="42"/>
      <c r="K168" s="726">
        <v>132</v>
      </c>
      <c r="L168" s="179">
        <v>0</v>
      </c>
      <c r="M168"/>
      <c r="N168"/>
    </row>
    <row r="169" spans="1:14" ht="12.75">
      <c r="A169" s="692" t="s">
        <v>168</v>
      </c>
      <c r="B169" s="693"/>
      <c r="C169" s="403"/>
      <c r="D169" s="179">
        <v>0</v>
      </c>
      <c r="F169" s="988" t="s">
        <v>210</v>
      </c>
      <c r="G169" s="990"/>
      <c r="H169" s="990"/>
      <c r="I169" s="990"/>
      <c r="J169" s="42">
        <v>498</v>
      </c>
      <c r="K169" s="726">
        <v>250</v>
      </c>
      <c r="L169" s="179">
        <v>300</v>
      </c>
      <c r="M169"/>
      <c r="N169"/>
    </row>
    <row r="170" spans="1:14" ht="12.75">
      <c r="A170" s="692" t="s">
        <v>455</v>
      </c>
      <c r="B170" s="693"/>
      <c r="C170" s="403"/>
      <c r="D170" s="179">
        <v>804</v>
      </c>
      <c r="F170" s="988"/>
      <c r="G170" s="990"/>
      <c r="H170" s="990"/>
      <c r="I170" s="990"/>
      <c r="J170" s="42"/>
      <c r="K170" s="726"/>
      <c r="L170" s="179"/>
      <c r="M170"/>
      <c r="N170"/>
    </row>
    <row r="171" spans="1:14" ht="12.75">
      <c r="A171" s="692" t="s">
        <v>169</v>
      </c>
      <c r="B171" s="693"/>
      <c r="C171" s="403">
        <v>8720.538</v>
      </c>
      <c r="D171" s="179">
        <v>9599</v>
      </c>
      <c r="F171" s="988"/>
      <c r="G171" s="990"/>
      <c r="H171" s="990"/>
      <c r="I171" s="990"/>
      <c r="J171" s="42"/>
      <c r="K171" s="726"/>
      <c r="L171" s="179"/>
      <c r="M171"/>
      <c r="N171"/>
    </row>
    <row r="172" spans="1:14" ht="12.75">
      <c r="A172" s="692" t="s">
        <v>170</v>
      </c>
      <c r="B172" s="693"/>
      <c r="C172" s="403"/>
      <c r="D172" s="179"/>
      <c r="F172" s="988"/>
      <c r="G172" s="990"/>
      <c r="H172" s="990"/>
      <c r="I172" s="990"/>
      <c r="J172" s="42"/>
      <c r="K172" s="726"/>
      <c r="L172" s="179"/>
      <c r="M172"/>
      <c r="N172"/>
    </row>
    <row r="173" spans="1:14" ht="12.75">
      <c r="A173" s="47" t="s">
        <v>84</v>
      </c>
      <c r="B173" s="42"/>
      <c r="C173" s="403">
        <v>18898.41</v>
      </c>
      <c r="D173" s="179"/>
      <c r="E173" s="622"/>
      <c r="F173" s="988"/>
      <c r="G173" s="990"/>
      <c r="H173" s="990"/>
      <c r="I173" s="990"/>
      <c r="J173" s="42"/>
      <c r="K173" s="726"/>
      <c r="L173" s="179"/>
      <c r="M173"/>
      <c r="N173"/>
    </row>
    <row r="174" spans="1:14" ht="13.5" thickBot="1">
      <c r="A174" s="409" t="s">
        <v>87</v>
      </c>
      <c r="B174" s="70">
        <f>+B155+B158-B166</f>
        <v>117726.087</v>
      </c>
      <c r="C174" s="410">
        <f>+C155+C158-C166</f>
        <v>69198.72050000001</v>
      </c>
      <c r="D174" s="411">
        <f>+D155+D158-D166</f>
        <v>72136</v>
      </c>
      <c r="E174" s="622"/>
      <c r="F174" s="991" t="s">
        <v>87</v>
      </c>
      <c r="G174" s="993"/>
      <c r="H174" s="993"/>
      <c r="I174" s="993"/>
      <c r="J174" s="70">
        <f>+J155+J158-J165</f>
        <v>1279.65</v>
      </c>
      <c r="K174" s="70">
        <f>+K155+K158-K166</f>
        <v>1930.65</v>
      </c>
      <c r="L174" s="411">
        <f>+L155+L158-L166</f>
        <v>1193</v>
      </c>
      <c r="M174"/>
      <c r="N174"/>
    </row>
    <row r="175" spans="1:12" ht="9" customHeight="1">
      <c r="A175" s="190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</row>
    <row r="176" spans="1:34" ht="18.75" customHeight="1" thickBot="1">
      <c r="A176" s="78" t="s">
        <v>237</v>
      </c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114"/>
      <c r="N176" s="114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</row>
    <row r="177" spans="1:14" ht="12.75">
      <c r="A177" s="1099" t="s">
        <v>184</v>
      </c>
      <c r="B177" s="751" t="s">
        <v>4</v>
      </c>
      <c r="C177" s="751" t="s">
        <v>185</v>
      </c>
      <c r="D177" s="747"/>
      <c r="E177" s="747"/>
      <c r="F177" s="747"/>
      <c r="G177" s="747"/>
      <c r="H177" s="748"/>
      <c r="I177" s="48"/>
      <c r="J177" s="114"/>
      <c r="K177" s="114"/>
      <c r="L177" s="114"/>
      <c r="M177" s="98"/>
      <c r="N177" s="98"/>
    </row>
    <row r="178" spans="1:14" ht="13.5" thickBot="1">
      <c r="A178" s="1156"/>
      <c r="B178" s="752"/>
      <c r="C178" s="71" t="s">
        <v>88</v>
      </c>
      <c r="D178" s="72" t="s">
        <v>89</v>
      </c>
      <c r="E178" s="72" t="s">
        <v>90</v>
      </c>
      <c r="F178" s="72" t="s">
        <v>91</v>
      </c>
      <c r="G178" s="559" t="s">
        <v>92</v>
      </c>
      <c r="H178" s="560" t="s">
        <v>45</v>
      </c>
      <c r="I178" s="48"/>
      <c r="J178" s="114"/>
      <c r="K178" s="114"/>
      <c r="L178" s="114"/>
      <c r="M178" s="98"/>
      <c r="N178" s="98"/>
    </row>
    <row r="179" spans="1:9" s="168" customFormat="1" ht="11.25">
      <c r="A179" s="455" t="s">
        <v>93</v>
      </c>
      <c r="B179" s="561">
        <v>86226</v>
      </c>
      <c r="C179" s="562">
        <v>23179</v>
      </c>
      <c r="D179" s="562">
        <v>1385</v>
      </c>
      <c r="E179" s="562">
        <v>1560</v>
      </c>
      <c r="F179" s="562">
        <v>822</v>
      </c>
      <c r="G179" s="562">
        <v>339</v>
      </c>
      <c r="H179" s="456">
        <f>SUM(C179:G179)</f>
        <v>27285</v>
      </c>
      <c r="I179" s="48"/>
    </row>
    <row r="180" spans="1:9" s="168" customFormat="1" ht="12" thickBot="1">
      <c r="A180" s="457" t="s">
        <v>140</v>
      </c>
      <c r="B180" s="563">
        <v>25079.49</v>
      </c>
      <c r="C180" s="195">
        <v>1877</v>
      </c>
      <c r="D180" s="195"/>
      <c r="E180" s="195"/>
      <c r="F180" s="195"/>
      <c r="G180" s="195">
        <v>-3</v>
      </c>
      <c r="H180" s="83">
        <f>SUM(C180:G180)</f>
        <v>1874</v>
      </c>
      <c r="I180" s="48"/>
    </row>
    <row r="181" spans="1:14" ht="4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3" spans="1:12" ht="16.5" thickBot="1">
      <c r="A183" s="392" t="s">
        <v>448</v>
      </c>
      <c r="B183" s="292"/>
      <c r="C183" s="292"/>
      <c r="D183" s="292"/>
      <c r="E183" s="292"/>
      <c r="F183" s="292"/>
      <c r="G183" s="292"/>
      <c r="H183" s="292"/>
      <c r="I183" s="292"/>
      <c r="J183"/>
      <c r="K183"/>
      <c r="L183"/>
    </row>
    <row r="184" spans="1:12" ht="13.5" thickBot="1">
      <c r="A184" s="904" t="s">
        <v>94</v>
      </c>
      <c r="B184" s="905"/>
      <c r="C184" s="909" t="s">
        <v>95</v>
      </c>
      <c r="D184" s="877"/>
      <c r="E184" s="877"/>
      <c r="F184" s="877"/>
      <c r="G184" s="878"/>
      <c r="H184" s="909" t="s">
        <v>96</v>
      </c>
      <c r="I184" s="877"/>
      <c r="J184" s="877"/>
      <c r="K184" s="877"/>
      <c r="L184" s="878"/>
    </row>
    <row r="185" spans="1:12" ht="13.5" thickBot="1">
      <c r="A185" s="906"/>
      <c r="B185" s="907"/>
      <c r="C185" s="646">
        <v>2003</v>
      </c>
      <c r="D185" s="37">
        <v>2004</v>
      </c>
      <c r="E185" s="379" t="s">
        <v>7</v>
      </c>
      <c r="F185" s="37">
        <v>2005</v>
      </c>
      <c r="G185" s="50" t="s">
        <v>7</v>
      </c>
      <c r="H185" s="84">
        <v>2003</v>
      </c>
      <c r="I185" s="37">
        <v>2004</v>
      </c>
      <c r="J185" s="666" t="s">
        <v>7</v>
      </c>
      <c r="K185" s="64">
        <v>2005</v>
      </c>
      <c r="L185" s="694" t="s">
        <v>7</v>
      </c>
    </row>
    <row r="186" spans="1:12" ht="12.75">
      <c r="A186" s="1001" t="s">
        <v>97</v>
      </c>
      <c r="B186" s="907"/>
      <c r="C186" s="695">
        <v>122</v>
      </c>
      <c r="D186" s="196">
        <v>122</v>
      </c>
      <c r="E186" s="696">
        <f>+D186-C186</f>
        <v>0</v>
      </c>
      <c r="F186" s="380">
        <v>122</v>
      </c>
      <c r="G186" s="697">
        <f aca="true" t="shared" si="12" ref="G186:G204">+F186-D186</f>
        <v>0</v>
      </c>
      <c r="H186" s="320">
        <v>74</v>
      </c>
      <c r="I186" s="381">
        <f>31920/44652*100</f>
        <v>71.48615963450685</v>
      </c>
      <c r="J186" s="698">
        <f>+I186-H186</f>
        <v>-2.5138403654931523</v>
      </c>
      <c r="K186" s="699">
        <v>72.2</v>
      </c>
      <c r="L186" s="519">
        <f>+K186-I186</f>
        <v>0.7138403654931551</v>
      </c>
    </row>
    <row r="187" spans="1:12" ht="12.75">
      <c r="A187" s="1001" t="s">
        <v>98</v>
      </c>
      <c r="B187" s="907"/>
      <c r="C187" s="700">
        <v>22</v>
      </c>
      <c r="D187" s="198">
        <v>22</v>
      </c>
      <c r="E187" s="701">
        <f>+D187-C187</f>
        <v>0</v>
      </c>
      <c r="F187" s="382">
        <v>22</v>
      </c>
      <c r="G187" s="697">
        <f t="shared" si="12"/>
        <v>0</v>
      </c>
      <c r="H187" s="323">
        <v>57</v>
      </c>
      <c r="I187" s="383">
        <f>0.495156482861401*100</f>
        <v>49.51564828614009</v>
      </c>
      <c r="J187" s="702">
        <f>+I187-H187</f>
        <v>-7.484351713859908</v>
      </c>
      <c r="K187" s="703">
        <v>52.4</v>
      </c>
      <c r="L187" s="519">
        <f aca="true" t="shared" si="13" ref="L187:L199">+K187-I187</f>
        <v>2.884351713859907</v>
      </c>
    </row>
    <row r="188" spans="1:12" ht="12.75">
      <c r="A188" s="1001" t="s">
        <v>99</v>
      </c>
      <c r="B188" s="907"/>
      <c r="C188" s="700"/>
      <c r="D188" s="198"/>
      <c r="E188" s="701"/>
      <c r="F188" s="382"/>
      <c r="G188" s="697">
        <f t="shared" si="12"/>
        <v>0</v>
      </c>
      <c r="H188" s="323"/>
      <c r="I188" s="383"/>
      <c r="J188" s="702"/>
      <c r="K188" s="703"/>
      <c r="L188" s="519"/>
    </row>
    <row r="189" spans="1:12" ht="12.75">
      <c r="A189" s="1001" t="s">
        <v>100</v>
      </c>
      <c r="B189" s="907"/>
      <c r="C189" s="700">
        <v>44</v>
      </c>
      <c r="D189" s="198">
        <v>44</v>
      </c>
      <c r="E189" s="701">
        <f>+D189-C189</f>
        <v>0</v>
      </c>
      <c r="F189" s="382">
        <v>44</v>
      </c>
      <c r="G189" s="697">
        <f t="shared" si="12"/>
        <v>0</v>
      </c>
      <c r="H189" s="323">
        <v>66.2</v>
      </c>
      <c r="I189" s="383">
        <f>0.618293591654247*100</f>
        <v>61.829359165424734</v>
      </c>
      <c r="J189" s="702">
        <f>+I189-H189</f>
        <v>-4.370640834575269</v>
      </c>
      <c r="K189" s="703">
        <v>65.4</v>
      </c>
      <c r="L189" s="519">
        <f t="shared" si="13"/>
        <v>3.570640834575272</v>
      </c>
    </row>
    <row r="190" spans="1:12" ht="12.75">
      <c r="A190" s="1001" t="s">
        <v>101</v>
      </c>
      <c r="B190" s="907"/>
      <c r="C190" s="700"/>
      <c r="D190" s="198"/>
      <c r="E190" s="701"/>
      <c r="F190" s="382"/>
      <c r="G190" s="697">
        <f t="shared" si="12"/>
        <v>0</v>
      </c>
      <c r="H190" s="323"/>
      <c r="I190" s="383"/>
      <c r="J190" s="702"/>
      <c r="K190" s="703"/>
      <c r="L190" s="519"/>
    </row>
    <row r="191" spans="1:12" ht="12.75">
      <c r="A191" s="1001" t="s">
        <v>102</v>
      </c>
      <c r="B191" s="907"/>
      <c r="C191" s="700">
        <v>50</v>
      </c>
      <c r="D191" s="198">
        <v>50</v>
      </c>
      <c r="E191" s="701">
        <f aca="true" t="shared" si="14" ref="E191:E199">+D191-C191</f>
        <v>0</v>
      </c>
      <c r="F191" s="382">
        <v>50</v>
      </c>
      <c r="G191" s="697">
        <f t="shared" si="12"/>
        <v>0</v>
      </c>
      <c r="H191" s="323">
        <v>75.8</v>
      </c>
      <c r="I191" s="383">
        <f>0.680655737704918*100</f>
        <v>68.06557377049181</v>
      </c>
      <c r="J191" s="702">
        <f aca="true" t="shared" si="15" ref="J191:J199">+I191-H191</f>
        <v>-7.734426229508188</v>
      </c>
      <c r="K191" s="703">
        <v>62</v>
      </c>
      <c r="L191" s="519">
        <f t="shared" si="13"/>
        <v>-6.06557377049181</v>
      </c>
    </row>
    <row r="192" spans="1:12" ht="12.75">
      <c r="A192" s="1001" t="s">
        <v>103</v>
      </c>
      <c r="B192" s="907"/>
      <c r="C192" s="700">
        <v>59</v>
      </c>
      <c r="D192" s="198">
        <v>59</v>
      </c>
      <c r="E192" s="701">
        <f t="shared" si="14"/>
        <v>0</v>
      </c>
      <c r="F192" s="382">
        <v>59</v>
      </c>
      <c r="G192" s="697">
        <f t="shared" si="12"/>
        <v>0</v>
      </c>
      <c r="H192" s="323">
        <v>70.8</v>
      </c>
      <c r="I192" s="383">
        <f>0.670649254422525*100</f>
        <v>67.06492544225247</v>
      </c>
      <c r="J192" s="702">
        <f t="shared" si="15"/>
        <v>-3.7350745577475237</v>
      </c>
      <c r="K192" s="703">
        <v>61.8</v>
      </c>
      <c r="L192" s="519">
        <f t="shared" si="13"/>
        <v>-5.264925442252476</v>
      </c>
    </row>
    <row r="193" spans="1:12" ht="12.75">
      <c r="A193" s="1001" t="s">
        <v>104</v>
      </c>
      <c r="B193" s="907"/>
      <c r="C193" s="700">
        <v>82</v>
      </c>
      <c r="D193" s="198">
        <v>82</v>
      </c>
      <c r="E193" s="701">
        <f t="shared" si="14"/>
        <v>0</v>
      </c>
      <c r="F193" s="382">
        <v>82</v>
      </c>
      <c r="G193" s="697">
        <f t="shared" si="12"/>
        <v>0</v>
      </c>
      <c r="H193" s="323">
        <v>82.4</v>
      </c>
      <c r="I193" s="383">
        <f>0.77995468479275*100</f>
        <v>77.99546847927495</v>
      </c>
      <c r="J193" s="702">
        <f t="shared" si="15"/>
        <v>-4.404531520725058</v>
      </c>
      <c r="K193" s="703">
        <v>77.5</v>
      </c>
      <c r="L193" s="519">
        <f t="shared" si="13"/>
        <v>-0.4954684792749475</v>
      </c>
    </row>
    <row r="194" spans="1:12" ht="12.75">
      <c r="A194" s="1001" t="s">
        <v>105</v>
      </c>
      <c r="B194" s="907"/>
      <c r="C194" s="700">
        <v>6</v>
      </c>
      <c r="D194" s="198">
        <v>6</v>
      </c>
      <c r="E194" s="701">
        <f t="shared" si="14"/>
        <v>0</v>
      </c>
      <c r="F194" s="382">
        <v>6</v>
      </c>
      <c r="G194" s="697">
        <f t="shared" si="12"/>
        <v>0</v>
      </c>
      <c r="H194" s="323">
        <v>77.8</v>
      </c>
      <c r="I194" s="383">
        <f>0.748178506375228*100</f>
        <v>74.81785063752277</v>
      </c>
      <c r="J194" s="702">
        <f t="shared" si="15"/>
        <v>-2.98214936247723</v>
      </c>
      <c r="K194" s="703">
        <v>74.2</v>
      </c>
      <c r="L194" s="519">
        <f t="shared" si="13"/>
        <v>-0.6178506375227641</v>
      </c>
    </row>
    <row r="195" spans="1:12" ht="12.75">
      <c r="A195" s="1001" t="s">
        <v>106</v>
      </c>
      <c r="B195" s="907"/>
      <c r="C195" s="700">
        <v>27</v>
      </c>
      <c r="D195" s="198">
        <v>30</v>
      </c>
      <c r="E195" s="701">
        <f t="shared" si="14"/>
        <v>3</v>
      </c>
      <c r="F195" s="382">
        <v>30</v>
      </c>
      <c r="G195" s="697">
        <f t="shared" si="12"/>
        <v>0</v>
      </c>
      <c r="H195" s="323">
        <v>80.9</v>
      </c>
      <c r="I195" s="383">
        <f>0.792261494535788*100</f>
        <v>79.22614945357881</v>
      </c>
      <c r="J195" s="702">
        <f t="shared" si="15"/>
        <v>-1.6738505464211926</v>
      </c>
      <c r="K195" s="703">
        <v>74.9</v>
      </c>
      <c r="L195" s="519">
        <f t="shared" si="13"/>
        <v>-4.326149453578807</v>
      </c>
    </row>
    <row r="196" spans="1:12" ht="12.75">
      <c r="A196" s="1001" t="s">
        <v>107</v>
      </c>
      <c r="B196" s="907"/>
      <c r="C196" s="700">
        <v>21</v>
      </c>
      <c r="D196" s="198">
        <v>21</v>
      </c>
      <c r="E196" s="701">
        <f t="shared" si="14"/>
        <v>0</v>
      </c>
      <c r="F196" s="382">
        <v>21</v>
      </c>
      <c r="G196" s="697">
        <f t="shared" si="12"/>
        <v>0</v>
      </c>
      <c r="H196" s="323">
        <v>76.7</v>
      </c>
      <c r="I196" s="383">
        <f>0.727816809784023*100</f>
        <v>72.78168097840229</v>
      </c>
      <c r="J196" s="702">
        <f t="shared" si="15"/>
        <v>-3.9183190215977106</v>
      </c>
      <c r="K196" s="703">
        <v>68.8</v>
      </c>
      <c r="L196" s="519">
        <f t="shared" si="13"/>
        <v>-3.981680978402295</v>
      </c>
    </row>
    <row r="197" spans="1:12" ht="12.75">
      <c r="A197" s="1001" t="s">
        <v>108</v>
      </c>
      <c r="B197" s="907"/>
      <c r="C197" s="700">
        <v>20</v>
      </c>
      <c r="D197" s="198">
        <v>11</v>
      </c>
      <c r="E197" s="701">
        <f t="shared" si="14"/>
        <v>-9</v>
      </c>
      <c r="F197" s="382">
        <v>11</v>
      </c>
      <c r="G197" s="697">
        <f t="shared" si="12"/>
        <v>0</v>
      </c>
      <c r="H197" s="323">
        <v>69.8</v>
      </c>
      <c r="I197" s="383">
        <f>0.689665793931927*100</f>
        <v>68.96657939319267</v>
      </c>
      <c r="J197" s="702">
        <f t="shared" si="15"/>
        <v>-0.8334206068073229</v>
      </c>
      <c r="K197" s="703">
        <v>106</v>
      </c>
      <c r="L197" s="519">
        <f t="shared" si="13"/>
        <v>37.033420606807326</v>
      </c>
    </row>
    <row r="198" spans="1:12" ht="12.75">
      <c r="A198" s="1001" t="s">
        <v>109</v>
      </c>
      <c r="B198" s="907"/>
      <c r="C198" s="700">
        <v>12</v>
      </c>
      <c r="D198" s="198">
        <v>11</v>
      </c>
      <c r="E198" s="701">
        <f t="shared" si="14"/>
        <v>-1</v>
      </c>
      <c r="F198" s="382">
        <v>11</v>
      </c>
      <c r="G198" s="697">
        <f t="shared" si="12"/>
        <v>0</v>
      </c>
      <c r="H198" s="323">
        <v>76.3</v>
      </c>
      <c r="I198" s="383">
        <f>0.70906976744186*100</f>
        <v>70.90697674418604</v>
      </c>
      <c r="J198" s="702">
        <f t="shared" si="15"/>
        <v>-5.393023255813958</v>
      </c>
      <c r="K198" s="703">
        <v>74.5</v>
      </c>
      <c r="L198" s="519">
        <f t="shared" si="13"/>
        <v>3.5930232558139608</v>
      </c>
    </row>
    <row r="199" spans="1:12" ht="12.75">
      <c r="A199" s="1001" t="s">
        <v>110</v>
      </c>
      <c r="B199" s="907"/>
      <c r="C199" s="700">
        <v>20</v>
      </c>
      <c r="D199" s="198">
        <v>20</v>
      </c>
      <c r="E199" s="701">
        <f t="shared" si="14"/>
        <v>0</v>
      </c>
      <c r="F199" s="382">
        <v>20</v>
      </c>
      <c r="G199" s="697">
        <f t="shared" si="12"/>
        <v>0</v>
      </c>
      <c r="H199" s="323">
        <v>70.9</v>
      </c>
      <c r="I199" s="383">
        <f>0.659836065573771*100</f>
        <v>65.98360655737704</v>
      </c>
      <c r="J199" s="702">
        <f t="shared" si="15"/>
        <v>-4.916393442622962</v>
      </c>
      <c r="K199" s="703">
        <v>69.8</v>
      </c>
      <c r="L199" s="519">
        <f t="shared" si="13"/>
        <v>3.816393442622953</v>
      </c>
    </row>
    <row r="200" spans="1:12" ht="12.75">
      <c r="A200" s="1001" t="s">
        <v>111</v>
      </c>
      <c r="B200" s="907"/>
      <c r="C200" s="700"/>
      <c r="D200" s="198"/>
      <c r="E200" s="701"/>
      <c r="F200" s="382"/>
      <c r="G200" s="697">
        <f t="shared" si="12"/>
        <v>0</v>
      </c>
      <c r="H200" s="323"/>
      <c r="I200" s="383"/>
      <c r="J200" s="702"/>
      <c r="K200" s="703"/>
      <c r="L200" s="519"/>
    </row>
    <row r="201" spans="1:12" ht="12.75">
      <c r="A201" s="1001" t="s">
        <v>112</v>
      </c>
      <c r="B201" s="907"/>
      <c r="C201" s="700"/>
      <c r="D201" s="198"/>
      <c r="E201" s="701"/>
      <c r="F201" s="382"/>
      <c r="G201" s="697">
        <f t="shared" si="12"/>
        <v>0</v>
      </c>
      <c r="H201" s="323"/>
      <c r="I201" s="383"/>
      <c r="J201" s="702"/>
      <c r="K201" s="703"/>
      <c r="L201" s="519"/>
    </row>
    <row r="202" spans="1:12" ht="12.75">
      <c r="A202" s="1150" t="s">
        <v>456</v>
      </c>
      <c r="B202" s="1151"/>
      <c r="C202" s="704">
        <v>62</v>
      </c>
      <c r="D202" s="705">
        <v>62</v>
      </c>
      <c r="E202" s="706">
        <f>+D202-C202</f>
        <v>0</v>
      </c>
      <c r="F202" s="705">
        <v>62</v>
      </c>
      <c r="G202" s="707">
        <f t="shared" si="12"/>
        <v>0</v>
      </c>
      <c r="H202" s="708">
        <v>78.4</v>
      </c>
      <c r="I202" s="709">
        <v>84.5</v>
      </c>
      <c r="J202" s="710">
        <f>+I202-H202</f>
        <v>6.099999999999994</v>
      </c>
      <c r="K202" s="711">
        <v>86</v>
      </c>
      <c r="L202" s="712">
        <f>+K202-I202</f>
        <v>1.5</v>
      </c>
    </row>
    <row r="203" spans="1:12" ht="13.5" thickBot="1">
      <c r="A203" s="1152" t="s">
        <v>457</v>
      </c>
      <c r="B203" s="1153"/>
      <c r="C203" s="713">
        <v>100</v>
      </c>
      <c r="D203" s="714">
        <v>100</v>
      </c>
      <c r="E203" s="715">
        <f>+D203-C203</f>
        <v>0</v>
      </c>
      <c r="F203" s="714">
        <v>100</v>
      </c>
      <c r="G203" s="716">
        <f t="shared" si="12"/>
        <v>0</v>
      </c>
      <c r="H203" s="717">
        <v>92.4</v>
      </c>
      <c r="I203" s="718">
        <v>86.3</v>
      </c>
      <c r="J203" s="710">
        <f>+I203-H203</f>
        <v>-6.1000000000000085</v>
      </c>
      <c r="K203" s="719">
        <v>84.5</v>
      </c>
      <c r="L203" s="720">
        <f>+K203-I203</f>
        <v>-1.7999999999999972</v>
      </c>
    </row>
    <row r="204" spans="1:12" ht="13.5" thickBot="1">
      <c r="A204" s="1004" t="s">
        <v>4</v>
      </c>
      <c r="B204" s="1005"/>
      <c r="C204" s="681">
        <f>SUM(C186:C203)</f>
        <v>647</v>
      </c>
      <c r="D204" s="52">
        <f>SUM(D186:D203)</f>
        <v>640</v>
      </c>
      <c r="E204" s="721">
        <f>+D204-C204</f>
        <v>-7</v>
      </c>
      <c r="F204" s="52">
        <f>SUM(F186:F203)</f>
        <v>640</v>
      </c>
      <c r="G204" s="683">
        <f t="shared" si="12"/>
        <v>0</v>
      </c>
      <c r="H204" s="535">
        <v>74.1</v>
      </c>
      <c r="I204" s="722">
        <f>123851/176866*100</f>
        <v>70.02532991077992</v>
      </c>
      <c r="J204" s="723">
        <f>+I204-H204</f>
        <v>-4.074670089220078</v>
      </c>
      <c r="K204" s="724">
        <v>73.8</v>
      </c>
      <c r="L204" s="537">
        <f>+K204-I204</f>
        <v>3.7746700892200806</v>
      </c>
    </row>
    <row r="205" ht="13.5" thickBot="1"/>
    <row r="206" spans="1:12" ht="12.75">
      <c r="A206" s="743" t="s">
        <v>115</v>
      </c>
      <c r="B206" s="745" t="s">
        <v>116</v>
      </c>
      <c r="C206" s="746"/>
      <c r="D206" s="740"/>
      <c r="E206" s="803" t="s">
        <v>115</v>
      </c>
      <c r="F206" s="804"/>
      <c r="G206" s="746" t="s">
        <v>117</v>
      </c>
      <c r="H206" s="746"/>
      <c r="I206" s="802"/>
      <c r="J206" s="746" t="s">
        <v>158</v>
      </c>
      <c r="K206" s="746"/>
      <c r="L206" s="802"/>
    </row>
    <row r="207" spans="1:12" ht="27.75" thickBot="1">
      <c r="A207" s="744"/>
      <c r="B207" s="53" t="s">
        <v>118</v>
      </c>
      <c r="C207" s="54" t="s">
        <v>119</v>
      </c>
      <c r="D207" s="329" t="s">
        <v>120</v>
      </c>
      <c r="E207" s="805"/>
      <c r="F207" s="806"/>
      <c r="G207" s="54" t="s">
        <v>118</v>
      </c>
      <c r="H207" s="54" t="s">
        <v>119</v>
      </c>
      <c r="I207" s="41" t="s">
        <v>120</v>
      </c>
      <c r="J207" s="54" t="s">
        <v>118</v>
      </c>
      <c r="K207" s="54" t="s">
        <v>119</v>
      </c>
      <c r="L207" s="41" t="s">
        <v>120</v>
      </c>
    </row>
    <row r="208" spans="1:12" ht="19.5" customHeight="1">
      <c r="A208" s="330" t="s">
        <v>121</v>
      </c>
      <c r="B208" s="505">
        <v>124.31</v>
      </c>
      <c r="C208" s="506">
        <v>52608681</v>
      </c>
      <c r="D208" s="239">
        <f aca="true" t="shared" si="16" ref="D208:D214">+IF(B208&gt;0,C208/B208/12,"")</f>
        <v>35267.128549593755</v>
      </c>
      <c r="E208" s="741" t="s">
        <v>121</v>
      </c>
      <c r="F208" s="742"/>
      <c r="G208" s="394">
        <v>124.07</v>
      </c>
      <c r="H208" s="334">
        <v>54139056</v>
      </c>
      <c r="I208" s="239">
        <f aca="true" t="shared" si="17" ref="I208:I218">+IF(G208&gt;0,H208/G208/12,"")</f>
        <v>36363.24655436447</v>
      </c>
      <c r="J208" s="394">
        <v>124.87</v>
      </c>
      <c r="K208" s="334">
        <v>58005724</v>
      </c>
      <c r="L208" s="239">
        <f aca="true" t="shared" si="18" ref="L208:L218">+IF(J208&gt;0,K208/J208/12,"")</f>
        <v>38710.74183817837</v>
      </c>
    </row>
    <row r="209" spans="1:12" ht="19.5" customHeight="1">
      <c r="A209" s="330" t="s">
        <v>122</v>
      </c>
      <c r="B209" s="240">
        <v>4.68</v>
      </c>
      <c r="C209" s="507">
        <v>1286992</v>
      </c>
      <c r="D209" s="235">
        <f t="shared" si="16"/>
        <v>22916.52421652422</v>
      </c>
      <c r="E209" s="741" t="s">
        <v>122</v>
      </c>
      <c r="F209" s="742"/>
      <c r="G209" s="395">
        <v>4</v>
      </c>
      <c r="H209" s="332">
        <v>1298831</v>
      </c>
      <c r="I209" s="235">
        <f t="shared" si="17"/>
        <v>27058.979166666668</v>
      </c>
      <c r="J209" s="395">
        <v>4</v>
      </c>
      <c r="K209" s="332">
        <v>1387466</v>
      </c>
      <c r="L209" s="235">
        <f t="shared" si="18"/>
        <v>28905.541666666668</v>
      </c>
    </row>
    <row r="210" spans="1:12" ht="19.5" customHeight="1">
      <c r="A210" s="330" t="s">
        <v>123</v>
      </c>
      <c r="B210" s="240">
        <v>7.43</v>
      </c>
      <c r="C210" s="507">
        <v>2017292</v>
      </c>
      <c r="D210" s="235">
        <f t="shared" si="16"/>
        <v>22625.527142216244</v>
      </c>
      <c r="E210" s="741" t="s">
        <v>124</v>
      </c>
      <c r="F210" s="742"/>
      <c r="G210" s="395">
        <v>403.1</v>
      </c>
      <c r="H210" s="332">
        <v>80148124</v>
      </c>
      <c r="I210" s="235">
        <f t="shared" si="17"/>
        <v>16569.115190606135</v>
      </c>
      <c r="J210" s="395">
        <v>401.52</v>
      </c>
      <c r="K210" s="332">
        <v>84936668</v>
      </c>
      <c r="L210" s="235">
        <f t="shared" si="18"/>
        <v>17628.152188350934</v>
      </c>
    </row>
    <row r="211" spans="1:12" ht="19.5" customHeight="1">
      <c r="A211" s="330" t="s">
        <v>125</v>
      </c>
      <c r="B211" s="240">
        <v>1</v>
      </c>
      <c r="C211" s="507">
        <v>124306</v>
      </c>
      <c r="D211" s="235">
        <f t="shared" si="16"/>
        <v>10358.833333333334</v>
      </c>
      <c r="E211" s="741" t="s">
        <v>126</v>
      </c>
      <c r="F211" s="742"/>
      <c r="G211" s="395">
        <v>68.57</v>
      </c>
      <c r="H211" s="332">
        <v>14472306</v>
      </c>
      <c r="I211" s="235">
        <f t="shared" si="17"/>
        <v>17588.23829663118</v>
      </c>
      <c r="J211" s="395">
        <v>65.28</v>
      </c>
      <c r="K211" s="332">
        <v>14997426</v>
      </c>
      <c r="L211" s="235">
        <f t="shared" si="18"/>
        <v>19144.998468137255</v>
      </c>
    </row>
    <row r="212" spans="1:12" ht="19.5" customHeight="1">
      <c r="A212" s="330" t="s">
        <v>127</v>
      </c>
      <c r="B212" s="240">
        <v>493.89</v>
      </c>
      <c r="C212" s="507">
        <v>100074495</v>
      </c>
      <c r="D212" s="235">
        <f t="shared" si="16"/>
        <v>16885.422361254532</v>
      </c>
      <c r="E212" s="741" t="s">
        <v>128</v>
      </c>
      <c r="F212" s="742"/>
      <c r="G212" s="395">
        <v>14.47</v>
      </c>
      <c r="H212" s="332">
        <v>2499355</v>
      </c>
      <c r="I212" s="235">
        <f t="shared" si="17"/>
        <v>14393.889656761115</v>
      </c>
      <c r="J212" s="395">
        <v>19.05</v>
      </c>
      <c r="K212" s="332">
        <v>4077718</v>
      </c>
      <c r="L212" s="235">
        <f t="shared" si="18"/>
        <v>17837.786526684165</v>
      </c>
    </row>
    <row r="213" spans="1:12" ht="19.5" customHeight="1">
      <c r="A213" s="330" t="s">
        <v>129</v>
      </c>
      <c r="B213" s="240">
        <v>2</v>
      </c>
      <c r="C213" s="507">
        <v>338499</v>
      </c>
      <c r="D213" s="235">
        <f t="shared" si="16"/>
        <v>14104.125</v>
      </c>
      <c r="E213" s="741" t="s">
        <v>130</v>
      </c>
      <c r="F213" s="742"/>
      <c r="G213" s="395">
        <v>86.54</v>
      </c>
      <c r="H213" s="332">
        <v>11215137</v>
      </c>
      <c r="I213" s="235">
        <f t="shared" si="17"/>
        <v>10799.569563207764</v>
      </c>
      <c r="J213" s="395">
        <v>95.73</v>
      </c>
      <c r="K213" s="332">
        <v>13514637</v>
      </c>
      <c r="L213" s="235">
        <f t="shared" si="18"/>
        <v>11764.543507782304</v>
      </c>
    </row>
    <row r="214" spans="1:12" ht="19.5" customHeight="1">
      <c r="A214" s="330" t="s">
        <v>131</v>
      </c>
      <c r="B214" s="240">
        <v>73.86</v>
      </c>
      <c r="C214" s="507">
        <v>9580536</v>
      </c>
      <c r="D214" s="235">
        <f t="shared" si="16"/>
        <v>10809.341998375305</v>
      </c>
      <c r="E214" s="741" t="s">
        <v>132</v>
      </c>
      <c r="F214" s="742"/>
      <c r="G214" s="395">
        <v>7.11</v>
      </c>
      <c r="H214" s="332">
        <v>1915073</v>
      </c>
      <c r="I214" s="235">
        <f t="shared" si="17"/>
        <v>22445.76887013596</v>
      </c>
      <c r="J214" s="395">
        <v>2.39</v>
      </c>
      <c r="K214" s="332">
        <v>614782</v>
      </c>
      <c r="L214" s="235">
        <f t="shared" si="18"/>
        <v>21435.91352859135</v>
      </c>
    </row>
    <row r="215" spans="1:12" ht="19.5" customHeight="1">
      <c r="A215" s="330"/>
      <c r="B215" s="240"/>
      <c r="C215" s="507"/>
      <c r="D215" s="235"/>
      <c r="E215" s="741" t="s">
        <v>133</v>
      </c>
      <c r="F215" s="742"/>
      <c r="G215" s="395"/>
      <c r="H215" s="332"/>
      <c r="I215" s="235">
        <f t="shared" si="17"/>
      </c>
      <c r="J215" s="395"/>
      <c r="K215" s="332"/>
      <c r="L215" s="235">
        <f t="shared" si="18"/>
      </c>
    </row>
    <row r="216" spans="1:12" ht="19.5" customHeight="1">
      <c r="A216" s="330" t="s">
        <v>134</v>
      </c>
      <c r="B216" s="240">
        <v>65.3</v>
      </c>
      <c r="C216" s="507">
        <v>11189804</v>
      </c>
      <c r="D216" s="235">
        <f>+IF(B216&gt;0,C216/B216/12,"")</f>
        <v>14279.994895354774</v>
      </c>
      <c r="E216" s="741" t="s">
        <v>134</v>
      </c>
      <c r="F216" s="742"/>
      <c r="G216" s="396">
        <v>60.42</v>
      </c>
      <c r="H216" s="234">
        <v>10358807</v>
      </c>
      <c r="I216" s="235">
        <f t="shared" si="17"/>
        <v>14287.221394681672</v>
      </c>
      <c r="J216" s="396">
        <v>61.15</v>
      </c>
      <c r="K216" s="234">
        <v>11552525</v>
      </c>
      <c r="L216" s="235">
        <f t="shared" si="18"/>
        <v>15743.424638866176</v>
      </c>
    </row>
    <row r="217" spans="1:12" ht="19.5" customHeight="1" thickBot="1">
      <c r="A217" s="508" t="s">
        <v>135</v>
      </c>
      <c r="B217" s="240">
        <v>170.9</v>
      </c>
      <c r="C217" s="507">
        <v>19160133</v>
      </c>
      <c r="D217" s="235">
        <f>+IF(B217&gt;0,C217/B217/12,"")</f>
        <v>9342.760386190754</v>
      </c>
      <c r="E217" s="739" t="s">
        <v>136</v>
      </c>
      <c r="F217" s="793"/>
      <c r="G217" s="394">
        <v>160.03</v>
      </c>
      <c r="H217" s="334">
        <v>17706729</v>
      </c>
      <c r="I217" s="239">
        <f t="shared" si="17"/>
        <v>9220.525838905205</v>
      </c>
      <c r="J217" s="394">
        <v>156.14</v>
      </c>
      <c r="K217" s="334">
        <v>18621006</v>
      </c>
      <c r="L217" s="235">
        <f t="shared" si="18"/>
        <v>9938.19969258358</v>
      </c>
    </row>
    <row r="218" spans="1:12" ht="19.5" customHeight="1" thickBot="1">
      <c r="A218" s="88" t="s">
        <v>4</v>
      </c>
      <c r="B218" s="89">
        <f>SUM(B208:B217)</f>
        <v>943.3699999999999</v>
      </c>
      <c r="C218" s="509">
        <f>SUM(C208:C217)</f>
        <v>196380738</v>
      </c>
      <c r="D218" s="87">
        <f>+IF(B218&gt;0,C218/B218/12,"")</f>
        <v>17347.447449039086</v>
      </c>
      <c r="E218" s="794" t="s">
        <v>4</v>
      </c>
      <c r="F218" s="795"/>
      <c r="G218" s="397">
        <f>SUM(G208:G217)</f>
        <v>928.31</v>
      </c>
      <c r="H218" s="86">
        <f>SUM(H208:H217)</f>
        <v>193753418</v>
      </c>
      <c r="I218" s="87">
        <f t="shared" si="17"/>
        <v>17393.024061646076</v>
      </c>
      <c r="J218" s="397">
        <f>SUM(J208:J217)</f>
        <v>930.1299999999999</v>
      </c>
      <c r="K218" s="86">
        <f>SUM(K208:K217)</f>
        <v>207707952</v>
      </c>
      <c r="L218" s="87">
        <f t="shared" si="18"/>
        <v>18609.22236676594</v>
      </c>
    </row>
  </sheetData>
  <mergeCells count="435">
    <mergeCell ref="D37:F37"/>
    <mergeCell ref="D38:F38"/>
    <mergeCell ref="J85:K85"/>
    <mergeCell ref="L85:M85"/>
    <mergeCell ref="J79:K79"/>
    <mergeCell ref="L79:M79"/>
    <mergeCell ref="F79:G79"/>
    <mergeCell ref="H79:I79"/>
    <mergeCell ref="F78:G78"/>
    <mergeCell ref="H78:I78"/>
    <mergeCell ref="L87:M88"/>
    <mergeCell ref="L69:M70"/>
    <mergeCell ref="J82:K82"/>
    <mergeCell ref="J83:K83"/>
    <mergeCell ref="J80:K80"/>
    <mergeCell ref="L80:M80"/>
    <mergeCell ref="J81:K81"/>
    <mergeCell ref="L78:M78"/>
    <mergeCell ref="J74:K74"/>
    <mergeCell ref="L74:M74"/>
    <mergeCell ref="B85:C85"/>
    <mergeCell ref="D85:E85"/>
    <mergeCell ref="F85:G85"/>
    <mergeCell ref="H85:I85"/>
    <mergeCell ref="B83:C83"/>
    <mergeCell ref="L83:M83"/>
    <mergeCell ref="F83:G83"/>
    <mergeCell ref="H83:I83"/>
    <mergeCell ref="H80:I80"/>
    <mergeCell ref="L82:M82"/>
    <mergeCell ref="D82:E82"/>
    <mergeCell ref="F82:G82"/>
    <mergeCell ref="H82:I82"/>
    <mergeCell ref="B79:C79"/>
    <mergeCell ref="D79:E79"/>
    <mergeCell ref="L81:M81"/>
    <mergeCell ref="D81:E81"/>
    <mergeCell ref="B81:C81"/>
    <mergeCell ref="F81:G81"/>
    <mergeCell ref="H81:I81"/>
    <mergeCell ref="B80:C80"/>
    <mergeCell ref="D80:E80"/>
    <mergeCell ref="F80:G80"/>
    <mergeCell ref="D78:E78"/>
    <mergeCell ref="B78:C78"/>
    <mergeCell ref="J76:K76"/>
    <mergeCell ref="L76:M76"/>
    <mergeCell ref="J77:K77"/>
    <mergeCell ref="L77:M77"/>
    <mergeCell ref="J78:K78"/>
    <mergeCell ref="B77:C77"/>
    <mergeCell ref="D77:E77"/>
    <mergeCell ref="F77:G77"/>
    <mergeCell ref="H77:I77"/>
    <mergeCell ref="B76:C76"/>
    <mergeCell ref="D76:E76"/>
    <mergeCell ref="F76:G76"/>
    <mergeCell ref="H76:I76"/>
    <mergeCell ref="J75:K75"/>
    <mergeCell ref="L75:M75"/>
    <mergeCell ref="B74:C74"/>
    <mergeCell ref="D74:E74"/>
    <mergeCell ref="F74:G74"/>
    <mergeCell ref="H74:I74"/>
    <mergeCell ref="B75:C75"/>
    <mergeCell ref="D75:E75"/>
    <mergeCell ref="F75:G75"/>
    <mergeCell ref="H75:I75"/>
    <mergeCell ref="L72:M72"/>
    <mergeCell ref="B73:C73"/>
    <mergeCell ref="D73:E73"/>
    <mergeCell ref="F73:G73"/>
    <mergeCell ref="H73:I73"/>
    <mergeCell ref="J73:K73"/>
    <mergeCell ref="L73:M73"/>
    <mergeCell ref="D72:E72"/>
    <mergeCell ref="F72:G72"/>
    <mergeCell ref="H72:I72"/>
    <mergeCell ref="J114:K114"/>
    <mergeCell ref="H114:I114"/>
    <mergeCell ref="J112:K112"/>
    <mergeCell ref="H112:I112"/>
    <mergeCell ref="J113:K113"/>
    <mergeCell ref="L118:M118"/>
    <mergeCell ref="D119:E119"/>
    <mergeCell ref="B71:C71"/>
    <mergeCell ref="D71:E71"/>
    <mergeCell ref="F71:G71"/>
    <mergeCell ref="H71:I71"/>
    <mergeCell ref="J71:K71"/>
    <mergeCell ref="L71:M71"/>
    <mergeCell ref="B72:C72"/>
    <mergeCell ref="J72:K72"/>
    <mergeCell ref="B118:C118"/>
    <mergeCell ref="F118:G118"/>
    <mergeCell ref="H118:I118"/>
    <mergeCell ref="J116:K116"/>
    <mergeCell ref="H116:I116"/>
    <mergeCell ref="J118:K118"/>
    <mergeCell ref="L116:M116"/>
    <mergeCell ref="B117:C117"/>
    <mergeCell ref="D117:E117"/>
    <mergeCell ref="F117:G117"/>
    <mergeCell ref="H117:I117"/>
    <mergeCell ref="J117:K117"/>
    <mergeCell ref="L117:M117"/>
    <mergeCell ref="B116:C116"/>
    <mergeCell ref="D116:E116"/>
    <mergeCell ref="F116:G116"/>
    <mergeCell ref="L114:M114"/>
    <mergeCell ref="B115:C115"/>
    <mergeCell ref="D115:E115"/>
    <mergeCell ref="F115:G115"/>
    <mergeCell ref="H115:I115"/>
    <mergeCell ref="J115:K115"/>
    <mergeCell ref="L115:M115"/>
    <mergeCell ref="B114:C114"/>
    <mergeCell ref="D114:E114"/>
    <mergeCell ref="F114:G114"/>
    <mergeCell ref="J90:K90"/>
    <mergeCell ref="B89:C89"/>
    <mergeCell ref="L113:M113"/>
    <mergeCell ref="B112:C112"/>
    <mergeCell ref="L112:M112"/>
    <mergeCell ref="F112:G112"/>
    <mergeCell ref="F102:G102"/>
    <mergeCell ref="J99:K99"/>
    <mergeCell ref="H93:I93"/>
    <mergeCell ref="J93:K93"/>
    <mergeCell ref="B90:C90"/>
    <mergeCell ref="D90:E90"/>
    <mergeCell ref="F90:G90"/>
    <mergeCell ref="H90:I90"/>
    <mergeCell ref="A42:K42"/>
    <mergeCell ref="F154:I154"/>
    <mergeCell ref="F155:I155"/>
    <mergeCell ref="F158:I158"/>
    <mergeCell ref="A63:B63"/>
    <mergeCell ref="A64:B64"/>
    <mergeCell ref="A65:B65"/>
    <mergeCell ref="B113:C113"/>
    <mergeCell ref="D113:E113"/>
    <mergeCell ref="F113:G113"/>
    <mergeCell ref="B59:C59"/>
    <mergeCell ref="D59:E59"/>
    <mergeCell ref="F59:G59"/>
    <mergeCell ref="B43:F43"/>
    <mergeCell ref="G43:K43"/>
    <mergeCell ref="B57:C57"/>
    <mergeCell ref="D57:E57"/>
    <mergeCell ref="F57:G57"/>
    <mergeCell ref="B58:C58"/>
    <mergeCell ref="D58:E58"/>
    <mergeCell ref="F58:G58"/>
    <mergeCell ref="H55:K55"/>
    <mergeCell ref="B56:C56"/>
    <mergeCell ref="D56:E56"/>
    <mergeCell ref="F56:G56"/>
    <mergeCell ref="H145:H146"/>
    <mergeCell ref="C145:F145"/>
    <mergeCell ref="G145:G146"/>
    <mergeCell ref="C140:C141"/>
    <mergeCell ref="C130:E130"/>
    <mergeCell ref="C131:E131"/>
    <mergeCell ref="C132:E132"/>
    <mergeCell ref="C136:E136"/>
    <mergeCell ref="C133:E133"/>
    <mergeCell ref="C134:E134"/>
    <mergeCell ref="C135:E135"/>
    <mergeCell ref="C126:E126"/>
    <mergeCell ref="C127:E127"/>
    <mergeCell ref="C128:E128"/>
    <mergeCell ref="C129:E129"/>
    <mergeCell ref="I145:L145"/>
    <mergeCell ref="A145:A146"/>
    <mergeCell ref="B145:B146"/>
    <mergeCell ref="J69:K69"/>
    <mergeCell ref="B70:C70"/>
    <mergeCell ref="D70:E70"/>
    <mergeCell ref="F70:G70"/>
    <mergeCell ref="H70:I70"/>
    <mergeCell ref="J70:K70"/>
    <mergeCell ref="C125:E125"/>
    <mergeCell ref="A69:A70"/>
    <mergeCell ref="B69:C69"/>
    <mergeCell ref="D69:E69"/>
    <mergeCell ref="F69:I69"/>
    <mergeCell ref="A139:A141"/>
    <mergeCell ref="B139:B141"/>
    <mergeCell ref="A43:A44"/>
    <mergeCell ref="A55:A56"/>
    <mergeCell ref="B91:C91"/>
    <mergeCell ref="C139:H139"/>
    <mergeCell ref="D140:H140"/>
    <mergeCell ref="H98:I98"/>
    <mergeCell ref="H102:I102"/>
    <mergeCell ref="H101:I101"/>
    <mergeCell ref="G4:H4"/>
    <mergeCell ref="K5:K6"/>
    <mergeCell ref="L4:M4"/>
    <mergeCell ref="A3:A6"/>
    <mergeCell ref="B3:M3"/>
    <mergeCell ref="B4:B6"/>
    <mergeCell ref="C4:C6"/>
    <mergeCell ref="D36:F36"/>
    <mergeCell ref="B55:G55"/>
    <mergeCell ref="L90:M90"/>
    <mergeCell ref="D91:E91"/>
    <mergeCell ref="F91:G91"/>
    <mergeCell ref="H89:I89"/>
    <mergeCell ref="H91:I91"/>
    <mergeCell ref="J91:K91"/>
    <mergeCell ref="J87:K87"/>
    <mergeCell ref="F84:G84"/>
    <mergeCell ref="F92:G92"/>
    <mergeCell ref="F98:G98"/>
    <mergeCell ref="F89:G89"/>
    <mergeCell ref="D98:E98"/>
    <mergeCell ref="F105:G105"/>
    <mergeCell ref="F106:G106"/>
    <mergeCell ref="F93:G93"/>
    <mergeCell ref="F94:G94"/>
    <mergeCell ref="F95:G95"/>
    <mergeCell ref="F96:G96"/>
    <mergeCell ref="I139:I141"/>
    <mergeCell ref="J88:K88"/>
    <mergeCell ref="J98:K98"/>
    <mergeCell ref="L98:M98"/>
    <mergeCell ref="J101:K101"/>
    <mergeCell ref="L101:M101"/>
    <mergeCell ref="L91:M91"/>
    <mergeCell ref="H92:I92"/>
    <mergeCell ref="J92:K92"/>
    <mergeCell ref="L89:M89"/>
    <mergeCell ref="L93:M93"/>
    <mergeCell ref="H94:I94"/>
    <mergeCell ref="J94:K94"/>
    <mergeCell ref="L94:M94"/>
    <mergeCell ref="L96:M96"/>
    <mergeCell ref="H96:I96"/>
    <mergeCell ref="J96:K96"/>
    <mergeCell ref="B95:C95"/>
    <mergeCell ref="D95:E95"/>
    <mergeCell ref="H95:I95"/>
    <mergeCell ref="J95:K95"/>
    <mergeCell ref="L95:M95"/>
    <mergeCell ref="L97:M97"/>
    <mergeCell ref="F97:G97"/>
    <mergeCell ref="H97:I97"/>
    <mergeCell ref="J97:K97"/>
    <mergeCell ref="D105:E105"/>
    <mergeCell ref="D106:E106"/>
    <mergeCell ref="D99:E99"/>
    <mergeCell ref="D100:E100"/>
    <mergeCell ref="D101:E101"/>
    <mergeCell ref="D102:E102"/>
    <mergeCell ref="F109:G109"/>
    <mergeCell ref="H109:I109"/>
    <mergeCell ref="J109:K109"/>
    <mergeCell ref="L109:M109"/>
    <mergeCell ref="L92:M92"/>
    <mergeCell ref="A87:A88"/>
    <mergeCell ref="B87:C87"/>
    <mergeCell ref="D87:E87"/>
    <mergeCell ref="F87:I87"/>
    <mergeCell ref="B88:C88"/>
    <mergeCell ref="D88:E88"/>
    <mergeCell ref="F88:G88"/>
    <mergeCell ref="H88:I88"/>
    <mergeCell ref="J89:K89"/>
    <mergeCell ref="B98:C98"/>
    <mergeCell ref="B99:C99"/>
    <mergeCell ref="F99:G99"/>
    <mergeCell ref="B92:C92"/>
    <mergeCell ref="B93:C93"/>
    <mergeCell ref="D93:E93"/>
    <mergeCell ref="B94:C94"/>
    <mergeCell ref="D94:E94"/>
    <mergeCell ref="B97:C97"/>
    <mergeCell ref="B96:C96"/>
    <mergeCell ref="H99:I99"/>
    <mergeCell ref="B100:C100"/>
    <mergeCell ref="F100:G100"/>
    <mergeCell ref="H100:I100"/>
    <mergeCell ref="L99:M99"/>
    <mergeCell ref="J100:K100"/>
    <mergeCell ref="L100:M100"/>
    <mergeCell ref="J102:K102"/>
    <mergeCell ref="L102:M102"/>
    <mergeCell ref="B104:C104"/>
    <mergeCell ref="F104:G104"/>
    <mergeCell ref="H104:I104"/>
    <mergeCell ref="B101:C101"/>
    <mergeCell ref="B102:C102"/>
    <mergeCell ref="B103:C103"/>
    <mergeCell ref="F103:G103"/>
    <mergeCell ref="D103:E103"/>
    <mergeCell ref="D104:E104"/>
    <mergeCell ref="F101:G101"/>
    <mergeCell ref="H105:I105"/>
    <mergeCell ref="J103:K103"/>
    <mergeCell ref="L103:M103"/>
    <mergeCell ref="J104:K104"/>
    <mergeCell ref="L104:M104"/>
    <mergeCell ref="J105:K105"/>
    <mergeCell ref="L105:M105"/>
    <mergeCell ref="H103:I103"/>
    <mergeCell ref="B105:C105"/>
    <mergeCell ref="B121:C121"/>
    <mergeCell ref="D121:E121"/>
    <mergeCell ref="B106:C106"/>
    <mergeCell ref="B107:C107"/>
    <mergeCell ref="B108:C108"/>
    <mergeCell ref="D107:E107"/>
    <mergeCell ref="D108:E108"/>
    <mergeCell ref="B109:C109"/>
    <mergeCell ref="D109:E109"/>
    <mergeCell ref="B123:C123"/>
    <mergeCell ref="D123:E123"/>
    <mergeCell ref="F123:G123"/>
    <mergeCell ref="H123:I123"/>
    <mergeCell ref="J123:K123"/>
    <mergeCell ref="L123:M123"/>
    <mergeCell ref="J121:K121"/>
    <mergeCell ref="L121:M121"/>
    <mergeCell ref="H121:I121"/>
    <mergeCell ref="B110:C110"/>
    <mergeCell ref="D110:E110"/>
    <mergeCell ref="F110:G110"/>
    <mergeCell ref="H110:I110"/>
    <mergeCell ref="B119:C119"/>
    <mergeCell ref="F119:G119"/>
    <mergeCell ref="H119:I119"/>
    <mergeCell ref="H113:I113"/>
    <mergeCell ref="D118:E118"/>
    <mergeCell ref="D111:E111"/>
    <mergeCell ref="F111:G111"/>
    <mergeCell ref="H111:I111"/>
    <mergeCell ref="L111:M111"/>
    <mergeCell ref="H106:I106"/>
    <mergeCell ref="J106:K106"/>
    <mergeCell ref="L106:M106"/>
    <mergeCell ref="F107:G107"/>
    <mergeCell ref="H107:I107"/>
    <mergeCell ref="J107:K107"/>
    <mergeCell ref="L107:M107"/>
    <mergeCell ref="L119:M119"/>
    <mergeCell ref="F173:I173"/>
    <mergeCell ref="F108:G108"/>
    <mergeCell ref="H108:I108"/>
    <mergeCell ref="J108:K108"/>
    <mergeCell ref="L108:M108"/>
    <mergeCell ref="J110:K110"/>
    <mergeCell ref="L110:M110"/>
    <mergeCell ref="J111:K111"/>
    <mergeCell ref="F121:G121"/>
    <mergeCell ref="B82:C82"/>
    <mergeCell ref="D83:E83"/>
    <mergeCell ref="D112:E112"/>
    <mergeCell ref="D96:E96"/>
    <mergeCell ref="D97:E97"/>
    <mergeCell ref="D92:E92"/>
    <mergeCell ref="D89:E89"/>
    <mergeCell ref="B84:C84"/>
    <mergeCell ref="D84:E84"/>
    <mergeCell ref="B111:C111"/>
    <mergeCell ref="H84:I84"/>
    <mergeCell ref="J84:K84"/>
    <mergeCell ref="L84:M84"/>
    <mergeCell ref="B120:C120"/>
    <mergeCell ref="D120:E120"/>
    <mergeCell ref="F120:G120"/>
    <mergeCell ref="H120:I120"/>
    <mergeCell ref="J120:K120"/>
    <mergeCell ref="L120:M120"/>
    <mergeCell ref="J119:K119"/>
    <mergeCell ref="F156:I156"/>
    <mergeCell ref="F157:I157"/>
    <mergeCell ref="A186:B186"/>
    <mergeCell ref="A187:B187"/>
    <mergeCell ref="F159:I159"/>
    <mergeCell ref="F160:I160"/>
    <mergeCell ref="A177:A178"/>
    <mergeCell ref="B177:B178"/>
    <mergeCell ref="C177:H177"/>
    <mergeCell ref="F168:I168"/>
    <mergeCell ref="A163:B163"/>
    <mergeCell ref="F161:I161"/>
    <mergeCell ref="F163:I163"/>
    <mergeCell ref="F167:I167"/>
    <mergeCell ref="F162:I162"/>
    <mergeCell ref="F164:I164"/>
    <mergeCell ref="F165:I165"/>
    <mergeCell ref="F166:I166"/>
    <mergeCell ref="F169:I169"/>
    <mergeCell ref="F170:I170"/>
    <mergeCell ref="F172:I172"/>
    <mergeCell ref="A184:B185"/>
    <mergeCell ref="C184:G184"/>
    <mergeCell ref="H184:L184"/>
    <mergeCell ref="F171:I171"/>
    <mergeCell ref="F174:I174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6:A207"/>
    <mergeCell ref="B206:D206"/>
    <mergeCell ref="E206:F207"/>
    <mergeCell ref="G206:I206"/>
    <mergeCell ref="J206:L206"/>
    <mergeCell ref="E208:F208"/>
    <mergeCell ref="E209:F209"/>
    <mergeCell ref="E210:F210"/>
    <mergeCell ref="E211:F211"/>
    <mergeCell ref="E212:F212"/>
    <mergeCell ref="E213:F213"/>
    <mergeCell ref="E218:F218"/>
    <mergeCell ref="E214:F214"/>
    <mergeCell ref="E215:F215"/>
    <mergeCell ref="E216:F216"/>
    <mergeCell ref="E217:F217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8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buricova</cp:lastModifiedBy>
  <cp:lastPrinted>2006-04-06T06:23:01Z</cp:lastPrinted>
  <dcterms:created xsi:type="dcterms:W3CDTF">2005-04-12T20:05:51Z</dcterms:created>
  <dcterms:modified xsi:type="dcterms:W3CDTF">2006-04-10T05:46:42Z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