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9480" activeTab="0"/>
  </bookViews>
  <sheets>
    <sheet name="sumář" sheetId="1" r:id="rId1"/>
    <sheet name="stav fondů" sheetId="2" r:id="rId2"/>
    <sheet name="H.Brod" sheetId="3" r:id="rId3"/>
    <sheet name="Pelhřimov" sheetId="4" r:id="rId4"/>
    <sheet name="Jihlava" sheetId="5" r:id="rId5"/>
    <sheet name="Třebíč" sheetId="6" r:id="rId6"/>
    <sheet name="N.Město" sheetId="7" r:id="rId7"/>
  </sheets>
  <definedNames>
    <definedName name="_xlnm.Print_Area" localSheetId="4">'Jihlava'!$A$1:$M$212</definedName>
  </definedNames>
  <calcPr fullCalcOnLoad="1"/>
</workbook>
</file>

<file path=xl/comments5.xml><?xml version="1.0" encoding="utf-8"?>
<comments xmlns="http://schemas.openxmlformats.org/spreadsheetml/2006/main">
  <authors>
    <author>Ing. Martin Šuma</author>
    <author>buricova</author>
  </authors>
  <commentList>
    <comment ref="C48" authorId="0">
      <text>
        <r>
          <rPr>
            <b/>
            <sz val="8"/>
            <rFont val="Tahoma"/>
            <family val="0"/>
          </rPr>
          <t>Ing. Martin Šuma:</t>
        </r>
        <r>
          <rPr>
            <sz val="8"/>
            <rFont val="Tahoma"/>
            <family val="0"/>
          </rPr>
          <t xml:space="preserve">
dotace na oddlužení, schváleno usnesením rady kraje č. 1690/40/2005 ze dne 20. 12. 2005</t>
        </r>
      </text>
    </comment>
    <comment ref="C50" authorId="0">
      <text>
        <r>
          <rPr>
            <b/>
            <sz val="8"/>
            <rFont val="Tahoma"/>
            <family val="0"/>
          </rPr>
          <t>Ing. Martin Šuma:</t>
        </r>
        <r>
          <rPr>
            <sz val="8"/>
            <rFont val="Tahoma"/>
            <family val="0"/>
          </rPr>
          <t xml:space="preserve">
schváleno usnesením 0076/01/2005/ZK</t>
        </r>
      </text>
    </comment>
    <comment ref="D44" authorId="0">
      <text>
        <r>
          <rPr>
            <b/>
            <sz val="8"/>
            <rFont val="Tahoma"/>
            <family val="0"/>
          </rPr>
          <t>Ing. Martin Šuma:</t>
        </r>
        <r>
          <rPr>
            <sz val="8"/>
            <rFont val="Tahoma"/>
            <family val="0"/>
          </rPr>
          <t xml:space="preserve">
0534/09/2005/ZK ze dne 21.12.2005
774.000 živelní pojištění movitého a nemovitého majetku
500.000 sociální sestra a knihovna</t>
        </r>
      </text>
    </comment>
    <comment ref="E85" authorId="0">
      <text>
        <r>
          <rPr>
            <b/>
            <sz val="8"/>
            <rFont val="Tahoma"/>
            <family val="0"/>
          </rPr>
          <t>Ing. Martin Šuma:</t>
        </r>
        <r>
          <rPr>
            <sz val="8"/>
            <rFont val="Tahoma"/>
            <family val="0"/>
          </rPr>
          <t xml:space="preserve">
Splácení FOMEI - II. etapa dokončení digitalizace    
               měsíčně kumulovaně  
březen 06 645 000 645 000  investiční plán 2006
duben 06 645 000 1 290 000  investiční plán 2006
květen 06 645 000 1 935 000  investiční plán 2006
červen 06 645 000 2 580 000  investiční plán 2006
červenec 06 645 000 3 225 000  investiční plán 2006
srpen 06 645 000 3 870 000  investiční plán 2006
září 06  145 000 4 015 000  investiční plán 2006
říjen 06 145 000 4 160 000  investiční plán 2006
listopad 06 145 000 4 305 000  investiční plán 2006
prosinec 06 145 000 4 450 000  investiční plán 2006
leden 07 145 000 4 595 000  investiční plán 2006
únor 07 145 000 4 740 000  investiční plán 2007
březen 07 145 000 4 885 000  investiční plán 2007
duben 07 145 000 5 030 000  investiční plán 2007
květen 07 145 000 5 175 000  investiční plán 2007
červen 07 145 000 5 320 000  investiční plán 2007
červenec 07 145 000 5 465 000  investiční plán 2007
srpen 07 145 000 5 610 000  investiční plán 2007
září 07  145 000 5 755 000  investiční plán 2007
říjen 07 145 000 5 900 000  investiční plán 2007
listopad 07 145 000 6 045 000  investiční plán 2007
prosinec 07 145 000 6 190 000  investiční plán 2007
leden 08 145 000 6 335 000  investiční plán 2007
únor 08 145 000 6 480 000  investiční plán 2008
březen 08 145 000 6 625 000  investiční plán 2008
duben 08 145 000 6 770 000  investiční plán 2008
květen 08 145 000 6 915 000  investiční plán 2008
červen 08 145 000 7 060 000  investiční plán 2008
červenec 08 145 000 7 205 000  investiční plán 2008
srpen 08 145 000 7 350 000  investiční plán 2008
září 08  145 000 7 495 000  investiční plán 2008
říjen 08 145 000 7 640 000  investiční plán 2008
listopad 08 145 000 7 785 000  investiční plán 2008
prosinec 08 145 000 7 930 000  investiční plán 2008
leden 09 145 000 8 075 000  investiční plán 2008
únor 09 145 000 8 220 000  investiční plán 2009
</t>
        </r>
      </text>
    </comment>
    <comment ref="E84" authorId="0">
      <text>
        <r>
          <rPr>
            <b/>
            <sz val="8"/>
            <rFont val="Tahoma"/>
            <family val="0"/>
          </rPr>
          <t>Ing. Martin Šuma:</t>
        </r>
        <r>
          <rPr>
            <sz val="8"/>
            <rFont val="Tahoma"/>
            <family val="0"/>
          </rPr>
          <t xml:space="preserve">
Splácení FOMEI - I.etapa    
 měsíčně kumulovaně  stav 
listopad 04 118 000 118 000 uhrazeno investiční plán 2004
prosinec 04 118 000 236 000 uhrazeno investiční plán 2004
leden 05 118 000 354 000 uhrazeno investiční plán 2005
únor 05 118 000 472 000 uhrazeno investiční plán 2005
březen 05 118 000 590 000 uhrazeno investiční plán 2005
duben 05 118 000 708 000 uhrazeno investiční plán 2005
květen 05 118 000 826 000 uhrazeno investiční plán 2005
červen 05 118 000 944 000 uhrazeno investiční plán 2005
červenec 05 118 000 1 062 000 uhrazeno investiční plán 2005
srpen 05 118 000 1 180 000 uhrazeno investiční plán 2005
září 05  118 000 1 298 000 uhrazeno investiční plán 2005
říjen 05 118 000 1 416 000 uhrazeno investiční plán 2005
listopad 05 118 000 1 534 000 uhrazeno investiční plán 2005
prosinec 05 118 000 1 652 000 uhrazeno investiční plán 2005
leden 06 118 000 1 770 000   investiční plán 2006
únor 06 118 000 1 888 000   investiční plán 2006
březen 06 118 000 2 006 000   investiční plán 2006
duben 06 118 000 2 124 000   investiční plán 2006
květen 06 118 000 2 242 000   investiční plán 2006
červen 06 118 000 2 360 000   investiční plán 2006
červenec 06 118 000 2 478 000   investiční plán 2006
srpen 06 118 000 2 596 000   investiční plán 2006
září 06  118 000 2 714 000   investiční plán 2006
říjen 06 118 000 2 832 000   investiční plán 2006
listopad 06 118 000 2 950 000   investiční plán 2006
prosinec 06 118 000 3 068 000   investiční plán 2006
leden 07 118 000 3 186 000   investiční plán 2007
únor 07 118 000 3 304 000   investiční plán 2007
březen 07 118 000 3 422 000   investiční plán 2007
duben 07 118 000 3 540 000   investiční plán 2007
květen 07 118 000 3 658 000   investiční plán 2007
červen 07 118 000 3 776 000   investiční plán 2007
červenec 07 118 000 3 894 000   investiční plán 2007
srpen 07 118 000 4 012 000   investiční plán 2007
září 07  118 000 4 130 000   investiční plán 2007
říjen 07 118 000 4 248 000   investiční plán 2007
</t>
        </r>
      </text>
    </comment>
    <comment ref="C47" authorId="0">
      <text>
        <r>
          <rPr>
            <b/>
            <sz val="8"/>
            <rFont val="Tahoma"/>
            <family val="0"/>
          </rPr>
          <t>Ing. Martin Šuma:</t>
        </r>
        <r>
          <rPr>
            <sz val="8"/>
            <rFont val="Tahoma"/>
            <family val="0"/>
          </rPr>
          <t xml:space="preserve">
83.296,50 1139/27/2005/RK 30.8.2005
21.065      1654/39/2005/RK 13.12.2005</t>
        </r>
      </text>
    </comment>
    <comment ref="C49" authorId="0">
      <text>
        <r>
          <rPr>
            <b/>
            <sz val="8"/>
            <rFont val="Tahoma"/>
            <family val="0"/>
          </rPr>
          <t>Ing. Martin Šuma:</t>
        </r>
        <r>
          <rPr>
            <sz val="8"/>
            <rFont val="Tahoma"/>
            <family val="0"/>
          </rPr>
          <t xml:space="preserve">
562.000 provozní dotace na starý areál
478.871 provozní dotace na starý areál
            (1341/33/2005/RK ze dne 25.10.2005)
</t>
        </r>
      </text>
    </comment>
    <comment ref="C45" authorId="0">
      <text>
        <r>
          <rPr>
            <b/>
            <sz val="8"/>
            <rFont val="Tahoma"/>
            <family val="0"/>
          </rPr>
          <t>Ing. Martin Šuma:</t>
        </r>
        <r>
          <rPr>
            <sz val="8"/>
            <rFont val="Tahoma"/>
            <family val="0"/>
          </rPr>
          <t xml:space="preserve">
 4.335.000 provozní dotace
11.162.351 provozní dotace (1514/37/2005/RK ze dne 22.11.2005)</t>
        </r>
      </text>
    </comment>
    <comment ref="H50" authorId="0">
      <text>
        <r>
          <rPr>
            <b/>
            <sz val="8"/>
            <rFont val="Tahoma"/>
            <family val="0"/>
          </rPr>
          <t>Ing. Martin Šuma:</t>
        </r>
        <r>
          <rPr>
            <sz val="8"/>
            <rFont val="Tahoma"/>
            <family val="0"/>
          </rPr>
          <t xml:space="preserve">
1667/39/2005/RK ze dne 13.12.2005</t>
        </r>
      </text>
    </comment>
    <comment ref="H48" authorId="0">
      <text>
        <r>
          <rPr>
            <b/>
            <sz val="8"/>
            <rFont val="Tahoma"/>
            <family val="0"/>
          </rPr>
          <t>Ing. Martin Šuma:</t>
        </r>
        <r>
          <rPr>
            <sz val="8"/>
            <rFont val="Tahoma"/>
            <family val="0"/>
          </rPr>
          <t xml:space="preserve">
Videokolonoskop+příslušenství 1514/37/2005/RK ze dne 22.11.2005
 (vlastní podíl NJ činil 216.000,00 Kč; uhrazen z ínvestiční dotace
   z nájemného)</t>
        </r>
      </text>
    </comment>
    <comment ref="A89" authorId="0">
      <text>
        <r>
          <rPr>
            <b/>
            <sz val="8"/>
            <rFont val="Tahoma"/>
            <family val="0"/>
          </rPr>
          <t>Ing. Martin Šuma:</t>
        </r>
        <r>
          <rPr>
            <sz val="8"/>
            <rFont val="Tahoma"/>
            <family val="0"/>
          </rPr>
          <t xml:space="preserve">
Ultrazvukový přístroj pro urgentní medicínu (AT) a případy hromadných neštěstí</t>
        </r>
      </text>
    </comment>
    <comment ref="D45" authorId="0">
      <text>
        <r>
          <rPr>
            <b/>
            <sz val="8"/>
            <rFont val="Tahoma"/>
            <family val="0"/>
          </rPr>
          <t>Ing. Martin Šuma:</t>
        </r>
        <r>
          <rPr>
            <sz val="8"/>
            <rFont val="Tahoma"/>
            <family val="0"/>
          </rPr>
          <t xml:space="preserve">
převod z investic do provozu ke zlepšení výsledku hospodaření</t>
        </r>
      </text>
    </comment>
    <comment ref="I15" authorId="0">
      <text>
        <r>
          <rPr>
            <b/>
            <sz val="8"/>
            <rFont val="Tahoma"/>
            <family val="0"/>
          </rPr>
          <t>Ing. Martin Šuma:</t>
        </r>
        <r>
          <rPr>
            <sz val="8"/>
            <rFont val="Tahoma"/>
            <family val="0"/>
          </rPr>
          <t xml:space="preserve">
1 274 000 dotace na soc.sestru, knihovnu 
39 000 000 provozní dotace -&gt; přesun z investic do provozu
765 960,50 provozní dotace za přijatá plnění za rok 2005 dle příkazní smlouvy (žádost NJ z 27.1.2006)
99 235 provozní dotace za přijatá plnění za rok 2004 dle příkazní smlouvy (žádost NJ z 27.1.2006)
6 166 103 dotace na LSPP
50 000 dotace od KrÚ (Úřad práce)
82 911 -Fond Vysočiny. 0570/09/2005/ZK ze dne 21.12.2005 a schválené žádosti o podporu č. FV 045/131/06
prozatím v plánu odstraněno (nebude nyní RK projednávat)
1 800 000 provozní dotace z příkazní smlouvy z plnění za rok 2006
odstraněno 50 tis. dotace od ÚP - prozatím není v rozpočtu, rozpočet bude upravován dle skutečnosti</t>
        </r>
      </text>
    </comment>
    <comment ref="H45" authorId="0">
      <text>
        <r>
          <rPr>
            <b/>
            <sz val="8"/>
            <rFont val="Tahoma"/>
            <family val="0"/>
          </rPr>
          <t>Ing. Martin Šuma:</t>
        </r>
        <r>
          <rPr>
            <sz val="8"/>
            <rFont val="Tahoma"/>
            <family val="0"/>
          </rPr>
          <t xml:space="preserve">
z toho převod finančních prostředků z roku 2005 ke krytí investičních potřeb v roce 2006:
  1.275.127,51 1667/39/2005/RK ze dne 13.12.2005
  5.000.000,00 1667/39/2005/RK ze dne 13.12.2005
</t>
        </r>
        <r>
          <rPr>
            <u val="single"/>
            <sz val="8"/>
            <rFont val="Tahoma"/>
            <family val="2"/>
          </rPr>
          <t>13.157.980,00</t>
        </r>
        <r>
          <rPr>
            <sz val="8"/>
            <rFont val="Tahoma"/>
            <family val="0"/>
          </rPr>
          <t xml:space="preserve"> 1667/39/2005/RK ze dne 13.12.2005
19.433.108,00 celkem</t>
        </r>
      </text>
    </comment>
    <comment ref="C76" authorId="0">
      <text>
        <r>
          <rPr>
            <b/>
            <sz val="8"/>
            <rFont val="Tahoma"/>
            <family val="0"/>
          </rPr>
          <t>Ing. Martin Šuma:</t>
        </r>
        <r>
          <rPr>
            <sz val="8"/>
            <rFont val="Tahoma"/>
            <family val="0"/>
          </rPr>
          <t xml:space="preserve">
převod finančních prostředků z roku 2005 ke krytí investičních potřeb v roce 2006:
  1.275.127,51 1667/39/2005/RK ze dne 13.12.2005
  5.000.000,00 1667/39/2005/RK ze dne 13.12.2005
</t>
        </r>
        <r>
          <rPr>
            <u val="single"/>
            <sz val="8"/>
            <rFont val="Tahoma"/>
            <family val="2"/>
          </rPr>
          <t>13.157.980,00</t>
        </r>
        <r>
          <rPr>
            <sz val="8"/>
            <rFont val="Tahoma"/>
            <family val="0"/>
          </rPr>
          <t xml:space="preserve"> 1667/39/2005/RK ze dne 13.12.2005
19.433.108,00 celkem</t>
        </r>
      </text>
    </comment>
    <comment ref="C69" authorId="0">
      <text>
        <r>
          <rPr>
            <b/>
            <sz val="8"/>
            <rFont val="Tahoma"/>
            <family val="0"/>
          </rPr>
          <t>Ing. Martin Šuma:</t>
        </r>
        <r>
          <rPr>
            <sz val="8"/>
            <rFont val="Tahoma"/>
            <family val="0"/>
          </rPr>
          <t xml:space="preserve">
převod finančních prostředků z roku 2005 ke krytí investičních potřeb v roce 2006:
  1.275.127,51 1667/39/2005/RK ze dne 13.12.2005
  5.000.000,00 1667/39/2005/RK ze dne 13.12.2005
</t>
        </r>
        <r>
          <rPr>
            <u val="single"/>
            <sz val="8"/>
            <rFont val="Tahoma"/>
            <family val="2"/>
          </rPr>
          <t>13.157.980,00</t>
        </r>
        <r>
          <rPr>
            <sz val="8"/>
            <rFont val="Tahoma"/>
            <family val="0"/>
          </rPr>
          <t xml:space="preserve"> 1667/39/2005/RK ze dne 13.12.2005
19.433.108,00 celkem</t>
        </r>
      </text>
    </comment>
    <comment ref="J141" authorId="0">
      <text>
        <r>
          <rPr>
            <b/>
            <sz val="8"/>
            <rFont val="Tahoma"/>
            <family val="0"/>
          </rPr>
          <t>Ing. Martin Šuma:</t>
        </r>
        <r>
          <rPr>
            <sz val="8"/>
            <rFont val="Tahoma"/>
            <family val="0"/>
          </rPr>
          <t xml:space="preserve">
příděl ze zlepšeného výsledku hospodaření 
nutno všechno dát na úhradu kumulované ztráty</t>
        </r>
      </text>
    </comment>
    <comment ref="E149" authorId="0">
      <text>
        <r>
          <rPr>
            <b/>
            <sz val="8"/>
            <rFont val="Tahoma"/>
            <family val="0"/>
          </rPr>
          <t>Ing. Martin Šuma:</t>
        </r>
        <r>
          <rPr>
            <sz val="8"/>
            <rFont val="Tahoma"/>
            <family val="0"/>
          </rPr>
          <t xml:space="preserve">
1667/39/2005/RK ze dne 13.12.2005</t>
        </r>
      </text>
    </comment>
    <comment ref="D46" authorId="0">
      <text>
        <r>
          <rPr>
            <b/>
            <sz val="8"/>
            <rFont val="Tahoma"/>
            <family val="0"/>
          </rPr>
          <t>Ing. Martin Šuma:</t>
        </r>
        <r>
          <rPr>
            <sz val="8"/>
            <rFont val="Tahoma"/>
            <family val="0"/>
          </rPr>
          <t xml:space="preserve">
765 960,50 provozní dotace za přijatá plnění za rok 2005 dle příkazní smlouvy (žádost NJ z 27.1.2006)
99 235 provozní dotace za přijatá plnění za rok 2004 dle příkazní smlouvy (žádost NJ z 27.1.2006)</t>
        </r>
      </text>
    </comment>
    <comment ref="D167" authorId="1">
      <text>
        <r>
          <rPr>
            <b/>
            <sz val="8"/>
            <rFont val="Tahoma"/>
            <family val="0"/>
          </rPr>
          <t>buricova:</t>
        </r>
        <r>
          <rPr>
            <sz val="8"/>
            <rFont val="Tahoma"/>
            <family val="0"/>
          </rPr>
          <t xml:space="preserve">
dle usnesení 1566/38/2005/RK ze dne 6.12.2005</t>
        </r>
      </text>
    </comment>
  </commentList>
</comments>
</file>

<file path=xl/sharedStrings.xml><?xml version="1.0" encoding="utf-8"?>
<sst xmlns="http://schemas.openxmlformats.org/spreadsheetml/2006/main" count="1756" uniqueCount="557">
  <si>
    <t>Finanční plán</t>
  </si>
  <si>
    <t>Skutečnost rok 2004</t>
  </si>
  <si>
    <t xml:space="preserve">Hlavní </t>
  </si>
  <si>
    <t>Doplňková</t>
  </si>
  <si>
    <t>Celkem</t>
  </si>
  <si>
    <t xml:space="preserve">v </t>
  </si>
  <si>
    <t>činnost</t>
  </si>
  <si>
    <t>+/-</t>
  </si>
  <si>
    <t>%</t>
  </si>
  <si>
    <t>Tržby za vlastní výrobky /úč. 601/</t>
  </si>
  <si>
    <t>Tržby z prodeje služeb /úč. 602/</t>
  </si>
  <si>
    <t>Tržby za prodané zboží /úč. 604/</t>
  </si>
  <si>
    <t>Aktivace /sesk.úč. 62/</t>
  </si>
  <si>
    <t>Ostatní výnosy /sesk.úč. 64/</t>
  </si>
  <si>
    <t xml:space="preserve">      z toho: zúčtování fondů /úč.648/</t>
  </si>
  <si>
    <t>Tržby z prodeje majetku /sesk.úč.65/</t>
  </si>
  <si>
    <t xml:space="preserve">      z toho: tržby z prodeje dlouhod. majetku /úč. 651/</t>
  </si>
  <si>
    <t>Provozní dotace /úč. 691/</t>
  </si>
  <si>
    <t>Výnosy celkem</t>
  </si>
  <si>
    <t>Spotřeba materiálu /úč. 501/</t>
  </si>
  <si>
    <t xml:space="preserve">      z toho: nákup drobného dlouhod. hm. majetku</t>
  </si>
  <si>
    <t>Spotřeba energie /úč. 502/</t>
  </si>
  <si>
    <t>Spotřeba ostat. nesklad. dodávek /úč. 503/</t>
  </si>
  <si>
    <t>Prodané zboží /úč. 504/</t>
  </si>
  <si>
    <t>Služby /sesk.úč. 51/</t>
  </si>
  <si>
    <t xml:space="preserve">       z toho: opravy a udržování /úč. 511/</t>
  </si>
  <si>
    <t xml:space="preserve">           ostatní služby /úč. 518/</t>
  </si>
  <si>
    <t>Osobní náklady /sesk.úč. 52/</t>
  </si>
  <si>
    <t xml:space="preserve">     z toho: mzdové náklady /úč. 521/</t>
  </si>
  <si>
    <t xml:space="preserve">           v tom: platy zaměstnanců</t>
  </si>
  <si>
    <t xml:space="preserve">                    ostatní osobní náklady</t>
  </si>
  <si>
    <t xml:space="preserve">           sociální pojištění /úč. 524-528/</t>
  </si>
  <si>
    <t>Daně a poplatky /sesk.úč. 53/</t>
  </si>
  <si>
    <t>Ostatní náklady /sesk.úč. 54/</t>
  </si>
  <si>
    <t>Odpisy, prodaný majetek /sesk.úč. 55/</t>
  </si>
  <si>
    <t xml:space="preserve">      z toho: odpisy dlouhodobého majetku /úč. 551/</t>
  </si>
  <si>
    <t>Daň z příjmů /sesk.úč. 59/</t>
  </si>
  <si>
    <t>Náklady celkem</t>
  </si>
  <si>
    <t>Hospodářský výsledek</t>
  </si>
  <si>
    <t>Nerozdělený zisk, ztráta minulých let k 31.12.</t>
  </si>
  <si>
    <t xml:space="preserve">Kumulovaná ztráta </t>
  </si>
  <si>
    <t>Vyčíslení nájemného</t>
  </si>
  <si>
    <t>Typ dotace</t>
  </si>
  <si>
    <t>Dotace na investice</t>
  </si>
  <si>
    <t>Rok</t>
  </si>
  <si>
    <t>celkem</t>
  </si>
  <si>
    <t>movitý majetek</t>
  </si>
  <si>
    <t>nemovitý majetek</t>
  </si>
  <si>
    <t>v %</t>
  </si>
  <si>
    <t>Státní dotace</t>
  </si>
  <si>
    <t>celkem investice</t>
  </si>
  <si>
    <t xml:space="preserve">investice -movitý </t>
  </si>
  <si>
    <t xml:space="preserve">investice -nemovitý </t>
  </si>
  <si>
    <t>provozní dotace</t>
  </si>
  <si>
    <t xml:space="preserve">Dotace celkem </t>
  </si>
  <si>
    <t>dotace ze smluv o nájmu movitého a nemovitého majetku</t>
  </si>
  <si>
    <t xml:space="preserve">dotace z příkazních smluv </t>
  </si>
  <si>
    <t xml:space="preserve">celkem </t>
  </si>
  <si>
    <t>UZ 00051</t>
  </si>
  <si>
    <t>UZ 00052</t>
  </si>
  <si>
    <t xml:space="preserve">položka 6351 </t>
  </si>
  <si>
    <t>CELKEM INVESTICE</t>
  </si>
  <si>
    <t>Pořizovací cena majetku</t>
  </si>
  <si>
    <t>z toho odpisová skupina:</t>
  </si>
  <si>
    <t>Peněžní fondy v tis. Kč</t>
  </si>
  <si>
    <t>Deficit (-) BÚ</t>
  </si>
  <si>
    <t>Tvorba</t>
  </si>
  <si>
    <t>Čerpání</t>
  </si>
  <si>
    <t>Stav k 31.12.2005</t>
  </si>
  <si>
    <t>Běžný účet celkem</t>
  </si>
  <si>
    <t>-</t>
  </si>
  <si>
    <t>z toho: fond odměn</t>
  </si>
  <si>
    <t xml:space="preserve">          rezervní fond</t>
  </si>
  <si>
    <t xml:space="preserve">          provozní prostř.</t>
  </si>
  <si>
    <t>Investiční fond</t>
  </si>
  <si>
    <t>Běžný účet FKSP</t>
  </si>
  <si>
    <t>INVESTIĆNÍ FOND</t>
  </si>
  <si>
    <t>REZERVNÍ FOND</t>
  </si>
  <si>
    <t>Počátečný stav</t>
  </si>
  <si>
    <t>Počáteční stav</t>
  </si>
  <si>
    <t xml:space="preserve">    odpisy</t>
  </si>
  <si>
    <t xml:space="preserve">   příděl ze zlepšeného hosp. výsledku</t>
  </si>
  <si>
    <t xml:space="preserve">   dary</t>
  </si>
  <si>
    <t xml:space="preserve">    investiční dotace ze SR</t>
  </si>
  <si>
    <t xml:space="preserve">   převod z rezervního fondu</t>
  </si>
  <si>
    <t xml:space="preserve">  k dalšímu rozvoji činnosti</t>
  </si>
  <si>
    <t xml:space="preserve">  k úhradě ztráty za předch. léta</t>
  </si>
  <si>
    <t>Zůstatek</t>
  </si>
  <si>
    <t>do 30 dnů</t>
  </si>
  <si>
    <t>31-90</t>
  </si>
  <si>
    <t>91-180</t>
  </si>
  <si>
    <t>181-360</t>
  </si>
  <si>
    <t>nad 360</t>
  </si>
  <si>
    <t>Pohledávky</t>
  </si>
  <si>
    <t>Oddělení</t>
  </si>
  <si>
    <t xml:space="preserve">Lůžka </t>
  </si>
  <si>
    <t>Obložnost</t>
  </si>
  <si>
    <t>interní</t>
  </si>
  <si>
    <t>infekční</t>
  </si>
  <si>
    <t>TRN</t>
  </si>
  <si>
    <t>neurologické</t>
  </si>
  <si>
    <t>psychiatrie</t>
  </si>
  <si>
    <t>pediatrie</t>
  </si>
  <si>
    <t>gynekologie</t>
  </si>
  <si>
    <t>chirurgické</t>
  </si>
  <si>
    <t xml:space="preserve">ARO </t>
  </si>
  <si>
    <t>ortopedické</t>
  </si>
  <si>
    <t>urologické</t>
  </si>
  <si>
    <t>ORL</t>
  </si>
  <si>
    <t>oftalmologie</t>
  </si>
  <si>
    <t>kožní</t>
  </si>
  <si>
    <t>radioterapeutické</t>
  </si>
  <si>
    <t>rehabilitační</t>
  </si>
  <si>
    <t>následná péče</t>
  </si>
  <si>
    <t>centrální JIP</t>
  </si>
  <si>
    <t>Rozbor mzdových nákladů podle kategorií</t>
  </si>
  <si>
    <t>k 31.12.2003</t>
  </si>
  <si>
    <t>k 31.12.2004</t>
  </si>
  <si>
    <t>Rozdíl</t>
  </si>
  <si>
    <t>Průměrný přepočtený počet</t>
  </si>
  <si>
    <t>mzdové náklady</t>
  </si>
  <si>
    <t>Průměrná mzda</t>
  </si>
  <si>
    <t>Lékaři</t>
  </si>
  <si>
    <t>Farmaceuti</t>
  </si>
  <si>
    <t>Jiní VŠ</t>
  </si>
  <si>
    <t>všeobecné sestry, porodní asistentky</t>
  </si>
  <si>
    <t>Jiní SŠ</t>
  </si>
  <si>
    <t>ostatní zdrav.pracovníci nelékaři s odbornou způsobilostí</t>
  </si>
  <si>
    <t>SZP</t>
  </si>
  <si>
    <t>zdrav.pracovníci nelékaři s odb. a special. způsobilostí</t>
  </si>
  <si>
    <t>NZP</t>
  </si>
  <si>
    <t>zdrav.pracovníci nelékaři pod odborn. dohledem nebo přímým vedením</t>
  </si>
  <si>
    <t>PZT</t>
  </si>
  <si>
    <t>jiní odborní pracovníci nelékaři s odbornou způsobilostí</t>
  </si>
  <si>
    <t>pedagogičtí pracovníci</t>
  </si>
  <si>
    <t>THP</t>
  </si>
  <si>
    <t>Dělníci a provozní pracovníci</t>
  </si>
  <si>
    <t>dělníci a provozní pracovníci</t>
  </si>
  <si>
    <t>Příspěvek na provoz</t>
  </si>
  <si>
    <t>Limit prostředků na platy</t>
  </si>
  <si>
    <t>Nemocnice Jihlava</t>
  </si>
  <si>
    <t>Prostředky z investičního fondu</t>
  </si>
  <si>
    <t>Název akce</t>
  </si>
  <si>
    <t>faktura</t>
  </si>
  <si>
    <t>Instalace nového kotle</t>
  </si>
  <si>
    <t>Rezerva na nutné hvarijní stavy nemovitého majetku</t>
  </si>
  <si>
    <t>Smluvní servis zdravotnických přístrojů</t>
  </si>
  <si>
    <t>Rezerva na nutné hvarijní stavy movitého majetku</t>
  </si>
  <si>
    <t xml:space="preserve">   opravy a údržba nemovitého majetku</t>
  </si>
  <si>
    <t>Závazky</t>
  </si>
  <si>
    <t>*účet 691 je vyšší o 6.166 tis. Kč - jde o dotace od MÚ na provoz LSPP</t>
  </si>
  <si>
    <t>Příspěvek na sociální sestru, knihovnu a živelní pojištění UZ 00000</t>
  </si>
  <si>
    <t>Z nájemného ze smluv o nájmu movitého a nemovitého majetku UZ 00051</t>
  </si>
  <si>
    <t>Z příkazních smluv UZ 00052</t>
  </si>
  <si>
    <t>Z příjmů z prodeje movitého majetku UZ 00055</t>
  </si>
  <si>
    <t>I. Návrh finančního plánu, investičního plánu, odpisového plánu</t>
  </si>
  <si>
    <t>Podíl typů dotace na  nájemném</t>
  </si>
  <si>
    <t>Příspěvek resp. dotace na provoz - položka 5331</t>
  </si>
  <si>
    <t>Dotace na investice - položka 6351</t>
  </si>
  <si>
    <t>CELKEM nemovitý majetek</t>
  </si>
  <si>
    <t>CELKEM movitý majetek</t>
  </si>
  <si>
    <t>Rezerva na nepředvídané havárie</t>
  </si>
  <si>
    <t>Závazné ukazatele pro rok 2006</t>
  </si>
  <si>
    <t>Zůstatek účtu k 1.1.2005</t>
  </si>
  <si>
    <t>Stav k 1.1.2006</t>
  </si>
  <si>
    <t>Stav k 31.12.2006</t>
  </si>
  <si>
    <t>Plán oprav  dlouhodobého majetku  na rok 2006</t>
  </si>
  <si>
    <t>Plán oprav  dlouhodobého majetku na rok 2006</t>
  </si>
  <si>
    <t>Skutečnost rok 2005</t>
  </si>
  <si>
    <t>Návrh na rok 2006</t>
  </si>
  <si>
    <t>Rozdíl 2006 - 2005</t>
  </si>
  <si>
    <t>Návrh příspěvku nebo dotace na provoz a investiční dotace pro rok 2006 (v porovnání s rokem 2005)</t>
  </si>
  <si>
    <t>Urodynamická jednotka (GYN)</t>
  </si>
  <si>
    <t>Plicní ventilátor 2 ks (PED)</t>
  </si>
  <si>
    <t>Kom. systém sestra - pac. (INF)</t>
  </si>
  <si>
    <t>Motodlaha - koleno 2 ks (TRAUM)</t>
  </si>
  <si>
    <t>UV zářič - plantopalmární (KOZNI)</t>
  </si>
  <si>
    <t>Unuator (LEK)</t>
  </si>
  <si>
    <t>EKG (ODN)</t>
  </si>
  <si>
    <t>Centrifuga chlazená (OKBMI)</t>
  </si>
  <si>
    <t>Terapeutický RTG (RTO)</t>
  </si>
  <si>
    <t>Gamasonda pro lokální detekci (ONM)</t>
  </si>
  <si>
    <t>Klinický audiometr (ORL)</t>
  </si>
  <si>
    <t>Kostní vrtačka vzduch. + přísl. (TRAUM)</t>
  </si>
  <si>
    <t>Mrazící box pro kostní banku (ORT)</t>
  </si>
  <si>
    <t>EMG (NEUR)</t>
  </si>
  <si>
    <t>Fototerapeutická kabina (KOŽNÍ)</t>
  </si>
  <si>
    <t>Kombinovaný terapeutický př. (RHC)</t>
  </si>
  <si>
    <t>Fibrobronchoskop (TRN)</t>
  </si>
  <si>
    <t>Zař. pro plasmakinetickou vaporizaci (UROL)</t>
  </si>
  <si>
    <t>Frankovací stroj (PTN)</t>
  </si>
  <si>
    <t>Manažerský informační systém (EN)</t>
  </si>
  <si>
    <t>Digitalizace Fomei (RDG)</t>
  </si>
  <si>
    <t>Digitalizace Fomei - II.etapa (RDG)</t>
  </si>
  <si>
    <t>Výměna vybavení centrální kuchyně (PTN)</t>
  </si>
  <si>
    <t>UPS do serverovny (EN)</t>
  </si>
  <si>
    <t>Servery (EN)</t>
  </si>
  <si>
    <t>Antivirový program NOD32 (EN)</t>
  </si>
  <si>
    <t>UPS na JIP (INT)</t>
  </si>
  <si>
    <t>Ultrazvukový přístroj (RDG)</t>
  </si>
  <si>
    <t>k 31.12.2005</t>
  </si>
  <si>
    <t>stav k 31.12.2005</t>
  </si>
  <si>
    <t>Po lhůtě</t>
  </si>
  <si>
    <t>splatnosti</t>
  </si>
  <si>
    <t xml:space="preserve">     z toho</t>
  </si>
  <si>
    <t>Dotace z kapitálových výdajů</t>
  </si>
  <si>
    <t>Odpisový plán na rok 2006</t>
  </si>
  <si>
    <t>Účetní stav 2005</t>
  </si>
  <si>
    <t>Zůstatek účtu k 31.12.2005</t>
  </si>
  <si>
    <t>Plán tvorby a čerpání fondů 2006</t>
  </si>
  <si>
    <t>Oprava Skiaskopická stěna (rentgenka)</t>
  </si>
  <si>
    <t>Oprava střešního pláště diagnostického pavilonu</t>
  </si>
  <si>
    <t>Oprava dveří mrazíren OLVS (4x)</t>
  </si>
  <si>
    <t>Oprava propadlé vozovky u OLVS</t>
  </si>
  <si>
    <t>Výměna havarijního ventilu na předávací stanici</t>
  </si>
  <si>
    <t>Oprava měničů otáček u VZT (8ks)</t>
  </si>
  <si>
    <t>Výměna absolutních filtrů (ARO,JIP,COS)</t>
  </si>
  <si>
    <t>Oprava rozvodů chlazené vody</t>
  </si>
  <si>
    <t>Oprava  potrubí kondenzátu a výměna 1x TENEZ na ohřev TUV</t>
  </si>
  <si>
    <t>Oprava úpravny "demi" vody</t>
  </si>
  <si>
    <t>Bronchoskop (TRN)</t>
  </si>
  <si>
    <t>Kardiotokograf (GYN)</t>
  </si>
  <si>
    <t>Hysteroresektoskop (GYN)</t>
  </si>
  <si>
    <t>Ultrazvukový přístroj pro urgentní medicínu (AT)</t>
  </si>
  <si>
    <t>EKG 2 ks (TRN, INT)</t>
  </si>
  <si>
    <t/>
  </si>
  <si>
    <t>Oprávky k 1.1.</t>
  </si>
  <si>
    <t xml:space="preserve"> vlastní zdroje</t>
  </si>
  <si>
    <t>Stav k 1.1.2005</t>
  </si>
  <si>
    <t>50001/06</t>
  </si>
  <si>
    <t>50002/06</t>
  </si>
  <si>
    <t>Dodávka a montáž stropních podhledů TZ (RDG)</t>
  </si>
  <si>
    <t>Dodávka a montáž plastových prvků TZ (RDG)</t>
  </si>
  <si>
    <t>50016/05</t>
  </si>
  <si>
    <t xml:space="preserve">   výnosy z prodeje hmotného inv. majetku</t>
  </si>
  <si>
    <t xml:space="preserve">   vlastní investiční výdaje na TZ nemovitého majetku</t>
  </si>
  <si>
    <t xml:space="preserve">   vlastní investiční výdaje na movité věci</t>
  </si>
  <si>
    <t xml:space="preserve">   investiční výdaje na movité věci ÚZ 00051</t>
  </si>
  <si>
    <t xml:space="preserve">   investiční výdaje na movité věci ÚZ 00052</t>
  </si>
  <si>
    <t xml:space="preserve">   investiční výdaje na TZ nemovitostí ÚZ 00051</t>
  </si>
  <si>
    <t xml:space="preserve">   investiční výdaje na TZ nemovitostí ÚZ 00052</t>
  </si>
  <si>
    <t xml:space="preserve">    investiční dotace od zřizovatele ÚZ 00052</t>
  </si>
  <si>
    <t xml:space="preserve">    investiční dotace od zřizovatele ÚZ 00051</t>
  </si>
  <si>
    <t>Magnetická rezonance (RDG)</t>
  </si>
  <si>
    <t>z toho převod z rozpočtu kraje k 31.12.2005</t>
  </si>
  <si>
    <t>z toho nařízený odvod z investičního fondu</t>
  </si>
  <si>
    <t>Rozdíl 2005 - 2004</t>
  </si>
  <si>
    <t>Zůstatková cena k 31.12.</t>
  </si>
  <si>
    <t>Vyčíslení nájemného v Kč</t>
  </si>
  <si>
    <t>II. Závazné ukazatele v tis. Kč</t>
  </si>
  <si>
    <t>celkem bez prostředků z investičního fondu</t>
  </si>
  <si>
    <t>Nemovitý majetek  v Kč</t>
  </si>
  <si>
    <t>Movitý majetek  v Kč</t>
  </si>
  <si>
    <t>I. Návrh finančního plánu, investičního plánu, odpisového plánu, závazné ukazatele</t>
  </si>
  <si>
    <t>Nemocnice Třebíč</t>
  </si>
  <si>
    <t>Hlavní</t>
  </si>
  <si>
    <t>Mimořádná dotace z prodeje nemovitostí</t>
  </si>
  <si>
    <t>Jiné</t>
  </si>
  <si>
    <t>Oprávky k 1.1.2005</t>
  </si>
  <si>
    <t>Odpisový plán na rok 2005</t>
  </si>
  <si>
    <t>stav k 31.12.2004</t>
  </si>
  <si>
    <t>z toho po lhůtě splatnosti</t>
  </si>
  <si>
    <t>"Stravovací provoz" UZ 00999</t>
  </si>
  <si>
    <t xml:space="preserve">   investiční výdaje na movitý</t>
  </si>
  <si>
    <t xml:space="preserve">   investiční výdaje na nemovitý</t>
  </si>
  <si>
    <t>převod do IF</t>
  </si>
  <si>
    <t>Skutečnost za rok 2005</t>
  </si>
  <si>
    <t xml:space="preserve">Doplňující </t>
  </si>
  <si>
    <t>Nemocnice Havlíčkův Brod</t>
  </si>
  <si>
    <t>Příspěvek na sociální sestru, knihovnu a živelní pojištění        UZ 00000</t>
  </si>
  <si>
    <t>Z příkazních smluv      UZ 00052</t>
  </si>
  <si>
    <t>Z příjmů z prodeje movitého majetku   UZ 00055</t>
  </si>
  <si>
    <t>dotace z kapitálových výdajů - schváleno usnesením 0076/01/2005/ZK</t>
  </si>
  <si>
    <t>Nemovitý majetek § 3522, položka 6351 v Kč</t>
  </si>
  <si>
    <t>Převedené prostředky z roku 2004</t>
  </si>
  <si>
    <t xml:space="preserve"> vlastní zdroje organizace</t>
  </si>
  <si>
    <t>UZ 00055</t>
  </si>
  <si>
    <t>CELKEM stavební investice - nemovitý majetek</t>
  </si>
  <si>
    <t>Movitý majetek § 3522, položka 6351 v Kč</t>
  </si>
  <si>
    <t>Strojní investice</t>
  </si>
  <si>
    <t>00052</t>
  </si>
  <si>
    <t>CELKEM strojní investice - movitý majetek</t>
  </si>
  <si>
    <t xml:space="preserve">     Opravy nemovitého majetku</t>
  </si>
  <si>
    <t>Náklady v tis. Kč</t>
  </si>
  <si>
    <t xml:space="preserve">            Opravy movitého majetku</t>
  </si>
  <si>
    <t xml:space="preserve">Celkem </t>
  </si>
  <si>
    <t>převod do investičního fondu</t>
  </si>
  <si>
    <r>
      <t xml:space="preserve">Z nájemného ze smluv o nájmu movitého a nemovitého majetku                   </t>
    </r>
    <r>
      <rPr>
        <b/>
        <sz val="9"/>
        <rFont val="Times New Roman"/>
        <family val="1"/>
      </rPr>
      <t>UZ 00051</t>
    </r>
  </si>
  <si>
    <t>Skutečnost 2004</t>
  </si>
  <si>
    <t>Skutečnost 2003</t>
  </si>
  <si>
    <t>Jiné (úřad práce)</t>
  </si>
  <si>
    <t>adaptace provozní budovy - rehabilitace</t>
  </si>
  <si>
    <t>Klimatizace k HW</t>
  </si>
  <si>
    <t>ekonomický SW QI</t>
  </si>
  <si>
    <t>operační stoly</t>
  </si>
  <si>
    <t>Adaptace provozní budovy - rehabilitace</t>
  </si>
  <si>
    <t>Gamakamera SPECT</t>
  </si>
  <si>
    <t>Přístroje interní JIP ( monitory, monitorovací centrála, plicní ventilátor, infusní pumpy, resuscitační lůžka, dávkovače, defibrilátor, EKG)</t>
  </si>
  <si>
    <t>Rekonstrukce NIS - přechod na grafické prostředí</t>
  </si>
  <si>
    <t>Digitalizace RDG pracoviště</t>
  </si>
  <si>
    <t>rowanet</t>
  </si>
  <si>
    <t>Oprávky k 1.1.2006</t>
  </si>
  <si>
    <t>Zůstatková cena k 31.12.2006</t>
  </si>
  <si>
    <t xml:space="preserve">    investiční dotace od zřizovatele00051</t>
  </si>
  <si>
    <t xml:space="preserve">    investiční dotace od zřizovatele00052</t>
  </si>
  <si>
    <t>IV. Lidské zdroje - rozbor mzdových nákladů</t>
  </si>
  <si>
    <t>v  Kč</t>
  </si>
  <si>
    <t>Kategorie</t>
  </si>
  <si>
    <t xml:space="preserve">   vyrovnání kumulované ztráty</t>
  </si>
  <si>
    <t xml:space="preserve">   opravy a údržba</t>
  </si>
  <si>
    <t xml:space="preserve">   příděl ze zlepšeného h. výsledku</t>
  </si>
  <si>
    <t>III. Plán čerpání investičního fondu - položkový přehled investičních akcí</t>
  </si>
  <si>
    <t>IV. Plán čerpání fondů</t>
  </si>
  <si>
    <t>V. Doplňující údaje z výsledků hospodaření za rok 2005</t>
  </si>
  <si>
    <t>TZ dveře ARO</t>
  </si>
  <si>
    <t xml:space="preserve">Demolice staré interny </t>
  </si>
  <si>
    <t>Projektová dokumentace soc. zař. porodnice</t>
  </si>
  <si>
    <t>Rekonstrukce soc. zařízení porodnice</t>
  </si>
  <si>
    <t>Projektová dokumentace na stav.úpravy CT</t>
  </si>
  <si>
    <t>Projektová dokumentace MaD</t>
  </si>
  <si>
    <t>Projektová dokumentace centralizace laboratoří</t>
  </si>
  <si>
    <t>Stavební úpravy CT</t>
  </si>
  <si>
    <t>PD využití CO skladu ( archív, sklady atd.)</t>
  </si>
  <si>
    <t>Rekonstrukce CO skladu (archív, sklady)</t>
  </si>
  <si>
    <t>Technologie výměníkové stanice (Družstevní)</t>
  </si>
  <si>
    <t>Rezerva stavební investice</t>
  </si>
  <si>
    <t>Kardiotokograf s telemetrií - gynekologie</t>
  </si>
  <si>
    <t>Transportní lůžko - chirurgie EMERGENCY</t>
  </si>
  <si>
    <t>Lůžkový monitor PHILIPS - dětské oddělení JIP</t>
  </si>
  <si>
    <t>RTG dg CT spirální - oddělení RDG</t>
  </si>
  <si>
    <t>Klimatizace pro CT</t>
  </si>
  <si>
    <t>Spánková laboratoř - přístr. vyb. - polysomnograf</t>
  </si>
  <si>
    <t>Osobní automobil</t>
  </si>
  <si>
    <t>Narkotizační přístroj 2ks</t>
  </si>
  <si>
    <t>Defibrilátory INT, INT amb., ORT JIP, Dětské</t>
  </si>
  <si>
    <t>Hemodialyzační monitory - 3ks</t>
  </si>
  <si>
    <t xml:space="preserve">Jícnová kardiologická sonda </t>
  </si>
  <si>
    <t>Elektroencefalograf ( EEG )</t>
  </si>
  <si>
    <t xml:space="preserve">Sonda k ultrazv. přístroji </t>
  </si>
  <si>
    <t>Lůžkový monitor ORT JIP - 2ks</t>
  </si>
  <si>
    <t>Resuscitační loutka</t>
  </si>
  <si>
    <t>Centrální zálohovací systém</t>
  </si>
  <si>
    <t>Inovace datové infrastruktury</t>
  </si>
  <si>
    <t>Rychlá jehličková tiskárna</t>
  </si>
  <si>
    <t>Rezerva strojní investice</t>
  </si>
  <si>
    <t>Převedené prostředky z roku 2005 a</t>
  </si>
  <si>
    <t>Předběžný požadavek na investiční akce mimo schvalovaný plán</t>
  </si>
  <si>
    <t>opravy nad rámec běžné údržby</t>
  </si>
  <si>
    <t>Předpokládané náklady (v Kč)</t>
  </si>
  <si>
    <t>chirurgie lůžka - havárie výměna stoupaček</t>
  </si>
  <si>
    <t>malování - oddělení</t>
  </si>
  <si>
    <t>výměna filtračních vložek  - čisté prostory</t>
  </si>
  <si>
    <t>oprava střech - havárie  (Družstevní, chirurgie, porodnice)</t>
  </si>
  <si>
    <t>oprava oken Velux st. chirurgie - havárie</t>
  </si>
  <si>
    <t>oprava oken - havárie (chirurgická JIP)</t>
  </si>
  <si>
    <t>oprava okapů - havárie (st. chirurgie, krčky)</t>
  </si>
  <si>
    <t>běžná údržba</t>
  </si>
  <si>
    <t>elektro</t>
  </si>
  <si>
    <t>ZTI</t>
  </si>
  <si>
    <t>topení</t>
  </si>
  <si>
    <t>zámečnictví</t>
  </si>
  <si>
    <t>malířství</t>
  </si>
  <si>
    <t>stavební drobné úpravy</t>
  </si>
  <si>
    <t>truhlářské práce</t>
  </si>
  <si>
    <t xml:space="preserve"> broušení nástrojů zdravotního zařízení</t>
  </si>
  <si>
    <t>opravy mediciálních plynů</t>
  </si>
  <si>
    <t>drobné opravy klimatizačního zařízení vč. M a R, chlazení, vlhčení</t>
  </si>
  <si>
    <t>drobné opravy MR, EPS, STA, EZS, telefonu</t>
  </si>
  <si>
    <t>celoroční údržba komunikací a chodníků</t>
  </si>
  <si>
    <t>zeleň</t>
  </si>
  <si>
    <t>VO</t>
  </si>
  <si>
    <t>závory, brány, oplocení</t>
  </si>
  <si>
    <t>drobné opravy výtahů</t>
  </si>
  <si>
    <t xml:space="preserve">drobné opravy v kotelnách a výměníkových stanicích </t>
  </si>
  <si>
    <t>drobné opravy plynových spotřebičů a zařízení</t>
  </si>
  <si>
    <t>nákup mechanizace a nářadí</t>
  </si>
  <si>
    <t>běžná údržba a opravy nad rámec běžné údržby</t>
  </si>
  <si>
    <t xml:space="preserve">    investiční dotace od zřizovatele 00051</t>
  </si>
  <si>
    <t xml:space="preserve">    investiční dotace od zřizovatele 00052</t>
  </si>
  <si>
    <t xml:space="preserve">   investiční výdaje na nemovitý 00051</t>
  </si>
  <si>
    <t xml:space="preserve">   investiční výdaje na nemovitý 00052</t>
  </si>
  <si>
    <t xml:space="preserve">   investiční výdaje na movitý 00052</t>
  </si>
  <si>
    <t xml:space="preserve">   investiční výdaje na movitý 00051</t>
  </si>
  <si>
    <t>vlastní inv. Výdaje  na TZ nemovitého majetku</t>
  </si>
  <si>
    <t>Rekonstrukce laboratoří - stavební část</t>
  </si>
  <si>
    <t>Lůžková váha</t>
  </si>
  <si>
    <t xml:space="preserve">Resuscitační lůžko </t>
  </si>
  <si>
    <t>Resuscitační lůžko</t>
  </si>
  <si>
    <t>Polohovací systém ARDO (matrace)</t>
  </si>
  <si>
    <t xml:space="preserve">Odsávačka  </t>
  </si>
  <si>
    <t xml:space="preserve">EKOFINISTER (likv.lids.odpadu) </t>
  </si>
  <si>
    <t>Oper.stoly-2ks, vým.deska-2ks,transp.voz.-2ks</t>
  </si>
  <si>
    <t>Desinfektor podložních mís</t>
  </si>
  <si>
    <t>Modul EEG</t>
  </si>
  <si>
    <t xml:space="preserve">Lůžko elektrické polohovací </t>
  </si>
  <si>
    <t xml:space="preserve">Videotiskárna k HDI 3000 </t>
  </si>
  <si>
    <t xml:space="preserve">Lůžko el.poloh. s přísl. vč.antidek.matr. </t>
  </si>
  <si>
    <t>Archiv (skříň) pro uložení paraf. bločků</t>
  </si>
  <si>
    <t>Víceúčelový zahrad.stroj (sníh, tráva, zametání)</t>
  </si>
  <si>
    <t>EIS</t>
  </si>
  <si>
    <t>MILAB přechod na WIN ver.</t>
  </si>
  <si>
    <t>RTG dg skiagraf.stac. - bez gener. a ovladače</t>
  </si>
  <si>
    <t>Pavilon MAD - stavební část</t>
  </si>
  <si>
    <t>Nemocnice Pelhřimov</t>
  </si>
  <si>
    <t xml:space="preserve">Doplňková </t>
  </si>
  <si>
    <t>CELKEM investice -nemovitý majetek</t>
  </si>
  <si>
    <t>CELKEM investice- movitý majetek</t>
  </si>
  <si>
    <t>Zůstat. cena k 31.12.2005</t>
  </si>
  <si>
    <t xml:space="preserve">   opravy a údžba nemovitého majetku</t>
  </si>
  <si>
    <t xml:space="preserve">   jiné</t>
  </si>
  <si>
    <t>Skutečnost 2005</t>
  </si>
  <si>
    <t>Návrh pro rok 2006</t>
  </si>
  <si>
    <t>scintilační gamakamera SPECT s 2 detektory</t>
  </si>
  <si>
    <t>2 kusy vyšetřovací gynekologický stůl Golem</t>
  </si>
  <si>
    <t>frankovací strojek</t>
  </si>
  <si>
    <t>rezerva</t>
  </si>
  <si>
    <t>projektová dokumentace na rekostrukci hlavní lůžkové budovy</t>
  </si>
  <si>
    <t>finančně nekrytý FRIM</t>
  </si>
  <si>
    <t>Plán oprav a údržby na rok 2006 v tis. Kč</t>
  </si>
  <si>
    <t>servisní a technické kontroly zdravotnických přístrojů</t>
  </si>
  <si>
    <t>strojní údržba</t>
  </si>
  <si>
    <t>údržba vozového parku</t>
  </si>
  <si>
    <t>stavební údržba</t>
  </si>
  <si>
    <t>malovaní objektů</t>
  </si>
  <si>
    <t>zdravotnická technika</t>
  </si>
  <si>
    <t>obnova softwaru</t>
  </si>
  <si>
    <t>upgrade hlavního serveru</t>
  </si>
  <si>
    <t>sanitní vozidla</t>
  </si>
  <si>
    <t>osobní vozidla</t>
  </si>
  <si>
    <t>osobní - dodávkové vozidlo</t>
  </si>
  <si>
    <t>tlakové varné zařízení</t>
  </si>
  <si>
    <t>malé automatické pračky</t>
  </si>
  <si>
    <t>kopírovací stroj</t>
  </si>
  <si>
    <t xml:space="preserve">GO výtahů </t>
  </si>
  <si>
    <t>projektová dokumentace opravy PAS</t>
  </si>
  <si>
    <t>stavební úpravy na gynekologicko porodnickém oddělení</t>
  </si>
  <si>
    <t>opravy střech</t>
  </si>
  <si>
    <t>rekonstrukce komunikací v horní části areálu</t>
  </si>
  <si>
    <t>rekostrukce hlavní lůžkové budovy</t>
  </si>
  <si>
    <t>Lůžkový fond</t>
  </si>
  <si>
    <t>Nemocnice Nové Město na Moravě</t>
  </si>
  <si>
    <t>Lékárna - výdejna léků</t>
  </si>
  <si>
    <t>CELKEM investice- nemovitý majetek</t>
  </si>
  <si>
    <t>dotace "Stravovací provoz"</t>
  </si>
  <si>
    <t>Narkotizační přístroj</t>
  </si>
  <si>
    <t>Laparoskopická věž</t>
  </si>
  <si>
    <t>Analyzátor krevního obrazu s 5populačním diferenciálem (HTO)</t>
  </si>
  <si>
    <t>Gamakamera</t>
  </si>
  <si>
    <t>Autokláv MLS 3780pro dekontaminaci infekčního odpadu</t>
  </si>
  <si>
    <t>Ultrazvuk pro vyšetřování novorozenců</t>
  </si>
  <si>
    <t>EEG</t>
  </si>
  <si>
    <t>Převozové vozdilo</t>
  </si>
  <si>
    <t>Výměna výpočetní techniky</t>
  </si>
  <si>
    <t>Defibrilátor</t>
  </si>
  <si>
    <t xml:space="preserve">EKG </t>
  </si>
  <si>
    <t>Elektrické rehabilitační lehátko (GE 3)</t>
  </si>
  <si>
    <t>Motorová dalha pro rehabilitaci kolene a kyčle</t>
  </si>
  <si>
    <t>Přenosný EKG přístroj</t>
  </si>
  <si>
    <t>Svářečka obalů kontinuální</t>
  </si>
  <si>
    <t>COS</t>
  </si>
  <si>
    <t>Optika 4 mm 25</t>
  </si>
  <si>
    <t>Optika 2,7 mm 25</t>
  </si>
  <si>
    <t>Kolonoskop</t>
  </si>
  <si>
    <t>Dialyzační monitor</t>
  </si>
  <si>
    <t>Kardiotokograf pro gemini</t>
  </si>
  <si>
    <t>Vyhřívané lůžko s fototerapií</t>
  </si>
  <si>
    <t>Motorová dlaha k rehabilitaci kolenních a kyčelních kloubů</t>
  </si>
  <si>
    <t>Shaver pro endoskopickou endonazální chirurgii</t>
  </si>
  <si>
    <t>Program NOAH do počítače pro foniatrii</t>
  </si>
  <si>
    <t>Fokometr, Optotyp</t>
  </si>
  <si>
    <t>Lymfoven - přístroj pro sekvenční tlakovou drenáž - lymfodrenáž</t>
  </si>
  <si>
    <t>Kombinovaný elektroléčebný terapeutický přístroj BTL 5825 se stolkem pod přístroj</t>
  </si>
  <si>
    <t>Magnetoterapeutický přístroj s aplikátory</t>
  </si>
  <si>
    <t>SZM - změna systému (VT+LE)</t>
  </si>
  <si>
    <t>LTRN B. kopec - realizace datové sítě a inastalace základů pro lok.inf.systém (VT+LE</t>
  </si>
  <si>
    <t>Stavební úpravy horního podlaží neurologie</t>
  </si>
  <si>
    <t>RTG pracoviště N.M.</t>
  </si>
  <si>
    <t>Úprava schodiště -dětské oddělení</t>
  </si>
  <si>
    <t>Rekonstrukce sociálek - dětské oddělení</t>
  </si>
  <si>
    <t>Stavební úpravy novorozeneckého oddělení</t>
  </si>
  <si>
    <t>Centrální laboratoře</t>
  </si>
  <si>
    <t>RTG pracoviště B.k.</t>
  </si>
  <si>
    <t>Projektová dokumentace "Rekonstrukce a přístavba interního pavilonu"-pro st. Povolení</t>
  </si>
  <si>
    <t xml:space="preserve">Stavební úpravy vrátnice </t>
  </si>
  <si>
    <t xml:space="preserve">Zateplení okálu </t>
  </si>
  <si>
    <t>Vstupní dveře gynekologie</t>
  </si>
  <si>
    <t xml:space="preserve">REKO gynekologie-dokončení </t>
  </si>
  <si>
    <t>Nájemné</t>
  </si>
  <si>
    <t>HV</t>
  </si>
  <si>
    <t>Příspěvek na provoz celkem</t>
  </si>
  <si>
    <t>Dotace na investice z nájemného</t>
  </si>
  <si>
    <t>HV bez dotace na provoz z nájemného</t>
  </si>
  <si>
    <t>HV bez dotace na provoz z nájemného ale s dotací na lineár</t>
  </si>
  <si>
    <t xml:space="preserve">z FP celkem </t>
  </si>
  <si>
    <t>z toho z nájemného</t>
  </si>
  <si>
    <t>Havlíčkův Brod</t>
  </si>
  <si>
    <t>Jihlava</t>
  </si>
  <si>
    <t>Pelhřimov</t>
  </si>
  <si>
    <t>Třebíč</t>
  </si>
  <si>
    <t>Nové Město na Moravě</t>
  </si>
  <si>
    <t>Nemocnice</t>
  </si>
  <si>
    <t>Spotřeba energie (účet 502,503)</t>
  </si>
  <si>
    <t>Spotřeba materiálu</t>
  </si>
  <si>
    <t>Odpisy</t>
  </si>
  <si>
    <t>Tržby z prodeje služeb</t>
  </si>
  <si>
    <t>Tržby za prodané zboží</t>
  </si>
  <si>
    <t>z toho příkazní smlouvy</t>
  </si>
  <si>
    <t>navýšení tarifu o 5%</t>
  </si>
  <si>
    <t>navýšení "sestry"</t>
  </si>
  <si>
    <t>jiné</t>
  </si>
  <si>
    <t>nezdravotní technika</t>
  </si>
  <si>
    <t>zdravotní technika</t>
  </si>
  <si>
    <t>dopravní prostředky</t>
  </si>
  <si>
    <t>opravy stavení</t>
  </si>
  <si>
    <t>výplně otvorů budov</t>
  </si>
  <si>
    <t>opravy maleb a nátěrů</t>
  </si>
  <si>
    <t>opravy podlah</t>
  </si>
  <si>
    <t>opravy elektroinstalace</t>
  </si>
  <si>
    <t>opravy ÚT</t>
  </si>
  <si>
    <t>opravy vodoinstalace</t>
  </si>
  <si>
    <t>opravy bytovek - z nájemného</t>
  </si>
  <si>
    <t>zohlednění nárůstu od 1.9.2005</t>
  </si>
  <si>
    <r>
      <t>Laminární box (LÉK)</t>
    </r>
    <r>
      <rPr>
        <sz val="10"/>
        <rFont val="Arial CE"/>
        <family val="0"/>
      </rPr>
      <t xml:space="preserve"> </t>
    </r>
  </si>
  <si>
    <t>Dotavce na investice z příkazních smluv</t>
  </si>
  <si>
    <t>Rozklad navýšení mzdových nákladů - bez odvodů</t>
  </si>
  <si>
    <t>Sklopná stěna s velkoplošným zesilovačem a digitalizací obrazu - doplatek z roku 2005</t>
  </si>
  <si>
    <t>V. Lůžkový fond</t>
  </si>
  <si>
    <t>LDN Třebíč</t>
  </si>
  <si>
    <t>Komentář: K nemocnici patří dále 100 lůžek léčebny pro dlouhodobě nemocné v Moravských Budějovicích. Ke dni 31.12.2004 došlo k zániku psychiatrického oddělení s celkovým počtem lůžek 50.</t>
  </si>
  <si>
    <t>Mzdové náklady podle kategorií</t>
  </si>
  <si>
    <r>
      <t xml:space="preserve">    investiční dotace od zřizovatele </t>
    </r>
    <r>
      <rPr>
        <b/>
        <sz val="7"/>
        <rFont val="Arial CE"/>
        <family val="2"/>
      </rPr>
      <t>00051</t>
    </r>
  </si>
  <si>
    <r>
      <t xml:space="preserve">    investiční dotace od zřizovatele </t>
    </r>
    <r>
      <rPr>
        <b/>
        <sz val="7"/>
        <rFont val="Arial CE"/>
        <family val="2"/>
      </rPr>
      <t>00052</t>
    </r>
  </si>
  <si>
    <r>
      <t xml:space="preserve">    investiční dotace od zřizovatele</t>
    </r>
    <r>
      <rPr>
        <b/>
        <sz val="7"/>
        <rFont val="Arial CE"/>
        <family val="2"/>
      </rPr>
      <t xml:space="preserve">  00052</t>
    </r>
  </si>
  <si>
    <t xml:space="preserve">   vlastní investiční výdaje na TZ nem. majetku</t>
  </si>
  <si>
    <t>LDN Buchtův kopec</t>
  </si>
  <si>
    <t>TRN Buchtův kopec</t>
  </si>
  <si>
    <t>Požadované další investice - mimo plán</t>
  </si>
  <si>
    <t>nařízený odvod</t>
  </si>
  <si>
    <t>Úřady práce</t>
  </si>
  <si>
    <t>Jiné - stará nemocnice, splátky kraj u investic</t>
  </si>
  <si>
    <t>Závazky z obch. vztahů</t>
  </si>
  <si>
    <t>2004*</t>
  </si>
  <si>
    <t>Osobní náklady (mzdové náklady a odvody)</t>
  </si>
  <si>
    <t>Ionizační komora (RTO)</t>
  </si>
  <si>
    <t>Zůstatek bankovního účtu k 31.12.2005</t>
  </si>
  <si>
    <t>Počet stran: 17</t>
  </si>
  <si>
    <t>rezerva na opravy - havárie</t>
  </si>
  <si>
    <r>
      <t>rezerva na opravy nemovitého majetku v havarijním stavu</t>
    </r>
    <r>
      <rPr>
        <sz val="10"/>
        <rFont val="Arial CE"/>
        <family val="0"/>
      </rPr>
      <t xml:space="preserve"> </t>
    </r>
  </si>
  <si>
    <t>Pozn.: Tržby navýšeny prozatím dle tiskového prohlášení MZ - změna 103% na 105%</t>
  </si>
  <si>
    <t>Finanční plány pro rok 2006 -105%</t>
  </si>
  <si>
    <t>dotace na provoz z nájemného v % (bez lineára)</t>
  </si>
  <si>
    <t>rezerva na investiční nákupy přístrojů v havarijním stavu</t>
  </si>
  <si>
    <t>Usnesení 0421/09/2006/RK - na úhradu škody z mimořádné události</t>
  </si>
  <si>
    <t>z toho sestry, knihovny, jiné</t>
  </si>
  <si>
    <t>Dotace z rezervy kraje na (servery),NOR,Fond Vysočiny</t>
  </si>
  <si>
    <t xml:space="preserve">Jiné,0420/09/2006/RK - semináře Centrální sterilizace </t>
  </si>
  <si>
    <t>RK-10-2006-58, př. 1</t>
  </si>
</sst>
</file>

<file path=xl/styles.xml><?xml version="1.0" encoding="utf-8"?>
<styleSheet xmlns="http://schemas.openxmlformats.org/spreadsheetml/2006/main">
  <numFmts count="4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quot;Yes&quot;;&quot;Yes&quot;;&quot;No&quot;"/>
    <numFmt numFmtId="166" formatCode="&quot;True&quot;;&quot;True&quot;;&quot;False&quot;"/>
    <numFmt numFmtId="167" formatCode="&quot;On&quot;;&quot;On&quot;;&quot;Off&quot;"/>
    <numFmt numFmtId="168" formatCode="#,##0\ &quot;Kč&quot;"/>
    <numFmt numFmtId="169" formatCode="#,##0.0"/>
    <numFmt numFmtId="170" formatCode="[$-405]d\.\ mmmm\ yyyy"/>
    <numFmt numFmtId="171" formatCode="0.0000"/>
    <numFmt numFmtId="172" formatCode="0.000"/>
    <numFmt numFmtId="173" formatCode="#,##0.000"/>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000"/>
    <numFmt numFmtId="190" formatCode="#,##0.00000"/>
    <numFmt numFmtId="191" formatCode="#,##0.0\ &quot;Kč&quot;"/>
    <numFmt numFmtId="192" formatCode="#,##0.00\ &quot;Kč&quot;"/>
    <numFmt numFmtId="193" formatCode="_-* #,##0.0\ &quot;Kč&quot;_-;\-* #,##0.0\ &quot;Kč&quot;_-;_-* &quot;-&quot;\ &quot;Kč&quot;_-;_-@_-"/>
    <numFmt numFmtId="194" formatCode="_-* #,##0.00\ &quot;Kč&quot;_-;\-* #,##0.00\ &quot;Kč&quot;_-;_-* &quot;-&quot;\ &quot;Kč&quot;_-;_-@_-"/>
    <numFmt numFmtId="195" formatCode="#,##0.00_ ;\-#,##0.00\ "/>
    <numFmt numFmtId="196" formatCode="#,##0.0000"/>
    <numFmt numFmtId="197" formatCode="#,##0.0000000"/>
    <numFmt numFmtId="198" formatCode="_-* #,##0.000\ &quot;Kč&quot;_-;\-* #,##0.000\ &quot;Kč&quot;_-;_-* &quot;-&quot;\ &quot;Kč&quot;_-;_-@_-"/>
    <numFmt numFmtId="199" formatCode="#,##0.00000000"/>
    <numFmt numFmtId="200" formatCode="#,##0.000000000"/>
    <numFmt numFmtId="201" formatCode="_-* #,##0.0000\ &quot;Kč&quot;_-;\-* #,##0.0000\ &quot;Kč&quot;_-;_-* &quot;-&quot;\ &quot;Kč&quot;_-;_-@_-"/>
  </numFmts>
  <fonts count="30">
    <font>
      <sz val="10"/>
      <name val="Arial CE"/>
      <family val="0"/>
    </font>
    <font>
      <u val="single"/>
      <sz val="10"/>
      <color indexed="12"/>
      <name val="Arial CE"/>
      <family val="0"/>
    </font>
    <font>
      <sz val="8"/>
      <name val="Arial CE"/>
      <family val="2"/>
    </font>
    <font>
      <u val="single"/>
      <sz val="10"/>
      <color indexed="36"/>
      <name val="Arial CE"/>
      <family val="0"/>
    </font>
    <font>
      <b/>
      <sz val="12"/>
      <name val="Times New Roman CE"/>
      <family val="1"/>
    </font>
    <font>
      <b/>
      <sz val="10"/>
      <name val="Arial CE"/>
      <family val="2"/>
    </font>
    <font>
      <b/>
      <sz val="12"/>
      <name val="Arial CE"/>
      <family val="2"/>
    </font>
    <font>
      <b/>
      <sz val="8"/>
      <name val="Arial CE"/>
      <family val="2"/>
    </font>
    <font>
      <sz val="12"/>
      <name val="Arial CE"/>
      <family val="2"/>
    </font>
    <font>
      <b/>
      <sz val="7"/>
      <name val="Arial CE"/>
      <family val="2"/>
    </font>
    <font>
      <sz val="7"/>
      <name val="Arial CE"/>
      <family val="2"/>
    </font>
    <font>
      <b/>
      <sz val="8"/>
      <name val="Times New Roman"/>
      <family val="1"/>
    </font>
    <font>
      <sz val="8"/>
      <color indexed="12"/>
      <name val="Arial CE"/>
      <family val="2"/>
    </font>
    <font>
      <sz val="10"/>
      <color indexed="12"/>
      <name val="Arial CE"/>
      <family val="2"/>
    </font>
    <font>
      <sz val="8"/>
      <name val="Tahoma"/>
      <family val="0"/>
    </font>
    <font>
      <b/>
      <sz val="8"/>
      <name val="Tahoma"/>
      <family val="0"/>
    </font>
    <font>
      <b/>
      <sz val="8"/>
      <color indexed="12"/>
      <name val="Arial CE"/>
      <family val="0"/>
    </font>
    <font>
      <u val="single"/>
      <sz val="8"/>
      <name val="Tahoma"/>
      <family val="2"/>
    </font>
    <font>
      <sz val="8"/>
      <name val="Arial"/>
      <family val="2"/>
    </font>
    <font>
      <b/>
      <sz val="7"/>
      <name val="Times New Roman"/>
      <family val="1"/>
    </font>
    <font>
      <b/>
      <sz val="9"/>
      <name val="Times New Roman"/>
      <family val="1"/>
    </font>
    <font>
      <sz val="9"/>
      <name val="Arial CE"/>
      <family val="2"/>
    </font>
    <font>
      <b/>
      <sz val="10"/>
      <name val="Times New Roman"/>
      <family val="1"/>
    </font>
    <font>
      <b/>
      <sz val="8"/>
      <color indexed="10"/>
      <name val="Arial CE"/>
      <family val="2"/>
    </font>
    <font>
      <sz val="10"/>
      <name val="Arial"/>
      <family val="0"/>
    </font>
    <font>
      <b/>
      <sz val="12"/>
      <name val="Arial"/>
      <family val="2"/>
    </font>
    <font>
      <b/>
      <sz val="10"/>
      <name val="Arial"/>
      <family val="2"/>
    </font>
    <font>
      <b/>
      <sz val="8"/>
      <name val="Arial"/>
      <family val="2"/>
    </font>
    <font>
      <b/>
      <sz val="8"/>
      <name val="Times New Roman CE"/>
      <family val="1"/>
    </font>
    <font>
      <b/>
      <sz val="11"/>
      <name val="Arial"/>
      <family val="2"/>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s>
  <borders count="86">
    <border>
      <left/>
      <right/>
      <top/>
      <bottom/>
      <diagonal/>
    </border>
    <border>
      <left style="thin"/>
      <right style="thin"/>
      <top style="thin"/>
      <bottom style="thin"/>
    </border>
    <border>
      <left style="medium"/>
      <right>
        <color indexed="63"/>
      </right>
      <top style="medium"/>
      <bottom style="thin"/>
    </border>
    <border>
      <left style="medium"/>
      <right style="thin"/>
      <top style="medium"/>
      <bottom style="thin"/>
    </border>
    <border>
      <left style="thin"/>
      <right style="medium"/>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style="thin"/>
      <top style="thin"/>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style="medium"/>
      <right style="thin"/>
      <top>
        <color indexed="63"/>
      </top>
      <bottom style="medium"/>
    </border>
    <border>
      <left style="medium"/>
      <right>
        <color indexed="63"/>
      </right>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style="thin"/>
      <right style="thin"/>
      <top>
        <color indexed="63"/>
      </top>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medium"/>
      <right>
        <color indexed="63"/>
      </right>
      <top style="thin"/>
      <bottom style="medium"/>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style="thin"/>
      <top style="medium"/>
      <bottom style="medium"/>
    </border>
    <border>
      <left style="thin"/>
      <right style="thin"/>
      <top style="medium"/>
      <bottom style="medium"/>
    </border>
    <border>
      <left>
        <color indexed="63"/>
      </left>
      <right style="thin"/>
      <top>
        <color indexed="63"/>
      </top>
      <bottom style="medium"/>
    </border>
    <border>
      <left style="medium"/>
      <right style="thin"/>
      <top>
        <color indexed="63"/>
      </top>
      <bottom style="thin"/>
    </border>
    <border>
      <left style="medium"/>
      <right style="thin"/>
      <top style="thin"/>
      <bottom style="medium"/>
    </border>
    <border>
      <left>
        <color indexed="63"/>
      </left>
      <right>
        <color indexed="63"/>
      </right>
      <top style="medium"/>
      <bottom style="medium"/>
    </border>
    <border>
      <left style="medium"/>
      <right>
        <color indexed="63"/>
      </right>
      <top style="thin"/>
      <bottom style="thin"/>
    </border>
    <border>
      <left style="medium"/>
      <right>
        <color indexed="63"/>
      </right>
      <top>
        <color indexed="63"/>
      </top>
      <bottom>
        <color indexed="63"/>
      </bottom>
    </border>
    <border>
      <left style="thin"/>
      <right>
        <color indexed="63"/>
      </right>
      <top style="thin"/>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medium"/>
      <right>
        <color indexed="63"/>
      </right>
      <top>
        <color indexed="63"/>
      </top>
      <bottom style="thin"/>
    </border>
    <border>
      <left style="medium"/>
      <right>
        <color indexed="63"/>
      </right>
      <top style="thin"/>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medium"/>
      <top style="medium"/>
      <bottom style="medium"/>
    </border>
    <border>
      <left>
        <color indexed="63"/>
      </left>
      <right>
        <color indexed="63"/>
      </right>
      <top style="thin"/>
      <bottom style="medium"/>
    </border>
    <border>
      <left>
        <color indexed="63"/>
      </left>
      <right style="thin"/>
      <top style="thin"/>
      <bottom style="medium"/>
    </border>
    <border>
      <left style="thin"/>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thin"/>
      <top style="thin"/>
      <bottom>
        <color indexed="63"/>
      </bottom>
    </border>
    <border>
      <left>
        <color indexed="63"/>
      </left>
      <right style="thin"/>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medium"/>
      <top style="thin"/>
      <bottom style="medium"/>
    </border>
    <border>
      <left style="medium"/>
      <right style="medium"/>
      <top style="thin"/>
      <bottom>
        <color indexed="63"/>
      </bottom>
    </border>
    <border>
      <left style="medium"/>
      <right style="medium"/>
      <top style="medium"/>
      <bottom style="medium"/>
    </border>
    <border>
      <left>
        <color indexed="63"/>
      </left>
      <right style="medium"/>
      <top>
        <color indexed="63"/>
      </top>
      <bottom>
        <color indexed="63"/>
      </bottom>
    </border>
    <border>
      <left style="medium"/>
      <right style="thin"/>
      <top>
        <color indexed="63"/>
      </top>
      <bottom>
        <color indexed="63"/>
      </bottom>
    </border>
    <border>
      <left style="medium"/>
      <right>
        <color indexed="63"/>
      </right>
      <top>
        <color indexed="63"/>
      </top>
      <bottom style="thick"/>
    </border>
    <border>
      <left style="thin"/>
      <right style="thin"/>
      <top>
        <color indexed="63"/>
      </top>
      <bottom style="thick"/>
    </border>
    <border>
      <left style="thin"/>
      <right style="medium"/>
      <top>
        <color indexed="63"/>
      </top>
      <bottom style="thick"/>
    </border>
    <border>
      <left style="medium"/>
      <right style="thin"/>
      <top>
        <color indexed="63"/>
      </top>
      <bottom style="thick"/>
    </border>
    <border>
      <left style="thin"/>
      <right style="medium"/>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color indexed="63"/>
      </top>
      <bottom>
        <color indexed="63"/>
      </botto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medium"/>
      <right>
        <color indexed="63"/>
      </right>
      <top style="medium"/>
      <bottom>
        <color indexed="63"/>
      </bottom>
    </border>
    <border>
      <left>
        <color indexed="63"/>
      </left>
      <right style="thin"/>
      <top>
        <color indexed="63"/>
      </top>
      <bottom>
        <color indexed="63"/>
      </bottom>
    </border>
    <border>
      <left>
        <color indexed="63"/>
      </left>
      <right style="thin"/>
      <top style="medium"/>
      <bottom>
        <color indexed="63"/>
      </bottom>
    </border>
    <border>
      <left style="medium"/>
      <right style="medium"/>
      <top>
        <color indexed="63"/>
      </top>
      <bottom style="thick"/>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0" fontId="0" fillId="0" borderId="0">
      <alignment/>
      <protection/>
    </xf>
    <xf numFmtId="0" fontId="24" fillId="0" borderId="0">
      <alignment/>
      <protection/>
    </xf>
    <xf numFmtId="0" fontId="0" fillId="0" borderId="0">
      <alignment horizontal="center" vertical="center"/>
      <protection/>
    </xf>
    <xf numFmtId="3" fontId="2" fillId="0" borderId="1">
      <alignment horizontal="center" vertical="center" wrapText="1"/>
      <protection/>
    </xf>
    <xf numFmtId="9" fontId="0" fillId="0" borderId="0" applyFont="0" applyFill="0" applyBorder="0" applyAlignment="0" applyProtection="0"/>
    <xf numFmtId="0" fontId="3" fillId="0" borderId="0" applyNumberFormat="0" applyFill="0" applyBorder="0" applyAlignment="0" applyProtection="0"/>
  </cellStyleXfs>
  <cellXfs count="1525">
    <xf numFmtId="0" fontId="0" fillId="0" borderId="0" xfId="0" applyAlignment="1">
      <alignment/>
    </xf>
    <xf numFmtId="0" fontId="7" fillId="2" borderId="2" xfId="0" applyFont="1" applyFill="1" applyBorder="1" applyAlignment="1">
      <alignment horizontal="centerContinuous" vertical="center"/>
    </xf>
    <xf numFmtId="0" fontId="7" fillId="2" borderId="3" xfId="0" applyFont="1" applyFill="1" applyBorder="1" applyAlignment="1">
      <alignment horizontal="centerContinuous" vertical="center"/>
    </xf>
    <xf numFmtId="0" fontId="7" fillId="2" borderId="4" xfId="0" applyFont="1" applyFill="1" applyBorder="1" applyAlignment="1">
      <alignment horizontal="centerContinuous" vertical="center"/>
    </xf>
    <xf numFmtId="0" fontId="7" fillId="2" borderId="5" xfId="0" applyFont="1" applyFill="1" applyBorder="1" applyAlignment="1">
      <alignment horizontal="centerContinuous" vertical="center"/>
    </xf>
    <xf numFmtId="0" fontId="7" fillId="2" borderId="6" xfId="0" applyFont="1" applyFill="1" applyBorder="1" applyAlignment="1">
      <alignment horizontal="centerContinuous" vertical="center"/>
    </xf>
    <xf numFmtId="0" fontId="7" fillId="2" borderId="7" xfId="0" applyFont="1" applyFill="1" applyBorder="1" applyAlignment="1">
      <alignment horizontal="centerContinuous" vertic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16" xfId="0" applyFont="1" applyFill="1" applyBorder="1" applyAlignment="1" quotePrefix="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3" fontId="2" fillId="0" borderId="1" xfId="0" applyNumberFormat="1" applyFont="1" applyBorder="1" applyAlignment="1">
      <alignment vertical="center" wrapText="1"/>
    </xf>
    <xf numFmtId="0" fontId="7" fillId="2" borderId="18" xfId="0" applyFont="1" applyFill="1" applyBorder="1" applyAlignment="1">
      <alignment horizontal="left" vertical="center" wrapText="1"/>
    </xf>
    <xf numFmtId="3" fontId="7" fillId="2" borderId="18" xfId="0" applyNumberFormat="1" applyFont="1" applyFill="1" applyBorder="1" applyAlignment="1">
      <alignment vertical="center" wrapText="1"/>
    </xf>
    <xf numFmtId="3" fontId="7" fillId="2" borderId="19" xfId="0" applyNumberFormat="1" applyFont="1" applyFill="1" applyBorder="1" applyAlignment="1">
      <alignment vertical="center" wrapText="1"/>
    </xf>
    <xf numFmtId="3" fontId="7" fillId="2" borderId="20" xfId="0" applyNumberFormat="1" applyFont="1" applyFill="1" applyBorder="1" applyAlignment="1">
      <alignment vertical="center" wrapText="1"/>
    </xf>
    <xf numFmtId="3" fontId="7" fillId="2" borderId="21" xfId="0" applyNumberFormat="1" applyFont="1" applyFill="1" applyBorder="1" applyAlignment="1">
      <alignment vertical="center" wrapText="1"/>
    </xf>
    <xf numFmtId="3" fontId="2" fillId="0" borderId="22" xfId="0" applyNumberFormat="1" applyFont="1" applyFill="1" applyBorder="1" applyAlignment="1">
      <alignment vertical="center" wrapText="1"/>
    </xf>
    <xf numFmtId="0" fontId="9" fillId="2" borderId="18"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0" fillId="0" borderId="0" xfId="0" applyAlignment="1">
      <alignment vertical="center"/>
    </xf>
    <xf numFmtId="0" fontId="9" fillId="2" borderId="24" xfId="0" applyFont="1" applyFill="1" applyBorder="1" applyAlignment="1">
      <alignment horizontal="center" vertical="center"/>
    </xf>
    <xf numFmtId="0" fontId="9" fillId="2" borderId="24" xfId="0" applyFont="1" applyFill="1" applyBorder="1" applyAlignment="1" quotePrefix="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3" fontId="7" fillId="0" borderId="22" xfId="0" applyNumberFormat="1" applyFont="1" applyBorder="1" applyAlignment="1">
      <alignment vertical="center" wrapText="1"/>
    </xf>
    <xf numFmtId="10" fontId="2" fillId="0" borderId="27" xfId="0" applyNumberFormat="1" applyFont="1" applyFill="1" applyBorder="1" applyAlignment="1">
      <alignment vertical="center" wrapText="1"/>
    </xf>
    <xf numFmtId="3" fontId="7" fillId="0" borderId="28" xfId="0" applyNumberFormat="1" applyFont="1" applyBorder="1" applyAlignment="1">
      <alignment vertical="center" wrapText="1"/>
    </xf>
    <xf numFmtId="3" fontId="7" fillId="0" borderId="1" xfId="0" applyNumberFormat="1" applyFont="1" applyBorder="1" applyAlignment="1">
      <alignment vertical="center" wrapText="1"/>
    </xf>
    <xf numFmtId="3" fontId="2" fillId="0" borderId="1" xfId="0" applyNumberFormat="1" applyFont="1" applyBorder="1" applyAlignment="1">
      <alignment vertical="center"/>
    </xf>
    <xf numFmtId="10" fontId="2" fillId="0" borderId="29" xfId="0" applyNumberFormat="1" applyFont="1" applyBorder="1" applyAlignment="1">
      <alignment vertical="center"/>
    </xf>
    <xf numFmtId="3" fontId="7" fillId="0" borderId="12" xfId="0" applyNumberFormat="1" applyFont="1" applyBorder="1" applyAlignment="1">
      <alignment vertical="center" wrapText="1"/>
    </xf>
    <xf numFmtId="3" fontId="7" fillId="2" borderId="30" xfId="0" applyNumberFormat="1" applyFont="1" applyFill="1" applyBorder="1" applyAlignment="1">
      <alignment vertical="center" wrapText="1"/>
    </xf>
    <xf numFmtId="3" fontId="7" fillId="2" borderId="31" xfId="0" applyNumberFormat="1" applyFont="1" applyFill="1" applyBorder="1" applyAlignment="1">
      <alignment vertical="center" wrapText="1"/>
    </xf>
    <xf numFmtId="3" fontId="2" fillId="2" borderId="31" xfId="0" applyNumberFormat="1" applyFont="1" applyFill="1" applyBorder="1" applyAlignment="1">
      <alignment vertical="center" wrapText="1"/>
    </xf>
    <xf numFmtId="10" fontId="2" fillId="2" borderId="20" xfId="0" applyNumberFormat="1" applyFont="1" applyFill="1" applyBorder="1" applyAlignment="1">
      <alignment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25" xfId="0" applyFont="1" applyFill="1" applyBorder="1" applyAlignment="1">
      <alignment horizontal="center" vertical="center" wrapText="1"/>
    </xf>
    <xf numFmtId="3" fontId="7" fillId="0" borderId="1" xfId="0" applyNumberFormat="1" applyFont="1" applyBorder="1" applyAlignment="1">
      <alignment/>
    </xf>
    <xf numFmtId="0" fontId="7" fillId="2" borderId="31" xfId="0" applyFont="1" applyFill="1" applyBorder="1" applyAlignment="1">
      <alignment horizontal="center"/>
    </xf>
    <xf numFmtId="0" fontId="7" fillId="2" borderId="20" xfId="0" applyFont="1" applyFill="1" applyBorder="1" applyAlignment="1">
      <alignment horizontal="center"/>
    </xf>
    <xf numFmtId="0" fontId="7" fillId="0" borderId="33" xfId="0" applyFont="1" applyFill="1" applyBorder="1" applyAlignment="1">
      <alignment/>
    </xf>
    <xf numFmtId="3" fontId="7" fillId="0" borderId="22" xfId="0" applyNumberFormat="1" applyFont="1" applyBorder="1" applyAlignment="1">
      <alignment/>
    </xf>
    <xf numFmtId="3" fontId="7" fillId="0" borderId="27" xfId="0" applyNumberFormat="1" applyFont="1" applyBorder="1" applyAlignment="1">
      <alignment/>
    </xf>
    <xf numFmtId="0" fontId="7" fillId="0" borderId="28" xfId="0" applyFont="1" applyFill="1" applyBorder="1" applyAlignment="1">
      <alignment/>
    </xf>
    <xf numFmtId="0" fontId="7" fillId="0" borderId="28" xfId="0" applyFont="1" applyFill="1" applyBorder="1" applyAlignment="1">
      <alignment vertical="center" wrapText="1"/>
    </xf>
    <xf numFmtId="3" fontId="7" fillId="0" borderId="0" xfId="0" applyNumberFormat="1" applyFont="1" applyBorder="1" applyAlignment="1">
      <alignment/>
    </xf>
    <xf numFmtId="0" fontId="7" fillId="2" borderId="15" xfId="0" applyFont="1" applyFill="1" applyBorder="1" applyAlignment="1">
      <alignment horizontal="center" vertical="center" wrapText="1"/>
    </xf>
    <xf numFmtId="0" fontId="7" fillId="2" borderId="16" xfId="0" applyFont="1" applyFill="1" applyBorder="1" applyAlignment="1" quotePrefix="1">
      <alignment horizontal="center" vertical="center"/>
    </xf>
    <xf numFmtId="0" fontId="7" fillId="2" borderId="20" xfId="0" applyFont="1" applyFill="1" applyBorder="1" applyAlignment="1" quotePrefix="1">
      <alignment horizontal="center" vertical="center"/>
    </xf>
    <xf numFmtId="0" fontId="11" fillId="2" borderId="19" xfId="0" applyFont="1" applyFill="1" applyBorder="1" applyAlignment="1">
      <alignment horizontal="center" vertical="center"/>
    </xf>
    <xf numFmtId="0" fontId="7" fillId="2" borderId="19" xfId="0" applyFont="1" applyFill="1" applyBorder="1" applyAlignment="1">
      <alignment horizontal="right" vertical="center" wrapText="1"/>
    </xf>
    <xf numFmtId="0" fontId="9" fillId="2" borderId="34" xfId="0" applyFont="1" applyFill="1" applyBorder="1" applyAlignment="1">
      <alignment horizontal="center" vertical="center" wrapText="1"/>
    </xf>
    <xf numFmtId="0" fontId="9" fillId="2" borderId="24" xfId="0" applyFont="1" applyFill="1" applyBorder="1" applyAlignment="1">
      <alignment horizontal="center" vertical="center" wrapText="1"/>
    </xf>
    <xf numFmtId="3" fontId="7" fillId="2" borderId="35" xfId="0" applyNumberFormat="1" applyFont="1" applyFill="1" applyBorder="1" applyAlignment="1">
      <alignment vertical="center" wrapText="1"/>
    </xf>
    <xf numFmtId="3" fontId="7" fillId="0" borderId="33" xfId="0" applyNumberFormat="1" applyFont="1" applyBorder="1" applyAlignment="1">
      <alignment vertical="center" wrapText="1"/>
    </xf>
    <xf numFmtId="0" fontId="10" fillId="0" borderId="36" xfId="0" applyFont="1" applyBorder="1" applyAlignment="1">
      <alignment vertical="center" wrapText="1"/>
    </xf>
    <xf numFmtId="0" fontId="10" fillId="0" borderId="37" xfId="0" applyFont="1" applyBorder="1" applyAlignment="1">
      <alignment vertical="center" wrapText="1"/>
    </xf>
    <xf numFmtId="0" fontId="7" fillId="2" borderId="18" xfId="0" applyFont="1" applyFill="1" applyBorder="1" applyAlignment="1">
      <alignment vertical="center" wrapText="1"/>
    </xf>
    <xf numFmtId="0" fontId="7" fillId="2" borderId="34" xfId="0" applyFont="1" applyFill="1" applyBorder="1" applyAlignment="1">
      <alignment horizontal="center" vertical="center" wrapText="1"/>
    </xf>
    <xf numFmtId="3" fontId="7" fillId="2" borderId="20" xfId="0" applyNumberFormat="1" applyFont="1" applyFill="1" applyBorder="1" applyAlignment="1">
      <alignment/>
    </xf>
    <xf numFmtId="0" fontId="9" fillId="2" borderId="13" xfId="0" applyFont="1" applyFill="1" applyBorder="1" applyAlignment="1">
      <alignment horizontal="center" vertical="center" wrapText="1"/>
    </xf>
    <xf numFmtId="0" fontId="7" fillId="2" borderId="21" xfId="0" applyFont="1" applyFill="1" applyBorder="1" applyAlignment="1">
      <alignment vertical="center"/>
    </xf>
    <xf numFmtId="0" fontId="7" fillId="2" borderId="31" xfId="0" applyFont="1" applyFill="1" applyBorder="1" applyAlignment="1">
      <alignment vertical="center"/>
    </xf>
    <xf numFmtId="0" fontId="7" fillId="2" borderId="38"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6" xfId="0" applyFont="1" applyFill="1" applyBorder="1" applyAlignment="1" quotePrefix="1">
      <alignment horizontal="center" vertical="center"/>
    </xf>
    <xf numFmtId="3" fontId="7" fillId="2" borderId="39" xfId="0" applyNumberFormat="1" applyFont="1" applyFill="1" applyBorder="1" applyAlignment="1">
      <alignment horizontal="center" vertical="center"/>
    </xf>
    <xf numFmtId="0" fontId="7" fillId="2" borderId="40" xfId="0" applyFont="1" applyFill="1" applyBorder="1" applyAlignment="1">
      <alignment horizontal="center" vertical="center" wrapText="1"/>
    </xf>
    <xf numFmtId="3" fontId="7" fillId="0" borderId="8" xfId="0" applyNumberFormat="1" applyFont="1" applyBorder="1" applyAlignment="1">
      <alignment vertical="center" wrapText="1"/>
    </xf>
    <xf numFmtId="0" fontId="9" fillId="2" borderId="2" xfId="0" applyFont="1" applyFill="1" applyBorder="1" applyAlignment="1">
      <alignment vertical="center"/>
    </xf>
    <xf numFmtId="0" fontId="9" fillId="2" borderId="41" xfId="0" applyFont="1" applyFill="1" applyBorder="1" applyAlignment="1">
      <alignment vertical="center"/>
    </xf>
    <xf numFmtId="3" fontId="7" fillId="3" borderId="1" xfId="0" applyNumberFormat="1" applyFont="1" applyFill="1" applyBorder="1" applyAlignment="1">
      <alignment/>
    </xf>
    <xf numFmtId="3" fontId="7" fillId="3" borderId="22" xfId="0" applyNumberFormat="1" applyFont="1" applyFill="1" applyBorder="1" applyAlignment="1">
      <alignment/>
    </xf>
    <xf numFmtId="0" fontId="7" fillId="2" borderId="21" xfId="0" applyFont="1" applyFill="1" applyBorder="1" applyAlignment="1">
      <alignment horizontal="center" vertical="center" wrapText="1"/>
    </xf>
    <xf numFmtId="0" fontId="7" fillId="2" borderId="31" xfId="0" applyFont="1" applyFill="1" applyBorder="1" applyAlignment="1">
      <alignment horizontal="center" vertical="center" wrapText="1"/>
    </xf>
    <xf numFmtId="164" fontId="11" fillId="2" borderId="17" xfId="0" applyNumberFormat="1" applyFont="1" applyFill="1" applyBorder="1" applyAlignment="1">
      <alignment horizontal="right" vertical="center"/>
    </xf>
    <xf numFmtId="164" fontId="11" fillId="2" borderId="13" xfId="0" applyNumberFormat="1" applyFont="1" applyFill="1" applyBorder="1" applyAlignment="1">
      <alignment horizontal="right" vertical="center"/>
    </xf>
    <xf numFmtId="164" fontId="11" fillId="2" borderId="14" xfId="0" applyNumberFormat="1" applyFont="1" applyFill="1" applyBorder="1" applyAlignment="1">
      <alignment horizontal="right" vertical="center"/>
    </xf>
    <xf numFmtId="0" fontId="7" fillId="2" borderId="24" xfId="0" applyFont="1" applyFill="1" applyBorder="1" applyAlignment="1">
      <alignment horizontal="center" vertical="center"/>
    </xf>
    <xf numFmtId="3" fontId="7" fillId="4" borderId="42" xfId="0" applyNumberFormat="1" applyFont="1" applyFill="1" applyBorder="1" applyAlignment="1">
      <alignment vertical="center" wrapText="1"/>
    </xf>
    <xf numFmtId="3" fontId="7" fillId="4" borderId="36" xfId="0" applyNumberFormat="1" applyFont="1" applyFill="1" applyBorder="1" applyAlignment="1">
      <alignment vertical="center" wrapText="1"/>
    </xf>
    <xf numFmtId="10" fontId="7" fillId="4" borderId="29" xfId="0" applyNumberFormat="1" applyFont="1" applyFill="1" applyBorder="1" applyAlignment="1">
      <alignment vertical="center" wrapText="1"/>
    </xf>
    <xf numFmtId="3" fontId="7" fillId="4" borderId="43" xfId="0" applyNumberFormat="1" applyFont="1" applyFill="1" applyBorder="1" applyAlignment="1">
      <alignment vertical="center" wrapText="1"/>
    </xf>
    <xf numFmtId="10" fontId="7" fillId="4" borderId="9" xfId="0" applyNumberFormat="1" applyFont="1" applyFill="1" applyBorder="1" applyAlignment="1">
      <alignment vertical="center" wrapText="1"/>
    </xf>
    <xf numFmtId="3" fontId="7" fillId="4" borderId="18" xfId="0" applyNumberFormat="1" applyFont="1" applyFill="1" applyBorder="1" applyAlignment="1">
      <alignment vertical="center" wrapText="1"/>
    </xf>
    <xf numFmtId="10" fontId="7" fillId="4" borderId="20" xfId="0" applyNumberFormat="1" applyFont="1" applyFill="1" applyBorder="1" applyAlignment="1">
      <alignment vertical="center" wrapText="1"/>
    </xf>
    <xf numFmtId="10" fontId="7" fillId="4" borderId="27" xfId="0" applyNumberFormat="1" applyFont="1" applyFill="1" applyBorder="1" applyAlignment="1">
      <alignment vertical="center" wrapText="1"/>
    </xf>
    <xf numFmtId="3" fontId="7" fillId="4" borderId="23" xfId="0" applyNumberFormat="1" applyFont="1" applyFill="1" applyBorder="1" applyAlignment="1">
      <alignment vertical="center" wrapText="1"/>
    </xf>
    <xf numFmtId="10" fontId="7" fillId="4" borderId="14" xfId="0" applyNumberFormat="1" applyFont="1" applyFill="1" applyBorder="1" applyAlignment="1">
      <alignment vertical="center" wrapText="1"/>
    </xf>
    <xf numFmtId="0" fontId="9" fillId="2" borderId="44" xfId="0" applyFont="1" applyFill="1" applyBorder="1" applyAlignment="1">
      <alignment vertical="center" wrapText="1"/>
    </xf>
    <xf numFmtId="0" fontId="9" fillId="2" borderId="45" xfId="0" applyFont="1" applyFill="1" applyBorder="1" applyAlignment="1">
      <alignment vertical="center" wrapText="1"/>
    </xf>
    <xf numFmtId="0" fontId="0" fillId="2" borderId="46" xfId="0" applyFill="1" applyBorder="1" applyAlignment="1">
      <alignment horizontal="center" vertical="center" wrapText="1"/>
    </xf>
    <xf numFmtId="3" fontId="7" fillId="3" borderId="47" xfId="0" applyNumberFormat="1" applyFont="1" applyFill="1" applyBorder="1" applyAlignment="1">
      <alignment/>
    </xf>
    <xf numFmtId="3" fontId="7" fillId="3" borderId="48" xfId="0" applyNumberFormat="1" applyFont="1" applyFill="1" applyBorder="1" applyAlignment="1">
      <alignment/>
    </xf>
    <xf numFmtId="0" fontId="7" fillId="3" borderId="49" xfId="0" applyFont="1" applyFill="1" applyBorder="1" applyAlignment="1">
      <alignment horizontal="left"/>
    </xf>
    <xf numFmtId="0" fontId="7" fillId="3" borderId="48" xfId="0" applyFont="1" applyFill="1" applyBorder="1" applyAlignment="1">
      <alignment horizontal="left"/>
    </xf>
    <xf numFmtId="0" fontId="7" fillId="2" borderId="30" xfId="0" applyFont="1" applyFill="1" applyBorder="1" applyAlignment="1">
      <alignment horizontal="center"/>
    </xf>
    <xf numFmtId="0" fontId="7" fillId="3" borderId="50" xfId="0" applyFont="1" applyFill="1" applyBorder="1" applyAlignment="1">
      <alignment horizontal="left"/>
    </xf>
    <xf numFmtId="0" fontId="7" fillId="3" borderId="47" xfId="0" applyFont="1" applyFill="1" applyBorder="1" applyAlignment="1">
      <alignment horizontal="left"/>
    </xf>
    <xf numFmtId="0" fontId="7" fillId="2" borderId="18" xfId="0" applyFont="1" applyFill="1" applyBorder="1" applyAlignment="1">
      <alignment horizontal="left"/>
    </xf>
    <xf numFmtId="0" fontId="7" fillId="2" borderId="35" xfId="0" applyFont="1" applyFill="1" applyBorder="1" applyAlignment="1">
      <alignment horizontal="left"/>
    </xf>
    <xf numFmtId="0" fontId="7" fillId="3" borderId="42" xfId="0" applyFont="1" applyFill="1" applyBorder="1" applyAlignment="1">
      <alignment horizontal="left"/>
    </xf>
    <xf numFmtId="0" fontId="7" fillId="3" borderId="36" xfId="0" applyFont="1" applyFill="1" applyBorder="1" applyAlignment="1">
      <alignment horizontal="left"/>
    </xf>
    <xf numFmtId="0" fontId="0" fillId="2" borderId="35" xfId="0" applyFill="1" applyBorder="1" applyAlignment="1">
      <alignment horizontal="center" vertical="center"/>
    </xf>
    <xf numFmtId="0" fontId="0" fillId="2" borderId="51" xfId="0" applyFill="1" applyBorder="1" applyAlignment="1">
      <alignment horizontal="center" vertical="center"/>
    </xf>
    <xf numFmtId="3" fontId="7" fillId="2" borderId="24" xfId="0" applyNumberFormat="1" applyFont="1" applyFill="1" applyBorder="1" applyAlignment="1">
      <alignment/>
    </xf>
    <xf numFmtId="0" fontId="7" fillId="2" borderId="26" xfId="0" applyFont="1" applyFill="1" applyBorder="1" applyAlignment="1">
      <alignment horizontal="left"/>
    </xf>
    <xf numFmtId="0" fontId="7" fillId="2" borderId="52" xfId="0" applyFont="1" applyFill="1" applyBorder="1" applyAlignment="1">
      <alignment horizontal="left"/>
    </xf>
    <xf numFmtId="0" fontId="7" fillId="2" borderId="53" xfId="0" applyFont="1" applyFill="1" applyBorder="1" applyAlignment="1">
      <alignment horizontal="left"/>
    </xf>
    <xf numFmtId="3" fontId="7" fillId="2" borderId="53" xfId="0" applyNumberFormat="1" applyFont="1" applyFill="1" applyBorder="1" applyAlignment="1">
      <alignment/>
    </xf>
    <xf numFmtId="0" fontId="7" fillId="2" borderId="24" xfId="0" applyFont="1" applyFill="1" applyBorder="1" applyAlignment="1">
      <alignment horizontal="center"/>
    </xf>
    <xf numFmtId="3" fontId="7" fillId="2" borderId="24" xfId="0" applyNumberFormat="1" applyFont="1" applyFill="1" applyBorder="1" applyAlignment="1">
      <alignment horizontal="center"/>
    </xf>
    <xf numFmtId="0" fontId="0" fillId="2" borderId="54" xfId="0" applyFill="1" applyBorder="1" applyAlignment="1">
      <alignment/>
    </xf>
    <xf numFmtId="3" fontId="7" fillId="2" borderId="14" xfId="0" applyNumberFormat="1" applyFont="1" applyFill="1" applyBorder="1" applyAlignment="1">
      <alignment horizontal="center"/>
    </xf>
    <xf numFmtId="0" fontId="5" fillId="2" borderId="18" xfId="0" applyFont="1" applyFill="1" applyBorder="1" applyAlignment="1">
      <alignment horizontal="left" vertical="center"/>
    </xf>
    <xf numFmtId="3" fontId="7" fillId="4" borderId="42" xfId="0" applyNumberFormat="1" applyFont="1" applyFill="1" applyBorder="1" applyAlignment="1">
      <alignment horizontal="right" vertical="center" wrapText="1"/>
    </xf>
    <xf numFmtId="3" fontId="7" fillId="4" borderId="36" xfId="0" applyNumberFormat="1" applyFont="1" applyFill="1" applyBorder="1" applyAlignment="1">
      <alignment horizontal="right" vertical="center" wrapText="1"/>
    </xf>
    <xf numFmtId="10" fontId="7" fillId="4" borderId="29" xfId="0" applyNumberFormat="1" applyFont="1" applyFill="1" applyBorder="1" applyAlignment="1">
      <alignment horizontal="right" vertical="center" wrapText="1"/>
    </xf>
    <xf numFmtId="3" fontId="7" fillId="4" borderId="43" xfId="0" applyNumberFormat="1" applyFont="1" applyFill="1" applyBorder="1" applyAlignment="1">
      <alignment horizontal="right" vertical="center" wrapText="1"/>
    </xf>
    <xf numFmtId="10" fontId="7" fillId="4" borderId="9" xfId="0" applyNumberFormat="1" applyFont="1" applyFill="1" applyBorder="1" applyAlignment="1">
      <alignment horizontal="right" vertical="center" wrapText="1"/>
    </xf>
    <xf numFmtId="3" fontId="7" fillId="4" borderId="18" xfId="0" applyNumberFormat="1" applyFont="1" applyFill="1" applyBorder="1" applyAlignment="1">
      <alignment horizontal="right" vertical="center" wrapText="1"/>
    </xf>
    <xf numFmtId="10" fontId="7" fillId="4" borderId="20" xfId="0" applyNumberFormat="1" applyFont="1" applyFill="1" applyBorder="1" applyAlignment="1">
      <alignment horizontal="right" vertical="center" wrapText="1"/>
    </xf>
    <xf numFmtId="10" fontId="7" fillId="4" borderId="27" xfId="0" applyNumberFormat="1" applyFont="1" applyFill="1" applyBorder="1" applyAlignment="1">
      <alignment horizontal="right" vertical="center" wrapText="1"/>
    </xf>
    <xf numFmtId="3" fontId="7" fillId="4" borderId="23" xfId="0" applyNumberFormat="1" applyFont="1" applyFill="1" applyBorder="1" applyAlignment="1">
      <alignment horizontal="right" vertical="center" wrapText="1"/>
    </xf>
    <xf numFmtId="10" fontId="7" fillId="4" borderId="14" xfId="0" applyNumberFormat="1" applyFont="1" applyFill="1" applyBorder="1" applyAlignment="1">
      <alignment horizontal="right" vertical="center" wrapText="1"/>
    </xf>
    <xf numFmtId="164" fontId="11" fillId="2" borderId="13" xfId="0" applyNumberFormat="1" applyFont="1" applyFill="1" applyBorder="1" applyAlignment="1">
      <alignment horizontal="right" vertical="center" wrapText="1"/>
    </xf>
    <xf numFmtId="0" fontId="0" fillId="3" borderId="0" xfId="0" applyFill="1" applyAlignment="1">
      <alignment/>
    </xf>
    <xf numFmtId="0" fontId="0" fillId="3" borderId="0" xfId="0" applyFont="1" applyFill="1" applyAlignment="1">
      <alignment/>
    </xf>
    <xf numFmtId="0" fontId="2" fillId="3" borderId="0" xfId="0" applyFont="1" applyFill="1" applyAlignment="1">
      <alignment/>
    </xf>
    <xf numFmtId="0" fontId="2" fillId="3" borderId="0" xfId="0" applyFont="1" applyFill="1" applyAlignment="1">
      <alignment horizontal="center" vertical="center"/>
    </xf>
    <xf numFmtId="0" fontId="6" fillId="3" borderId="0" xfId="0" applyFont="1" applyFill="1" applyAlignment="1">
      <alignment horizontal="left"/>
    </xf>
    <xf numFmtId="0" fontId="7" fillId="3" borderId="0" xfId="0" applyFont="1" applyFill="1" applyAlignment="1">
      <alignment horizontal="centerContinuous"/>
    </xf>
    <xf numFmtId="0" fontId="2" fillId="3" borderId="42" xfId="0" applyFont="1" applyFill="1" applyBorder="1" applyAlignment="1">
      <alignment horizontal="left" vertical="center" wrapText="1"/>
    </xf>
    <xf numFmtId="3" fontId="2" fillId="3" borderId="22" xfId="0" applyNumberFormat="1" applyFont="1" applyFill="1" applyBorder="1" applyAlignment="1">
      <alignment vertical="center" wrapText="1"/>
    </xf>
    <xf numFmtId="3" fontId="2" fillId="3" borderId="55" xfId="0" applyNumberFormat="1" applyFont="1" applyFill="1" applyBorder="1" applyAlignment="1">
      <alignment vertical="center" wrapText="1"/>
    </xf>
    <xf numFmtId="3" fontId="2" fillId="3" borderId="50" xfId="0" applyNumberFormat="1" applyFont="1" applyFill="1" applyBorder="1" applyAlignment="1">
      <alignment vertical="center" wrapText="1"/>
    </xf>
    <xf numFmtId="0" fontId="2" fillId="3" borderId="36" xfId="0" applyFont="1" applyFill="1" applyBorder="1" applyAlignment="1">
      <alignment horizontal="left" vertical="center" wrapText="1"/>
    </xf>
    <xf numFmtId="3" fontId="2" fillId="3" borderId="1" xfId="0" applyNumberFormat="1" applyFont="1" applyFill="1" applyBorder="1" applyAlignment="1">
      <alignment vertical="center" wrapText="1"/>
    </xf>
    <xf numFmtId="3" fontId="2" fillId="3" borderId="56" xfId="0" applyNumberFormat="1" applyFont="1" applyFill="1" applyBorder="1" applyAlignment="1">
      <alignment vertical="center" wrapText="1"/>
    </xf>
    <xf numFmtId="3" fontId="2" fillId="3" borderId="48" xfId="0" applyNumberFormat="1" applyFont="1" applyFill="1" applyBorder="1" applyAlignment="1">
      <alignment vertical="center" wrapText="1"/>
    </xf>
    <xf numFmtId="0" fontId="2" fillId="3" borderId="43" xfId="0" applyFont="1" applyFill="1" applyBorder="1" applyAlignment="1">
      <alignment horizontal="left" vertical="center" wrapText="1"/>
    </xf>
    <xf numFmtId="3" fontId="2" fillId="3" borderId="8" xfId="0" applyNumberFormat="1" applyFont="1" applyFill="1" applyBorder="1" applyAlignment="1">
      <alignment vertical="center" wrapText="1"/>
    </xf>
    <xf numFmtId="3" fontId="2" fillId="3" borderId="57" xfId="0" applyNumberFormat="1" applyFont="1" applyFill="1" applyBorder="1" applyAlignment="1">
      <alignment vertical="center" wrapText="1"/>
    </xf>
    <xf numFmtId="3" fontId="2" fillId="3" borderId="58" xfId="0" applyNumberFormat="1" applyFont="1" applyFill="1" applyBorder="1" applyAlignment="1">
      <alignment vertical="center" wrapText="1"/>
    </xf>
    <xf numFmtId="3" fontId="2" fillId="3" borderId="59" xfId="0" applyNumberFormat="1" applyFont="1" applyFill="1" applyBorder="1" applyAlignment="1">
      <alignment vertical="center" wrapText="1"/>
    </xf>
    <xf numFmtId="3" fontId="2" fillId="3" borderId="6" xfId="0" applyNumberFormat="1" applyFont="1" applyFill="1" applyBorder="1" applyAlignment="1">
      <alignment vertical="center" wrapText="1"/>
    </xf>
    <xf numFmtId="3" fontId="2" fillId="3" borderId="47" xfId="0" applyNumberFormat="1" applyFont="1" applyFill="1" applyBorder="1" applyAlignment="1">
      <alignment vertical="center" wrapText="1"/>
    </xf>
    <xf numFmtId="3" fontId="2" fillId="3" borderId="49" xfId="0" applyNumberFormat="1" applyFont="1" applyFill="1" applyBorder="1" applyAlignment="1">
      <alignment vertical="center" wrapText="1"/>
    </xf>
    <xf numFmtId="0" fontId="2" fillId="3" borderId="36" xfId="0" applyFont="1" applyFill="1" applyBorder="1" applyAlignment="1">
      <alignment vertical="center" wrapText="1"/>
    </xf>
    <xf numFmtId="0" fontId="2" fillId="3" borderId="26" xfId="0" applyFont="1" applyFill="1" applyBorder="1" applyAlignment="1">
      <alignment vertical="center" wrapText="1"/>
    </xf>
    <xf numFmtId="3" fontId="2" fillId="3" borderId="10" xfId="0" applyNumberFormat="1" applyFont="1" applyFill="1" applyBorder="1" applyAlignment="1">
      <alignment vertical="center" wrapText="1"/>
    </xf>
    <xf numFmtId="0" fontId="10" fillId="3" borderId="0" xfId="0" applyFont="1" applyFill="1" applyAlignment="1">
      <alignment/>
    </xf>
    <xf numFmtId="0" fontId="0" fillId="3" borderId="0" xfId="0" applyFont="1" applyFill="1" applyAlignment="1">
      <alignment vertical="center"/>
    </xf>
    <xf numFmtId="3" fontId="7" fillId="3" borderId="1" xfId="0" applyNumberFormat="1" applyFont="1" applyFill="1" applyBorder="1" applyAlignment="1">
      <alignment vertical="center"/>
    </xf>
    <xf numFmtId="0" fontId="0" fillId="3" borderId="0" xfId="0" applyFill="1" applyAlignment="1">
      <alignment vertical="center"/>
    </xf>
    <xf numFmtId="3" fontId="0" fillId="3" borderId="0" xfId="0" applyNumberFormat="1" applyFill="1" applyAlignment="1">
      <alignment vertical="center"/>
    </xf>
    <xf numFmtId="0" fontId="7" fillId="3" borderId="0" xfId="0" applyFont="1" applyFill="1" applyAlignment="1">
      <alignment vertical="center"/>
    </xf>
    <xf numFmtId="0" fontId="16" fillId="3" borderId="0" xfId="0" applyFont="1" applyFill="1" applyAlignment="1">
      <alignment vertical="center"/>
    </xf>
    <xf numFmtId="2" fontId="2" fillId="3" borderId="33" xfId="0" applyNumberFormat="1" applyFont="1" applyFill="1" applyBorder="1" applyAlignment="1">
      <alignment vertical="center" wrapText="1"/>
    </xf>
    <xf numFmtId="0" fontId="2" fillId="3" borderId="22" xfId="0" applyFont="1" applyFill="1" applyBorder="1" applyAlignment="1">
      <alignment horizontal="center" vertical="center"/>
    </xf>
    <xf numFmtId="0" fontId="13" fillId="3" borderId="0" xfId="0" applyFont="1" applyFill="1" applyAlignment="1">
      <alignment/>
    </xf>
    <xf numFmtId="0" fontId="2" fillId="3" borderId="1" xfId="0" applyFont="1" applyFill="1" applyBorder="1" applyAlignment="1">
      <alignment horizontal="center" vertical="center"/>
    </xf>
    <xf numFmtId="0" fontId="13" fillId="3" borderId="0" xfId="0" applyFont="1" applyFill="1" applyAlignment="1">
      <alignment/>
    </xf>
    <xf numFmtId="3" fontId="2" fillId="3" borderId="0" xfId="0" applyNumberFormat="1" applyFont="1" applyFill="1" applyBorder="1" applyAlignment="1">
      <alignment vertical="center"/>
    </xf>
    <xf numFmtId="0" fontId="5" fillId="3" borderId="0" xfId="0" applyFont="1" applyFill="1" applyAlignment="1">
      <alignment/>
    </xf>
    <xf numFmtId="3" fontId="7" fillId="3" borderId="29" xfId="0" applyNumberFormat="1" applyFont="1" applyFill="1" applyBorder="1" applyAlignment="1">
      <alignment/>
    </xf>
    <xf numFmtId="3" fontId="7" fillId="3" borderId="29" xfId="0" applyNumberFormat="1" applyFont="1" applyFill="1" applyBorder="1" applyAlignment="1">
      <alignment horizontal="right"/>
    </xf>
    <xf numFmtId="0" fontId="9" fillId="3" borderId="60" xfId="0" applyFont="1" applyFill="1" applyBorder="1" applyAlignment="1">
      <alignment/>
    </xf>
    <xf numFmtId="0" fontId="9" fillId="3" borderId="61" xfId="0" applyFont="1" applyFill="1" applyBorder="1" applyAlignment="1">
      <alignment/>
    </xf>
    <xf numFmtId="0" fontId="9" fillId="3" borderId="62" xfId="0" applyFont="1" applyFill="1" applyBorder="1" applyAlignment="1">
      <alignment/>
    </xf>
    <xf numFmtId="0" fontId="9" fillId="3" borderId="0" xfId="0" applyFont="1" applyFill="1" applyBorder="1" applyAlignment="1">
      <alignment/>
    </xf>
    <xf numFmtId="3" fontId="7" fillId="3" borderId="0" xfId="0" applyNumberFormat="1" applyFont="1" applyFill="1" applyBorder="1" applyAlignment="1">
      <alignment/>
    </xf>
    <xf numFmtId="0" fontId="6" fillId="3" borderId="0" xfId="0" applyFont="1" applyFill="1" applyBorder="1" applyAlignment="1">
      <alignment/>
    </xf>
    <xf numFmtId="0" fontId="7" fillId="3" borderId="33" xfId="0" applyFont="1" applyFill="1" applyBorder="1" applyAlignment="1">
      <alignment vertical="center"/>
    </xf>
    <xf numFmtId="0" fontId="11" fillId="3" borderId="22" xfId="0" applyFont="1" applyFill="1" applyBorder="1" applyAlignment="1">
      <alignment horizontal="right" vertical="center"/>
    </xf>
    <xf numFmtId="0" fontId="11" fillId="3" borderId="63" xfId="0" applyFont="1" applyFill="1" applyBorder="1" applyAlignment="1">
      <alignment horizontal="center" vertical="center"/>
    </xf>
    <xf numFmtId="0" fontId="7" fillId="3" borderId="63" xfId="0" applyFont="1" applyFill="1" applyBorder="1" applyAlignment="1">
      <alignment vertical="center"/>
    </xf>
    <xf numFmtId="164" fontId="11" fillId="3" borderId="33" xfId="0" applyNumberFormat="1" applyFont="1" applyFill="1" applyBorder="1" applyAlignment="1">
      <alignment horizontal="right" vertical="center"/>
    </xf>
    <xf numFmtId="164" fontId="11" fillId="3" borderId="22" xfId="0" applyNumberFormat="1" applyFont="1" applyFill="1" applyBorder="1" applyAlignment="1">
      <alignment horizontal="right" vertical="center"/>
    </xf>
    <xf numFmtId="164" fontId="11" fillId="3" borderId="27" xfId="0" applyNumberFormat="1" applyFont="1" applyFill="1" applyBorder="1" applyAlignment="1">
      <alignment horizontal="right" vertical="center"/>
    </xf>
    <xf numFmtId="0" fontId="7" fillId="3" borderId="28" xfId="0" applyFont="1" applyFill="1" applyBorder="1" applyAlignment="1">
      <alignment vertical="center"/>
    </xf>
    <xf numFmtId="0" fontId="11" fillId="3" borderId="1" xfId="0" applyFont="1" applyFill="1" applyBorder="1" applyAlignment="1">
      <alignment horizontal="right" vertical="center"/>
    </xf>
    <xf numFmtId="0" fontId="7" fillId="3" borderId="64" xfId="0" applyFont="1" applyFill="1" applyBorder="1" applyAlignment="1">
      <alignment vertical="center"/>
    </xf>
    <xf numFmtId="164" fontId="11" fillId="3" borderId="28" xfId="0" applyNumberFormat="1" applyFont="1" applyFill="1" applyBorder="1" applyAlignment="1">
      <alignment horizontal="right" vertical="center"/>
    </xf>
    <xf numFmtId="164" fontId="11" fillId="3" borderId="1" xfId="0" applyNumberFormat="1" applyFont="1" applyFill="1" applyBorder="1" applyAlignment="1">
      <alignment horizontal="right" vertical="center"/>
    </xf>
    <xf numFmtId="164" fontId="11" fillId="3" borderId="29" xfId="0" applyNumberFormat="1" applyFont="1" applyFill="1" applyBorder="1" applyAlignment="1">
      <alignment horizontal="right" vertical="center"/>
    </xf>
    <xf numFmtId="0" fontId="7" fillId="3" borderId="1" xfId="0" applyFont="1" applyFill="1" applyBorder="1" applyAlignment="1">
      <alignment vertical="center"/>
    </xf>
    <xf numFmtId="0" fontId="7" fillId="3" borderId="12" xfId="0" applyFont="1" applyFill="1" applyBorder="1" applyAlignment="1">
      <alignment vertical="center"/>
    </xf>
    <xf numFmtId="0" fontId="7" fillId="3" borderId="8" xfId="0" applyFont="1" applyFill="1" applyBorder="1" applyAlignment="1">
      <alignment vertical="center"/>
    </xf>
    <xf numFmtId="0" fontId="7" fillId="3" borderId="11" xfId="0" applyFont="1" applyFill="1" applyBorder="1" applyAlignment="1">
      <alignment vertical="center"/>
    </xf>
    <xf numFmtId="0" fontId="11" fillId="3" borderId="65" xfId="0" applyFont="1" applyFill="1" applyBorder="1" applyAlignment="1">
      <alignment horizontal="center" vertical="center"/>
    </xf>
    <xf numFmtId="164" fontId="11" fillId="3" borderId="34" xfId="0" applyNumberFormat="1" applyFont="1" applyFill="1" applyBorder="1" applyAlignment="1">
      <alignment horizontal="right" vertical="center"/>
    </xf>
    <xf numFmtId="164" fontId="11" fillId="3" borderId="24" xfId="0" applyNumberFormat="1" applyFont="1" applyFill="1" applyBorder="1" applyAlignment="1">
      <alignment horizontal="right" vertical="center"/>
    </xf>
    <xf numFmtId="164" fontId="11" fillId="3" borderId="25" xfId="0" applyNumberFormat="1" applyFont="1" applyFill="1" applyBorder="1" applyAlignment="1">
      <alignment horizontal="right" vertical="center"/>
    </xf>
    <xf numFmtId="164" fontId="11" fillId="0" borderId="22" xfId="0" applyNumberFormat="1" applyFont="1" applyBorder="1" applyAlignment="1">
      <alignment horizontal="right" vertical="center"/>
    </xf>
    <xf numFmtId="164" fontId="11" fillId="0" borderId="1" xfId="0" applyNumberFormat="1" applyFont="1" applyBorder="1" applyAlignment="1">
      <alignment horizontal="right" vertical="center"/>
    </xf>
    <xf numFmtId="164" fontId="11" fillId="0" borderId="24" xfId="0" applyNumberFormat="1" applyFont="1" applyBorder="1" applyAlignment="1">
      <alignment horizontal="right" vertical="center"/>
    </xf>
    <xf numFmtId="3" fontId="7" fillId="0" borderId="63" xfId="0" applyNumberFormat="1" applyFont="1" applyBorder="1" applyAlignment="1">
      <alignment/>
    </xf>
    <xf numFmtId="3" fontId="7" fillId="0" borderId="16" xfId="0" applyNumberFormat="1" applyFont="1" applyBorder="1" applyAlignment="1">
      <alignment/>
    </xf>
    <xf numFmtId="3" fontId="7" fillId="0" borderId="13" xfId="0" applyNumberFormat="1" applyFont="1" applyBorder="1" applyAlignment="1">
      <alignment/>
    </xf>
    <xf numFmtId="3" fontId="7" fillId="0" borderId="14" xfId="0" applyNumberFormat="1" applyFont="1" applyBorder="1" applyAlignment="1">
      <alignment/>
    </xf>
    <xf numFmtId="3" fontId="7" fillId="3" borderId="63" xfId="0" applyNumberFormat="1" applyFont="1" applyFill="1" applyBorder="1" applyAlignment="1">
      <alignment horizontal="right"/>
    </xf>
    <xf numFmtId="3" fontId="7" fillId="3" borderId="28" xfId="0" applyNumberFormat="1" applyFont="1" applyFill="1" applyBorder="1" applyAlignment="1" quotePrefix="1">
      <alignment horizontal="right"/>
    </xf>
    <xf numFmtId="3" fontId="7" fillId="3" borderId="1" xfId="0" applyNumberFormat="1" applyFont="1" applyFill="1" applyBorder="1" applyAlignment="1" quotePrefix="1">
      <alignment horizontal="right"/>
    </xf>
    <xf numFmtId="3" fontId="7" fillId="3" borderId="29" xfId="0" applyNumberFormat="1" applyFont="1" applyFill="1" applyBorder="1" applyAlignment="1" quotePrefix="1">
      <alignment horizontal="right"/>
    </xf>
    <xf numFmtId="3" fontId="7" fillId="3" borderId="60" xfId="0" applyNumberFormat="1" applyFont="1" applyFill="1" applyBorder="1" applyAlignment="1">
      <alignment horizontal="right"/>
    </xf>
    <xf numFmtId="3" fontId="7" fillId="3" borderId="64" xfId="0" applyNumberFormat="1" applyFont="1" applyFill="1" applyBorder="1" applyAlignment="1">
      <alignment horizontal="right"/>
    </xf>
    <xf numFmtId="3" fontId="7" fillId="3" borderId="28" xfId="0" applyNumberFormat="1" applyFont="1" applyFill="1" applyBorder="1" applyAlignment="1">
      <alignment horizontal="right"/>
    </xf>
    <xf numFmtId="3" fontId="7" fillId="3" borderId="1" xfId="0" applyNumberFormat="1" applyFont="1" applyFill="1" applyBorder="1" applyAlignment="1">
      <alignment horizontal="right"/>
    </xf>
    <xf numFmtId="3" fontId="7" fillId="3" borderId="61" xfId="0" applyNumberFormat="1" applyFont="1" applyFill="1" applyBorder="1" applyAlignment="1">
      <alignment horizontal="right"/>
    </xf>
    <xf numFmtId="3" fontId="7" fillId="3" borderId="38" xfId="0" applyNumberFormat="1" applyFont="1" applyFill="1" applyBorder="1" applyAlignment="1">
      <alignment horizontal="right"/>
    </xf>
    <xf numFmtId="3" fontId="7" fillId="3" borderId="34" xfId="0" applyNumberFormat="1" applyFont="1" applyFill="1" applyBorder="1" applyAlignment="1">
      <alignment horizontal="right"/>
    </xf>
    <xf numFmtId="3" fontId="7" fillId="3" borderId="24" xfId="0" applyNumberFormat="1" applyFont="1" applyFill="1" applyBorder="1" applyAlignment="1">
      <alignment horizontal="right"/>
    </xf>
    <xf numFmtId="3" fontId="7" fillId="3" borderId="25" xfId="0" applyNumberFormat="1" applyFont="1" applyFill="1" applyBorder="1" applyAlignment="1">
      <alignment horizontal="right"/>
    </xf>
    <xf numFmtId="3" fontId="7" fillId="3" borderId="62" xfId="0" applyNumberFormat="1" applyFont="1" applyFill="1" applyBorder="1" applyAlignment="1">
      <alignment horizontal="right"/>
    </xf>
    <xf numFmtId="0" fontId="7" fillId="2" borderId="8" xfId="22" applyFont="1" applyFill="1" applyBorder="1" applyAlignment="1">
      <alignment horizontal="center" vertical="center"/>
      <protection/>
    </xf>
    <xf numFmtId="0" fontId="7" fillId="2" borderId="11" xfId="22" applyFont="1" applyFill="1" applyBorder="1" applyAlignment="1">
      <alignment horizontal="center" vertical="center"/>
      <protection/>
    </xf>
    <xf numFmtId="3" fontId="7" fillId="3" borderId="41" xfId="0" applyNumberFormat="1" applyFont="1" applyFill="1" applyBorder="1" applyAlignment="1" quotePrefix="1">
      <alignment horizontal="right"/>
    </xf>
    <xf numFmtId="3" fontId="7" fillId="3" borderId="56" xfId="0" applyNumberFormat="1" applyFont="1" applyFill="1" applyBorder="1" applyAlignment="1">
      <alignment horizontal="right"/>
    </xf>
    <xf numFmtId="3" fontId="7" fillId="3" borderId="55" xfId="0" applyNumberFormat="1" applyFont="1" applyFill="1" applyBorder="1" applyAlignment="1" quotePrefix="1">
      <alignment horizontal="right"/>
    </xf>
    <xf numFmtId="3" fontId="7" fillId="3" borderId="66" xfId="0" applyNumberFormat="1" applyFont="1" applyFill="1" applyBorder="1" applyAlignment="1">
      <alignment horizontal="right"/>
    </xf>
    <xf numFmtId="0" fontId="12" fillId="3" borderId="1" xfId="0" applyFont="1" applyFill="1" applyBorder="1" applyAlignment="1">
      <alignment horizontal="center" vertical="center"/>
    </xf>
    <xf numFmtId="3" fontId="7" fillId="2" borderId="35" xfId="0" applyNumberFormat="1"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53" xfId="0" applyFont="1" applyFill="1" applyBorder="1" applyAlignment="1">
      <alignment horizontal="center" vertical="center" wrapText="1"/>
    </xf>
    <xf numFmtId="0" fontId="7" fillId="2" borderId="25" xfId="0" applyFont="1" applyFill="1" applyBorder="1" applyAlignment="1">
      <alignment horizontal="center" vertical="center" wrapText="1"/>
    </xf>
    <xf numFmtId="3" fontId="7" fillId="2" borderId="31" xfId="0" applyNumberFormat="1" applyFont="1" applyFill="1" applyBorder="1" applyAlignment="1">
      <alignment vertical="center"/>
    </xf>
    <xf numFmtId="3" fontId="7" fillId="2" borderId="20" xfId="0" applyNumberFormat="1" applyFont="1" applyFill="1" applyBorder="1" applyAlignment="1">
      <alignment vertical="center"/>
    </xf>
    <xf numFmtId="3" fontId="7" fillId="3" borderId="64" xfId="0" applyNumberFormat="1" applyFont="1" applyFill="1" applyBorder="1" applyAlignment="1">
      <alignment vertical="center"/>
    </xf>
    <xf numFmtId="2" fontId="7" fillId="3" borderId="1" xfId="0" applyNumberFormat="1" applyFont="1" applyFill="1" applyBorder="1" applyAlignment="1">
      <alignment vertical="center"/>
    </xf>
    <xf numFmtId="0" fontId="7" fillId="2" borderId="21" xfId="0" applyFont="1" applyFill="1" applyBorder="1" applyAlignment="1">
      <alignment vertical="center"/>
    </xf>
    <xf numFmtId="2" fontId="7" fillId="2" borderId="18" xfId="0" applyNumberFormat="1" applyFont="1" applyFill="1" applyBorder="1" applyAlignment="1">
      <alignment vertical="center"/>
    </xf>
    <xf numFmtId="2" fontId="7" fillId="3" borderId="22" xfId="0" applyNumberFormat="1" applyFont="1" applyFill="1" applyBorder="1" applyAlignment="1">
      <alignment vertical="center"/>
    </xf>
    <xf numFmtId="3" fontId="7" fillId="3" borderId="22" xfId="0" applyNumberFormat="1" applyFont="1" applyFill="1" applyBorder="1" applyAlignment="1">
      <alignment vertical="center"/>
    </xf>
    <xf numFmtId="3" fontId="7" fillId="3" borderId="63" xfId="0" applyNumberFormat="1" applyFont="1" applyFill="1" applyBorder="1" applyAlignment="1">
      <alignment vertical="center"/>
    </xf>
    <xf numFmtId="2" fontId="7" fillId="3" borderId="8" xfId="0" applyNumberFormat="1" applyFont="1" applyFill="1" applyBorder="1" applyAlignment="1">
      <alignment vertical="center"/>
    </xf>
    <xf numFmtId="3" fontId="7" fillId="3" borderId="8" xfId="0" applyNumberFormat="1" applyFont="1" applyFill="1" applyBorder="1" applyAlignment="1">
      <alignment vertical="center"/>
    </xf>
    <xf numFmtId="3" fontId="7" fillId="3" borderId="11" xfId="0" applyNumberFormat="1" applyFont="1" applyFill="1" applyBorder="1" applyAlignment="1">
      <alignment vertical="center"/>
    </xf>
    <xf numFmtId="2" fontId="7" fillId="2" borderId="31" xfId="0" applyNumberFormat="1" applyFont="1" applyFill="1" applyBorder="1" applyAlignment="1">
      <alignment vertical="center"/>
    </xf>
    <xf numFmtId="2" fontId="7" fillId="2" borderId="35" xfId="0" applyNumberFormat="1" applyFont="1" applyFill="1" applyBorder="1" applyAlignment="1">
      <alignment vertical="center"/>
    </xf>
    <xf numFmtId="3" fontId="7" fillId="2" borderId="19" xfId="0" applyNumberFormat="1" applyFont="1" applyFill="1" applyBorder="1" applyAlignment="1">
      <alignment vertical="center"/>
    </xf>
    <xf numFmtId="0" fontId="7" fillId="3" borderId="0" xfId="0" applyFont="1" applyFill="1" applyAlignment="1">
      <alignment/>
    </xf>
    <xf numFmtId="3" fontId="2" fillId="3" borderId="60" xfId="0" applyNumberFormat="1" applyFont="1" applyFill="1" applyBorder="1" applyAlignment="1">
      <alignment vertical="center" wrapText="1"/>
    </xf>
    <xf numFmtId="3" fontId="2" fillId="3" borderId="61" xfId="0" applyNumberFormat="1" applyFont="1" applyFill="1" applyBorder="1" applyAlignment="1">
      <alignment vertical="center" wrapText="1"/>
    </xf>
    <xf numFmtId="3" fontId="2" fillId="3" borderId="67" xfId="0" applyNumberFormat="1" applyFont="1" applyFill="1" applyBorder="1" applyAlignment="1">
      <alignment vertical="center" wrapText="1"/>
    </xf>
    <xf numFmtId="3" fontId="7" fillId="2" borderId="68" xfId="0" applyNumberFormat="1" applyFont="1" applyFill="1" applyBorder="1" applyAlignment="1">
      <alignment vertical="center" wrapText="1"/>
    </xf>
    <xf numFmtId="3" fontId="7" fillId="2" borderId="68" xfId="0" applyNumberFormat="1" applyFont="1" applyFill="1" applyBorder="1" applyAlignment="1">
      <alignment horizontal="center" vertical="center" wrapText="1"/>
    </xf>
    <xf numFmtId="0" fontId="18" fillId="0" borderId="44" xfId="0" applyFont="1" applyBorder="1" applyAlignment="1">
      <alignment vertical="center" wrapText="1"/>
    </xf>
    <xf numFmtId="0" fontId="18" fillId="0" borderId="61" xfId="0" applyFont="1" applyBorder="1" applyAlignment="1">
      <alignment vertical="center" wrapText="1"/>
    </xf>
    <xf numFmtId="0" fontId="2" fillId="0" borderId="37" xfId="0" applyFont="1" applyBorder="1" applyAlignment="1">
      <alignment vertical="center" wrapText="1"/>
    </xf>
    <xf numFmtId="0" fontId="2" fillId="0" borderId="36" xfId="0" applyFont="1" applyBorder="1" applyAlignment="1">
      <alignment vertical="center" wrapText="1"/>
    </xf>
    <xf numFmtId="0" fontId="2" fillId="3" borderId="22" xfId="0" applyFont="1" applyFill="1" applyBorder="1" applyAlignment="1">
      <alignment horizontal="center"/>
    </xf>
    <xf numFmtId="3" fontId="7" fillId="3" borderId="27" xfId="0" applyNumberFormat="1" applyFont="1" applyFill="1" applyBorder="1" applyAlignment="1">
      <alignment/>
    </xf>
    <xf numFmtId="0" fontId="7" fillId="2" borderId="21" xfId="0" applyFont="1" applyFill="1" applyBorder="1" applyAlignment="1">
      <alignment horizontal="center"/>
    </xf>
    <xf numFmtId="3" fontId="7" fillId="0" borderId="33" xfId="0" applyNumberFormat="1" applyFont="1" applyBorder="1" applyAlignment="1">
      <alignment/>
    </xf>
    <xf numFmtId="3" fontId="7" fillId="0" borderId="28" xfId="0" applyNumberFormat="1" applyFont="1" applyBorder="1" applyAlignment="1">
      <alignment/>
    </xf>
    <xf numFmtId="3" fontId="7" fillId="2" borderId="17" xfId="0" applyNumberFormat="1" applyFont="1" applyFill="1" applyBorder="1" applyAlignment="1">
      <alignment/>
    </xf>
    <xf numFmtId="3" fontId="7" fillId="2" borderId="13" xfId="0" applyNumberFormat="1" applyFont="1" applyFill="1" applyBorder="1" applyAlignment="1">
      <alignment/>
    </xf>
    <xf numFmtId="3" fontId="7" fillId="0" borderId="34" xfId="0" applyNumberFormat="1" applyFont="1" applyBorder="1" applyAlignment="1">
      <alignment/>
    </xf>
    <xf numFmtId="3" fontId="7" fillId="0" borderId="24" xfId="0" applyNumberFormat="1" applyFont="1" applyBorder="1" applyAlignment="1">
      <alignment/>
    </xf>
    <xf numFmtId="0" fontId="7" fillId="2" borderId="64" xfId="22" applyFont="1" applyFill="1" applyBorder="1" applyAlignment="1">
      <alignment horizontal="center" vertical="center"/>
      <protection/>
    </xf>
    <xf numFmtId="0" fontId="2" fillId="3" borderId="0" xfId="0" applyFont="1" applyFill="1" applyAlignment="1">
      <alignment vertical="center"/>
    </xf>
    <xf numFmtId="0" fontId="0" fillId="0" borderId="0" xfId="0" applyFont="1" applyAlignment="1">
      <alignment/>
    </xf>
    <xf numFmtId="10" fontId="5" fillId="3" borderId="28" xfId="0" applyNumberFormat="1" applyFont="1" applyFill="1" applyBorder="1" applyAlignment="1">
      <alignment horizontal="center" vertical="center"/>
    </xf>
    <xf numFmtId="10" fontId="5" fillId="3" borderId="1" xfId="0" applyNumberFormat="1" applyFont="1" applyFill="1" applyBorder="1" applyAlignment="1">
      <alignment horizontal="center" vertical="center"/>
    </xf>
    <xf numFmtId="10" fontId="5" fillId="3" borderId="29" xfId="0" applyNumberFormat="1" applyFont="1" applyFill="1" applyBorder="1" applyAlignment="1">
      <alignment horizontal="center" vertical="center"/>
    </xf>
    <xf numFmtId="0" fontId="5" fillId="0" borderId="33" xfId="0" applyFont="1" applyBorder="1" applyAlignment="1">
      <alignment/>
    </xf>
    <xf numFmtId="0" fontId="5" fillId="0" borderId="17" xfId="0" applyFont="1" applyBorder="1" applyAlignment="1">
      <alignment/>
    </xf>
    <xf numFmtId="0" fontId="0" fillId="3" borderId="0" xfId="0" applyFont="1" applyFill="1" applyBorder="1" applyAlignment="1">
      <alignment/>
    </xf>
    <xf numFmtId="0" fontId="0" fillId="3" borderId="37" xfId="0" applyFill="1" applyBorder="1" applyAlignment="1">
      <alignment/>
    </xf>
    <xf numFmtId="0" fontId="0" fillId="3" borderId="0" xfId="0" applyFill="1" applyBorder="1" applyAlignment="1">
      <alignment/>
    </xf>
    <xf numFmtId="0" fontId="0" fillId="3" borderId="69" xfId="0" applyFill="1" applyBorder="1" applyAlignment="1">
      <alignment/>
    </xf>
    <xf numFmtId="0" fontId="2" fillId="3" borderId="0" xfId="0" applyFont="1" applyFill="1" applyBorder="1" applyAlignment="1">
      <alignment/>
    </xf>
    <xf numFmtId="0" fontId="0" fillId="3" borderId="0" xfId="0" applyFill="1" applyBorder="1" applyAlignment="1">
      <alignment horizontal="right"/>
    </xf>
    <xf numFmtId="2" fontId="2" fillId="3" borderId="70" xfId="0" applyNumberFormat="1" applyFont="1" applyFill="1" applyBorder="1" applyAlignment="1">
      <alignment vertical="center" wrapText="1"/>
    </xf>
    <xf numFmtId="0" fontId="2" fillId="3" borderId="8" xfId="0" applyFont="1" applyFill="1" applyBorder="1" applyAlignment="1">
      <alignment horizontal="center" vertical="center"/>
    </xf>
    <xf numFmtId="10" fontId="5" fillId="3" borderId="34" xfId="0" applyNumberFormat="1" applyFont="1" applyFill="1" applyBorder="1" applyAlignment="1">
      <alignment horizontal="center" vertical="center"/>
    </xf>
    <xf numFmtId="10" fontId="5" fillId="3" borderId="24" xfId="0" applyNumberFormat="1" applyFont="1" applyFill="1" applyBorder="1" applyAlignment="1">
      <alignment horizontal="center" vertical="center"/>
    </xf>
    <xf numFmtId="10" fontId="5" fillId="3" borderId="25" xfId="0" applyNumberFormat="1" applyFont="1" applyFill="1" applyBorder="1" applyAlignment="1">
      <alignment horizontal="center" vertical="center"/>
    </xf>
    <xf numFmtId="10" fontId="5" fillId="3" borderId="33" xfId="0" applyNumberFormat="1" applyFont="1" applyFill="1" applyBorder="1" applyAlignment="1">
      <alignment horizontal="center" vertical="center"/>
    </xf>
    <xf numFmtId="10" fontId="5" fillId="3" borderId="22" xfId="0" applyNumberFormat="1" applyFont="1" applyFill="1" applyBorder="1" applyAlignment="1">
      <alignment horizontal="center" vertical="center"/>
    </xf>
    <xf numFmtId="10" fontId="5" fillId="3" borderId="27" xfId="0" applyNumberFormat="1" applyFont="1" applyFill="1" applyBorder="1" applyAlignment="1">
      <alignment horizontal="center" vertical="center"/>
    </xf>
    <xf numFmtId="10" fontId="7" fillId="2" borderId="24" xfId="0" applyNumberFormat="1" applyFont="1" applyFill="1" applyBorder="1" applyAlignment="1">
      <alignment horizontal="center" vertical="center" wrapText="1"/>
    </xf>
    <xf numFmtId="3" fontId="5" fillId="2" borderId="24" xfId="0" applyNumberFormat="1" applyFont="1" applyFill="1" applyBorder="1" applyAlignment="1">
      <alignment horizontal="center" vertical="center" wrapText="1"/>
    </xf>
    <xf numFmtId="10" fontId="7" fillId="2" borderId="34" xfId="0" applyNumberFormat="1" applyFont="1" applyFill="1" applyBorder="1" applyAlignment="1">
      <alignment horizontal="center" vertical="center" wrapText="1"/>
    </xf>
    <xf numFmtId="0" fontId="5" fillId="3" borderId="42"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26" xfId="0" applyFont="1" applyFill="1" applyBorder="1" applyAlignment="1">
      <alignment horizontal="center" vertical="center"/>
    </xf>
    <xf numFmtId="0" fontId="10" fillId="0" borderId="0" xfId="0" applyFont="1" applyAlignment="1">
      <alignment/>
    </xf>
    <xf numFmtId="0" fontId="4" fillId="0" borderId="0" xfId="0" applyFont="1" applyAlignment="1">
      <alignment horizontal="left"/>
    </xf>
    <xf numFmtId="0" fontId="5" fillId="0" borderId="0" xfId="0" applyFont="1" applyAlignment="1">
      <alignment horizontal="right"/>
    </xf>
    <xf numFmtId="0" fontId="6" fillId="0" borderId="0" xfId="0" applyFont="1" applyAlignment="1">
      <alignment horizontal="centerContinuous"/>
    </xf>
    <xf numFmtId="0" fontId="9" fillId="0" borderId="0" xfId="0" applyFont="1" applyAlignment="1">
      <alignment horizontal="centerContinuous"/>
    </xf>
    <xf numFmtId="0" fontId="6" fillId="0" borderId="0" xfId="0" applyFont="1" applyAlignment="1">
      <alignment horizontal="left"/>
    </xf>
    <xf numFmtId="0" fontId="10" fillId="2" borderId="43" xfId="0" applyFont="1" applyFill="1" applyBorder="1" applyAlignment="1">
      <alignment horizontal="center"/>
    </xf>
    <xf numFmtId="0" fontId="10" fillId="2" borderId="8" xfId="0" applyFont="1" applyFill="1" applyBorder="1" applyAlignment="1">
      <alignment horizontal="center"/>
    </xf>
    <xf numFmtId="0" fontId="10" fillId="2" borderId="9" xfId="0" applyFont="1" applyFill="1" applyBorder="1" applyAlignment="1">
      <alignment horizontal="center"/>
    </xf>
    <xf numFmtId="0" fontId="10" fillId="2" borderId="12" xfId="0" applyFont="1" applyFill="1" applyBorder="1" applyAlignment="1">
      <alignment horizontal="center"/>
    </xf>
    <xf numFmtId="0" fontId="10" fillId="2" borderId="71" xfId="0" applyFont="1" applyFill="1" applyBorder="1" applyAlignment="1">
      <alignment horizontal="center"/>
    </xf>
    <xf numFmtId="0" fontId="10" fillId="2" borderId="72" xfId="0" applyFont="1" applyFill="1" applyBorder="1" applyAlignment="1">
      <alignment horizontal="center"/>
    </xf>
    <xf numFmtId="0" fontId="10" fillId="2" borderId="73" xfId="0" applyFont="1" applyFill="1" applyBorder="1" applyAlignment="1">
      <alignment horizontal="center"/>
    </xf>
    <xf numFmtId="0" fontId="10" fillId="2" borderId="71" xfId="0" applyFont="1" applyFill="1" applyBorder="1" applyAlignment="1" quotePrefix="1">
      <alignment horizontal="center"/>
    </xf>
    <xf numFmtId="0" fontId="10" fillId="2" borderId="74" xfId="0" applyFont="1" applyFill="1" applyBorder="1" applyAlignment="1">
      <alignment horizontal="center"/>
    </xf>
    <xf numFmtId="0" fontId="10" fillId="0" borderId="60" xfId="0" applyFont="1" applyBorder="1" applyAlignment="1">
      <alignment horizontal="left" vertical="center" wrapText="1"/>
    </xf>
    <xf numFmtId="3" fontId="10" fillId="0" borderId="33" xfId="0" applyNumberFormat="1" applyFont="1" applyFill="1" applyBorder="1" applyAlignment="1">
      <alignment vertical="center" wrapText="1"/>
    </xf>
    <xf numFmtId="3" fontId="10" fillId="0" borderId="22" xfId="0" applyNumberFormat="1" applyFont="1" applyFill="1" applyBorder="1" applyAlignment="1">
      <alignment vertical="center" wrapText="1"/>
    </xf>
    <xf numFmtId="3" fontId="10" fillId="0" borderId="27" xfId="0" applyNumberFormat="1" applyFont="1" applyFill="1" applyBorder="1" applyAlignment="1">
      <alignment vertical="center" wrapText="1"/>
    </xf>
    <xf numFmtId="3" fontId="9" fillId="5" borderId="42" xfId="0" applyNumberFormat="1" applyFont="1" applyFill="1" applyBorder="1" applyAlignment="1">
      <alignment vertical="center" wrapText="1"/>
    </xf>
    <xf numFmtId="0" fontId="9" fillId="5" borderId="27" xfId="0" applyFont="1" applyFill="1" applyBorder="1" applyAlignment="1">
      <alignment vertical="center" wrapText="1"/>
    </xf>
    <xf numFmtId="0" fontId="10" fillId="0" borderId="61" xfId="0" applyFont="1" applyBorder="1" applyAlignment="1">
      <alignment horizontal="left" vertical="center" wrapText="1"/>
    </xf>
    <xf numFmtId="3" fontId="10" fillId="0" borderId="28" xfId="0" applyNumberFormat="1" applyFont="1" applyBorder="1" applyAlignment="1">
      <alignment vertical="center" wrapText="1"/>
    </xf>
    <xf numFmtId="3" fontId="10" fillId="0" borderId="1" xfId="0" applyNumberFormat="1" applyFont="1" applyBorder="1" applyAlignment="1">
      <alignment vertical="center" wrapText="1"/>
    </xf>
    <xf numFmtId="3" fontId="10" fillId="0" borderId="29" xfId="0" applyNumberFormat="1" applyFont="1" applyFill="1" applyBorder="1" applyAlignment="1">
      <alignment vertical="center" wrapText="1"/>
    </xf>
    <xf numFmtId="3" fontId="9" fillId="5" borderId="36" xfId="0" applyNumberFormat="1" applyFont="1" applyFill="1" applyBorder="1" applyAlignment="1">
      <alignment vertical="center" wrapText="1"/>
    </xf>
    <xf numFmtId="10" fontId="9" fillId="5" borderId="29" xfId="0" applyNumberFormat="1" applyFont="1" applyFill="1" applyBorder="1" applyAlignment="1">
      <alignment vertical="center" wrapText="1"/>
    </xf>
    <xf numFmtId="0" fontId="10" fillId="0" borderId="67" xfId="0" applyFont="1" applyBorder="1" applyAlignment="1">
      <alignment horizontal="left" vertical="center" wrapText="1"/>
    </xf>
    <xf numFmtId="3" fontId="10" fillId="0" borderId="12" xfId="0" applyNumberFormat="1" applyFont="1" applyFill="1" applyBorder="1" applyAlignment="1">
      <alignment vertical="center" wrapText="1"/>
    </xf>
    <xf numFmtId="3" fontId="10" fillId="0" borderId="8" xfId="0" applyNumberFormat="1" applyFont="1" applyBorder="1" applyAlignment="1">
      <alignment vertical="center" wrapText="1"/>
    </xf>
    <xf numFmtId="3" fontId="10" fillId="0" borderId="9" xfId="0" applyNumberFormat="1" applyFont="1" applyFill="1" applyBorder="1" applyAlignment="1">
      <alignment vertical="center" wrapText="1"/>
    </xf>
    <xf numFmtId="3" fontId="9" fillId="5" borderId="43" xfId="0" applyNumberFormat="1" applyFont="1" applyFill="1" applyBorder="1" applyAlignment="1">
      <alignment vertical="center" wrapText="1"/>
    </xf>
    <xf numFmtId="10" fontId="9" fillId="5" borderId="9" xfId="0" applyNumberFormat="1" applyFont="1" applyFill="1" applyBorder="1" applyAlignment="1">
      <alignment vertical="center" wrapText="1"/>
    </xf>
    <xf numFmtId="0" fontId="9" fillId="2" borderId="68" xfId="0" applyFont="1" applyFill="1" applyBorder="1" applyAlignment="1">
      <alignment horizontal="left" vertical="center" wrapText="1"/>
    </xf>
    <xf numFmtId="3" fontId="9" fillId="2" borderId="21" xfId="0" applyNumberFormat="1" applyFont="1" applyFill="1" applyBorder="1" applyAlignment="1">
      <alignment vertical="center" wrapText="1"/>
    </xf>
    <xf numFmtId="3" fontId="9" fillId="2" borderId="19" xfId="0" applyNumberFormat="1" applyFont="1" applyFill="1" applyBorder="1" applyAlignment="1">
      <alignment vertical="center" wrapText="1"/>
    </xf>
    <xf numFmtId="3" fontId="9" fillId="2" borderId="18" xfId="0" applyNumberFormat="1" applyFont="1" applyFill="1" applyBorder="1" applyAlignment="1">
      <alignment vertical="center" wrapText="1"/>
    </xf>
    <xf numFmtId="3" fontId="9" fillId="2" borderId="31" xfId="0" applyNumberFormat="1" applyFont="1" applyFill="1" applyBorder="1" applyAlignment="1">
      <alignment vertical="center" wrapText="1"/>
    </xf>
    <xf numFmtId="3" fontId="9" fillId="2" borderId="51" xfId="0" applyNumberFormat="1" applyFont="1" applyFill="1" applyBorder="1" applyAlignment="1">
      <alignment vertical="center" wrapText="1"/>
    </xf>
    <xf numFmtId="3" fontId="9" fillId="5" borderId="18" xfId="0" applyNumberFormat="1" applyFont="1" applyFill="1" applyBorder="1" applyAlignment="1">
      <alignment vertical="center" wrapText="1"/>
    </xf>
    <xf numFmtId="10" fontId="9" fillId="5" borderId="20" xfId="0" applyNumberFormat="1" applyFont="1" applyFill="1" applyBorder="1" applyAlignment="1">
      <alignment vertical="center" wrapText="1"/>
    </xf>
    <xf numFmtId="3" fontId="10" fillId="0" borderId="33" xfId="0" applyNumberFormat="1" applyFont="1" applyBorder="1" applyAlignment="1">
      <alignment vertical="center" wrapText="1"/>
    </xf>
    <xf numFmtId="3" fontId="10" fillId="0" borderId="22" xfId="0" applyNumberFormat="1" applyFont="1" applyBorder="1" applyAlignment="1">
      <alignment vertical="center" wrapText="1"/>
    </xf>
    <xf numFmtId="10" fontId="9" fillId="5" borderId="27" xfId="0" applyNumberFormat="1" applyFont="1" applyFill="1" applyBorder="1" applyAlignment="1">
      <alignment vertical="center" wrapText="1"/>
    </xf>
    <xf numFmtId="0" fontId="0" fillId="0" borderId="0" xfId="0" applyFont="1" applyAlignment="1">
      <alignment vertical="center"/>
    </xf>
    <xf numFmtId="3" fontId="10" fillId="0" borderId="28" xfId="0" applyNumberFormat="1" applyFont="1" applyFill="1" applyBorder="1" applyAlignment="1">
      <alignment vertical="center" wrapText="1"/>
    </xf>
    <xf numFmtId="0" fontId="10" fillId="0" borderId="61" xfId="0" applyFont="1" applyBorder="1" applyAlignment="1">
      <alignment vertical="center" wrapText="1"/>
    </xf>
    <xf numFmtId="3" fontId="10" fillId="0" borderId="1" xfId="0" applyNumberFormat="1" applyFont="1" applyFill="1" applyBorder="1" applyAlignment="1">
      <alignment vertical="center" wrapText="1"/>
    </xf>
    <xf numFmtId="0" fontId="10" fillId="0" borderId="67" xfId="0" applyFont="1" applyBorder="1" applyAlignment="1">
      <alignment vertical="center" wrapText="1"/>
    </xf>
    <xf numFmtId="3" fontId="10" fillId="0" borderId="12" xfId="0" applyNumberFormat="1" applyFont="1" applyBorder="1" applyAlignment="1">
      <alignment vertical="center" wrapText="1"/>
    </xf>
    <xf numFmtId="3" fontId="10" fillId="0" borderId="75" xfId="0" applyNumberFormat="1" applyFont="1" applyFill="1" applyBorder="1" applyAlignment="1">
      <alignment vertical="center" wrapText="1"/>
    </xf>
    <xf numFmtId="3" fontId="9" fillId="2" borderId="20" xfId="0" applyNumberFormat="1" applyFont="1" applyFill="1" applyBorder="1" applyAlignment="1">
      <alignment vertical="center" wrapText="1"/>
    </xf>
    <xf numFmtId="3" fontId="9" fillId="5" borderId="23" xfId="0" applyNumberFormat="1" applyFont="1" applyFill="1" applyBorder="1" applyAlignment="1">
      <alignment vertical="center" wrapText="1"/>
    </xf>
    <xf numFmtId="10" fontId="9" fillId="5" borderId="14" xfId="0" applyNumberFormat="1" applyFont="1" applyFill="1" applyBorder="1" applyAlignment="1">
      <alignment vertical="center" wrapText="1"/>
    </xf>
    <xf numFmtId="0" fontId="2" fillId="0" borderId="0" xfId="0" applyFont="1" applyAlignment="1">
      <alignment/>
    </xf>
    <xf numFmtId="0" fontId="9" fillId="2" borderId="24" xfId="22" applyFont="1" applyFill="1" applyBorder="1" applyAlignment="1">
      <alignment horizontal="center" vertical="center"/>
      <protection/>
    </xf>
    <xf numFmtId="0" fontId="9" fillId="2" borderId="38" xfId="22" applyFont="1" applyFill="1" applyBorder="1" applyAlignment="1">
      <alignment horizontal="center" vertical="center"/>
      <protection/>
    </xf>
    <xf numFmtId="3" fontId="7" fillId="0" borderId="17" xfId="22" applyNumberFormat="1" applyFont="1" applyBorder="1" applyAlignment="1">
      <alignment horizontal="center" vertical="center"/>
      <protection/>
    </xf>
    <xf numFmtId="0" fontId="9" fillId="0" borderId="60" xfId="0" applyFont="1" applyBorder="1" applyAlignment="1">
      <alignment/>
    </xf>
    <xf numFmtId="3" fontId="7" fillId="0" borderId="1" xfId="0" applyNumberFormat="1" applyFont="1" applyBorder="1" applyAlignment="1" quotePrefix="1">
      <alignment horizontal="center"/>
    </xf>
    <xf numFmtId="3" fontId="7" fillId="0" borderId="27" xfId="0" applyNumberFormat="1" applyFont="1" applyBorder="1" applyAlignment="1" quotePrefix="1">
      <alignment horizontal="center"/>
    </xf>
    <xf numFmtId="3" fontId="7" fillId="0" borderId="60" xfId="0" applyNumberFormat="1" applyFont="1" applyBorder="1" applyAlignment="1">
      <alignment/>
    </xf>
    <xf numFmtId="3" fontId="7" fillId="0" borderId="41" xfId="0" applyNumberFormat="1" applyFont="1" applyBorder="1" applyAlignment="1" quotePrefix="1">
      <alignment horizontal="center"/>
    </xf>
    <xf numFmtId="0" fontId="9" fillId="0" borderId="61" xfId="0" applyFont="1" applyBorder="1" applyAlignment="1">
      <alignment/>
    </xf>
    <xf numFmtId="3" fontId="7" fillId="0" borderId="64" xfId="0" applyNumberFormat="1" applyFont="1" applyBorder="1" applyAlignment="1">
      <alignment/>
    </xf>
    <xf numFmtId="3" fontId="7" fillId="0" borderId="29" xfId="0" applyNumberFormat="1" applyFont="1" applyBorder="1" applyAlignment="1">
      <alignment/>
    </xf>
    <xf numFmtId="3" fontId="7" fillId="0" borderId="61" xfId="0" applyNumberFormat="1" applyFont="1" applyBorder="1" applyAlignment="1">
      <alignment/>
    </xf>
    <xf numFmtId="3" fontId="7" fillId="0" borderId="56" xfId="0" applyNumberFormat="1" applyFont="1" applyBorder="1" applyAlignment="1">
      <alignment/>
    </xf>
    <xf numFmtId="3" fontId="7" fillId="0" borderId="36" xfId="0" applyNumberFormat="1" applyFont="1" applyBorder="1" applyAlignment="1" quotePrefix="1">
      <alignment horizontal="center"/>
    </xf>
    <xf numFmtId="3" fontId="7" fillId="0" borderId="49" xfId="0" applyNumberFormat="1" applyFont="1" applyBorder="1" applyAlignment="1" quotePrefix="1">
      <alignment horizontal="center"/>
    </xf>
    <xf numFmtId="3" fontId="7" fillId="0" borderId="1" xfId="0" applyNumberFormat="1" applyFont="1" applyBorder="1" applyAlignment="1" quotePrefix="1">
      <alignment horizontal="right"/>
    </xf>
    <xf numFmtId="0" fontId="9" fillId="0" borderId="62" xfId="0" applyFont="1" applyBorder="1" applyAlignment="1">
      <alignment/>
    </xf>
    <xf numFmtId="3" fontId="7" fillId="0" borderId="38" xfId="0" applyNumberFormat="1" applyFont="1" applyBorder="1" applyAlignment="1">
      <alignment/>
    </xf>
    <xf numFmtId="3" fontId="7" fillId="0" borderId="25" xfId="0" applyNumberFormat="1" applyFont="1" applyBorder="1" applyAlignment="1">
      <alignment/>
    </xf>
    <xf numFmtId="3" fontId="7" fillId="0" borderId="62" xfId="0" applyNumberFormat="1" applyFont="1" applyBorder="1" applyAlignment="1">
      <alignment/>
    </xf>
    <xf numFmtId="3" fontId="7" fillId="0" borderId="66" xfId="0" applyNumberFormat="1" applyFont="1" applyBorder="1" applyAlignment="1">
      <alignment/>
    </xf>
    <xf numFmtId="0" fontId="9" fillId="0" borderId="0" xfId="0" applyFont="1" applyBorder="1" applyAlignment="1">
      <alignment/>
    </xf>
    <xf numFmtId="0" fontId="7" fillId="2" borderId="48" xfId="0" applyFont="1" applyFill="1" applyBorder="1" applyAlignment="1">
      <alignment horizontal="center"/>
    </xf>
    <xf numFmtId="3" fontId="7" fillId="2" borderId="1" xfId="0" applyNumberFormat="1" applyFont="1" applyFill="1" applyBorder="1" applyAlignment="1">
      <alignment horizontal="center"/>
    </xf>
    <xf numFmtId="3" fontId="7" fillId="2" borderId="64" xfId="0" applyNumberFormat="1" applyFont="1" applyFill="1" applyBorder="1" applyAlignment="1">
      <alignment horizontal="center"/>
    </xf>
    <xf numFmtId="3" fontId="7" fillId="2" borderId="29" xfId="0" applyNumberFormat="1" applyFont="1" applyFill="1" applyBorder="1" applyAlignment="1">
      <alignment horizontal="center"/>
    </xf>
    <xf numFmtId="3" fontId="7" fillId="0" borderId="13" xfId="0" applyNumberFormat="1" applyFont="1" applyFill="1" applyBorder="1" applyAlignment="1">
      <alignment vertical="center"/>
    </xf>
    <xf numFmtId="0" fontId="7" fillId="0" borderId="63" xfId="0" applyFont="1" applyBorder="1" applyAlignment="1">
      <alignment vertical="center"/>
    </xf>
    <xf numFmtId="164" fontId="11" fillId="0" borderId="27" xfId="0" applyNumberFormat="1" applyFont="1" applyBorder="1" applyAlignment="1">
      <alignment horizontal="right" vertical="center"/>
    </xf>
    <xf numFmtId="0" fontId="7" fillId="0" borderId="64" xfId="0" applyFont="1" applyBorder="1" applyAlignment="1">
      <alignment vertical="center"/>
    </xf>
    <xf numFmtId="0" fontId="7" fillId="2" borderId="31" xfId="0" applyFont="1" applyFill="1" applyBorder="1" applyAlignment="1">
      <alignment horizontal="right" vertical="center"/>
    </xf>
    <xf numFmtId="164" fontId="11" fillId="2" borderId="20" xfId="0" applyNumberFormat="1" applyFont="1" applyFill="1" applyBorder="1" applyAlignment="1">
      <alignment horizontal="right" vertical="center"/>
    </xf>
    <xf numFmtId="0" fontId="7" fillId="0" borderId="2" xfId="0" applyFont="1" applyBorder="1" applyAlignment="1">
      <alignment vertical="center" wrapText="1"/>
    </xf>
    <xf numFmtId="0" fontId="7" fillId="0" borderId="36" xfId="0" applyFont="1" applyBorder="1" applyAlignment="1">
      <alignment vertical="center" wrapText="1"/>
    </xf>
    <xf numFmtId="0" fontId="7" fillId="0" borderId="26" xfId="0" applyFont="1" applyBorder="1" applyAlignment="1">
      <alignment vertical="center" wrapText="1"/>
    </xf>
    <xf numFmtId="3" fontId="2" fillId="0" borderId="33" xfId="0" applyNumberFormat="1" applyFont="1" applyFill="1" applyBorder="1" applyAlignment="1">
      <alignment vertical="center" wrapText="1"/>
    </xf>
    <xf numFmtId="3" fontId="2" fillId="0" borderId="27" xfId="0" applyNumberFormat="1" applyFont="1" applyFill="1" applyBorder="1" applyAlignment="1">
      <alignment vertical="center" wrapText="1"/>
    </xf>
    <xf numFmtId="3" fontId="2" fillId="0" borderId="28" xfId="0" applyNumberFormat="1" applyFont="1" applyBorder="1" applyAlignment="1">
      <alignment vertical="center" wrapText="1"/>
    </xf>
    <xf numFmtId="3" fontId="2" fillId="0" borderId="29" xfId="0" applyNumberFormat="1" applyFont="1" applyFill="1" applyBorder="1" applyAlignment="1">
      <alignment vertical="center" wrapText="1"/>
    </xf>
    <xf numFmtId="3" fontId="2" fillId="0" borderId="12" xfId="0" applyNumberFormat="1" applyFont="1" applyFill="1" applyBorder="1" applyAlignment="1">
      <alignment vertical="center" wrapText="1"/>
    </xf>
    <xf numFmtId="3" fontId="2" fillId="0" borderId="8" xfId="0" applyNumberFormat="1" applyFont="1" applyBorder="1" applyAlignment="1">
      <alignment vertical="center" wrapText="1"/>
    </xf>
    <xf numFmtId="3" fontId="2" fillId="0" borderId="9" xfId="0" applyNumberFormat="1" applyFont="1" applyFill="1" applyBorder="1" applyAlignment="1">
      <alignment vertical="center" wrapText="1"/>
    </xf>
    <xf numFmtId="3" fontId="7" fillId="2" borderId="51" xfId="0" applyNumberFormat="1" applyFont="1" applyFill="1" applyBorder="1" applyAlignment="1">
      <alignment vertical="center" wrapText="1"/>
    </xf>
    <xf numFmtId="3" fontId="2" fillId="0" borderId="33" xfId="0" applyNumberFormat="1" applyFont="1" applyBorder="1" applyAlignment="1">
      <alignment vertical="center" wrapText="1"/>
    </xf>
    <xf numFmtId="3" fontId="2" fillId="0" borderId="22" xfId="0" applyNumberFormat="1" applyFont="1" applyBorder="1" applyAlignment="1">
      <alignment vertical="center" wrapText="1"/>
    </xf>
    <xf numFmtId="3" fontId="2" fillId="0" borderId="28" xfId="0" applyNumberFormat="1" applyFont="1" applyFill="1" applyBorder="1" applyAlignment="1">
      <alignment vertical="center" wrapText="1"/>
    </xf>
    <xf numFmtId="3" fontId="2" fillId="0" borderId="1" xfId="0" applyNumberFormat="1" applyFont="1" applyFill="1" applyBorder="1" applyAlignment="1">
      <alignment vertical="center" wrapText="1"/>
    </xf>
    <xf numFmtId="3" fontId="2" fillId="0" borderId="12" xfId="0" applyNumberFormat="1" applyFont="1" applyBorder="1" applyAlignment="1">
      <alignment vertical="center" wrapText="1"/>
    </xf>
    <xf numFmtId="3" fontId="2" fillId="0" borderId="75" xfId="0" applyNumberFormat="1" applyFont="1" applyFill="1" applyBorder="1" applyAlignment="1">
      <alignment vertical="center" wrapText="1"/>
    </xf>
    <xf numFmtId="0" fontId="11" fillId="0" borderId="44" xfId="0" applyFont="1" applyBorder="1" applyAlignment="1">
      <alignment vertical="center" wrapText="1"/>
    </xf>
    <xf numFmtId="0" fontId="19" fillId="0" borderId="61" xfId="0" applyFont="1" applyBorder="1" applyAlignment="1">
      <alignment vertical="center" wrapText="1"/>
    </xf>
    <xf numFmtId="0" fontId="11" fillId="0" borderId="61" xfId="0" applyFont="1" applyBorder="1" applyAlignment="1">
      <alignment vertical="center" wrapText="1"/>
    </xf>
    <xf numFmtId="0" fontId="7" fillId="0" borderId="8" xfId="0" applyFont="1" applyBorder="1" applyAlignment="1">
      <alignment vertical="center" wrapText="1"/>
    </xf>
    <xf numFmtId="3" fontId="7" fillId="0" borderId="13" xfId="22" applyNumberFormat="1" applyFont="1" applyBorder="1" applyAlignment="1">
      <alignment horizontal="right" vertical="center"/>
      <protection/>
    </xf>
    <xf numFmtId="3" fontId="7" fillId="0" borderId="14" xfId="22" applyNumberFormat="1" applyFont="1" applyBorder="1" applyAlignment="1">
      <alignment horizontal="right" vertical="center"/>
      <protection/>
    </xf>
    <xf numFmtId="0" fontId="7" fillId="0" borderId="0" xfId="0" applyFont="1" applyAlignment="1">
      <alignment/>
    </xf>
    <xf numFmtId="3" fontId="7" fillId="0" borderId="56" xfId="0" applyNumberFormat="1" applyFont="1" applyBorder="1" applyAlignment="1" quotePrefix="1">
      <alignment horizontal="center"/>
    </xf>
    <xf numFmtId="3" fontId="7" fillId="0" borderId="28" xfId="0" applyNumberFormat="1" applyFont="1" applyBorder="1" applyAlignment="1" quotePrefix="1">
      <alignment horizontal="right"/>
    </xf>
    <xf numFmtId="0" fontId="5" fillId="2" borderId="21" xfId="0" applyFont="1" applyFill="1" applyBorder="1" applyAlignment="1">
      <alignment vertical="center"/>
    </xf>
    <xf numFmtId="0" fontId="5" fillId="2" borderId="31" xfId="0" applyFont="1" applyFill="1" applyBorder="1" applyAlignment="1">
      <alignment horizontal="center" vertical="center"/>
    </xf>
    <xf numFmtId="0" fontId="5" fillId="2" borderId="20" xfId="0" applyFont="1" applyFill="1" applyBorder="1" applyAlignment="1">
      <alignment horizontal="center" vertical="center"/>
    </xf>
    <xf numFmtId="0" fontId="7" fillId="0" borderId="36" xfId="0" applyFont="1" applyBorder="1" applyAlignment="1">
      <alignment/>
    </xf>
    <xf numFmtId="0" fontId="7" fillId="0" borderId="49" xfId="0" applyFont="1" applyBorder="1" applyAlignment="1">
      <alignment/>
    </xf>
    <xf numFmtId="0" fontId="7" fillId="0" borderId="48" xfId="0" applyFont="1" applyBorder="1" applyAlignment="1">
      <alignment/>
    </xf>
    <xf numFmtId="0" fontId="7" fillId="0" borderId="36" xfId="0" applyFont="1" applyBorder="1" applyAlignment="1">
      <alignment/>
    </xf>
    <xf numFmtId="3" fontId="7" fillId="0" borderId="1" xfId="0" applyNumberFormat="1" applyFont="1" applyFill="1" applyBorder="1" applyAlignment="1">
      <alignment vertical="center"/>
    </xf>
    <xf numFmtId="3" fontId="7" fillId="0" borderId="29" xfId="0" applyNumberFormat="1" applyFont="1" applyFill="1" applyBorder="1" applyAlignment="1">
      <alignment vertical="center"/>
    </xf>
    <xf numFmtId="0" fontId="7" fillId="0" borderId="23" xfId="0" applyFont="1" applyBorder="1" applyAlignment="1">
      <alignment/>
    </xf>
    <xf numFmtId="3" fontId="7" fillId="0" borderId="13" xfId="0" applyNumberFormat="1" applyFont="1" applyFill="1" applyBorder="1" applyAlignment="1">
      <alignment horizontal="right" vertical="center" wrapText="1"/>
    </xf>
    <xf numFmtId="3" fontId="7" fillId="0" borderId="14" xfId="0" applyNumberFormat="1" applyFont="1" applyFill="1" applyBorder="1" applyAlignment="1">
      <alignment vertical="center"/>
    </xf>
    <xf numFmtId="3" fontId="7" fillId="0" borderId="75" xfId="0" applyNumberFormat="1" applyFont="1" applyFill="1" applyBorder="1" applyAlignment="1">
      <alignment vertical="center"/>
    </xf>
    <xf numFmtId="2" fontId="7" fillId="0" borderId="36" xfId="0" applyNumberFormat="1" applyFont="1" applyFill="1" applyBorder="1" applyAlignment="1">
      <alignment vertical="center"/>
    </xf>
    <xf numFmtId="0" fontId="2" fillId="0" borderId="43" xfId="0" applyFont="1" applyBorder="1" applyAlignment="1">
      <alignment vertical="center" wrapText="1"/>
    </xf>
    <xf numFmtId="3" fontId="7" fillId="0" borderId="76" xfId="0" applyNumberFormat="1" applyFont="1" applyBorder="1" applyAlignment="1">
      <alignment vertical="center" wrapText="1"/>
    </xf>
    <xf numFmtId="10" fontId="2" fillId="0" borderId="75" xfId="0" applyNumberFormat="1" applyFont="1" applyFill="1" applyBorder="1" applyAlignment="1">
      <alignment vertical="center" wrapText="1"/>
    </xf>
    <xf numFmtId="10" fontId="7" fillId="2" borderId="20" xfId="0" applyNumberFormat="1" applyFont="1" applyFill="1" applyBorder="1" applyAlignment="1">
      <alignment vertical="center" wrapText="1"/>
    </xf>
    <xf numFmtId="4" fontId="7" fillId="2" borderId="18" xfId="0" applyNumberFormat="1" applyFont="1" applyFill="1" applyBorder="1" applyAlignment="1">
      <alignment vertical="center"/>
    </xf>
    <xf numFmtId="0" fontId="5" fillId="2" borderId="3" xfId="20" applyFont="1" applyFill="1" applyBorder="1" applyAlignment="1">
      <alignment horizontal="centerContinuous"/>
      <protection/>
    </xf>
    <xf numFmtId="0" fontId="5" fillId="2" borderId="6" xfId="20" applyFont="1" applyFill="1" applyBorder="1" applyAlignment="1">
      <alignment horizontal="centerContinuous"/>
      <protection/>
    </xf>
    <xf numFmtId="0" fontId="5" fillId="2" borderId="4" xfId="20" applyFont="1" applyFill="1" applyBorder="1" applyAlignment="1">
      <alignment horizontal="centerContinuous"/>
      <protection/>
    </xf>
    <xf numFmtId="0" fontId="2" fillId="2" borderId="12" xfId="20" applyFont="1" applyFill="1" applyBorder="1" applyAlignment="1">
      <alignment horizontal="center"/>
      <protection/>
    </xf>
    <xf numFmtId="0" fontId="10" fillId="2" borderId="8" xfId="20" applyFont="1" applyFill="1" applyBorder="1" applyAlignment="1">
      <alignment horizontal="center"/>
      <protection/>
    </xf>
    <xf numFmtId="0" fontId="2" fillId="2" borderId="9" xfId="20" applyFont="1" applyFill="1" applyBorder="1" applyAlignment="1">
      <alignment horizontal="center"/>
      <protection/>
    </xf>
    <xf numFmtId="0" fontId="2" fillId="2" borderId="17" xfId="20" applyFont="1" applyFill="1" applyBorder="1" applyAlignment="1">
      <alignment horizontal="center"/>
      <protection/>
    </xf>
    <xf numFmtId="0" fontId="2" fillId="2" borderId="13" xfId="20" applyFont="1" applyFill="1" applyBorder="1" applyAlignment="1">
      <alignment horizontal="center"/>
      <protection/>
    </xf>
    <xf numFmtId="0" fontId="2" fillId="2" borderId="14" xfId="20" applyFont="1" applyFill="1" applyBorder="1" applyAlignment="1">
      <alignment horizontal="center"/>
      <protection/>
    </xf>
    <xf numFmtId="0" fontId="7" fillId="0" borderId="0" xfId="0" applyFont="1" applyAlignment="1">
      <alignment horizontal="centerContinuous"/>
    </xf>
    <xf numFmtId="0" fontId="2" fillId="0" borderId="42" xfId="0" applyFont="1" applyBorder="1" applyAlignment="1">
      <alignment horizontal="left" vertical="center" wrapText="1"/>
    </xf>
    <xf numFmtId="3" fontId="2" fillId="0" borderId="55" xfId="0" applyNumberFormat="1" applyFont="1" applyBorder="1" applyAlignment="1">
      <alignment vertical="center" wrapText="1"/>
    </xf>
    <xf numFmtId="3" fontId="7" fillId="5" borderId="42" xfId="0" applyNumberFormat="1" applyFont="1" applyFill="1" applyBorder="1" applyAlignment="1">
      <alignment vertical="center" wrapText="1"/>
    </xf>
    <xf numFmtId="0" fontId="7" fillId="5" borderId="63" xfId="0" applyFont="1" applyFill="1" applyBorder="1" applyAlignment="1">
      <alignment vertical="center" wrapText="1"/>
    </xf>
    <xf numFmtId="3" fontId="2" fillId="0" borderId="27" xfId="0" applyNumberFormat="1" applyFont="1" applyBorder="1" applyAlignment="1">
      <alignment vertical="center" wrapText="1"/>
    </xf>
    <xf numFmtId="0" fontId="7" fillId="5" borderId="27" xfId="0" applyFont="1" applyFill="1" applyBorder="1" applyAlignment="1">
      <alignment vertical="center" wrapText="1"/>
    </xf>
    <xf numFmtId="0" fontId="2" fillId="0" borderId="36" xfId="0" applyFont="1" applyBorder="1" applyAlignment="1">
      <alignment horizontal="left" vertical="center" wrapText="1"/>
    </xf>
    <xf numFmtId="3" fontId="2" fillId="0" borderId="36" xfId="0" applyNumberFormat="1" applyFont="1" applyBorder="1" applyAlignment="1">
      <alignment vertical="center" wrapText="1"/>
    </xf>
    <xf numFmtId="3" fontId="2" fillId="0" borderId="3" xfId="0" applyNumberFormat="1" applyFont="1" applyFill="1" applyBorder="1" applyAlignment="1">
      <alignment vertical="center" wrapText="1"/>
    </xf>
    <xf numFmtId="3" fontId="2" fillId="0" borderId="6" xfId="0" applyNumberFormat="1" applyFont="1" applyFill="1" applyBorder="1" applyAlignment="1">
      <alignment vertical="center" wrapText="1"/>
    </xf>
    <xf numFmtId="3" fontId="7" fillId="5" borderId="36" xfId="0" applyNumberFormat="1" applyFont="1" applyFill="1" applyBorder="1" applyAlignment="1">
      <alignment vertical="center" wrapText="1"/>
    </xf>
    <xf numFmtId="10" fontId="7" fillId="5" borderId="64" xfId="0" applyNumberFormat="1" applyFont="1" applyFill="1" applyBorder="1" applyAlignment="1">
      <alignment vertical="center" wrapText="1"/>
    </xf>
    <xf numFmtId="10" fontId="7" fillId="5" borderId="29" xfId="0" applyNumberFormat="1" applyFont="1" applyFill="1" applyBorder="1" applyAlignment="1">
      <alignment vertical="center" wrapText="1"/>
    </xf>
    <xf numFmtId="0" fontId="10" fillId="0" borderId="36" xfId="0" applyFont="1" applyBorder="1" applyAlignment="1">
      <alignment horizontal="left" vertical="center" wrapText="1"/>
    </xf>
    <xf numFmtId="0" fontId="2" fillId="0" borderId="26" xfId="0" applyFont="1" applyBorder="1" applyAlignment="1">
      <alignment horizontal="left" vertical="center" wrapText="1"/>
    </xf>
    <xf numFmtId="3" fontId="2" fillId="0" borderId="8" xfId="0" applyNumberFormat="1" applyFont="1" applyFill="1" applyBorder="1" applyAlignment="1">
      <alignment vertical="center" wrapText="1"/>
    </xf>
    <xf numFmtId="3" fontId="7" fillId="5" borderId="43" xfId="0" applyNumberFormat="1" applyFont="1" applyFill="1" applyBorder="1" applyAlignment="1">
      <alignment vertical="center" wrapText="1"/>
    </xf>
    <xf numFmtId="10" fontId="7" fillId="5" borderId="11" xfId="0" applyNumberFormat="1" applyFont="1" applyFill="1" applyBorder="1" applyAlignment="1">
      <alignment vertical="center" wrapText="1"/>
    </xf>
    <xf numFmtId="3" fontId="7" fillId="5" borderId="18" xfId="0" applyNumberFormat="1" applyFont="1" applyFill="1" applyBorder="1" applyAlignment="1">
      <alignment vertical="center" wrapText="1"/>
    </xf>
    <xf numFmtId="10" fontId="7" fillId="5" borderId="20" xfId="0" applyNumberFormat="1" applyFont="1" applyFill="1" applyBorder="1" applyAlignment="1">
      <alignment vertical="center" wrapText="1"/>
    </xf>
    <xf numFmtId="0" fontId="2" fillId="0" borderId="2" xfId="0" applyFont="1" applyBorder="1" applyAlignment="1">
      <alignment horizontal="left" vertical="center" wrapText="1"/>
    </xf>
    <xf numFmtId="3" fontId="2" fillId="0" borderId="4" xfId="0" applyNumberFormat="1" applyFont="1" applyFill="1" applyBorder="1" applyAlignment="1">
      <alignment vertical="center" wrapText="1"/>
    </xf>
    <xf numFmtId="10" fontId="7" fillId="5" borderId="63" xfId="0" applyNumberFormat="1" applyFont="1" applyFill="1" applyBorder="1" applyAlignment="1">
      <alignment vertical="center" wrapText="1"/>
    </xf>
    <xf numFmtId="0" fontId="2" fillId="0" borderId="26" xfId="0" applyFont="1" applyBorder="1" applyAlignment="1">
      <alignment vertical="center" wrapText="1"/>
    </xf>
    <xf numFmtId="3" fontId="0" fillId="0" borderId="0" xfId="0" applyNumberFormat="1" applyFont="1" applyAlignment="1">
      <alignment/>
    </xf>
    <xf numFmtId="0" fontId="10" fillId="0" borderId="0" xfId="0" applyFont="1" applyAlignment="1">
      <alignment vertical="center"/>
    </xf>
    <xf numFmtId="0" fontId="9" fillId="2" borderId="52" xfId="0" applyFont="1" applyFill="1" applyBorder="1" applyAlignment="1">
      <alignment horizontal="center" vertical="center"/>
    </xf>
    <xf numFmtId="3" fontId="7" fillId="0" borderId="1" xfId="0" applyNumberFormat="1" applyFont="1" applyBorder="1" applyAlignment="1">
      <alignment vertical="center"/>
    </xf>
    <xf numFmtId="0" fontId="20" fillId="0" borderId="44" xfId="0" applyFont="1" applyBorder="1" applyAlignment="1">
      <alignment vertical="center" wrapText="1"/>
    </xf>
    <xf numFmtId="3" fontId="7" fillId="0" borderId="47" xfId="0" applyNumberFormat="1" applyFont="1" applyBorder="1" applyAlignment="1">
      <alignment vertical="center" wrapText="1"/>
    </xf>
    <xf numFmtId="3" fontId="7" fillId="0" borderId="48" xfId="0" applyNumberFormat="1" applyFont="1" applyBorder="1" applyAlignment="1">
      <alignment vertical="center" wrapText="1"/>
    </xf>
    <xf numFmtId="0" fontId="20" fillId="0" borderId="61" xfId="0" applyFont="1" applyBorder="1" applyAlignment="1">
      <alignment vertical="center" wrapText="1"/>
    </xf>
    <xf numFmtId="3" fontId="7" fillId="0" borderId="58" xfId="0" applyNumberFormat="1" applyFont="1" applyBorder="1" applyAlignment="1">
      <alignment vertical="center" wrapText="1"/>
    </xf>
    <xf numFmtId="10" fontId="7" fillId="0" borderId="24" xfId="0" applyNumberFormat="1" applyFont="1" applyBorder="1" applyAlignment="1">
      <alignment horizontal="center" vertical="center"/>
    </xf>
    <xf numFmtId="0" fontId="7" fillId="0" borderId="1" xfId="0" applyFont="1" applyBorder="1" applyAlignment="1">
      <alignment vertical="center" wrapText="1"/>
    </xf>
    <xf numFmtId="0" fontId="7" fillId="2" borderId="68" xfId="0" applyFont="1" applyFill="1" applyBorder="1" applyAlignment="1">
      <alignment vertical="center" wrapText="1"/>
    </xf>
    <xf numFmtId="3" fontId="2" fillId="0" borderId="0" xfId="0" applyNumberFormat="1" applyFont="1" applyAlignment="1">
      <alignment/>
    </xf>
    <xf numFmtId="3" fontId="7" fillId="0" borderId="22" xfId="0" applyNumberFormat="1" applyFont="1" applyBorder="1" applyAlignment="1">
      <alignment vertical="center"/>
    </xf>
    <xf numFmtId="0" fontId="7" fillId="2" borderId="21" xfId="0" applyFont="1" applyFill="1" applyBorder="1" applyAlignment="1">
      <alignment vertical="center" wrapText="1"/>
    </xf>
    <xf numFmtId="0" fontId="7" fillId="2" borderId="20" xfId="0" applyFont="1" applyFill="1" applyBorder="1" applyAlignment="1">
      <alignment horizontal="center" vertical="center" wrapText="1"/>
    </xf>
    <xf numFmtId="0" fontId="2" fillId="0" borderId="33" xfId="0" applyFont="1" applyBorder="1" applyAlignment="1">
      <alignment vertical="center"/>
    </xf>
    <xf numFmtId="3" fontId="2" fillId="0" borderId="22" xfId="0" applyNumberFormat="1" applyFont="1" applyBorder="1" applyAlignment="1">
      <alignment vertical="center"/>
    </xf>
    <xf numFmtId="0" fontId="0" fillId="0" borderId="50" xfId="0" applyBorder="1" applyAlignment="1">
      <alignment vertical="center"/>
    </xf>
    <xf numFmtId="0" fontId="0" fillId="0" borderId="47" xfId="0" applyBorder="1" applyAlignment="1">
      <alignment vertical="center"/>
    </xf>
    <xf numFmtId="3" fontId="2" fillId="0" borderId="27" xfId="0" applyNumberFormat="1" applyFont="1" applyBorder="1" applyAlignment="1">
      <alignment vertical="center"/>
    </xf>
    <xf numFmtId="0" fontId="2" fillId="0" borderId="28" xfId="0" applyFont="1" applyBorder="1" applyAlignment="1">
      <alignment vertical="center"/>
    </xf>
    <xf numFmtId="0" fontId="2" fillId="0" borderId="1" xfId="0" applyFont="1" applyBorder="1" applyAlignment="1">
      <alignment vertical="center"/>
    </xf>
    <xf numFmtId="0" fontId="2" fillId="0" borderId="29" xfId="0" applyFont="1" applyBorder="1" applyAlignment="1">
      <alignment vertical="center"/>
    </xf>
    <xf numFmtId="3" fontId="2" fillId="0" borderId="29" xfId="0" applyNumberFormat="1" applyFont="1" applyBorder="1" applyAlignment="1">
      <alignment vertical="center"/>
    </xf>
    <xf numFmtId="0" fontId="2" fillId="0" borderId="12" xfId="0" applyFont="1" applyBorder="1" applyAlignment="1">
      <alignment vertical="center"/>
    </xf>
    <xf numFmtId="0" fontId="2" fillId="0" borderId="8" xfId="0" applyFont="1" applyBorder="1" applyAlignment="1">
      <alignment vertical="center"/>
    </xf>
    <xf numFmtId="0" fontId="0" fillId="0" borderId="9" xfId="0" applyBorder="1" applyAlignment="1">
      <alignment vertical="center"/>
    </xf>
    <xf numFmtId="0" fontId="7" fillId="0" borderId="0" xfId="0" applyFont="1" applyAlignment="1">
      <alignment vertical="center"/>
    </xf>
    <xf numFmtId="0" fontId="2" fillId="0" borderId="0" xfId="0" applyFont="1" applyAlignment="1">
      <alignment vertical="center"/>
    </xf>
    <xf numFmtId="0" fontId="7" fillId="2" borderId="24" xfId="22" applyFont="1" applyFill="1" applyBorder="1" applyAlignment="1">
      <alignment horizontal="center" vertical="center"/>
      <protection/>
    </xf>
    <xf numFmtId="3" fontId="7" fillId="0" borderId="23" xfId="22" applyNumberFormat="1" applyFont="1" applyBorder="1" applyAlignment="1">
      <alignment horizontal="center" vertical="center"/>
      <protection/>
    </xf>
    <xf numFmtId="3" fontId="7" fillId="0" borderId="15" xfId="22" applyNumberFormat="1" applyFont="1" applyBorder="1" applyAlignment="1">
      <alignment horizontal="right" vertical="center"/>
      <protection/>
    </xf>
    <xf numFmtId="0" fontId="7" fillId="0" borderId="60" xfId="0" applyFont="1" applyBorder="1" applyAlignment="1">
      <alignment/>
    </xf>
    <xf numFmtId="3" fontId="7" fillId="0" borderId="22" xfId="0" applyNumberFormat="1" applyFont="1" applyBorder="1" applyAlignment="1" quotePrefix="1">
      <alignment horizontal="center"/>
    </xf>
    <xf numFmtId="0" fontId="7" fillId="0" borderId="61" xfId="0" applyFont="1" applyBorder="1" applyAlignment="1">
      <alignment/>
    </xf>
    <xf numFmtId="3" fontId="7" fillId="0" borderId="55" xfId="0" applyNumberFormat="1" applyFont="1" applyBorder="1" applyAlignment="1" quotePrefix="1">
      <alignment horizontal="center"/>
    </xf>
    <xf numFmtId="0" fontId="7" fillId="0" borderId="62" xfId="0" applyFont="1" applyBorder="1" applyAlignment="1">
      <alignment/>
    </xf>
    <xf numFmtId="0" fontId="11" fillId="0" borderId="22" xfId="0" applyFont="1" applyBorder="1" applyAlignment="1">
      <alignment horizontal="right" vertical="center"/>
    </xf>
    <xf numFmtId="0" fontId="11" fillId="0" borderId="63" xfId="0" applyFont="1" applyBorder="1" applyAlignment="1">
      <alignment horizontal="center" vertical="center"/>
    </xf>
    <xf numFmtId="164" fontId="11" fillId="0" borderId="42" xfId="0" applyNumberFormat="1" applyFont="1" applyBorder="1" applyAlignment="1">
      <alignment horizontal="right" vertical="center"/>
    </xf>
    <xf numFmtId="0" fontId="11" fillId="0" borderId="1" xfId="0" applyFont="1" applyBorder="1" applyAlignment="1">
      <alignment horizontal="right" vertical="center"/>
    </xf>
    <xf numFmtId="0" fontId="11" fillId="0" borderId="64" xfId="0" applyFont="1" applyBorder="1" applyAlignment="1">
      <alignment horizontal="center" vertical="center"/>
    </xf>
    <xf numFmtId="164" fontId="11" fillId="0" borderId="36" xfId="0" applyNumberFormat="1" applyFont="1" applyBorder="1" applyAlignment="1">
      <alignment horizontal="right" vertical="center"/>
    </xf>
    <xf numFmtId="0" fontId="11" fillId="0" borderId="8" xfId="0" applyFont="1" applyBorder="1" applyAlignment="1">
      <alignment horizontal="right" vertical="center"/>
    </xf>
    <xf numFmtId="0" fontId="11" fillId="0" borderId="11" xfId="0" applyFont="1" applyBorder="1" applyAlignment="1">
      <alignment horizontal="center" vertical="center"/>
    </xf>
    <xf numFmtId="0" fontId="7" fillId="0" borderId="11" xfId="0" applyFont="1" applyBorder="1" applyAlignment="1">
      <alignment vertical="center"/>
    </xf>
    <xf numFmtId="0" fontId="11" fillId="0" borderId="65" xfId="0" applyFont="1" applyBorder="1" applyAlignment="1">
      <alignment horizontal="center" vertical="center"/>
    </xf>
    <xf numFmtId="164" fontId="11" fillId="0" borderId="43" xfId="0" applyNumberFormat="1" applyFont="1" applyBorder="1" applyAlignment="1">
      <alignment horizontal="right" vertical="center"/>
    </xf>
    <xf numFmtId="0" fontId="9" fillId="2" borderId="38" xfId="0" applyFont="1" applyFill="1" applyBorder="1" applyAlignment="1">
      <alignment horizontal="center" vertical="center" wrapText="1"/>
    </xf>
    <xf numFmtId="0" fontId="7" fillId="0" borderId="12" xfId="0" applyFont="1" applyBorder="1" applyAlignment="1">
      <alignment vertical="center" wrapText="1"/>
    </xf>
    <xf numFmtId="2" fontId="7" fillId="0" borderId="43" xfId="0" applyNumberFormat="1" applyFont="1" applyFill="1" applyBorder="1" applyAlignment="1">
      <alignment vertical="center"/>
    </xf>
    <xf numFmtId="3" fontId="7" fillId="0" borderId="8" xfId="0" applyNumberFormat="1" applyFont="1" applyFill="1" applyBorder="1" applyAlignment="1">
      <alignment vertical="center"/>
    </xf>
    <xf numFmtId="3" fontId="7" fillId="0" borderId="65" xfId="0" applyNumberFormat="1" applyFont="1" applyFill="1" applyBorder="1" applyAlignment="1">
      <alignment vertical="center"/>
    </xf>
    <xf numFmtId="3" fontId="7" fillId="0" borderId="76" xfId="0" applyNumberFormat="1" applyFont="1" applyFill="1" applyBorder="1" applyAlignment="1">
      <alignment vertical="center"/>
    </xf>
    <xf numFmtId="3" fontId="7" fillId="0" borderId="64" xfId="0" applyNumberFormat="1" applyFont="1" applyFill="1" applyBorder="1" applyAlignment="1">
      <alignment vertical="center"/>
    </xf>
    <xf numFmtId="0" fontId="7" fillId="0" borderId="28" xfId="0" applyFont="1" applyBorder="1" applyAlignment="1">
      <alignment vertical="center" wrapText="1"/>
    </xf>
    <xf numFmtId="3" fontId="2" fillId="0" borderId="2" xfId="0" applyNumberFormat="1" applyFont="1" applyBorder="1" applyAlignment="1">
      <alignment vertical="center" wrapText="1"/>
    </xf>
    <xf numFmtId="3" fontId="2" fillId="0" borderId="6" xfId="0" applyNumberFormat="1" applyFont="1" applyBorder="1" applyAlignment="1">
      <alignment vertical="center" wrapText="1"/>
    </xf>
    <xf numFmtId="3" fontId="2" fillId="0" borderId="41" xfId="0" applyNumberFormat="1" applyFont="1" applyBorder="1" applyAlignment="1">
      <alignment vertical="center" wrapText="1"/>
    </xf>
    <xf numFmtId="0" fontId="7" fillId="0" borderId="63" xfId="0" applyFont="1" applyBorder="1" applyAlignment="1">
      <alignment vertical="center"/>
    </xf>
    <xf numFmtId="0" fontId="7" fillId="0" borderId="64" xfId="0" applyFont="1" applyBorder="1" applyAlignment="1">
      <alignment vertical="center"/>
    </xf>
    <xf numFmtId="0" fontId="0" fillId="0" borderId="49" xfId="0" applyBorder="1" applyAlignment="1">
      <alignment vertical="center"/>
    </xf>
    <xf numFmtId="0" fontId="0" fillId="0" borderId="48" xfId="0" applyBorder="1" applyAlignment="1">
      <alignment vertical="center"/>
    </xf>
    <xf numFmtId="0" fontId="7" fillId="0" borderId="11" xfId="0" applyFont="1" applyBorder="1" applyAlignment="1">
      <alignment vertical="center"/>
    </xf>
    <xf numFmtId="0" fontId="0" fillId="0" borderId="10" xfId="0" applyBorder="1" applyAlignment="1">
      <alignment vertical="center"/>
    </xf>
    <xf numFmtId="0" fontId="0" fillId="0" borderId="58" xfId="0" applyBorder="1" applyAlignment="1">
      <alignment vertical="center"/>
    </xf>
    <xf numFmtId="0" fontId="7" fillId="2" borderId="19" xfId="0" applyFont="1" applyFill="1" applyBorder="1" applyAlignment="1">
      <alignment vertical="center"/>
    </xf>
    <xf numFmtId="0" fontId="7" fillId="2" borderId="35" xfId="0" applyFont="1" applyFill="1" applyBorder="1" applyAlignment="1">
      <alignment vertical="center"/>
    </xf>
    <xf numFmtId="0" fontId="7" fillId="2" borderId="30" xfId="0" applyFont="1" applyFill="1" applyBorder="1" applyAlignment="1">
      <alignment vertical="center"/>
    </xf>
    <xf numFmtId="0" fontId="7" fillId="2" borderId="49" xfId="22" applyFont="1" applyFill="1" applyBorder="1" applyAlignment="1">
      <alignment horizontal="center" vertical="center"/>
      <protection/>
    </xf>
    <xf numFmtId="0" fontId="7" fillId="2" borderId="48" xfId="22" applyFont="1" applyFill="1" applyBorder="1" applyAlignment="1">
      <alignment horizontal="center" vertical="center"/>
      <protection/>
    </xf>
    <xf numFmtId="10" fontId="7" fillId="0" borderId="22" xfId="0" applyNumberFormat="1" applyFont="1" applyBorder="1" applyAlignment="1">
      <alignment horizontal="center" vertical="center"/>
    </xf>
    <xf numFmtId="10" fontId="7" fillId="0" borderId="1" xfId="0" applyNumberFormat="1" applyFont="1" applyBorder="1" applyAlignment="1">
      <alignment horizontal="center" vertical="center"/>
    </xf>
    <xf numFmtId="0" fontId="5" fillId="3" borderId="28" xfId="0" applyFont="1" applyFill="1" applyBorder="1" applyAlignment="1">
      <alignment horizontal="center" vertical="center"/>
    </xf>
    <xf numFmtId="10" fontId="7" fillId="0" borderId="29" xfId="0" applyNumberFormat="1" applyFont="1" applyBorder="1" applyAlignment="1">
      <alignment horizontal="center" vertical="center"/>
    </xf>
    <xf numFmtId="0" fontId="5" fillId="3" borderId="34" xfId="0" applyFont="1" applyFill="1" applyBorder="1" applyAlignment="1">
      <alignment horizontal="center" vertical="center"/>
    </xf>
    <xf numFmtId="10" fontId="7" fillId="0" borderId="25" xfId="0" applyNumberFormat="1" applyFont="1" applyBorder="1" applyAlignment="1">
      <alignment horizontal="center" vertical="center"/>
    </xf>
    <xf numFmtId="3" fontId="2" fillId="0" borderId="4" xfId="0" applyNumberFormat="1" applyFont="1" applyBorder="1" applyAlignment="1">
      <alignment vertical="center" wrapText="1"/>
    </xf>
    <xf numFmtId="3" fontId="7" fillId="5" borderId="2" xfId="0" applyNumberFormat="1" applyFont="1" applyFill="1" applyBorder="1" applyAlignment="1">
      <alignment vertical="center" wrapText="1"/>
    </xf>
    <xf numFmtId="10" fontId="7" fillId="5" borderId="4" xfId="0" applyNumberFormat="1" applyFont="1" applyFill="1" applyBorder="1" applyAlignment="1">
      <alignment vertical="center" wrapText="1"/>
    </xf>
    <xf numFmtId="3" fontId="7" fillId="5" borderId="26" xfId="0" applyNumberFormat="1" applyFont="1" applyFill="1" applyBorder="1" applyAlignment="1">
      <alignment vertical="center" wrapText="1"/>
    </xf>
    <xf numFmtId="10" fontId="7" fillId="5" borderId="25" xfId="0" applyNumberFormat="1" applyFont="1" applyFill="1" applyBorder="1" applyAlignment="1">
      <alignment vertical="center" wrapText="1"/>
    </xf>
    <xf numFmtId="3" fontId="7" fillId="2" borderId="20" xfId="0" applyNumberFormat="1" applyFont="1" applyFill="1" applyBorder="1" applyAlignment="1">
      <alignment horizontal="right" vertical="center" wrapText="1"/>
    </xf>
    <xf numFmtId="0" fontId="0" fillId="0" borderId="0" xfId="0" applyBorder="1" applyAlignment="1">
      <alignment vertical="center"/>
    </xf>
    <xf numFmtId="0" fontId="0" fillId="0" borderId="0" xfId="0" applyBorder="1" applyAlignment="1">
      <alignment/>
    </xf>
    <xf numFmtId="3" fontId="0" fillId="0" borderId="0" xfId="0" applyNumberFormat="1" applyBorder="1" applyAlignment="1">
      <alignment/>
    </xf>
    <xf numFmtId="3" fontId="2" fillId="0" borderId="77" xfId="0" applyNumberFormat="1" applyFont="1" applyBorder="1" applyAlignment="1">
      <alignment vertical="center" wrapText="1"/>
    </xf>
    <xf numFmtId="3" fontId="2" fillId="0" borderId="78" xfId="0" applyNumberFormat="1" applyFont="1" applyFill="1" applyBorder="1" applyAlignment="1">
      <alignment vertical="center" wrapText="1"/>
    </xf>
    <xf numFmtId="3" fontId="2" fillId="0" borderId="61" xfId="0" applyNumberFormat="1" applyFont="1" applyFill="1" applyBorder="1" applyAlignment="1">
      <alignment vertical="center" wrapText="1"/>
    </xf>
    <xf numFmtId="3" fontId="2" fillId="0" borderId="67" xfId="0" applyNumberFormat="1" applyFont="1" applyFill="1" applyBorder="1" applyAlignment="1">
      <alignment vertical="center" wrapText="1"/>
    </xf>
    <xf numFmtId="3" fontId="2" fillId="0" borderId="77" xfId="0" applyNumberFormat="1" applyFont="1" applyFill="1" applyBorder="1" applyAlignment="1">
      <alignment vertical="center" wrapText="1"/>
    </xf>
    <xf numFmtId="3" fontId="2" fillId="0" borderId="60" xfId="0" applyNumberFormat="1" applyFont="1" applyFill="1" applyBorder="1" applyAlignment="1">
      <alignment vertical="center" wrapText="1"/>
    </xf>
    <xf numFmtId="3" fontId="2" fillId="0" borderId="60" xfId="0" applyNumberFormat="1" applyFont="1" applyBorder="1" applyAlignment="1">
      <alignment vertical="center" wrapText="1"/>
    </xf>
    <xf numFmtId="3" fontId="7" fillId="2" borderId="68" xfId="0" applyNumberFormat="1" applyFont="1" applyFill="1" applyBorder="1" applyAlignment="1">
      <alignment horizontal="right" vertical="center" wrapText="1"/>
    </xf>
    <xf numFmtId="3" fontId="7" fillId="2" borderId="77" xfId="0" applyNumberFormat="1" applyFont="1" applyFill="1" applyBorder="1" applyAlignment="1">
      <alignment horizontal="right" vertical="center" wrapText="1"/>
    </xf>
    <xf numFmtId="3" fontId="7" fillId="2" borderId="4" xfId="0" applyNumberFormat="1" applyFont="1" applyFill="1" applyBorder="1" applyAlignment="1">
      <alignment horizontal="right" vertical="center" wrapText="1"/>
    </xf>
    <xf numFmtId="0" fontId="7" fillId="2" borderId="31"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31" xfId="0" applyFont="1" applyFill="1" applyBorder="1" applyAlignment="1" quotePrefix="1">
      <alignment horizontal="center" vertical="center"/>
    </xf>
    <xf numFmtId="0" fontId="7" fillId="0" borderId="63" xfId="0" applyFont="1" applyFill="1" applyBorder="1" applyAlignment="1">
      <alignment vertical="center"/>
    </xf>
    <xf numFmtId="169" fontId="7" fillId="0" borderId="63" xfId="0" applyNumberFormat="1" applyFont="1" applyBorder="1" applyAlignment="1">
      <alignment vertical="center"/>
    </xf>
    <xf numFmtId="0" fontId="7" fillId="0" borderId="64" xfId="0" applyFont="1" applyFill="1" applyBorder="1" applyAlignment="1">
      <alignment vertical="center"/>
    </xf>
    <xf numFmtId="169" fontId="7" fillId="0" borderId="64" xfId="0" applyNumberFormat="1" applyFont="1" applyBorder="1" applyAlignment="1">
      <alignment vertical="center"/>
    </xf>
    <xf numFmtId="0" fontId="7" fillId="0" borderId="11" xfId="0" applyFont="1" applyFill="1" applyBorder="1" applyAlignment="1">
      <alignment vertical="center"/>
    </xf>
    <xf numFmtId="169" fontId="7" fillId="0" borderId="11" xfId="0" applyNumberFormat="1" applyFont="1" applyBorder="1" applyAlignment="1">
      <alignment vertical="center"/>
    </xf>
    <xf numFmtId="164" fontId="11" fillId="0" borderId="8" xfId="0" applyNumberFormat="1" applyFont="1" applyBorder="1" applyAlignment="1">
      <alignment horizontal="right" vertical="center"/>
    </xf>
    <xf numFmtId="164" fontId="11" fillId="0" borderId="75" xfId="0" applyNumberFormat="1" applyFont="1" applyBorder="1" applyAlignment="1">
      <alignment horizontal="right" vertical="center"/>
    </xf>
    <xf numFmtId="0" fontId="11" fillId="2" borderId="31" xfId="0" applyFont="1" applyFill="1" applyBorder="1" applyAlignment="1">
      <alignment horizontal="center" vertical="center"/>
    </xf>
    <xf numFmtId="164" fontId="11" fillId="2" borderId="35" xfId="0" applyNumberFormat="1" applyFont="1" applyFill="1" applyBorder="1" applyAlignment="1">
      <alignment horizontal="right" vertical="center"/>
    </xf>
    <xf numFmtId="169" fontId="7" fillId="2" borderId="19" xfId="0" applyNumberFormat="1" applyFont="1" applyFill="1" applyBorder="1" applyAlignment="1">
      <alignment horizontal="right" vertical="center" wrapText="1"/>
    </xf>
    <xf numFmtId="164" fontId="11" fillId="2" borderId="31" xfId="0" applyNumberFormat="1" applyFont="1" applyFill="1" applyBorder="1" applyAlignment="1">
      <alignment horizontal="right" vertical="center"/>
    </xf>
    <xf numFmtId="0" fontId="6" fillId="0" borderId="0" xfId="0" applyFont="1" applyAlignment="1">
      <alignment/>
    </xf>
    <xf numFmtId="0" fontId="7" fillId="0" borderId="0" xfId="0" applyFont="1" applyAlignment="1">
      <alignment horizontal="right"/>
    </xf>
    <xf numFmtId="2" fontId="7" fillId="0" borderId="65" xfId="0" applyNumberFormat="1" applyFont="1" applyFill="1" applyBorder="1" applyAlignment="1">
      <alignment vertical="center"/>
    </xf>
    <xf numFmtId="2" fontId="7" fillId="0" borderId="11" xfId="0" applyNumberFormat="1" applyFont="1" applyFill="1" applyBorder="1" applyAlignment="1">
      <alignment vertical="center"/>
    </xf>
    <xf numFmtId="2" fontId="7" fillId="0" borderId="64" xfId="0" applyNumberFormat="1" applyFont="1" applyFill="1" applyBorder="1" applyAlignment="1">
      <alignment vertical="center"/>
    </xf>
    <xf numFmtId="2" fontId="7" fillId="2" borderId="19" xfId="0" applyNumberFormat="1" applyFont="1" applyFill="1" applyBorder="1" applyAlignment="1">
      <alignment vertical="center"/>
    </xf>
    <xf numFmtId="0" fontId="7" fillId="2" borderId="19" xfId="0" applyFont="1" applyFill="1" applyBorder="1" applyAlignment="1">
      <alignment horizontal="center" vertical="center"/>
    </xf>
    <xf numFmtId="0" fontId="7" fillId="0" borderId="12" xfId="0" applyFont="1" applyFill="1" applyBorder="1" applyAlignment="1">
      <alignment/>
    </xf>
    <xf numFmtId="3" fontId="7" fillId="0" borderId="8" xfId="0" applyNumberFormat="1" applyFont="1" applyBorder="1" applyAlignment="1">
      <alignment/>
    </xf>
    <xf numFmtId="3" fontId="7" fillId="0" borderId="9" xfId="0" applyNumberFormat="1" applyFont="1" applyBorder="1" applyAlignment="1">
      <alignment/>
    </xf>
    <xf numFmtId="3" fontId="7" fillId="0" borderId="63" xfId="0" applyNumberFormat="1" applyFont="1" applyFill="1" applyBorder="1" applyAlignment="1">
      <alignment/>
    </xf>
    <xf numFmtId="3" fontId="7" fillId="0" borderId="64" xfId="0" applyNumberFormat="1" applyFont="1" applyFill="1" applyBorder="1" applyAlignment="1">
      <alignment/>
    </xf>
    <xf numFmtId="3" fontId="7" fillId="0" borderId="11" xfId="0" applyNumberFormat="1" applyFont="1" applyFill="1" applyBorder="1" applyAlignment="1">
      <alignment/>
    </xf>
    <xf numFmtId="0" fontId="7" fillId="2" borderId="28" xfId="0" applyFont="1" applyFill="1" applyBorder="1" applyAlignment="1">
      <alignment/>
    </xf>
    <xf numFmtId="3" fontId="7" fillId="2" borderId="1" xfId="0" applyNumberFormat="1" applyFont="1" applyFill="1" applyBorder="1" applyAlignment="1">
      <alignment/>
    </xf>
    <xf numFmtId="3" fontId="7" fillId="2" borderId="64" xfId="0" applyNumberFormat="1" applyFont="1" applyFill="1" applyBorder="1" applyAlignment="1">
      <alignment/>
    </xf>
    <xf numFmtId="3" fontId="7" fillId="2" borderId="29" xfId="0" applyNumberFormat="1" applyFont="1" applyFill="1" applyBorder="1" applyAlignment="1">
      <alignment/>
    </xf>
    <xf numFmtId="0" fontId="7" fillId="2" borderId="34" xfId="0" applyFont="1" applyFill="1" applyBorder="1" applyAlignment="1">
      <alignment/>
    </xf>
    <xf numFmtId="3" fontId="7" fillId="2" borderId="38" xfId="0" applyNumberFormat="1" applyFont="1" applyFill="1" applyBorder="1" applyAlignment="1">
      <alignment/>
    </xf>
    <xf numFmtId="3" fontId="7" fillId="2" borderId="25" xfId="0" applyNumberFormat="1" applyFont="1" applyFill="1" applyBorder="1" applyAlignment="1">
      <alignment/>
    </xf>
    <xf numFmtId="3" fontId="7" fillId="0" borderId="0" xfId="22" applyNumberFormat="1" applyFont="1" applyBorder="1" applyAlignment="1">
      <alignment horizontal="center" vertical="center"/>
      <protection/>
    </xf>
    <xf numFmtId="3" fontId="7" fillId="0" borderId="0" xfId="22" applyNumberFormat="1" applyFont="1" applyBorder="1" applyAlignment="1">
      <alignment horizontal="right" vertical="center"/>
      <protection/>
    </xf>
    <xf numFmtId="3" fontId="7" fillId="0" borderId="29" xfId="0" applyNumberFormat="1" applyFont="1" applyBorder="1" applyAlignment="1" quotePrefix="1">
      <alignment horizontal="right"/>
    </xf>
    <xf numFmtId="3" fontId="7" fillId="0" borderId="29" xfId="0" applyNumberFormat="1" applyFont="1" applyBorder="1" applyAlignment="1">
      <alignment horizontal="right"/>
    </xf>
    <xf numFmtId="3" fontId="7" fillId="0" borderId="25" xfId="0" applyNumberFormat="1" applyFont="1" applyBorder="1" applyAlignment="1">
      <alignment horizontal="right"/>
    </xf>
    <xf numFmtId="169" fontId="5" fillId="3" borderId="4" xfId="0" applyNumberFormat="1" applyFont="1" applyFill="1" applyBorder="1" applyAlignment="1">
      <alignment vertical="center"/>
    </xf>
    <xf numFmtId="169" fontId="5" fillId="3" borderId="29" xfId="0" applyNumberFormat="1" applyFont="1" applyFill="1" applyBorder="1" applyAlignment="1">
      <alignment vertical="center"/>
    </xf>
    <xf numFmtId="0" fontId="5" fillId="3" borderId="33" xfId="0" applyFont="1" applyFill="1" applyBorder="1" applyAlignment="1">
      <alignment horizontal="center" vertical="center"/>
    </xf>
    <xf numFmtId="10" fontId="7" fillId="0" borderId="27" xfId="0" applyNumberFormat="1" applyFont="1" applyBorder="1" applyAlignment="1">
      <alignment horizontal="center" vertical="center"/>
    </xf>
    <xf numFmtId="169" fontId="7" fillId="3" borderId="4" xfId="0" applyNumberFormat="1" applyFont="1" applyFill="1" applyBorder="1" applyAlignment="1">
      <alignment vertical="center"/>
    </xf>
    <xf numFmtId="169" fontId="7" fillId="3" borderId="29" xfId="0" applyNumberFormat="1" applyFont="1" applyFill="1" applyBorder="1" applyAlignment="1">
      <alignment vertical="center"/>
    </xf>
    <xf numFmtId="169" fontId="7" fillId="3" borderId="14" xfId="0" applyNumberFormat="1" applyFont="1" applyFill="1" applyBorder="1" applyAlignment="1">
      <alignment vertical="center"/>
    </xf>
    <xf numFmtId="0" fontId="10" fillId="0" borderId="1" xfId="0" applyFont="1" applyBorder="1" applyAlignment="1">
      <alignment/>
    </xf>
    <xf numFmtId="4" fontId="2" fillId="0" borderId="63" xfId="23" applyNumberFormat="1" applyFont="1" applyFill="1" applyBorder="1" applyAlignment="1">
      <alignment vertical="center" wrapText="1"/>
      <protection/>
    </xf>
    <xf numFmtId="0" fontId="5" fillId="0" borderId="0" xfId="0" applyFont="1" applyAlignment="1">
      <alignment/>
    </xf>
    <xf numFmtId="0" fontId="9" fillId="0" borderId="0" xfId="0" applyFont="1" applyAlignment="1">
      <alignment vertical="center"/>
    </xf>
    <xf numFmtId="0" fontId="5" fillId="0" borderId="0" xfId="0" applyFont="1" applyAlignment="1">
      <alignment vertical="center"/>
    </xf>
    <xf numFmtId="0" fontId="5" fillId="2" borderId="19" xfId="0" applyFont="1" applyFill="1" applyBorder="1" applyAlignment="1">
      <alignment horizontal="center" vertical="center"/>
    </xf>
    <xf numFmtId="0" fontId="7" fillId="0" borderId="27" xfId="0" applyFont="1" applyBorder="1" applyAlignment="1">
      <alignment/>
    </xf>
    <xf numFmtId="0" fontId="7" fillId="0" borderId="29" xfId="0" applyFont="1" applyBorder="1" applyAlignment="1">
      <alignment/>
    </xf>
    <xf numFmtId="0" fontId="7" fillId="2" borderId="29" xfId="0" applyFont="1" applyFill="1" applyBorder="1" applyAlignment="1">
      <alignment/>
    </xf>
    <xf numFmtId="0" fontId="7" fillId="2" borderId="25" xfId="0" applyFont="1" applyFill="1" applyBorder="1" applyAlignment="1">
      <alignment/>
    </xf>
    <xf numFmtId="3" fontId="7" fillId="0" borderId="1" xfId="0" applyNumberFormat="1" applyFont="1" applyFill="1" applyBorder="1" applyAlignment="1">
      <alignment vertical="center" wrapText="1"/>
    </xf>
    <xf numFmtId="4" fontId="7" fillId="0" borderId="64" xfId="23" applyNumberFormat="1" applyFont="1" applyFill="1" applyBorder="1" applyAlignment="1">
      <alignment vertical="center" wrapText="1"/>
      <protection/>
    </xf>
    <xf numFmtId="4" fontId="7" fillId="0" borderId="11" xfId="23" applyNumberFormat="1" applyFont="1" applyFill="1" applyBorder="1" applyAlignment="1">
      <alignment vertical="center" wrapText="1"/>
      <protection/>
    </xf>
    <xf numFmtId="4" fontId="7" fillId="0" borderId="63" xfId="23" applyNumberFormat="1" applyFont="1" applyFill="1" applyBorder="1" applyAlignment="1">
      <alignment vertical="center" wrapText="1"/>
      <protection/>
    </xf>
    <xf numFmtId="0" fontId="10" fillId="0" borderId="6" xfId="0" applyFont="1" applyBorder="1" applyAlignment="1">
      <alignment/>
    </xf>
    <xf numFmtId="0" fontId="0" fillId="0" borderId="37" xfId="0" applyFont="1" applyBorder="1" applyAlignment="1">
      <alignment/>
    </xf>
    <xf numFmtId="0" fontId="10" fillId="0" borderId="0" xfId="0" applyFont="1" applyBorder="1" applyAlignment="1">
      <alignment/>
    </xf>
    <xf numFmtId="0" fontId="10" fillId="0" borderId="69" xfId="0" applyFont="1" applyBorder="1" applyAlignment="1">
      <alignment/>
    </xf>
    <xf numFmtId="0" fontId="2" fillId="2" borderId="43" xfId="0" applyFont="1" applyFill="1" applyBorder="1" applyAlignment="1">
      <alignment horizontal="center"/>
    </xf>
    <xf numFmtId="3" fontId="2" fillId="0" borderId="50" xfId="0" applyNumberFormat="1" applyFont="1" applyBorder="1" applyAlignment="1">
      <alignment vertical="center" wrapText="1"/>
    </xf>
    <xf numFmtId="3" fontId="2" fillId="5" borderId="42" xfId="0" applyNumberFormat="1" applyFont="1" applyFill="1" applyBorder="1" applyAlignment="1">
      <alignment vertical="center" wrapText="1"/>
    </xf>
    <xf numFmtId="0" fontId="0" fillId="5" borderId="27" xfId="0" applyFont="1" applyFill="1" applyBorder="1" applyAlignment="1">
      <alignment vertical="center" wrapText="1"/>
    </xf>
    <xf numFmtId="3" fontId="2" fillId="0" borderId="47" xfId="0" applyNumberFormat="1" applyFont="1" applyBorder="1" applyAlignment="1">
      <alignment vertical="center" wrapText="1"/>
    </xf>
    <xf numFmtId="3" fontId="2" fillId="5" borderId="36" xfId="0" applyNumberFormat="1" applyFont="1" applyFill="1" applyBorder="1" applyAlignment="1">
      <alignment vertical="center" wrapText="1"/>
    </xf>
    <xf numFmtId="10" fontId="2" fillId="5" borderId="29" xfId="0" applyNumberFormat="1" applyFont="1" applyFill="1" applyBorder="1" applyAlignment="1">
      <alignment vertical="center" wrapText="1"/>
    </xf>
    <xf numFmtId="3" fontId="2" fillId="0" borderId="48" xfId="0" applyNumberFormat="1" applyFont="1" applyBorder="1" applyAlignment="1">
      <alignment vertical="center" wrapText="1"/>
    </xf>
    <xf numFmtId="3" fontId="2" fillId="0" borderId="3" xfId="0" applyNumberFormat="1" applyFont="1" applyBorder="1" applyAlignment="1">
      <alignment vertical="center" wrapText="1"/>
    </xf>
    <xf numFmtId="3" fontId="2" fillId="0" borderId="58" xfId="0" applyNumberFormat="1" applyFont="1" applyBorder="1" applyAlignment="1">
      <alignment vertical="center" wrapText="1"/>
    </xf>
    <xf numFmtId="10" fontId="7" fillId="0" borderId="34" xfId="0" applyNumberFormat="1" applyFont="1" applyBorder="1" applyAlignment="1">
      <alignment horizontal="center" vertical="center"/>
    </xf>
    <xf numFmtId="0" fontId="7" fillId="2" borderId="38" xfId="22" applyFont="1" applyFill="1" applyBorder="1" applyAlignment="1">
      <alignment horizontal="center" vertical="center"/>
      <protection/>
    </xf>
    <xf numFmtId="3" fontId="7" fillId="0" borderId="16" xfId="22" applyNumberFormat="1" applyFont="1" applyBorder="1" applyAlignment="1">
      <alignment horizontal="right" vertical="center"/>
      <protection/>
    </xf>
    <xf numFmtId="0" fontId="7" fillId="0" borderId="3" xfId="0" applyFont="1" applyBorder="1" applyAlignment="1">
      <alignment/>
    </xf>
    <xf numFmtId="3" fontId="7" fillId="0" borderId="4" xfId="0" applyNumberFormat="1" applyFont="1" applyBorder="1" applyAlignment="1">
      <alignment/>
    </xf>
    <xf numFmtId="0" fontId="7" fillId="0" borderId="17" xfId="0" applyFont="1" applyBorder="1" applyAlignment="1">
      <alignment/>
    </xf>
    <xf numFmtId="0" fontId="2" fillId="2" borderId="34" xfId="0" applyFont="1" applyFill="1" applyBorder="1" applyAlignment="1">
      <alignment horizontal="center"/>
    </xf>
    <xf numFmtId="0" fontId="2" fillId="2" borderId="24" xfId="0" applyFont="1" applyFill="1" applyBorder="1" applyAlignment="1">
      <alignment horizontal="center"/>
    </xf>
    <xf numFmtId="3" fontId="2" fillId="0" borderId="56" xfId="0" applyNumberFormat="1" applyFont="1" applyBorder="1" applyAlignment="1">
      <alignment vertical="center" wrapText="1"/>
    </xf>
    <xf numFmtId="3" fontId="7" fillId="2" borderId="18" xfId="0" applyNumberFormat="1" applyFont="1" applyFill="1" applyBorder="1" applyAlignment="1">
      <alignment vertical="center"/>
    </xf>
    <xf numFmtId="3" fontId="7" fillId="2" borderId="51" xfId="0" applyNumberFormat="1" applyFont="1" applyFill="1" applyBorder="1" applyAlignment="1">
      <alignment vertical="center"/>
    </xf>
    <xf numFmtId="3" fontId="2" fillId="0" borderId="5" xfId="0" applyNumberFormat="1" applyFont="1" applyBorder="1" applyAlignment="1">
      <alignment vertical="center" wrapText="1"/>
    </xf>
    <xf numFmtId="10" fontId="2" fillId="5" borderId="20" xfId="0" applyNumberFormat="1" applyFont="1" applyFill="1" applyBorder="1" applyAlignment="1">
      <alignment vertical="center" wrapText="1"/>
    </xf>
    <xf numFmtId="3" fontId="2" fillId="5" borderId="1" xfId="0" applyNumberFormat="1" applyFont="1" applyFill="1" applyBorder="1" applyAlignment="1">
      <alignment vertical="center" wrapText="1"/>
    </xf>
    <xf numFmtId="3" fontId="2" fillId="0" borderId="59" xfId="0" applyNumberFormat="1" applyFont="1" applyBorder="1" applyAlignment="1">
      <alignment vertical="center" wrapText="1"/>
    </xf>
    <xf numFmtId="10" fontId="2" fillId="5" borderId="1" xfId="0" applyNumberFormat="1" applyFont="1" applyFill="1" applyBorder="1" applyAlignment="1">
      <alignment vertical="center" wrapText="1"/>
    </xf>
    <xf numFmtId="3" fontId="2" fillId="5" borderId="6" xfId="0" applyNumberFormat="1" applyFont="1" applyFill="1" applyBorder="1" applyAlignment="1">
      <alignment vertical="center" wrapText="1"/>
    </xf>
    <xf numFmtId="10" fontId="2" fillId="5" borderId="6" xfId="0" applyNumberFormat="1" applyFont="1" applyFill="1" applyBorder="1" applyAlignment="1">
      <alignment vertical="center" wrapText="1"/>
    </xf>
    <xf numFmtId="10" fontId="2" fillId="5" borderId="4" xfId="0" applyNumberFormat="1" applyFont="1" applyFill="1" applyBorder="1" applyAlignment="1">
      <alignment vertical="center" wrapText="1"/>
    </xf>
    <xf numFmtId="3" fontId="2" fillId="0" borderId="0" xfId="0" applyNumberFormat="1" applyFont="1" applyBorder="1" applyAlignment="1">
      <alignment vertical="center" wrapText="1"/>
    </xf>
    <xf numFmtId="3" fontId="2" fillId="0" borderId="78" xfId="0" applyNumberFormat="1" applyFont="1" applyBorder="1" applyAlignment="1">
      <alignment vertical="center" wrapText="1"/>
    </xf>
    <xf numFmtId="3" fontId="2" fillId="5" borderId="8" xfId="0" applyNumberFormat="1" applyFont="1" applyFill="1" applyBorder="1" applyAlignment="1">
      <alignment vertical="center" wrapText="1"/>
    </xf>
    <xf numFmtId="10" fontId="2" fillId="5" borderId="8" xfId="0" applyNumberFormat="1" applyFont="1" applyFill="1" applyBorder="1" applyAlignment="1">
      <alignment vertical="center" wrapText="1"/>
    </xf>
    <xf numFmtId="10" fontId="2" fillId="5" borderId="9" xfId="0" applyNumberFormat="1" applyFont="1" applyFill="1" applyBorder="1" applyAlignment="1">
      <alignment vertical="center" wrapText="1"/>
    </xf>
    <xf numFmtId="3" fontId="2" fillId="5" borderId="31" xfId="0" applyNumberFormat="1" applyFont="1" applyFill="1" applyBorder="1" applyAlignment="1">
      <alignment vertical="center" wrapText="1"/>
    </xf>
    <xf numFmtId="10" fontId="2" fillId="5" borderId="31" xfId="0" applyNumberFormat="1" applyFont="1" applyFill="1" applyBorder="1" applyAlignment="1">
      <alignment vertical="center" wrapText="1"/>
    </xf>
    <xf numFmtId="0" fontId="2" fillId="2" borderId="23" xfId="0" applyFont="1" applyFill="1" applyBorder="1" applyAlignment="1" quotePrefix="1">
      <alignment horizontal="center"/>
    </xf>
    <xf numFmtId="3" fontId="2" fillId="0" borderId="61" xfId="0" applyNumberFormat="1" applyFont="1" applyBorder="1" applyAlignment="1">
      <alignment vertical="center" wrapText="1"/>
    </xf>
    <xf numFmtId="3" fontId="2" fillId="0" borderId="57" xfId="0" applyNumberFormat="1" applyFont="1" applyBorder="1" applyAlignment="1">
      <alignment vertical="center" wrapText="1"/>
    </xf>
    <xf numFmtId="3" fontId="2" fillId="5" borderId="43" xfId="0" applyNumberFormat="1" applyFont="1" applyFill="1" applyBorder="1" applyAlignment="1">
      <alignment vertical="center" wrapText="1"/>
    </xf>
    <xf numFmtId="0" fontId="2" fillId="0" borderId="43" xfId="0" applyFont="1" applyBorder="1" applyAlignment="1">
      <alignment horizontal="left" vertical="center" wrapText="1"/>
    </xf>
    <xf numFmtId="3" fontId="2" fillId="0" borderId="67" xfId="0" applyNumberFormat="1" applyFont="1" applyBorder="1" applyAlignment="1">
      <alignment vertical="center" wrapText="1"/>
    </xf>
    <xf numFmtId="3" fontId="2" fillId="5" borderId="18" xfId="0" applyNumberFormat="1" applyFont="1" applyFill="1" applyBorder="1" applyAlignment="1">
      <alignment vertical="center" wrapText="1"/>
    </xf>
    <xf numFmtId="0" fontId="2" fillId="0" borderId="77" xfId="0" applyFont="1" applyBorder="1" applyAlignment="1">
      <alignment horizontal="left" vertical="center" wrapText="1"/>
    </xf>
    <xf numFmtId="0" fontId="2" fillId="0" borderId="61" xfId="0" applyFont="1" applyBorder="1" applyAlignment="1">
      <alignment horizontal="left" vertical="center" wrapText="1"/>
    </xf>
    <xf numFmtId="0" fontId="2" fillId="0" borderId="61" xfId="0" applyFont="1" applyBorder="1" applyAlignment="1">
      <alignment vertical="center" wrapText="1"/>
    </xf>
    <xf numFmtId="0" fontId="2" fillId="0" borderId="67" xfId="0" applyFont="1" applyBorder="1" applyAlignment="1">
      <alignment vertical="center" wrapText="1"/>
    </xf>
    <xf numFmtId="0" fontId="7" fillId="2" borderId="68" xfId="0" applyFont="1" applyFill="1" applyBorder="1" applyAlignment="1">
      <alignment horizontal="left" vertical="center" wrapText="1"/>
    </xf>
    <xf numFmtId="3" fontId="7" fillId="2" borderId="45" xfId="0" applyNumberFormat="1" applyFont="1" applyFill="1" applyBorder="1" applyAlignment="1">
      <alignment horizontal="center" vertical="center" wrapText="1"/>
    </xf>
    <xf numFmtId="0" fontId="0" fillId="2" borderId="35" xfId="0" applyFill="1" applyBorder="1" applyAlignment="1">
      <alignment horizontal="center" vertical="center" wrapText="1"/>
    </xf>
    <xf numFmtId="0" fontId="0" fillId="2" borderId="51" xfId="0" applyFill="1" applyBorder="1" applyAlignment="1">
      <alignment horizontal="center" vertical="center" wrapText="1"/>
    </xf>
    <xf numFmtId="10" fontId="7" fillId="0" borderId="28" xfId="0" applyNumberFormat="1" applyFont="1" applyBorder="1" applyAlignment="1">
      <alignment horizontal="center" vertical="center"/>
    </xf>
    <xf numFmtId="10" fontId="7" fillId="0" borderId="33" xfId="0" applyNumberFormat="1" applyFont="1" applyBorder="1" applyAlignment="1">
      <alignment horizontal="center" vertical="center"/>
    </xf>
    <xf numFmtId="4" fontId="7" fillId="2" borderId="21" xfId="0" applyNumberFormat="1" applyFont="1" applyFill="1" applyBorder="1" applyAlignment="1">
      <alignment vertical="center" wrapText="1"/>
    </xf>
    <xf numFmtId="0" fontId="7" fillId="2" borderId="14" xfId="0" applyFont="1" applyFill="1" applyBorder="1" applyAlignment="1">
      <alignment horizontal="center" vertical="center" wrapText="1"/>
    </xf>
    <xf numFmtId="0" fontId="5" fillId="2" borderId="6" xfId="0" applyFont="1" applyFill="1" applyBorder="1" applyAlignment="1">
      <alignment horizontal="center" vertical="center"/>
    </xf>
    <xf numFmtId="0" fontId="7" fillId="0" borderId="28" xfId="0" applyFont="1" applyBorder="1" applyAlignment="1">
      <alignment/>
    </xf>
    <xf numFmtId="0" fontId="7" fillId="0" borderId="12" xfId="0" applyFont="1" applyBorder="1" applyAlignment="1">
      <alignment/>
    </xf>
    <xf numFmtId="0" fontId="7" fillId="2" borderId="21" xfId="0" applyFont="1" applyFill="1" applyBorder="1" applyAlignment="1">
      <alignment/>
    </xf>
    <xf numFmtId="0" fontId="7" fillId="0" borderId="33" xfId="0" applyFont="1" applyBorder="1" applyAlignment="1">
      <alignment wrapText="1"/>
    </xf>
    <xf numFmtId="0" fontId="7" fillId="0" borderId="43" xfId="0" applyFont="1" applyBorder="1" applyAlignment="1">
      <alignment vertical="center" wrapText="1"/>
    </xf>
    <xf numFmtId="0" fontId="7" fillId="0" borderId="42" xfId="0" applyFont="1" applyBorder="1" applyAlignment="1">
      <alignment vertical="center" wrapText="1"/>
    </xf>
    <xf numFmtId="3" fontId="0" fillId="0" borderId="0" xfId="0" applyNumberFormat="1" applyAlignment="1">
      <alignment/>
    </xf>
    <xf numFmtId="2" fontId="7" fillId="0" borderId="42" xfId="0" applyNumberFormat="1" applyFont="1" applyFill="1" applyBorder="1" applyAlignment="1">
      <alignment vertical="center"/>
    </xf>
    <xf numFmtId="3" fontId="10" fillId="0" borderId="22" xfId="0" applyNumberFormat="1" applyFont="1" applyFill="1" applyBorder="1" applyAlignment="1">
      <alignment vertical="center"/>
    </xf>
    <xf numFmtId="3" fontId="10" fillId="0" borderId="1" xfId="0" applyNumberFormat="1" applyFont="1" applyFill="1" applyBorder="1" applyAlignment="1">
      <alignment vertical="center"/>
    </xf>
    <xf numFmtId="0" fontId="9" fillId="0" borderId="12" xfId="0" applyFont="1" applyBorder="1" applyAlignment="1">
      <alignment vertical="center" wrapText="1"/>
    </xf>
    <xf numFmtId="3" fontId="9" fillId="2" borderId="31" xfId="0" applyNumberFormat="1" applyFont="1" applyFill="1" applyBorder="1" applyAlignment="1">
      <alignment vertical="center"/>
    </xf>
    <xf numFmtId="0" fontId="7" fillId="2" borderId="68" xfId="0" applyFont="1" applyFill="1" applyBorder="1" applyAlignment="1" quotePrefix="1">
      <alignment horizontal="center" vertical="center"/>
    </xf>
    <xf numFmtId="0" fontId="7" fillId="2" borderId="30" xfId="0" applyFont="1" applyFill="1" applyBorder="1" applyAlignment="1">
      <alignment horizontal="center" vertical="center" wrapText="1"/>
    </xf>
    <xf numFmtId="0" fontId="7" fillId="2" borderId="15" xfId="0" applyFont="1" applyFill="1" applyBorder="1" applyAlignment="1" quotePrefix="1">
      <alignment horizontal="center" vertical="center"/>
    </xf>
    <xf numFmtId="0" fontId="7" fillId="2" borderId="46" xfId="0" applyFont="1" applyFill="1" applyBorder="1" applyAlignment="1">
      <alignment horizontal="center" vertical="center" wrapText="1"/>
    </xf>
    <xf numFmtId="0" fontId="7" fillId="2" borderId="14" xfId="0" applyFont="1" applyFill="1" applyBorder="1" applyAlignment="1" quotePrefix="1">
      <alignment horizontal="center" vertical="center"/>
    </xf>
    <xf numFmtId="0" fontId="7" fillId="0" borderId="22" xfId="0" applyFont="1" applyBorder="1" applyAlignment="1">
      <alignment vertical="center"/>
    </xf>
    <xf numFmtId="0" fontId="7" fillId="0" borderId="60" xfId="0" applyFont="1" applyBorder="1" applyAlignment="1">
      <alignment horizontal="center" vertical="center"/>
    </xf>
    <xf numFmtId="0" fontId="11" fillId="0" borderId="50" xfId="0" applyFont="1" applyBorder="1" applyAlignment="1">
      <alignment horizontal="center" vertical="center"/>
    </xf>
    <xf numFmtId="164" fontId="11" fillId="0" borderId="60" xfId="0" applyNumberFormat="1" applyFont="1" applyBorder="1" applyAlignment="1">
      <alignment horizontal="right" vertical="center"/>
    </xf>
    <xf numFmtId="164" fontId="11" fillId="0" borderId="55" xfId="0" applyNumberFormat="1" applyFont="1" applyBorder="1" applyAlignment="1">
      <alignment horizontal="right" vertical="center"/>
    </xf>
    <xf numFmtId="0" fontId="7" fillId="0" borderId="1" xfId="0" applyFont="1" applyBorder="1" applyAlignment="1">
      <alignment vertical="center"/>
    </xf>
    <xf numFmtId="0" fontId="7" fillId="0" borderId="61" xfId="0" applyFont="1" applyBorder="1" applyAlignment="1">
      <alignment horizontal="center" vertical="center"/>
    </xf>
    <xf numFmtId="164" fontId="11" fillId="0" borderId="29" xfId="0" applyNumberFormat="1" applyFont="1" applyBorder="1" applyAlignment="1">
      <alignment horizontal="right" vertical="center"/>
    </xf>
    <xf numFmtId="164" fontId="11" fillId="0" borderId="61" xfId="0" applyNumberFormat="1" applyFont="1" applyBorder="1" applyAlignment="1">
      <alignment horizontal="right" vertical="center"/>
    </xf>
    <xf numFmtId="164" fontId="11" fillId="0" borderId="56" xfId="0" applyNumberFormat="1" applyFont="1" applyBorder="1" applyAlignment="1">
      <alignment horizontal="right" vertical="center"/>
    </xf>
    <xf numFmtId="0" fontId="7" fillId="0" borderId="8" xfId="0" applyFont="1" applyBorder="1" applyAlignment="1">
      <alignment vertical="center"/>
    </xf>
    <xf numFmtId="0" fontId="7" fillId="0" borderId="67" xfId="0" applyFont="1" applyBorder="1" applyAlignment="1">
      <alignment horizontal="center" vertical="center"/>
    </xf>
    <xf numFmtId="0" fontId="7" fillId="0" borderId="58" xfId="0" applyFont="1" applyBorder="1" applyAlignment="1">
      <alignment vertical="center"/>
    </xf>
    <xf numFmtId="0" fontId="11" fillId="0" borderId="0" xfId="0" applyFont="1" applyBorder="1" applyAlignment="1">
      <alignment horizontal="center" vertical="center"/>
    </xf>
    <xf numFmtId="164" fontId="11" fillId="0" borderId="9" xfId="0" applyNumberFormat="1" applyFont="1" applyBorder="1" applyAlignment="1">
      <alignment horizontal="right" vertical="center"/>
    </xf>
    <xf numFmtId="164" fontId="11" fillId="0" borderId="67" xfId="0" applyNumberFormat="1" applyFont="1" applyBorder="1" applyAlignment="1">
      <alignment horizontal="right" vertical="center"/>
    </xf>
    <xf numFmtId="164" fontId="11" fillId="0" borderId="57" xfId="0" applyNumberFormat="1" applyFont="1" applyBorder="1" applyAlignment="1">
      <alignment horizontal="right" vertical="center"/>
    </xf>
    <xf numFmtId="0" fontId="7" fillId="2" borderId="68" xfId="0" applyFont="1" applyFill="1" applyBorder="1" applyAlignment="1">
      <alignment horizontal="center" vertical="center"/>
    </xf>
    <xf numFmtId="0" fontId="7" fillId="2" borderId="30" xfId="0" applyFont="1" applyFill="1" applyBorder="1" applyAlignment="1">
      <alignment horizontal="right" vertical="center" wrapText="1"/>
    </xf>
    <xf numFmtId="0" fontId="11" fillId="2" borderId="35" xfId="0" applyFont="1" applyFill="1" applyBorder="1" applyAlignment="1">
      <alignment horizontal="center" vertical="center"/>
    </xf>
    <xf numFmtId="164" fontId="11" fillId="2" borderId="18" xfId="0" applyNumberFormat="1" applyFont="1" applyFill="1" applyBorder="1" applyAlignment="1">
      <alignment horizontal="right" vertical="center"/>
    </xf>
    <xf numFmtId="164" fontId="11" fillId="2" borderId="68" xfId="0" applyNumberFormat="1" applyFont="1" applyFill="1" applyBorder="1" applyAlignment="1">
      <alignment horizontal="right" vertical="center"/>
    </xf>
    <xf numFmtId="164" fontId="11" fillId="2" borderId="51" xfId="0" applyNumberFormat="1" applyFont="1" applyFill="1" applyBorder="1" applyAlignment="1">
      <alignment horizontal="right" vertical="center"/>
    </xf>
    <xf numFmtId="0" fontId="7" fillId="0" borderId="0" xfId="0" applyFont="1" applyBorder="1" applyAlignment="1">
      <alignment/>
    </xf>
    <xf numFmtId="3" fontId="7" fillId="0" borderId="0" xfId="0" applyNumberFormat="1" applyFont="1" applyFill="1" applyBorder="1" applyAlignment="1">
      <alignment vertical="center"/>
    </xf>
    <xf numFmtId="3" fontId="23" fillId="0" borderId="0" xfId="0" applyNumberFormat="1" applyFont="1" applyFill="1" applyBorder="1" applyAlignment="1">
      <alignment vertical="center"/>
    </xf>
    <xf numFmtId="0" fontId="9" fillId="0" borderId="0" xfId="0" applyFont="1" applyAlignment="1">
      <alignment/>
    </xf>
    <xf numFmtId="0" fontId="9" fillId="0" borderId="60" xfId="0" applyFont="1" applyBorder="1" applyAlignment="1">
      <alignment horizontal="left" vertical="center" wrapText="1"/>
    </xf>
    <xf numFmtId="3" fontId="7" fillId="0" borderId="50" xfId="0" applyNumberFormat="1" applyFont="1" applyBorder="1" applyAlignment="1">
      <alignment vertical="center" wrapText="1"/>
    </xf>
    <xf numFmtId="3" fontId="7" fillId="0" borderId="63" xfId="0" applyNumberFormat="1" applyFont="1" applyBorder="1" applyAlignment="1">
      <alignment vertical="center" wrapText="1"/>
    </xf>
    <xf numFmtId="0" fontId="2" fillId="5" borderId="27" xfId="0" applyFont="1" applyFill="1" applyBorder="1" applyAlignment="1">
      <alignment vertical="center" wrapText="1"/>
    </xf>
    <xf numFmtId="0" fontId="9" fillId="0" borderId="61" xfId="0" applyFont="1" applyBorder="1" applyAlignment="1">
      <alignment horizontal="left" vertical="center" wrapText="1"/>
    </xf>
    <xf numFmtId="0" fontId="9" fillId="0" borderId="62" xfId="0" applyFont="1" applyBorder="1" applyAlignment="1">
      <alignment horizontal="left" vertical="center" wrapText="1"/>
    </xf>
    <xf numFmtId="3" fontId="7" fillId="0" borderId="12" xfId="0" applyNumberFormat="1" applyFont="1" applyFill="1" applyBorder="1" applyAlignment="1">
      <alignment vertical="center" wrapText="1"/>
    </xf>
    <xf numFmtId="0" fontId="9" fillId="0" borderId="77" xfId="0" applyFont="1" applyBorder="1" applyAlignment="1">
      <alignment horizontal="left" vertical="center" wrapText="1"/>
    </xf>
    <xf numFmtId="10" fontId="2" fillId="5" borderId="27" xfId="0" applyNumberFormat="1" applyFont="1" applyFill="1" applyBorder="1" applyAlignment="1">
      <alignment vertical="center" wrapText="1"/>
    </xf>
    <xf numFmtId="3" fontId="7" fillId="0" borderId="36" xfId="0" applyNumberFormat="1" applyFont="1" applyBorder="1" applyAlignment="1">
      <alignment vertical="center" wrapText="1"/>
    </xf>
    <xf numFmtId="3" fontId="7" fillId="0" borderId="28" xfId="0" applyNumberFormat="1" applyFont="1" applyFill="1" applyBorder="1" applyAlignment="1">
      <alignment vertical="center" wrapText="1"/>
    </xf>
    <xf numFmtId="0" fontId="9" fillId="0" borderId="61" xfId="0" applyFont="1" applyBorder="1" applyAlignment="1">
      <alignment vertical="center" wrapText="1"/>
    </xf>
    <xf numFmtId="3" fontId="7" fillId="0" borderId="36" xfId="0" applyNumberFormat="1" applyFont="1" applyFill="1" applyBorder="1" applyAlignment="1">
      <alignment vertical="center" wrapText="1"/>
    </xf>
    <xf numFmtId="0" fontId="9" fillId="0" borderId="62" xfId="0" applyFont="1" applyBorder="1" applyAlignment="1">
      <alignment vertical="center" wrapText="1"/>
    </xf>
    <xf numFmtId="0" fontId="5" fillId="0" borderId="0" xfId="0" applyFont="1" applyBorder="1" applyAlignment="1">
      <alignment/>
    </xf>
    <xf numFmtId="3" fontId="7" fillId="0" borderId="42" xfId="0" applyNumberFormat="1" applyFont="1" applyBorder="1" applyAlignment="1" quotePrefix="1">
      <alignment horizontal="center"/>
    </xf>
    <xf numFmtId="3" fontId="7" fillId="0" borderId="6" xfId="0" applyNumberFormat="1" applyFont="1" applyBorder="1" applyAlignment="1" quotePrefix="1">
      <alignment horizontal="center"/>
    </xf>
    <xf numFmtId="3" fontId="7" fillId="2" borderId="38" xfId="0" applyNumberFormat="1" applyFont="1" applyFill="1" applyBorder="1" applyAlignment="1">
      <alignment horizontal="center"/>
    </xf>
    <xf numFmtId="3" fontId="7" fillId="2" borderId="25" xfId="0" applyNumberFormat="1" applyFont="1" applyFill="1" applyBorder="1" applyAlignment="1">
      <alignment horizontal="center"/>
    </xf>
    <xf numFmtId="3" fontId="7" fillId="0" borderId="7" xfId="0" applyNumberFormat="1" applyFont="1" applyFill="1" applyBorder="1" applyAlignment="1">
      <alignment horizontal="right" vertical="center" wrapText="1"/>
    </xf>
    <xf numFmtId="3" fontId="7" fillId="0" borderId="6" xfId="0" applyNumberFormat="1" applyFont="1" applyFill="1" applyBorder="1" applyAlignment="1">
      <alignment vertical="center"/>
    </xf>
    <xf numFmtId="3" fontId="7" fillId="0" borderId="16" xfId="0" applyNumberFormat="1" applyFont="1" applyFill="1" applyBorder="1" applyAlignment="1">
      <alignment horizontal="right" vertical="center" wrapText="1"/>
    </xf>
    <xf numFmtId="3" fontId="7" fillId="0" borderId="58" xfId="0" applyNumberFormat="1" applyFont="1" applyFill="1" applyBorder="1" applyAlignment="1">
      <alignment vertical="center" wrapText="1"/>
    </xf>
    <xf numFmtId="3" fontId="7" fillId="0" borderId="49" xfId="0" applyNumberFormat="1" applyFont="1" applyBorder="1" applyAlignment="1">
      <alignment vertical="center" wrapText="1"/>
    </xf>
    <xf numFmtId="3" fontId="7" fillId="0" borderId="48" xfId="0" applyNumberFormat="1" applyFont="1" applyFill="1" applyBorder="1" applyAlignment="1">
      <alignment vertical="center" wrapText="1"/>
    </xf>
    <xf numFmtId="3" fontId="7" fillId="0" borderId="49" xfId="0" applyNumberFormat="1" applyFont="1" applyFill="1" applyBorder="1" applyAlignment="1">
      <alignment vertical="center" wrapText="1"/>
    </xf>
    <xf numFmtId="3" fontId="7" fillId="0" borderId="27" xfId="0" applyNumberFormat="1" applyFont="1" applyBorder="1" applyAlignment="1">
      <alignment vertical="center" wrapText="1"/>
    </xf>
    <xf numFmtId="3" fontId="7" fillId="2" borderId="35" xfId="0" applyNumberFormat="1" applyFont="1" applyFill="1" applyBorder="1" applyAlignment="1">
      <alignment horizontal="right" vertical="center" wrapText="1"/>
    </xf>
    <xf numFmtId="3" fontId="7" fillId="2" borderId="31" xfId="0" applyNumberFormat="1" applyFont="1" applyFill="1" applyBorder="1" applyAlignment="1">
      <alignment horizontal="right" vertical="center" wrapText="1"/>
    </xf>
    <xf numFmtId="3" fontId="7" fillId="2" borderId="14" xfId="0" applyNumberFormat="1" applyFont="1" applyFill="1" applyBorder="1" applyAlignment="1">
      <alignment vertical="center" wrapText="1"/>
    </xf>
    <xf numFmtId="3" fontId="7" fillId="2" borderId="23" xfId="0" applyNumberFormat="1" applyFont="1" applyFill="1" applyBorder="1" applyAlignment="1">
      <alignment vertical="center" wrapText="1"/>
    </xf>
    <xf numFmtId="0" fontId="5" fillId="2" borderId="4" xfId="0" applyFont="1" applyFill="1" applyBorder="1" applyAlignment="1">
      <alignment horizontal="center" vertical="center"/>
    </xf>
    <xf numFmtId="3" fontId="2" fillId="0" borderId="76" xfId="0" applyNumberFormat="1" applyFont="1" applyFill="1" applyBorder="1" applyAlignment="1">
      <alignment vertical="center" wrapText="1"/>
    </xf>
    <xf numFmtId="0" fontId="25" fillId="0" borderId="0" xfId="21" applyFont="1">
      <alignment/>
      <protection/>
    </xf>
    <xf numFmtId="3" fontId="24" fillId="0" borderId="0" xfId="21" applyNumberFormat="1">
      <alignment/>
      <protection/>
    </xf>
    <xf numFmtId="0" fontId="24" fillId="0" borderId="0" xfId="21">
      <alignment/>
      <protection/>
    </xf>
    <xf numFmtId="0" fontId="24" fillId="0" borderId="0" xfId="21" applyAlignment="1">
      <alignment vertical="center" wrapText="1"/>
      <protection/>
    </xf>
    <xf numFmtId="3" fontId="26" fillId="2" borderId="24" xfId="21" applyNumberFormat="1" applyFont="1" applyFill="1" applyBorder="1" applyAlignment="1">
      <alignment horizontal="center" vertical="center" wrapText="1"/>
      <protection/>
    </xf>
    <xf numFmtId="0" fontId="26" fillId="0" borderId="33" xfId="21" applyFont="1" applyFill="1" applyBorder="1" applyAlignment="1">
      <alignment vertical="center" wrapText="1"/>
      <protection/>
    </xf>
    <xf numFmtId="3" fontId="26" fillId="0" borderId="33" xfId="21" applyNumberFormat="1" applyFont="1" applyFill="1" applyBorder="1" applyAlignment="1">
      <alignment vertical="center"/>
      <protection/>
    </xf>
    <xf numFmtId="3" fontId="26" fillId="0" borderId="22" xfId="21" applyNumberFormat="1" applyFont="1" applyFill="1" applyBorder="1" applyAlignment="1">
      <alignment vertical="center"/>
      <protection/>
    </xf>
    <xf numFmtId="3" fontId="26" fillId="0" borderId="27" xfId="21" applyNumberFormat="1" applyFont="1" applyFill="1" applyBorder="1" applyAlignment="1">
      <alignment vertical="center"/>
      <protection/>
    </xf>
    <xf numFmtId="0" fontId="24" fillId="0" borderId="0" xfId="21" applyFill="1" applyAlignment="1">
      <alignment vertical="center"/>
      <protection/>
    </xf>
    <xf numFmtId="0" fontId="26" fillId="0" borderId="28" xfId="21" applyFont="1" applyFill="1" applyBorder="1" applyAlignment="1">
      <alignment vertical="center" wrapText="1"/>
      <protection/>
    </xf>
    <xf numFmtId="3" fontId="26" fillId="0" borderId="28" xfId="21" applyNumberFormat="1" applyFont="1" applyFill="1" applyBorder="1" applyAlignment="1">
      <alignment vertical="center"/>
      <protection/>
    </xf>
    <xf numFmtId="3" fontId="26" fillId="0" borderId="1" xfId="21" applyNumberFormat="1" applyFont="1" applyFill="1" applyBorder="1" applyAlignment="1">
      <alignment vertical="center"/>
      <protection/>
    </xf>
    <xf numFmtId="10" fontId="26" fillId="0" borderId="29" xfId="21" applyNumberFormat="1" applyFont="1" applyFill="1" applyBorder="1" applyAlignment="1">
      <alignment vertical="center"/>
      <protection/>
    </xf>
    <xf numFmtId="3" fontId="26" fillId="0" borderId="29" xfId="21" applyNumberFormat="1" applyFont="1" applyFill="1" applyBorder="1" applyAlignment="1">
      <alignment vertical="center"/>
      <protection/>
    </xf>
    <xf numFmtId="0" fontId="26" fillId="0" borderId="12" xfId="21" applyFont="1" applyFill="1" applyBorder="1" applyAlignment="1">
      <alignment vertical="center" wrapText="1"/>
      <protection/>
    </xf>
    <xf numFmtId="3" fontId="26" fillId="0" borderId="12" xfId="21" applyNumberFormat="1" applyFont="1" applyFill="1" applyBorder="1" applyAlignment="1">
      <alignment vertical="center"/>
      <protection/>
    </xf>
    <xf numFmtId="3" fontId="26" fillId="0" borderId="8" xfId="21" applyNumberFormat="1" applyFont="1" applyFill="1" applyBorder="1" applyAlignment="1">
      <alignment vertical="center"/>
      <protection/>
    </xf>
    <xf numFmtId="10" fontId="26" fillId="0" borderId="9" xfId="21" applyNumberFormat="1" applyFont="1" applyFill="1" applyBorder="1" applyAlignment="1">
      <alignment vertical="center"/>
      <protection/>
    </xf>
    <xf numFmtId="3" fontId="26" fillId="0" borderId="9" xfId="21" applyNumberFormat="1" applyFont="1" applyFill="1" applyBorder="1" applyAlignment="1">
      <alignment vertical="center"/>
      <protection/>
    </xf>
    <xf numFmtId="0" fontId="26" fillId="2" borderId="21" xfId="21" applyFont="1" applyFill="1" applyBorder="1" applyAlignment="1">
      <alignment vertical="center"/>
      <protection/>
    </xf>
    <xf numFmtId="3" fontId="26" fillId="2" borderId="21" xfId="21" applyNumberFormat="1" applyFont="1" applyFill="1" applyBorder="1" applyAlignment="1">
      <alignment vertical="center"/>
      <protection/>
    </xf>
    <xf numFmtId="3" fontId="26" fillId="2" borderId="31" xfId="21" applyNumberFormat="1" applyFont="1" applyFill="1" applyBorder="1" applyAlignment="1">
      <alignment vertical="center"/>
      <protection/>
    </xf>
    <xf numFmtId="10" fontId="26" fillId="2" borderId="20" xfId="21" applyNumberFormat="1" applyFont="1" applyFill="1" applyBorder="1" applyAlignment="1">
      <alignment vertical="center"/>
      <protection/>
    </xf>
    <xf numFmtId="3" fontId="26" fillId="2" borderId="20" xfId="21" applyNumberFormat="1" applyFont="1" applyFill="1" applyBorder="1" applyAlignment="1">
      <alignment vertical="center"/>
      <protection/>
    </xf>
    <xf numFmtId="0" fontId="24" fillId="0" borderId="0" xfId="21" applyAlignment="1">
      <alignment vertical="center"/>
      <protection/>
    </xf>
    <xf numFmtId="0" fontId="26" fillId="0" borderId="0" xfId="21" applyFont="1">
      <alignment/>
      <protection/>
    </xf>
    <xf numFmtId="3" fontId="26" fillId="0" borderId="0" xfId="21" applyNumberFormat="1" applyFont="1">
      <alignment/>
      <protection/>
    </xf>
    <xf numFmtId="1" fontId="26" fillId="2" borderId="24" xfId="21" applyNumberFormat="1" applyFont="1" applyFill="1" applyBorder="1" applyAlignment="1">
      <alignment horizontal="center" vertical="center"/>
      <protection/>
    </xf>
    <xf numFmtId="3" fontId="26" fillId="2" borderId="24" xfId="21" applyNumberFormat="1" applyFont="1" applyFill="1" applyBorder="1" applyAlignment="1" quotePrefix="1">
      <alignment horizontal="center" vertical="center"/>
      <protection/>
    </xf>
    <xf numFmtId="1" fontId="26" fillId="2" borderId="34" xfId="21" applyNumberFormat="1" applyFont="1" applyFill="1" applyBorder="1" applyAlignment="1">
      <alignment horizontal="center" vertical="center"/>
      <protection/>
    </xf>
    <xf numFmtId="3" fontId="26" fillId="2" borderId="25" xfId="21" applyNumberFormat="1" applyFont="1" applyFill="1" applyBorder="1" applyAlignment="1">
      <alignment horizontal="center" vertical="center"/>
      <protection/>
    </xf>
    <xf numFmtId="10" fontId="26" fillId="0" borderId="64" xfId="21" applyNumberFormat="1" applyFont="1" applyFill="1" applyBorder="1" applyAlignment="1">
      <alignment vertical="center"/>
      <protection/>
    </xf>
    <xf numFmtId="10" fontId="26" fillId="0" borderId="11" xfId="21" applyNumberFormat="1" applyFont="1" applyFill="1" applyBorder="1" applyAlignment="1">
      <alignment vertical="center"/>
      <protection/>
    </xf>
    <xf numFmtId="10" fontId="26" fillId="2" borderId="19" xfId="21" applyNumberFormat="1" applyFont="1" applyFill="1" applyBorder="1" applyAlignment="1">
      <alignment vertical="center"/>
      <protection/>
    </xf>
    <xf numFmtId="0" fontId="10" fillId="2" borderId="23" xfId="0" applyFont="1" applyFill="1" applyBorder="1" applyAlignment="1">
      <alignment horizontal="center"/>
    </xf>
    <xf numFmtId="0" fontId="10" fillId="2" borderId="13" xfId="0" applyFont="1" applyFill="1" applyBorder="1" applyAlignment="1">
      <alignment horizontal="center"/>
    </xf>
    <xf numFmtId="0" fontId="10" fillId="2" borderId="14" xfId="0" applyFont="1" applyFill="1" applyBorder="1" applyAlignment="1">
      <alignment horizontal="center"/>
    </xf>
    <xf numFmtId="0" fontId="10" fillId="2" borderId="23" xfId="0" applyFont="1" applyFill="1" applyBorder="1" applyAlignment="1" quotePrefix="1">
      <alignment horizontal="center"/>
    </xf>
    <xf numFmtId="0" fontId="10" fillId="2" borderId="17" xfId="0" applyFont="1" applyFill="1" applyBorder="1" applyAlignment="1">
      <alignment horizontal="center"/>
    </xf>
    <xf numFmtId="0" fontId="5" fillId="3" borderId="0" xfId="0" applyFont="1" applyFill="1" applyBorder="1" applyAlignment="1">
      <alignment vertical="center"/>
    </xf>
    <xf numFmtId="169" fontId="7" fillId="3" borderId="0" xfId="0" applyNumberFormat="1" applyFont="1" applyFill="1" applyBorder="1" applyAlignment="1">
      <alignment vertical="center"/>
    </xf>
    <xf numFmtId="3" fontId="7" fillId="0" borderId="63" xfId="0" applyNumberFormat="1" applyFont="1" applyBorder="1" applyAlignment="1" quotePrefix="1">
      <alignment horizontal="center"/>
    </xf>
    <xf numFmtId="3" fontId="7" fillId="0" borderId="50" xfId="0" applyNumberFormat="1" applyFont="1" applyBorder="1" applyAlignment="1" quotePrefix="1">
      <alignment horizontal="center"/>
    </xf>
    <xf numFmtId="3" fontId="7" fillId="0" borderId="48" xfId="0" applyNumberFormat="1" applyFont="1" applyBorder="1" applyAlignment="1">
      <alignment/>
    </xf>
    <xf numFmtId="3" fontId="7" fillId="0" borderId="53" xfId="0" applyNumberFormat="1" applyFont="1" applyBorder="1" applyAlignment="1">
      <alignment/>
    </xf>
    <xf numFmtId="3" fontId="7" fillId="0" borderId="12" xfId="0" applyNumberFormat="1" applyFont="1" applyBorder="1" applyAlignment="1">
      <alignment/>
    </xf>
    <xf numFmtId="3" fontId="7" fillId="0" borderId="0" xfId="0" applyNumberFormat="1" applyFont="1" applyAlignment="1">
      <alignment/>
    </xf>
    <xf numFmtId="3" fontId="7" fillId="2" borderId="24" xfId="0" applyNumberFormat="1" applyFont="1" applyFill="1" applyBorder="1" applyAlignment="1">
      <alignment horizontal="center" vertical="center" wrapText="1"/>
    </xf>
    <xf numFmtId="3" fontId="7" fillId="0" borderId="17" xfId="0" applyNumberFormat="1" applyFont="1" applyFill="1" applyBorder="1" applyAlignment="1">
      <alignment vertical="center"/>
    </xf>
    <xf numFmtId="3" fontId="23" fillId="0" borderId="14" xfId="0" applyNumberFormat="1" applyFont="1" applyFill="1" applyBorder="1" applyAlignment="1">
      <alignment vertical="center"/>
    </xf>
    <xf numFmtId="0" fontId="7" fillId="0" borderId="33" xfId="0" applyFont="1" applyBorder="1" applyAlignment="1">
      <alignment/>
    </xf>
    <xf numFmtId="3" fontId="7" fillId="0" borderId="33" xfId="0" applyNumberFormat="1" applyFont="1" applyFill="1" applyBorder="1" applyAlignment="1">
      <alignment vertical="center"/>
    </xf>
    <xf numFmtId="3" fontId="7" fillId="0" borderId="22" xfId="0" applyNumberFormat="1" applyFont="1" applyFill="1" applyBorder="1" applyAlignment="1">
      <alignment vertical="center"/>
    </xf>
    <xf numFmtId="3" fontId="23" fillId="0" borderId="27" xfId="0" applyNumberFormat="1" applyFont="1" applyFill="1" applyBorder="1" applyAlignment="1">
      <alignment vertical="center"/>
    </xf>
    <xf numFmtId="0" fontId="26" fillId="0" borderId="42" xfId="21" applyFont="1" applyFill="1" applyBorder="1" applyAlignment="1">
      <alignment vertical="center" wrapText="1"/>
      <protection/>
    </xf>
    <xf numFmtId="0" fontId="26" fillId="0" borderId="36" xfId="21" applyFont="1" applyFill="1" applyBorder="1" applyAlignment="1">
      <alignment vertical="center" wrapText="1"/>
      <protection/>
    </xf>
    <xf numFmtId="0" fontId="26" fillId="0" borderId="43" xfId="21" applyFont="1" applyFill="1" applyBorder="1" applyAlignment="1">
      <alignment vertical="center" wrapText="1"/>
      <protection/>
    </xf>
    <xf numFmtId="0" fontId="26" fillId="2" borderId="18" xfId="21" applyFont="1" applyFill="1" applyBorder="1" applyAlignment="1">
      <alignment vertical="center"/>
      <protection/>
    </xf>
    <xf numFmtId="10" fontId="26" fillId="0" borderId="63" xfId="21" applyNumberFormat="1" applyFont="1" applyFill="1" applyBorder="1" applyAlignment="1">
      <alignment vertical="center"/>
      <protection/>
    </xf>
    <xf numFmtId="3" fontId="26" fillId="0" borderId="60" xfId="21" applyNumberFormat="1" applyFont="1" applyFill="1" applyBorder="1" applyAlignment="1">
      <alignment vertical="center"/>
      <protection/>
    </xf>
    <xf numFmtId="3" fontId="26" fillId="0" borderId="61" xfId="21" applyNumberFormat="1" applyFont="1" applyFill="1" applyBorder="1" applyAlignment="1">
      <alignment vertical="center"/>
      <protection/>
    </xf>
    <xf numFmtId="3" fontId="26" fillId="0" borderId="67" xfId="21" applyNumberFormat="1" applyFont="1" applyFill="1" applyBorder="1" applyAlignment="1">
      <alignment vertical="center"/>
      <protection/>
    </xf>
    <xf numFmtId="3" fontId="26" fillId="2" borderId="68" xfId="21" applyNumberFormat="1" applyFont="1" applyFill="1" applyBorder="1" applyAlignment="1">
      <alignment vertical="center"/>
      <protection/>
    </xf>
    <xf numFmtId="3" fontId="26" fillId="0" borderId="63" xfId="21" applyNumberFormat="1" applyFont="1" applyFill="1" applyBorder="1" applyAlignment="1">
      <alignment vertical="center"/>
      <protection/>
    </xf>
    <xf numFmtId="3" fontId="26" fillId="0" borderId="64" xfId="21" applyNumberFormat="1" applyFont="1" applyFill="1" applyBorder="1" applyAlignment="1">
      <alignment vertical="center"/>
      <protection/>
    </xf>
    <xf numFmtId="3" fontId="26" fillId="0" borderId="11" xfId="21" applyNumberFormat="1" applyFont="1" applyFill="1" applyBorder="1" applyAlignment="1">
      <alignment vertical="center"/>
      <protection/>
    </xf>
    <xf numFmtId="3" fontId="26" fillId="2" borderId="19" xfId="21" applyNumberFormat="1" applyFont="1" applyFill="1" applyBorder="1" applyAlignment="1">
      <alignment vertical="center"/>
      <protection/>
    </xf>
    <xf numFmtId="1" fontId="27" fillId="2" borderId="17" xfId="21" applyNumberFormat="1" applyFont="1" applyFill="1" applyBorder="1" applyAlignment="1">
      <alignment horizontal="center" vertical="center" wrapText="1"/>
      <protection/>
    </xf>
    <xf numFmtId="1" fontId="27" fillId="2" borderId="16" xfId="21" applyNumberFormat="1" applyFont="1" applyFill="1" applyBorder="1" applyAlignment="1">
      <alignment horizontal="center" vertical="center" wrapText="1"/>
      <protection/>
    </xf>
    <xf numFmtId="3" fontId="27" fillId="2" borderId="16" xfId="21" applyNumberFormat="1" applyFont="1" applyFill="1" applyBorder="1" applyAlignment="1">
      <alignment horizontal="center" vertical="center" wrapText="1"/>
      <protection/>
    </xf>
    <xf numFmtId="0" fontId="7" fillId="2" borderId="17" xfId="0" applyFont="1" applyFill="1" applyBorder="1" applyAlignment="1">
      <alignment horizontal="center" vertical="center" wrapText="1"/>
    </xf>
    <xf numFmtId="0" fontId="7" fillId="0" borderId="23" xfId="0" applyFont="1" applyFill="1" applyBorder="1" applyAlignment="1">
      <alignment/>
    </xf>
    <xf numFmtId="0" fontId="7" fillId="2" borderId="21" xfId="0" applyFont="1" applyFill="1" applyBorder="1" applyAlignment="1">
      <alignment horizontal="left" vertical="center" wrapText="1"/>
    </xf>
    <xf numFmtId="3" fontId="27" fillId="2" borderId="25" xfId="21" applyNumberFormat="1" applyFont="1" applyFill="1" applyBorder="1" applyAlignment="1">
      <alignment horizontal="center" vertical="center" wrapText="1"/>
      <protection/>
    </xf>
    <xf numFmtId="3" fontId="26" fillId="0" borderId="49" xfId="21" applyNumberFormat="1" applyFont="1" applyFill="1" applyBorder="1" applyAlignment="1">
      <alignment vertical="center"/>
      <protection/>
    </xf>
    <xf numFmtId="3" fontId="7" fillId="2" borderId="28" xfId="0" applyNumberFormat="1" applyFont="1" applyFill="1" applyBorder="1" applyAlignment="1">
      <alignment/>
    </xf>
    <xf numFmtId="0" fontId="2" fillId="0" borderId="28" xfId="0" applyFont="1" applyBorder="1" applyAlignment="1">
      <alignment horizontal="left" vertical="center" wrapText="1"/>
    </xf>
    <xf numFmtId="0" fontId="2" fillId="0" borderId="70" xfId="0" applyFont="1" applyBorder="1" applyAlignment="1">
      <alignment horizontal="left" vertical="center" wrapText="1"/>
    </xf>
    <xf numFmtId="3" fontId="7" fillId="3" borderId="34" xfId="22" applyNumberFormat="1" applyFont="1" applyFill="1" applyBorder="1" applyAlignment="1">
      <alignment horizontal="center" vertical="center"/>
      <protection/>
    </xf>
    <xf numFmtId="3" fontId="7" fillId="3" borderId="24" xfId="22" applyNumberFormat="1" applyFont="1" applyFill="1" applyBorder="1" applyAlignment="1">
      <alignment horizontal="right" vertical="center"/>
      <protection/>
    </xf>
    <xf numFmtId="3" fontId="7" fillId="3" borderId="13" xfId="22" applyNumberFormat="1" applyFont="1" applyFill="1" applyBorder="1" applyAlignment="1">
      <alignment horizontal="right" vertical="center"/>
      <protection/>
    </xf>
    <xf numFmtId="3" fontId="7" fillId="3" borderId="25" xfId="22" applyNumberFormat="1" applyFont="1" applyFill="1" applyBorder="1" applyAlignment="1">
      <alignment horizontal="right" vertical="center"/>
      <protection/>
    </xf>
    <xf numFmtId="0" fontId="7" fillId="3" borderId="0" xfId="0" applyFont="1" applyFill="1" applyAlignment="1">
      <alignment vertical="center"/>
    </xf>
    <xf numFmtId="3" fontId="7" fillId="3" borderId="27" xfId="0" applyNumberFormat="1" applyFont="1" applyFill="1" applyBorder="1" applyAlignment="1" quotePrefix="1">
      <alignment horizontal="right"/>
    </xf>
    <xf numFmtId="0" fontId="0" fillId="0" borderId="64" xfId="0" applyFont="1" applyBorder="1" applyAlignment="1">
      <alignment/>
    </xf>
    <xf numFmtId="0" fontId="0" fillId="0" borderId="15" xfId="0" applyFont="1" applyBorder="1" applyAlignment="1">
      <alignment/>
    </xf>
    <xf numFmtId="3" fontId="7" fillId="2" borderId="14" xfId="0" applyNumberFormat="1" applyFont="1" applyFill="1" applyBorder="1" applyAlignment="1">
      <alignment/>
    </xf>
    <xf numFmtId="3" fontId="7" fillId="2" borderId="16" xfId="0" applyNumberFormat="1" applyFont="1" applyFill="1" applyBorder="1" applyAlignment="1">
      <alignment horizontal="center" vertical="center"/>
    </xf>
    <xf numFmtId="3" fontId="7" fillId="0" borderId="27" xfId="0" applyNumberFormat="1" applyFont="1" applyFill="1" applyBorder="1" applyAlignment="1">
      <alignment/>
    </xf>
    <xf numFmtId="3" fontId="7" fillId="0" borderId="29" xfId="0" applyNumberFormat="1" applyFont="1" applyFill="1" applyBorder="1" applyAlignment="1">
      <alignment/>
    </xf>
    <xf numFmtId="3" fontId="7" fillId="0" borderId="29" xfId="0" applyNumberFormat="1" applyFont="1" applyFill="1" applyBorder="1" applyAlignment="1">
      <alignment vertical="center" wrapText="1"/>
    </xf>
    <xf numFmtId="3" fontId="7" fillId="0" borderId="9" xfId="0" applyNumberFormat="1" applyFont="1" applyFill="1" applyBorder="1" applyAlignment="1">
      <alignment/>
    </xf>
    <xf numFmtId="169" fontId="26" fillId="0" borderId="22" xfId="21" applyNumberFormat="1" applyFont="1" applyFill="1" applyBorder="1" applyAlignment="1">
      <alignment vertical="center"/>
      <protection/>
    </xf>
    <xf numFmtId="169" fontId="26" fillId="0" borderId="1" xfId="21" applyNumberFormat="1" applyFont="1" applyFill="1" applyBorder="1" applyAlignment="1">
      <alignment vertical="center"/>
      <protection/>
    </xf>
    <xf numFmtId="169" fontId="26" fillId="0" borderId="8" xfId="21" applyNumberFormat="1" applyFont="1" applyFill="1" applyBorder="1" applyAlignment="1">
      <alignment vertical="center"/>
      <protection/>
    </xf>
    <xf numFmtId="169" fontId="26" fillId="2" borderId="31" xfId="21" applyNumberFormat="1" applyFont="1" applyFill="1" applyBorder="1" applyAlignment="1">
      <alignment vertical="center"/>
      <protection/>
    </xf>
    <xf numFmtId="169" fontId="26" fillId="0" borderId="27" xfId="21" applyNumberFormat="1" applyFont="1" applyFill="1" applyBorder="1" applyAlignment="1">
      <alignment vertical="center"/>
      <protection/>
    </xf>
    <xf numFmtId="169" fontId="26" fillId="0" borderId="29" xfId="21" applyNumberFormat="1" applyFont="1" applyFill="1" applyBorder="1" applyAlignment="1">
      <alignment vertical="center"/>
      <protection/>
    </xf>
    <xf numFmtId="169" fontId="26" fillId="0" borderId="9" xfId="21" applyNumberFormat="1" applyFont="1" applyFill="1" applyBorder="1" applyAlignment="1">
      <alignment vertical="center"/>
      <protection/>
    </xf>
    <xf numFmtId="169" fontId="26" fillId="2" borderId="20" xfId="21" applyNumberFormat="1" applyFont="1" applyFill="1" applyBorder="1" applyAlignment="1">
      <alignment vertical="center"/>
      <protection/>
    </xf>
    <xf numFmtId="0" fontId="0" fillId="0" borderId="0" xfId="0" applyFont="1" applyAlignment="1">
      <alignment/>
    </xf>
    <xf numFmtId="0" fontId="7" fillId="2" borderId="19" xfId="0" applyFont="1" applyFill="1" applyBorder="1" applyAlignment="1" quotePrefix="1">
      <alignment horizontal="center" vertical="center"/>
    </xf>
    <xf numFmtId="0" fontId="7" fillId="2" borderId="19" xfId="0" applyFont="1" applyFill="1" applyBorder="1" applyAlignment="1">
      <alignment horizontal="center" vertical="center" wrapText="1"/>
    </xf>
    <xf numFmtId="0" fontId="7" fillId="0" borderId="63" xfId="0" applyFont="1" applyBorder="1" applyAlignment="1">
      <alignment horizontal="center" vertical="center"/>
    </xf>
    <xf numFmtId="164" fontId="7" fillId="0" borderId="42" xfId="0" applyNumberFormat="1" applyFont="1" applyBorder="1" applyAlignment="1">
      <alignment vertical="center"/>
    </xf>
    <xf numFmtId="164" fontId="7" fillId="0" borderId="63" xfId="0" applyNumberFormat="1" applyFont="1" applyBorder="1" applyAlignment="1">
      <alignment vertical="center"/>
    </xf>
    <xf numFmtId="164" fontId="7" fillId="0" borderId="63" xfId="0" applyNumberFormat="1" applyFont="1" applyFill="1" applyBorder="1" applyAlignment="1">
      <alignment vertical="center"/>
    </xf>
    <xf numFmtId="0" fontId="7" fillId="0" borderId="64" xfId="0" applyFont="1" applyBorder="1" applyAlignment="1">
      <alignment horizontal="center" vertical="center"/>
    </xf>
    <xf numFmtId="164" fontId="7" fillId="0" borderId="36" xfId="0" applyNumberFormat="1" applyFont="1" applyBorder="1" applyAlignment="1">
      <alignment vertical="center"/>
    </xf>
    <xf numFmtId="164" fontId="7" fillId="0" borderId="64" xfId="0" applyNumberFormat="1" applyFont="1" applyBorder="1" applyAlignment="1">
      <alignment vertical="center"/>
    </xf>
    <xf numFmtId="164" fontId="7" fillId="0" borderId="64" xfId="0" applyNumberFormat="1" applyFont="1" applyFill="1" applyBorder="1" applyAlignment="1">
      <alignment vertical="center"/>
    </xf>
    <xf numFmtId="0" fontId="7" fillId="0" borderId="11" xfId="0" applyFont="1" applyBorder="1" applyAlignment="1">
      <alignment horizontal="center" vertical="center"/>
    </xf>
    <xf numFmtId="164" fontId="7" fillId="0" borderId="43" xfId="0" applyNumberFormat="1" applyFont="1" applyBorder="1" applyAlignment="1">
      <alignment vertical="center"/>
    </xf>
    <xf numFmtId="164" fontId="7" fillId="0" borderId="11" xfId="0" applyNumberFormat="1" applyFont="1" applyBorder="1" applyAlignment="1">
      <alignment vertical="center"/>
    </xf>
    <xf numFmtId="164" fontId="7" fillId="0" borderId="11" xfId="0" applyNumberFormat="1" applyFont="1" applyFill="1" applyBorder="1" applyAlignment="1">
      <alignment vertical="center"/>
    </xf>
    <xf numFmtId="164" fontId="11" fillId="0" borderId="14" xfId="0" applyNumberFormat="1" applyFont="1" applyBorder="1" applyAlignment="1">
      <alignment horizontal="right" vertical="center"/>
    </xf>
    <xf numFmtId="0" fontId="7" fillId="2" borderId="21" xfId="0" applyFont="1" applyFill="1" applyBorder="1" applyAlignment="1">
      <alignment horizontal="right" vertical="center"/>
    </xf>
    <xf numFmtId="0" fontId="7" fillId="2" borderId="19" xfId="0" applyFont="1" applyFill="1" applyBorder="1" applyAlignment="1">
      <alignment horizontal="right" vertical="center" wrapText="1"/>
    </xf>
    <xf numFmtId="0" fontId="11" fillId="2" borderId="20" xfId="0" applyFont="1" applyFill="1" applyBorder="1" applyAlignment="1">
      <alignment horizontal="center" vertical="center"/>
    </xf>
    <xf numFmtId="164" fontId="7" fillId="2" borderId="18" xfId="0" applyNumberFormat="1" applyFont="1" applyFill="1" applyBorder="1" applyAlignment="1">
      <alignment vertical="center"/>
    </xf>
    <xf numFmtId="164" fontId="7" fillId="2" borderId="19" xfId="0" applyNumberFormat="1" applyFont="1" applyFill="1" applyBorder="1" applyAlignment="1">
      <alignment horizontal="right" vertical="center" wrapText="1"/>
    </xf>
    <xf numFmtId="164" fontId="7" fillId="2" borderId="19" xfId="0" applyNumberFormat="1" applyFont="1" applyFill="1" applyBorder="1" applyAlignment="1">
      <alignment vertical="center"/>
    </xf>
    <xf numFmtId="164" fontId="7" fillId="2" borderId="19" xfId="0" applyNumberFormat="1" applyFont="1" applyFill="1" applyBorder="1" applyAlignment="1">
      <alignment horizontal="right" vertical="center" wrapText="1"/>
    </xf>
    <xf numFmtId="3" fontId="7" fillId="0" borderId="28" xfId="0" applyNumberFormat="1" applyFont="1" applyFill="1" applyBorder="1" applyAlignment="1">
      <alignment vertical="center"/>
    </xf>
    <xf numFmtId="0" fontId="7" fillId="0" borderId="47" xfId="0" applyFont="1" applyFill="1" applyBorder="1" applyAlignment="1">
      <alignment vertical="center"/>
    </xf>
    <xf numFmtId="0" fontId="7" fillId="0" borderId="48" xfId="0" applyFont="1" applyFill="1" applyBorder="1" applyAlignment="1">
      <alignment vertical="center"/>
    </xf>
    <xf numFmtId="0" fontId="9" fillId="0" borderId="28" xfId="0" applyFont="1" applyFill="1" applyBorder="1" applyAlignment="1">
      <alignment/>
    </xf>
    <xf numFmtId="0" fontId="9" fillId="0" borderId="28" xfId="0" applyFont="1" applyFill="1" applyBorder="1" applyAlignment="1">
      <alignment/>
    </xf>
    <xf numFmtId="3" fontId="9" fillId="0" borderId="1" xfId="0" applyNumberFormat="1" applyFont="1" applyBorder="1" applyAlignment="1">
      <alignment/>
    </xf>
    <xf numFmtId="0" fontId="7" fillId="2" borderId="46" xfId="0" applyFont="1" applyFill="1" applyBorder="1" applyAlignment="1" quotePrefix="1">
      <alignment horizontal="center" vertical="center"/>
    </xf>
    <xf numFmtId="0" fontId="7" fillId="0" borderId="33" xfId="0" applyFont="1" applyBorder="1" applyAlignment="1">
      <alignment vertical="center"/>
    </xf>
    <xf numFmtId="0" fontId="7" fillId="0" borderId="22" xfId="0" applyFont="1" applyBorder="1" applyAlignment="1">
      <alignment horizontal="center" vertical="center"/>
    </xf>
    <xf numFmtId="0" fontId="11" fillId="0" borderId="27" xfId="0" applyFont="1" applyBorder="1" applyAlignment="1">
      <alignment horizontal="center" vertical="center"/>
    </xf>
    <xf numFmtId="164" fontId="11" fillId="0" borderId="63" xfId="0" applyNumberFormat="1" applyFont="1" applyBorder="1" applyAlignment="1">
      <alignment horizontal="right" vertical="center"/>
    </xf>
    <xf numFmtId="169" fontId="7" fillId="0" borderId="22" xfId="0" applyNumberFormat="1" applyFont="1" applyFill="1" applyBorder="1" applyAlignment="1">
      <alignment vertical="center"/>
    </xf>
    <xf numFmtId="0" fontId="7" fillId="0" borderId="28" xfId="0" applyFont="1" applyBorder="1" applyAlignment="1">
      <alignment vertical="center"/>
    </xf>
    <xf numFmtId="0" fontId="7" fillId="0" borderId="1" xfId="0" applyFont="1" applyBorder="1" applyAlignment="1">
      <alignment horizontal="center" vertical="center"/>
    </xf>
    <xf numFmtId="164" fontId="11" fillId="0" borderId="64" xfId="0" applyNumberFormat="1" applyFont="1" applyBorder="1" applyAlignment="1">
      <alignment horizontal="right" vertical="center"/>
    </xf>
    <xf numFmtId="169" fontId="7" fillId="0" borderId="1" xfId="0" applyNumberFormat="1" applyFont="1" applyFill="1" applyBorder="1" applyAlignment="1">
      <alignment vertical="center"/>
    </xf>
    <xf numFmtId="0" fontId="7" fillId="2" borderId="28" xfId="0" applyFont="1" applyFill="1" applyBorder="1" applyAlignment="1">
      <alignment vertical="center"/>
    </xf>
    <xf numFmtId="0" fontId="7" fillId="2" borderId="64" xfId="0" applyFont="1" applyFill="1" applyBorder="1" applyAlignment="1">
      <alignment vertical="center"/>
    </xf>
    <xf numFmtId="0" fontId="7" fillId="2" borderId="1" xfId="0" applyFont="1" applyFill="1" applyBorder="1" applyAlignment="1">
      <alignment horizontal="center" vertical="center"/>
    </xf>
    <xf numFmtId="0" fontId="11" fillId="2" borderId="27" xfId="0" applyFont="1" applyFill="1" applyBorder="1" applyAlignment="1">
      <alignment horizontal="center" vertical="center"/>
    </xf>
    <xf numFmtId="164" fontId="11" fillId="2" borderId="36" xfId="0" applyNumberFormat="1" applyFont="1" applyFill="1" applyBorder="1" applyAlignment="1">
      <alignment horizontal="right" vertical="center"/>
    </xf>
    <xf numFmtId="169" fontId="7" fillId="2" borderId="64" xfId="0" applyNumberFormat="1" applyFont="1" applyFill="1" applyBorder="1" applyAlignment="1">
      <alignment vertical="center"/>
    </xf>
    <xf numFmtId="164" fontId="11" fillId="2" borderId="64" xfId="0" applyNumberFormat="1" applyFont="1" applyFill="1" applyBorder="1" applyAlignment="1">
      <alignment horizontal="right" vertical="center"/>
    </xf>
    <xf numFmtId="169" fontId="7" fillId="2" borderId="1" xfId="0" applyNumberFormat="1" applyFont="1" applyFill="1" applyBorder="1" applyAlignment="1">
      <alignment vertical="center"/>
    </xf>
    <xf numFmtId="164" fontId="11" fillId="2" borderId="55" xfId="0" applyNumberFormat="1" applyFont="1" applyFill="1" applyBorder="1" applyAlignment="1">
      <alignment horizontal="right" vertical="center"/>
    </xf>
    <xf numFmtId="0" fontId="7" fillId="2" borderId="12" xfId="0" applyFont="1" applyFill="1" applyBorder="1" applyAlignment="1">
      <alignment vertical="center"/>
    </xf>
    <xf numFmtId="0" fontId="7" fillId="2" borderId="11" xfId="0" applyFont="1" applyFill="1" applyBorder="1" applyAlignment="1">
      <alignment vertical="center"/>
    </xf>
    <xf numFmtId="0" fontId="7" fillId="2" borderId="8" xfId="0" applyFont="1" applyFill="1" applyBorder="1" applyAlignment="1">
      <alignment horizontal="center" vertical="center"/>
    </xf>
    <xf numFmtId="0" fontId="11" fillId="2" borderId="75" xfId="0" applyFont="1" applyFill="1" applyBorder="1" applyAlignment="1">
      <alignment horizontal="center" vertical="center"/>
    </xf>
    <xf numFmtId="164" fontId="11" fillId="2" borderId="43" xfId="0" applyNumberFormat="1" applyFont="1" applyFill="1" applyBorder="1" applyAlignment="1">
      <alignment horizontal="right" vertical="center"/>
    </xf>
    <xf numFmtId="169" fontId="7" fillId="2" borderId="38" xfId="0" applyNumberFormat="1" applyFont="1" applyFill="1" applyBorder="1" applyAlignment="1">
      <alignment vertical="center"/>
    </xf>
    <xf numFmtId="169" fontId="7" fillId="2" borderId="24" xfId="0" applyNumberFormat="1" applyFont="1" applyFill="1" applyBorder="1" applyAlignment="1">
      <alignment vertical="center"/>
    </xf>
    <xf numFmtId="164" fontId="11" fillId="2" borderId="57" xfId="0" applyNumberFormat="1" applyFont="1" applyFill="1" applyBorder="1" applyAlignment="1">
      <alignment horizontal="right" vertical="center"/>
    </xf>
    <xf numFmtId="0" fontId="7" fillId="2" borderId="31" xfId="0" applyFont="1" applyFill="1" applyBorder="1" applyAlignment="1">
      <alignment horizontal="center" vertical="center"/>
    </xf>
    <xf numFmtId="169" fontId="28" fillId="2" borderId="19" xfId="0" applyNumberFormat="1" applyFont="1" applyFill="1" applyBorder="1" applyAlignment="1">
      <alignment horizontal="right" vertical="center" wrapText="1"/>
    </xf>
    <xf numFmtId="164" fontId="11" fillId="2" borderId="19" xfId="0" applyNumberFormat="1" applyFont="1" applyFill="1" applyBorder="1" applyAlignment="1">
      <alignment horizontal="right" vertical="center"/>
    </xf>
    <xf numFmtId="169" fontId="28" fillId="2" borderId="31" xfId="0" applyNumberFormat="1" applyFont="1" applyFill="1" applyBorder="1" applyAlignment="1">
      <alignment horizontal="right" vertical="center" wrapText="1"/>
    </xf>
    <xf numFmtId="3" fontId="7" fillId="0" borderId="3" xfId="0" applyNumberFormat="1" applyFont="1" applyFill="1" applyBorder="1" applyAlignment="1">
      <alignment vertical="center"/>
    </xf>
    <xf numFmtId="3" fontId="7" fillId="0" borderId="1" xfId="0" applyNumberFormat="1" applyFont="1" applyFill="1" applyBorder="1" applyAlignment="1">
      <alignment/>
    </xf>
    <xf numFmtId="3" fontId="7" fillId="0" borderId="1" xfId="0" applyNumberFormat="1" applyFont="1" applyFill="1" applyBorder="1" applyAlignment="1">
      <alignment horizontal="right"/>
    </xf>
    <xf numFmtId="3" fontId="7" fillId="0" borderId="29" xfId="0" applyNumberFormat="1" applyFont="1" applyFill="1" applyBorder="1" applyAlignment="1">
      <alignment horizontal="right"/>
    </xf>
    <xf numFmtId="3" fontId="2" fillId="3" borderId="33" xfId="0" applyNumberFormat="1" applyFont="1" applyFill="1" applyBorder="1" applyAlignment="1">
      <alignment vertical="center" wrapText="1"/>
    </xf>
    <xf numFmtId="3" fontId="2" fillId="3" borderId="27" xfId="0" applyNumberFormat="1" applyFont="1" applyFill="1" applyBorder="1" applyAlignment="1">
      <alignment vertical="center" wrapText="1"/>
    </xf>
    <xf numFmtId="3" fontId="2" fillId="3" borderId="28" xfId="0" applyNumberFormat="1" applyFont="1" applyFill="1" applyBorder="1" applyAlignment="1">
      <alignment vertical="center" wrapText="1"/>
    </xf>
    <xf numFmtId="3" fontId="5" fillId="3" borderId="14" xfId="0" applyNumberFormat="1" applyFont="1" applyFill="1" applyBorder="1" applyAlignment="1">
      <alignment vertical="center"/>
    </xf>
    <xf numFmtId="3" fontId="7" fillId="0" borderId="17" xfId="0" applyNumberFormat="1" applyFont="1" applyBorder="1" applyAlignment="1">
      <alignment/>
    </xf>
    <xf numFmtId="3" fontId="0" fillId="3" borderId="0" xfId="0" applyNumberFormat="1" applyFont="1" applyFill="1" applyAlignment="1">
      <alignment/>
    </xf>
    <xf numFmtId="3" fontId="10" fillId="0" borderId="0" xfId="0" applyNumberFormat="1" applyFont="1" applyAlignment="1">
      <alignment/>
    </xf>
    <xf numFmtId="0" fontId="29" fillId="0" borderId="0" xfId="21" applyFont="1">
      <alignment/>
      <protection/>
    </xf>
    <xf numFmtId="0" fontId="29" fillId="0" borderId="0" xfId="21" applyFont="1" applyAlignment="1">
      <alignment vertical="top"/>
      <protection/>
    </xf>
    <xf numFmtId="3" fontId="7" fillId="2" borderId="1" xfId="0" applyNumberFormat="1" applyFont="1" applyFill="1" applyBorder="1" applyAlignment="1" quotePrefix="1">
      <alignment horizontal="right"/>
    </xf>
    <xf numFmtId="0" fontId="24" fillId="0" borderId="0" xfId="21" applyFont="1">
      <alignment/>
      <protection/>
    </xf>
    <xf numFmtId="3" fontId="24" fillId="0" borderId="0" xfId="21" applyNumberFormat="1" applyFill="1" applyAlignment="1">
      <alignment vertical="center"/>
      <protection/>
    </xf>
    <xf numFmtId="3" fontId="7" fillId="0" borderId="50" xfId="0" applyNumberFormat="1" applyFont="1" applyFill="1" applyBorder="1" applyAlignment="1">
      <alignment vertical="center" wrapText="1"/>
    </xf>
    <xf numFmtId="3" fontId="7" fillId="2" borderId="51" xfId="0" applyNumberFormat="1" applyFont="1" applyFill="1" applyBorder="1" applyAlignment="1">
      <alignment horizontal="right" vertical="center" wrapText="1"/>
    </xf>
    <xf numFmtId="0" fontId="7" fillId="2" borderId="21" xfId="0" applyFont="1" applyFill="1" applyBorder="1" applyAlignment="1">
      <alignment vertical="center"/>
    </xf>
    <xf numFmtId="0" fontId="2" fillId="0" borderId="19" xfId="0" applyFont="1" applyBorder="1" applyAlignment="1">
      <alignment vertical="center"/>
    </xf>
    <xf numFmtId="0" fontId="7" fillId="0" borderId="36" xfId="0" applyFont="1" applyBorder="1" applyAlignment="1">
      <alignment/>
    </xf>
    <xf numFmtId="0" fontId="7" fillId="0" borderId="49" xfId="0" applyFont="1" applyBorder="1" applyAlignment="1">
      <alignment/>
    </xf>
    <xf numFmtId="0" fontId="0" fillId="0" borderId="64" xfId="0" applyBorder="1" applyAlignment="1">
      <alignment/>
    </xf>
    <xf numFmtId="0" fontId="0" fillId="0" borderId="29" xfId="0" applyFont="1" applyBorder="1" applyAlignment="1">
      <alignment/>
    </xf>
    <xf numFmtId="0" fontId="22" fillId="0" borderId="12" xfId="0" applyFont="1" applyBorder="1" applyAlignment="1">
      <alignment horizontal="justify" vertical="center"/>
    </xf>
    <xf numFmtId="0" fontId="0" fillId="0" borderId="9" xfId="0" applyFont="1" applyBorder="1" applyAlignment="1">
      <alignment/>
    </xf>
    <xf numFmtId="0" fontId="7" fillId="0" borderId="28" xfId="0" applyFont="1" applyBorder="1" applyAlignment="1">
      <alignment vertical="center" wrapText="1"/>
    </xf>
    <xf numFmtId="0" fontId="0" fillId="0" borderId="45" xfId="0" applyBorder="1" applyAlignment="1">
      <alignment wrapText="1"/>
    </xf>
    <xf numFmtId="0" fontId="7" fillId="2" borderId="3"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22" fillId="0" borderId="28" xfId="0" applyFont="1" applyBorder="1" applyAlignment="1">
      <alignment horizontal="justify" vertical="center"/>
    </xf>
    <xf numFmtId="0" fontId="0" fillId="0" borderId="11" xfId="0" applyBorder="1" applyAlignment="1">
      <alignment/>
    </xf>
    <xf numFmtId="0" fontId="7" fillId="2" borderId="44" xfId="0" applyFont="1" applyFill="1" applyBorder="1" applyAlignment="1">
      <alignment horizontal="left" vertical="center" wrapText="1"/>
    </xf>
    <xf numFmtId="0" fontId="0" fillId="0" borderId="16" xfId="0" applyBorder="1" applyAlignment="1">
      <alignment horizontal="center" vertical="center"/>
    </xf>
    <xf numFmtId="0" fontId="7" fillId="2" borderId="79" xfId="0" applyFont="1" applyFill="1" applyBorder="1" applyAlignment="1">
      <alignment horizontal="center" vertical="center"/>
    </xf>
    <xf numFmtId="0" fontId="0" fillId="0" borderId="40" xfId="0" applyBorder="1" applyAlignment="1">
      <alignment/>
    </xf>
    <xf numFmtId="0" fontId="7" fillId="0" borderId="12" xfId="0" applyFont="1" applyBorder="1" applyAlignment="1">
      <alignment vertical="center" wrapText="1"/>
    </xf>
    <xf numFmtId="0" fontId="5" fillId="2" borderId="17" xfId="0" applyFont="1" applyFill="1" applyBorder="1" applyAlignment="1">
      <alignment vertical="center"/>
    </xf>
    <xf numFmtId="3" fontId="7" fillId="2" borderId="39" xfId="0" applyNumberFormat="1" applyFont="1" applyFill="1" applyBorder="1" applyAlignment="1">
      <alignment horizontal="center" vertical="center"/>
    </xf>
    <xf numFmtId="3" fontId="7" fillId="0" borderId="22" xfId="0" applyNumberFormat="1" applyFont="1" applyBorder="1" applyAlignment="1">
      <alignment vertical="center"/>
    </xf>
    <xf numFmtId="3" fontId="7" fillId="0" borderId="63" xfId="0" applyNumberFormat="1" applyFont="1" applyBorder="1" applyAlignment="1">
      <alignment vertical="center"/>
    </xf>
    <xf numFmtId="0" fontId="7" fillId="0" borderId="47" xfId="0" applyFont="1" applyBorder="1" applyAlignment="1">
      <alignment vertical="center"/>
    </xf>
    <xf numFmtId="3" fontId="7" fillId="0" borderId="1" xfId="0" applyNumberFormat="1" applyFont="1" applyBorder="1" applyAlignment="1">
      <alignment vertical="center"/>
    </xf>
    <xf numFmtId="0" fontId="5" fillId="2" borderId="80" xfId="0" applyFont="1" applyFill="1" applyBorder="1" applyAlignment="1">
      <alignment vertical="center"/>
    </xf>
    <xf numFmtId="0" fontId="7" fillId="0" borderId="1" xfId="0" applyFont="1" applyBorder="1" applyAlignment="1">
      <alignment vertical="center" wrapText="1"/>
    </xf>
    <xf numFmtId="0" fontId="2" fillId="0" borderId="64" xfId="0" applyFont="1" applyBorder="1" applyAlignment="1">
      <alignment vertical="center" wrapText="1"/>
    </xf>
    <xf numFmtId="3" fontId="7" fillId="0" borderId="33" xfId="0" applyNumberFormat="1" applyFont="1" applyBorder="1" applyAlignment="1">
      <alignment vertical="center"/>
    </xf>
    <xf numFmtId="0" fontId="0" fillId="0" borderId="41" xfId="0" applyBorder="1" applyAlignment="1">
      <alignment horizontal="center" vertical="center"/>
    </xf>
    <xf numFmtId="0" fontId="0" fillId="0" borderId="45" xfId="0" applyBorder="1" applyAlignment="1">
      <alignment horizontal="center" vertical="center" wrapText="1"/>
    </xf>
    <xf numFmtId="0" fontId="7" fillId="2" borderId="2" xfId="0" applyFont="1" applyFill="1" applyBorder="1" applyAlignment="1">
      <alignment horizontal="center" vertical="center"/>
    </xf>
    <xf numFmtId="0" fontId="0" fillId="0" borderId="5" xfId="0" applyBorder="1" applyAlignment="1">
      <alignment horizontal="center" vertical="center"/>
    </xf>
    <xf numFmtId="0" fontId="0" fillId="0" borderId="45" xfId="0" applyFont="1" applyBorder="1" applyAlignment="1">
      <alignment vertical="center"/>
    </xf>
    <xf numFmtId="0" fontId="9" fillId="2" borderId="44" xfId="0" applyFont="1" applyFill="1" applyBorder="1" applyAlignment="1">
      <alignment horizontal="center" vertical="center" wrapText="1"/>
    </xf>
    <xf numFmtId="0" fontId="5" fillId="2" borderId="44" xfId="0" applyFont="1" applyFill="1" applyBorder="1" applyAlignment="1">
      <alignment vertical="center"/>
    </xf>
    <xf numFmtId="0" fontId="24" fillId="0" borderId="16" xfId="21" applyBorder="1" applyAlignment="1">
      <alignment horizontal="center" vertical="center" wrapText="1"/>
      <protection/>
    </xf>
    <xf numFmtId="3" fontId="26" fillId="2" borderId="54" xfId="21" applyNumberFormat="1" applyFont="1" applyFill="1" applyBorder="1" applyAlignment="1">
      <alignment horizontal="center" vertical="center" wrapText="1"/>
      <protection/>
    </xf>
    <xf numFmtId="0" fontId="26" fillId="2" borderId="13" xfId="21" applyFont="1" applyFill="1" applyBorder="1" applyAlignment="1">
      <alignment horizontal="center" vertical="center" wrapText="1"/>
      <protection/>
    </xf>
    <xf numFmtId="3" fontId="26" fillId="2" borderId="7" xfId="21" applyNumberFormat="1" applyFont="1" applyFill="1" applyBorder="1" applyAlignment="1">
      <alignment horizontal="center" vertical="center" wrapText="1"/>
      <protection/>
    </xf>
    <xf numFmtId="0" fontId="24" fillId="0" borderId="5" xfId="21" applyBorder="1" applyAlignment="1">
      <alignment/>
      <protection/>
    </xf>
    <xf numFmtId="0" fontId="0" fillId="0" borderId="59" xfId="0" applyBorder="1" applyAlignment="1">
      <alignment/>
    </xf>
    <xf numFmtId="3" fontId="26" fillId="2" borderId="81" xfId="21" applyNumberFormat="1" applyFont="1" applyFill="1" applyBorder="1" applyAlignment="1">
      <alignment horizontal="center" vertical="center" wrapText="1"/>
      <protection/>
    </xf>
    <xf numFmtId="3" fontId="26" fillId="2" borderId="13" xfId="21" applyNumberFormat="1" applyFont="1" applyFill="1" applyBorder="1" applyAlignment="1">
      <alignment horizontal="center" vertical="center" wrapText="1"/>
      <protection/>
    </xf>
    <xf numFmtId="0" fontId="26" fillId="2" borderId="80" xfId="21" applyFont="1" applyFill="1" applyBorder="1" applyAlignment="1">
      <alignment vertical="center" wrapText="1"/>
      <protection/>
    </xf>
    <xf numFmtId="0" fontId="26" fillId="2" borderId="17" xfId="21" applyFont="1" applyFill="1" applyBorder="1" applyAlignment="1">
      <alignment vertical="center" wrapText="1"/>
      <protection/>
    </xf>
    <xf numFmtId="3" fontId="26" fillId="2" borderId="6" xfId="21" applyNumberFormat="1" applyFont="1" applyFill="1" applyBorder="1" applyAlignment="1">
      <alignment horizontal="center" vertical="center"/>
      <protection/>
    </xf>
    <xf numFmtId="0" fontId="26" fillId="2" borderId="6" xfId="21" applyFont="1" applyFill="1" applyBorder="1" applyAlignment="1">
      <alignment horizontal="center" vertical="center"/>
      <protection/>
    </xf>
    <xf numFmtId="0" fontId="26" fillId="2" borderId="4" xfId="21" applyFont="1" applyFill="1" applyBorder="1" applyAlignment="1">
      <alignment horizontal="center" vertical="center"/>
      <protection/>
    </xf>
    <xf numFmtId="3" fontId="26" fillId="2" borderId="3" xfId="21" applyNumberFormat="1" applyFont="1" applyFill="1" applyBorder="1" applyAlignment="1">
      <alignment horizontal="center" vertical="center"/>
      <protection/>
    </xf>
    <xf numFmtId="0" fontId="26" fillId="2" borderId="82" xfId="21" applyFont="1" applyFill="1" applyBorder="1" applyAlignment="1">
      <alignment vertical="center" wrapText="1"/>
      <protection/>
    </xf>
    <xf numFmtId="0" fontId="26" fillId="2" borderId="23" xfId="21" applyFont="1" applyFill="1" applyBorder="1" applyAlignment="1">
      <alignment vertical="center" wrapText="1"/>
      <protection/>
    </xf>
    <xf numFmtId="3" fontId="26" fillId="2" borderId="2" xfId="21" applyNumberFormat="1" applyFont="1" applyFill="1" applyBorder="1" applyAlignment="1">
      <alignment horizontal="center" vertical="center"/>
      <protection/>
    </xf>
    <xf numFmtId="0" fontId="26" fillId="2" borderId="5" xfId="21" applyFont="1" applyFill="1" applyBorder="1" applyAlignment="1">
      <alignment horizontal="center" vertical="center"/>
      <protection/>
    </xf>
    <xf numFmtId="0" fontId="0" fillId="0" borderId="41" xfId="0" applyBorder="1" applyAlignment="1">
      <alignment vertical="center"/>
    </xf>
    <xf numFmtId="3" fontId="26" fillId="2" borderId="44" xfId="21" applyNumberFormat="1" applyFont="1" applyFill="1" applyBorder="1" applyAlignment="1">
      <alignment horizontal="center" vertical="center" wrapText="1"/>
      <protection/>
    </xf>
    <xf numFmtId="0" fontId="24" fillId="0" borderId="45" xfId="21" applyBorder="1" applyAlignment="1">
      <alignment horizontal="center" vertical="center" wrapText="1"/>
      <protection/>
    </xf>
    <xf numFmtId="0" fontId="26" fillId="2" borderId="54" xfId="21" applyFont="1" applyFill="1" applyBorder="1" applyAlignment="1">
      <alignment horizontal="center" vertical="center" wrapText="1"/>
      <protection/>
    </xf>
    <xf numFmtId="0" fontId="24" fillId="0" borderId="14" xfId="21" applyBorder="1" applyAlignment="1">
      <alignment horizontal="center" vertical="center" wrapText="1"/>
      <protection/>
    </xf>
    <xf numFmtId="0" fontId="26" fillId="2" borderId="81" xfId="21" applyFont="1" applyFill="1" applyBorder="1" applyAlignment="1">
      <alignment horizontal="center" vertical="center" wrapText="1"/>
      <protection/>
    </xf>
    <xf numFmtId="0" fontId="24" fillId="0" borderId="13" xfId="21" applyBorder="1" applyAlignment="1">
      <alignment horizontal="center" vertical="center" wrapText="1"/>
      <protection/>
    </xf>
    <xf numFmtId="0" fontId="26" fillId="2" borderId="39" xfId="21" applyFont="1" applyFill="1" applyBorder="1" applyAlignment="1">
      <alignment horizontal="center" vertical="center" wrapText="1"/>
      <protection/>
    </xf>
    <xf numFmtId="0" fontId="7" fillId="0" borderId="48" xfId="0" applyFont="1" applyBorder="1" applyAlignment="1">
      <alignment/>
    </xf>
    <xf numFmtId="0" fontId="7" fillId="2" borderId="36" xfId="0" applyFont="1" applyFill="1" applyBorder="1" applyAlignment="1">
      <alignment/>
    </xf>
    <xf numFmtId="0" fontId="7" fillId="2" borderId="49" xfId="0" applyFont="1" applyFill="1" applyBorder="1" applyAlignment="1">
      <alignment/>
    </xf>
    <xf numFmtId="0" fontId="7" fillId="2" borderId="48" xfId="0" applyFont="1" applyFill="1" applyBorder="1" applyAlignment="1">
      <alignment/>
    </xf>
    <xf numFmtId="0" fontId="7" fillId="2" borderId="4" xfId="0" applyFont="1" applyFill="1" applyBorder="1" applyAlignment="1">
      <alignment horizontal="center" vertical="center"/>
    </xf>
    <xf numFmtId="0" fontId="7" fillId="2" borderId="3" xfId="0" applyFont="1" applyFill="1" applyBorder="1" applyAlignment="1">
      <alignment horizontal="left" vertical="center" wrapText="1"/>
    </xf>
    <xf numFmtId="0" fontId="2" fillId="0" borderId="7" xfId="0" applyFont="1" applyBorder="1" applyAlignment="1">
      <alignment/>
    </xf>
    <xf numFmtId="0" fontId="2" fillId="0" borderId="34" xfId="0" applyFont="1" applyBorder="1" applyAlignment="1">
      <alignment wrapText="1"/>
    </xf>
    <xf numFmtId="0" fontId="2" fillId="0" borderId="38" xfId="0" applyFont="1" applyBorder="1" applyAlignment="1">
      <alignment/>
    </xf>
    <xf numFmtId="0" fontId="7" fillId="2" borderId="44" xfId="0" applyFont="1" applyFill="1" applyBorder="1" applyAlignment="1">
      <alignment horizontal="center" vertical="center" wrapText="1"/>
    </xf>
    <xf numFmtId="0" fontId="7" fillId="2" borderId="19" xfId="0" applyFont="1" applyFill="1" applyBorder="1" applyAlignment="1">
      <alignment vertical="center" wrapText="1"/>
    </xf>
    <xf numFmtId="0" fontId="0" fillId="0" borderId="35" xfId="0" applyBorder="1" applyAlignment="1">
      <alignment vertical="center" wrapText="1"/>
    </xf>
    <xf numFmtId="0" fontId="0" fillId="0" borderId="30" xfId="0" applyBorder="1" applyAlignment="1">
      <alignment vertical="center" wrapText="1"/>
    </xf>
    <xf numFmtId="0" fontId="5" fillId="2" borderId="7" xfId="22" applyFont="1" applyFill="1" applyBorder="1" applyAlignment="1">
      <alignment horizontal="center" vertical="center"/>
      <protection/>
    </xf>
    <xf numFmtId="0" fontId="0" fillId="0" borderId="59" xfId="0" applyBorder="1" applyAlignment="1">
      <alignment horizontal="center" vertical="center"/>
    </xf>
    <xf numFmtId="0" fontId="7" fillId="2" borderId="42" xfId="0" applyFont="1" applyFill="1" applyBorder="1" applyAlignment="1">
      <alignment horizontal="center" vertical="center" wrapText="1"/>
    </xf>
    <xf numFmtId="0" fontId="0" fillId="0" borderId="50" xfId="0" applyBorder="1" applyAlignment="1">
      <alignment vertical="center"/>
    </xf>
    <xf numFmtId="0" fontId="0" fillId="0" borderId="55" xfId="0" applyBorder="1" applyAlignment="1">
      <alignment vertical="center"/>
    </xf>
    <xf numFmtId="0" fontId="5" fillId="2" borderId="24" xfId="0" applyFont="1" applyFill="1" applyBorder="1" applyAlignment="1">
      <alignment horizontal="center" vertical="center" wrapText="1"/>
    </xf>
    <xf numFmtId="0" fontId="0" fillId="0" borderId="24" xfId="0" applyFont="1" applyBorder="1" applyAlignment="1">
      <alignment/>
    </xf>
    <xf numFmtId="0" fontId="5" fillId="2" borderId="6" xfId="0" applyFont="1" applyFill="1" applyBorder="1" applyAlignment="1">
      <alignment horizontal="center" vertical="center"/>
    </xf>
    <xf numFmtId="0" fontId="0" fillId="0" borderId="6" xfId="0" applyBorder="1" applyAlignment="1">
      <alignment/>
    </xf>
    <xf numFmtId="0" fontId="0" fillId="0" borderId="6" xfId="0" applyFont="1" applyBorder="1" applyAlignment="1">
      <alignment vertical="center"/>
    </xf>
    <xf numFmtId="0" fontId="0" fillId="0" borderId="4" xfId="0" applyFont="1" applyBorder="1" applyAlignment="1">
      <alignment vertical="center"/>
    </xf>
    <xf numFmtId="3" fontId="5" fillId="3" borderId="22" xfId="0" applyNumberFormat="1" applyFont="1" applyFill="1" applyBorder="1" applyAlignment="1">
      <alignment horizontal="center" vertical="center"/>
    </xf>
    <xf numFmtId="0" fontId="0" fillId="0" borderId="22" xfId="0" applyFont="1" applyBorder="1" applyAlignment="1">
      <alignment horizontal="center"/>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0" borderId="36" xfId="0" applyFont="1" applyBorder="1" applyAlignment="1">
      <alignment vertical="center" wrapText="1"/>
    </xf>
    <xf numFmtId="0" fontId="7" fillId="0" borderId="56" xfId="0" applyFont="1" applyBorder="1" applyAlignment="1">
      <alignment vertical="center" wrapText="1"/>
    </xf>
    <xf numFmtId="0" fontId="5" fillId="3" borderId="2" xfId="0" applyFont="1" applyFill="1" applyBorder="1" applyAlignment="1">
      <alignment vertical="center"/>
    </xf>
    <xf numFmtId="0" fontId="0" fillId="3" borderId="59" xfId="0" applyFont="1" applyFill="1" applyBorder="1" applyAlignment="1">
      <alignment vertical="center"/>
    </xf>
    <xf numFmtId="0" fontId="5" fillId="3" borderId="36" xfId="0" applyFont="1" applyFill="1" applyBorder="1" applyAlignment="1">
      <alignment vertical="center"/>
    </xf>
    <xf numFmtId="0" fontId="0" fillId="3" borderId="48" xfId="0" applyFont="1" applyFill="1" applyBorder="1" applyAlignment="1">
      <alignment vertical="center"/>
    </xf>
    <xf numFmtId="0" fontId="7" fillId="2" borderId="32" xfId="0" applyFont="1" applyFill="1" applyBorder="1" applyAlignment="1">
      <alignment horizontal="center" vertical="center" wrapText="1"/>
    </xf>
    <xf numFmtId="3" fontId="7" fillId="2" borderId="21" xfId="0" applyNumberFormat="1" applyFont="1" applyFill="1" applyBorder="1" applyAlignment="1">
      <alignment vertical="center"/>
    </xf>
    <xf numFmtId="3" fontId="7" fillId="2" borderId="31" xfId="0" applyNumberFormat="1" applyFont="1" applyFill="1" applyBorder="1" applyAlignment="1">
      <alignment vertical="center"/>
    </xf>
    <xf numFmtId="3" fontId="7" fillId="2" borderId="19" xfId="0" applyNumberFormat="1" applyFont="1" applyFill="1" applyBorder="1" applyAlignment="1">
      <alignment vertical="center"/>
    </xf>
    <xf numFmtId="0" fontId="0" fillId="0" borderId="30" xfId="0" applyBorder="1" applyAlignment="1">
      <alignment vertical="center"/>
    </xf>
    <xf numFmtId="3" fontId="7" fillId="2" borderId="30" xfId="0" applyNumberFormat="1" applyFont="1" applyFill="1" applyBorder="1" applyAlignment="1">
      <alignment vertical="center"/>
    </xf>
    <xf numFmtId="3" fontId="7" fillId="0" borderId="27" xfId="0" applyNumberFormat="1" applyFont="1" applyBorder="1" applyAlignment="1">
      <alignment vertical="center"/>
    </xf>
    <xf numFmtId="3" fontId="7" fillId="2" borderId="20" xfId="0" applyNumberFormat="1" applyFont="1" applyFill="1" applyBorder="1" applyAlignment="1">
      <alignment vertical="center"/>
    </xf>
    <xf numFmtId="0" fontId="5" fillId="2" borderId="2" xfId="0" applyFont="1" applyFill="1" applyBorder="1" applyAlignment="1">
      <alignment horizontal="center" vertical="center"/>
    </xf>
    <xf numFmtId="0" fontId="0" fillId="0" borderId="5" xfId="0" applyBorder="1" applyAlignment="1">
      <alignment vertical="center"/>
    </xf>
    <xf numFmtId="0" fontId="5" fillId="2" borderId="3" xfId="0" applyFont="1" applyFill="1" applyBorder="1" applyAlignment="1">
      <alignment horizontal="center" vertical="center" wrapText="1"/>
    </xf>
    <xf numFmtId="0" fontId="0" fillId="0" borderId="34" xfId="0" applyBorder="1" applyAlignment="1">
      <alignment horizontal="center"/>
    </xf>
    <xf numFmtId="3" fontId="5" fillId="3" borderId="1" xfId="0" applyNumberFormat="1" applyFont="1" applyFill="1" applyBorder="1" applyAlignment="1">
      <alignment horizontal="center" vertical="center"/>
    </xf>
    <xf numFmtId="0" fontId="0" fillId="0" borderId="1" xfId="0" applyFont="1" applyBorder="1" applyAlignment="1">
      <alignment horizontal="center"/>
    </xf>
    <xf numFmtId="3" fontId="5" fillId="3" borderId="24" xfId="0" applyNumberFormat="1" applyFont="1" applyFill="1" applyBorder="1" applyAlignment="1">
      <alignment horizontal="center" vertical="center"/>
    </xf>
    <xf numFmtId="0" fontId="0" fillId="0" borderId="24" xfId="0" applyFont="1" applyBorder="1" applyAlignment="1">
      <alignment horizontal="center"/>
    </xf>
    <xf numFmtId="3" fontId="7" fillId="0" borderId="64" xfId="0" applyNumberFormat="1" applyFont="1" applyBorder="1" applyAlignment="1">
      <alignment vertical="center"/>
    </xf>
    <xf numFmtId="0" fontId="7" fillId="0" borderId="48" xfId="0" applyFont="1" applyBorder="1" applyAlignment="1">
      <alignment vertical="center"/>
    </xf>
    <xf numFmtId="0" fontId="7" fillId="2" borderId="54" xfId="0" applyFont="1" applyFill="1" applyBorder="1" applyAlignment="1">
      <alignment horizontal="center" vertical="center" wrapText="1"/>
    </xf>
    <xf numFmtId="0" fontId="7" fillId="0" borderId="75" xfId="0" applyFont="1" applyBorder="1" applyAlignment="1">
      <alignment vertical="center" wrapText="1"/>
    </xf>
    <xf numFmtId="0" fontId="7" fillId="0" borderId="14" xfId="0" applyFont="1" applyBorder="1" applyAlignment="1">
      <alignment vertical="center" wrapText="1"/>
    </xf>
    <xf numFmtId="0" fontId="7" fillId="0" borderId="78" xfId="0" applyFont="1" applyBorder="1" applyAlignment="1">
      <alignment vertical="center" wrapText="1"/>
    </xf>
    <xf numFmtId="0" fontId="7" fillId="0" borderId="45" xfId="0" applyFont="1" applyBorder="1" applyAlignment="1">
      <alignment vertical="center" wrapText="1"/>
    </xf>
    <xf numFmtId="3" fontId="7" fillId="2" borderId="23" xfId="0" applyNumberFormat="1"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46" xfId="0" applyFont="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7" xfId="0" applyFont="1" applyFill="1" applyBorder="1" applyAlignment="1">
      <alignment horizontal="center" vertical="center" wrapText="1"/>
    </xf>
    <xf numFmtId="3" fontId="7" fillId="2" borderId="18" xfId="0" applyNumberFormat="1"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51" xfId="0" applyFont="1" applyBorder="1" applyAlignment="1">
      <alignment horizontal="center" vertical="center" wrapText="1"/>
    </xf>
    <xf numFmtId="0" fontId="7" fillId="2" borderId="82"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46" xfId="0" applyBorder="1" applyAlignment="1">
      <alignment horizontal="center" vertical="center" wrapText="1"/>
    </xf>
    <xf numFmtId="0" fontId="7" fillId="2" borderId="4"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6" fillId="2" borderId="82" xfId="0" applyFont="1" applyFill="1" applyBorder="1" applyAlignment="1">
      <alignment horizontal="center" vertical="center"/>
    </xf>
    <xf numFmtId="0" fontId="8" fillId="0" borderId="37" xfId="0" applyFont="1" applyBorder="1" applyAlignment="1">
      <alignment vertical="center"/>
    </xf>
    <xf numFmtId="0" fontId="8" fillId="0" borderId="71" xfId="0" applyFont="1" applyBorder="1" applyAlignment="1">
      <alignment vertical="center"/>
    </xf>
    <xf numFmtId="0" fontId="5" fillId="2" borderId="78" xfId="0" applyFont="1" applyFill="1" applyBorder="1" applyAlignment="1">
      <alignment horizontal="left" vertical="center"/>
    </xf>
    <xf numFmtId="0" fontId="0" fillId="0" borderId="45" xfId="0" applyBorder="1" applyAlignment="1">
      <alignment horizontal="left" vertical="center"/>
    </xf>
    <xf numFmtId="0" fontId="6" fillId="2" borderId="18" xfId="0" applyFont="1" applyFill="1" applyBorder="1" applyAlignment="1">
      <alignment horizontal="center" vertical="center"/>
    </xf>
    <xf numFmtId="0" fontId="0" fillId="0" borderId="35" xfId="0" applyBorder="1" applyAlignment="1">
      <alignment/>
    </xf>
    <xf numFmtId="0" fontId="0" fillId="0" borderId="51" xfId="0" applyBorder="1" applyAlignment="1">
      <alignment/>
    </xf>
    <xf numFmtId="0" fontId="0" fillId="0" borderId="5" xfId="0" applyBorder="1" applyAlignment="1">
      <alignment horizontal="center" vertical="center" wrapText="1"/>
    </xf>
    <xf numFmtId="0" fontId="0" fillId="0" borderId="41" xfId="0" applyBorder="1" applyAlignment="1">
      <alignment horizontal="center" vertical="center" wrapText="1"/>
    </xf>
    <xf numFmtId="0" fontId="5" fillId="3" borderId="23" xfId="0" applyFont="1" applyFill="1" applyBorder="1" applyAlignment="1">
      <alignment vertical="center"/>
    </xf>
    <xf numFmtId="0" fontId="5" fillId="3" borderId="32" xfId="0" applyFont="1" applyFill="1" applyBorder="1" applyAlignment="1">
      <alignment vertical="center"/>
    </xf>
    <xf numFmtId="0" fontId="9" fillId="2" borderId="2" xfId="0" applyFont="1" applyFill="1" applyBorder="1" applyAlignment="1">
      <alignment horizontal="center" vertical="center"/>
    </xf>
    <xf numFmtId="0" fontId="9" fillId="2" borderId="41" xfId="0" applyFont="1" applyFill="1" applyBorder="1" applyAlignment="1">
      <alignment horizontal="center" vertical="center"/>
    </xf>
    <xf numFmtId="3" fontId="21" fillId="0" borderId="63" xfId="0" applyNumberFormat="1" applyFont="1" applyBorder="1" applyAlignment="1">
      <alignment vertical="center"/>
    </xf>
    <xf numFmtId="0" fontId="0" fillId="0" borderId="47" xfId="0" applyBorder="1" applyAlignment="1">
      <alignment vertical="center"/>
    </xf>
    <xf numFmtId="0" fontId="7" fillId="2" borderId="38" xfId="0" applyFont="1" applyFill="1" applyBorder="1" applyAlignment="1" quotePrefix="1">
      <alignment horizontal="center" vertical="center" wrapText="1"/>
    </xf>
    <xf numFmtId="0" fontId="0" fillId="0" borderId="53" xfId="0" applyBorder="1" applyAlignment="1">
      <alignment/>
    </xf>
    <xf numFmtId="3" fontId="7" fillId="0" borderId="28" xfId="0" applyNumberFormat="1" applyFont="1" applyBorder="1" applyAlignment="1">
      <alignment vertical="center"/>
    </xf>
    <xf numFmtId="3" fontId="7" fillId="0" borderId="29" xfId="0" applyNumberFormat="1" applyFont="1" applyBorder="1" applyAlignment="1">
      <alignment vertical="center"/>
    </xf>
    <xf numFmtId="0" fontId="7" fillId="2" borderId="81" xfId="22" applyFont="1" applyFill="1" applyBorder="1" applyAlignment="1">
      <alignment horizontal="center" vertical="center" wrapText="1"/>
      <protection/>
    </xf>
    <xf numFmtId="0" fontId="0" fillId="0" borderId="76" xfId="0" applyFont="1" applyBorder="1" applyAlignment="1">
      <alignment horizontal="center" vertical="center" wrapText="1"/>
    </xf>
    <xf numFmtId="0" fontId="0" fillId="0" borderId="13" xfId="0" applyFont="1" applyBorder="1" applyAlignment="1">
      <alignment horizontal="center" vertical="center" wrapText="1"/>
    </xf>
    <xf numFmtId="0" fontId="9" fillId="2" borderId="54" xfId="22" applyFont="1" applyFill="1" applyBorder="1" applyAlignment="1">
      <alignment horizontal="center" vertical="center" wrapText="1"/>
      <protection/>
    </xf>
    <xf numFmtId="0" fontId="10" fillId="0" borderId="75" xfId="0" applyFont="1" applyBorder="1" applyAlignment="1">
      <alignment horizontal="center" vertical="center" wrapText="1"/>
    </xf>
    <xf numFmtId="0" fontId="10" fillId="0" borderId="14" xfId="0" applyFont="1" applyBorder="1" applyAlignment="1">
      <alignment horizontal="center" vertical="center" wrapText="1"/>
    </xf>
    <xf numFmtId="0" fontId="7" fillId="2" borderId="10" xfId="22" applyFont="1" applyFill="1" applyBorder="1" applyAlignment="1">
      <alignment horizontal="center" vertical="center"/>
      <protection/>
    </xf>
    <xf numFmtId="0" fontId="0" fillId="0" borderId="15" xfId="0" applyFont="1" applyBorder="1" applyAlignment="1">
      <alignment horizontal="center" vertical="center"/>
    </xf>
    <xf numFmtId="0" fontId="7" fillId="2" borderId="82" xfId="22" applyFont="1" applyFill="1" applyBorder="1" applyAlignment="1">
      <alignment horizontal="center" vertical="center"/>
      <protection/>
    </xf>
    <xf numFmtId="0" fontId="0" fillId="0" borderId="37" xfId="0" applyFont="1" applyBorder="1" applyAlignment="1">
      <alignment horizontal="center" vertical="center"/>
    </xf>
    <xf numFmtId="0" fontId="0" fillId="0" borderId="23" xfId="0" applyFont="1" applyBorder="1" applyAlignment="1">
      <alignment horizontal="center" vertical="center"/>
    </xf>
    <xf numFmtId="3" fontId="7" fillId="0" borderId="65" xfId="0" applyNumberFormat="1" applyFont="1" applyBorder="1" applyAlignment="1">
      <alignment vertical="center"/>
    </xf>
    <xf numFmtId="0" fontId="7" fillId="0" borderId="83" xfId="0" applyFont="1" applyBorder="1" applyAlignment="1">
      <alignment vertical="center"/>
    </xf>
    <xf numFmtId="0" fontId="5" fillId="2" borderId="3" xfId="0" applyFont="1" applyFill="1" applyBorder="1" applyAlignment="1">
      <alignment horizontal="left" vertical="center"/>
    </xf>
    <xf numFmtId="0" fontId="0" fillId="0" borderId="4" xfId="0" applyBorder="1" applyAlignment="1">
      <alignment/>
    </xf>
    <xf numFmtId="0" fontId="0" fillId="0" borderId="28" xfId="0" applyBorder="1" applyAlignment="1">
      <alignment horizontal="left" vertical="center"/>
    </xf>
    <xf numFmtId="0" fontId="0" fillId="0" borderId="29" xfId="0" applyBorder="1" applyAlignment="1">
      <alignment/>
    </xf>
    <xf numFmtId="0" fontId="5" fillId="2" borderId="35" xfId="0" applyFont="1" applyFill="1" applyBorder="1" applyAlignment="1">
      <alignment horizontal="center" vertical="center"/>
    </xf>
    <xf numFmtId="0" fontId="5" fillId="2" borderId="18" xfId="0" applyFont="1" applyFill="1" applyBorder="1" applyAlignment="1">
      <alignment horizontal="center" vertical="center"/>
    </xf>
    <xf numFmtId="0" fontId="9" fillId="2" borderId="82" xfId="0" applyFont="1" applyFill="1" applyBorder="1" applyAlignment="1">
      <alignment horizontal="center" vertical="center" wrapText="1"/>
    </xf>
    <xf numFmtId="0" fontId="22" fillId="2" borderId="21" xfId="0" applyFont="1" applyFill="1" applyBorder="1" applyAlignment="1">
      <alignment horizontal="justify" vertical="center"/>
    </xf>
    <xf numFmtId="0" fontId="0" fillId="0" borderId="20" xfId="0" applyFont="1" applyBorder="1" applyAlignment="1">
      <alignment/>
    </xf>
    <xf numFmtId="0" fontId="0" fillId="0" borderId="7" xfId="0" applyFont="1" applyBorder="1" applyAlignment="1">
      <alignment/>
    </xf>
    <xf numFmtId="0" fontId="5" fillId="2" borderId="34" xfId="0" applyFont="1" applyFill="1" applyBorder="1" applyAlignment="1">
      <alignment horizontal="center" vertical="center" wrapText="1"/>
    </xf>
    <xf numFmtId="0" fontId="0" fillId="0" borderId="38" xfId="0" applyFont="1" applyBorder="1" applyAlignment="1">
      <alignment/>
    </xf>
    <xf numFmtId="0" fontId="7" fillId="0" borderId="22" xfId="0" applyFont="1" applyBorder="1" applyAlignment="1">
      <alignment vertical="center" wrapText="1"/>
    </xf>
    <xf numFmtId="0" fontId="2" fillId="0" borderId="63" xfId="0" applyFont="1" applyBorder="1" applyAlignment="1">
      <alignment vertical="center" wrapText="1"/>
    </xf>
    <xf numFmtId="4" fontId="7" fillId="2" borderId="18" xfId="0" applyNumberFormat="1" applyFont="1" applyFill="1" applyBorder="1" applyAlignment="1">
      <alignment vertical="center"/>
    </xf>
    <xf numFmtId="0" fontId="2" fillId="0" borderId="51" xfId="0" applyFont="1" applyBorder="1" applyAlignment="1">
      <alignment/>
    </xf>
    <xf numFmtId="4" fontId="7" fillId="2" borderId="21" xfId="0" applyNumberFormat="1" applyFont="1" applyFill="1" applyBorder="1" applyAlignment="1">
      <alignment vertical="center"/>
    </xf>
    <xf numFmtId="0" fontId="7" fillId="0" borderId="19" xfId="0" applyFont="1" applyBorder="1" applyAlignment="1">
      <alignment/>
    </xf>
    <xf numFmtId="0" fontId="7" fillId="0" borderId="20" xfId="0" applyFont="1" applyBorder="1" applyAlignment="1">
      <alignment/>
    </xf>
    <xf numFmtId="0" fontId="0" fillId="0" borderId="4" xfId="0" applyFont="1" applyBorder="1" applyAlignment="1">
      <alignment/>
    </xf>
    <xf numFmtId="0" fontId="0" fillId="0" borderId="25" xfId="0" applyFont="1" applyBorder="1" applyAlignment="1">
      <alignment/>
    </xf>
    <xf numFmtId="0" fontId="5" fillId="0" borderId="2" xfId="0" applyFont="1" applyBorder="1" applyAlignment="1">
      <alignment vertical="center"/>
    </xf>
    <xf numFmtId="0" fontId="5" fillId="0" borderId="42" xfId="0" applyFont="1" applyBorder="1" applyAlignment="1">
      <alignment vertical="center" wrapText="1"/>
    </xf>
    <xf numFmtId="0" fontId="0" fillId="0" borderId="55" xfId="0" applyBorder="1" applyAlignment="1">
      <alignment vertical="center" wrapText="1"/>
    </xf>
    <xf numFmtId="0" fontId="0" fillId="0" borderId="31" xfId="0" applyBorder="1" applyAlignment="1">
      <alignment vertical="center"/>
    </xf>
    <xf numFmtId="0" fontId="7" fillId="0" borderId="42" xfId="0" applyFont="1" applyBorder="1" applyAlignment="1">
      <alignment/>
    </xf>
    <xf numFmtId="0" fontId="7" fillId="0" borderId="50" xfId="0" applyFont="1" applyBorder="1" applyAlignment="1">
      <alignment/>
    </xf>
    <xf numFmtId="0" fontId="7" fillId="0" borderId="47" xfId="0" applyFont="1" applyBorder="1" applyAlignment="1">
      <alignment/>
    </xf>
    <xf numFmtId="0" fontId="7" fillId="2" borderId="26" xfId="0" applyFont="1" applyFill="1" applyBorder="1" applyAlignment="1">
      <alignment/>
    </xf>
    <xf numFmtId="0" fontId="7" fillId="2" borderId="52" xfId="0" applyFont="1" applyFill="1" applyBorder="1" applyAlignment="1">
      <alignment/>
    </xf>
    <xf numFmtId="0" fontId="7" fillId="2" borderId="53" xfId="0" applyFont="1" applyFill="1" applyBorder="1" applyAlignment="1">
      <alignment/>
    </xf>
    <xf numFmtId="3" fontId="7" fillId="2" borderId="35" xfId="0" applyNumberFormat="1" applyFont="1" applyFill="1" applyBorder="1" applyAlignment="1">
      <alignment horizontal="center" vertical="center"/>
    </xf>
    <xf numFmtId="0" fontId="0" fillId="0" borderId="35" xfId="0" applyBorder="1" applyAlignment="1">
      <alignment horizontal="center" vertical="center"/>
    </xf>
    <xf numFmtId="0" fontId="0" fillId="0" borderId="51" xfId="0" applyBorder="1" applyAlignment="1">
      <alignment horizontal="center" vertical="center"/>
    </xf>
    <xf numFmtId="0" fontId="7" fillId="0" borderId="33" xfId="0" applyFont="1" applyBorder="1" applyAlignment="1">
      <alignment/>
    </xf>
    <xf numFmtId="0" fontId="7" fillId="0" borderId="22" xfId="0" applyFont="1" applyBorder="1" applyAlignment="1">
      <alignment/>
    </xf>
    <xf numFmtId="0" fontId="0" fillId="0" borderId="22" xfId="0" applyBorder="1" applyAlignment="1">
      <alignment/>
    </xf>
    <xf numFmtId="3" fontId="7" fillId="0" borderId="76" xfId="0" applyNumberFormat="1" applyFont="1" applyBorder="1" applyAlignment="1">
      <alignment vertical="center"/>
    </xf>
    <xf numFmtId="3" fontId="7" fillId="0" borderId="75" xfId="0" applyNumberFormat="1" applyFont="1" applyBorder="1" applyAlignment="1">
      <alignment vertical="center"/>
    </xf>
    <xf numFmtId="3" fontId="7" fillId="0" borderId="8" xfId="0" applyNumberFormat="1" applyFont="1" applyBorder="1" applyAlignment="1">
      <alignment vertical="center"/>
    </xf>
    <xf numFmtId="3" fontId="7" fillId="0" borderId="9" xfId="0" applyNumberFormat="1" applyFont="1" applyBorder="1" applyAlignment="1">
      <alignment vertical="center"/>
    </xf>
    <xf numFmtId="0" fontId="2" fillId="0" borderId="76" xfId="0" applyFont="1" applyBorder="1" applyAlignment="1">
      <alignment horizontal="center" vertical="center" wrapText="1"/>
    </xf>
    <xf numFmtId="0" fontId="2" fillId="0" borderId="13" xfId="0" applyFont="1" applyBorder="1" applyAlignment="1">
      <alignment horizontal="center" vertical="center" wrapText="1"/>
    </xf>
    <xf numFmtId="0" fontId="7" fillId="2" borderId="5" xfId="0" applyFont="1" applyFill="1" applyBorder="1" applyAlignment="1">
      <alignment horizontal="center" vertical="center"/>
    </xf>
    <xf numFmtId="0" fontId="7" fillId="2" borderId="64" xfId="22" applyFont="1" applyFill="1" applyBorder="1" applyAlignment="1">
      <alignment horizontal="center" vertical="center"/>
      <protection/>
    </xf>
    <xf numFmtId="0" fontId="0" fillId="0" borderId="49" xfId="0" applyFont="1" applyBorder="1" applyAlignment="1">
      <alignment horizontal="center" vertical="center"/>
    </xf>
    <xf numFmtId="0" fontId="7" fillId="2" borderId="54" xfId="22" applyFont="1" applyFill="1" applyBorder="1" applyAlignment="1">
      <alignment horizontal="center" vertical="center" wrapText="1"/>
      <protection/>
    </xf>
    <xf numFmtId="0" fontId="2" fillId="0" borderId="75" xfId="0" applyFont="1" applyBorder="1" applyAlignment="1">
      <alignment horizontal="center" vertical="center" wrapText="1"/>
    </xf>
    <xf numFmtId="0" fontId="2" fillId="0" borderId="14" xfId="0" applyFont="1" applyBorder="1" applyAlignment="1">
      <alignment horizontal="center" vertical="center" wrapText="1"/>
    </xf>
    <xf numFmtId="3" fontId="7" fillId="0" borderId="47" xfId="0" applyNumberFormat="1" applyFont="1" applyBorder="1" applyAlignment="1">
      <alignment vertical="center"/>
    </xf>
    <xf numFmtId="0" fontId="5" fillId="2" borderId="5" xfId="22" applyFont="1" applyFill="1" applyBorder="1" applyAlignment="1">
      <alignment horizontal="center" vertical="center"/>
      <protection/>
    </xf>
    <xf numFmtId="0" fontId="5" fillId="2" borderId="59" xfId="22" applyFont="1" applyFill="1" applyBorder="1" applyAlignment="1">
      <alignment horizontal="center" vertical="center"/>
      <protection/>
    </xf>
    <xf numFmtId="0" fontId="7" fillId="2" borderId="18" xfId="0" applyFont="1" applyFill="1" applyBorder="1" applyAlignment="1">
      <alignment vertical="center"/>
    </xf>
    <xf numFmtId="0" fontId="7" fillId="0" borderId="35" xfId="0" applyFont="1" applyBorder="1" applyAlignment="1">
      <alignment vertical="center"/>
    </xf>
    <xf numFmtId="3" fontId="7" fillId="0" borderId="59" xfId="0" applyNumberFormat="1" applyFont="1" applyBorder="1" applyAlignment="1">
      <alignment vertical="center"/>
    </xf>
    <xf numFmtId="3" fontId="7" fillId="0" borderId="4" xfId="0" applyNumberFormat="1" applyFont="1" applyBorder="1" applyAlignment="1">
      <alignment vertical="center"/>
    </xf>
    <xf numFmtId="0" fontId="6" fillId="2" borderId="44" xfId="0" applyFont="1" applyFill="1" applyBorder="1" applyAlignment="1">
      <alignment horizontal="center" vertical="center"/>
    </xf>
    <xf numFmtId="0" fontId="8" fillId="0" borderId="78" xfId="0" applyFont="1" applyBorder="1" applyAlignment="1">
      <alignment vertical="center"/>
    </xf>
    <xf numFmtId="0" fontId="8" fillId="0" borderId="45" xfId="0" applyFont="1" applyBorder="1" applyAlignment="1">
      <alignment vertical="center"/>
    </xf>
    <xf numFmtId="0" fontId="7" fillId="2" borderId="80" xfId="0" applyFont="1" applyFill="1" applyBorder="1" applyAlignment="1">
      <alignment horizontal="center" vertical="center" wrapText="1"/>
    </xf>
    <xf numFmtId="3" fontId="7" fillId="0" borderId="3" xfId="0" applyNumberFormat="1" applyFont="1" applyBorder="1" applyAlignment="1">
      <alignment vertical="center"/>
    </xf>
    <xf numFmtId="3" fontId="7" fillId="0" borderId="6" xfId="0" applyNumberFormat="1" applyFont="1" applyBorder="1" applyAlignment="1">
      <alignment vertical="center"/>
    </xf>
    <xf numFmtId="0" fontId="9" fillId="2" borderId="32"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0" fillId="0" borderId="59" xfId="0" applyBorder="1" applyAlignment="1">
      <alignment horizontal="center" vertical="center" wrapText="1"/>
    </xf>
    <xf numFmtId="3" fontId="7" fillId="0" borderId="7" xfId="0" applyNumberFormat="1" applyFont="1" applyBorder="1" applyAlignment="1">
      <alignment vertical="center"/>
    </xf>
    <xf numFmtId="3" fontId="7" fillId="0" borderId="83" xfId="0" applyNumberFormat="1" applyFont="1" applyBorder="1" applyAlignment="1">
      <alignment vertical="center"/>
    </xf>
    <xf numFmtId="3" fontId="7" fillId="0" borderId="48" xfId="0" applyNumberFormat="1" applyFont="1" applyBorder="1" applyAlignment="1">
      <alignment vertical="center"/>
    </xf>
    <xf numFmtId="0" fontId="7" fillId="2" borderId="18" xfId="0" applyFont="1" applyFill="1" applyBorder="1" applyAlignment="1">
      <alignment horizontal="center"/>
    </xf>
    <xf numFmtId="0" fontId="7" fillId="2" borderId="35" xfId="0" applyFont="1" applyFill="1" applyBorder="1" applyAlignment="1">
      <alignment horizontal="center"/>
    </xf>
    <xf numFmtId="0" fontId="7" fillId="2" borderId="51" xfId="0" applyFont="1" applyFill="1" applyBorder="1" applyAlignment="1">
      <alignment horizontal="center"/>
    </xf>
    <xf numFmtId="0" fontId="7" fillId="2" borderId="54" xfId="0" applyFont="1" applyFill="1" applyBorder="1" applyAlignment="1">
      <alignment horizontal="center" vertical="center"/>
    </xf>
    <xf numFmtId="0" fontId="0" fillId="0" borderId="14" xfId="0" applyBorder="1" applyAlignment="1">
      <alignment vertical="center"/>
    </xf>
    <xf numFmtId="3" fontId="7" fillId="0" borderId="13" xfId="0" applyNumberFormat="1" applyFont="1" applyBorder="1" applyAlignment="1">
      <alignment vertical="center"/>
    </xf>
    <xf numFmtId="3" fontId="7" fillId="0" borderId="14" xfId="0" applyNumberFormat="1" applyFont="1" applyBorder="1" applyAlignment="1">
      <alignment vertical="center"/>
    </xf>
    <xf numFmtId="0" fontId="0" fillId="0" borderId="63" xfId="0" applyFont="1" applyBorder="1" applyAlignment="1">
      <alignment horizontal="center"/>
    </xf>
    <xf numFmtId="0" fontId="5" fillId="2" borderId="3" xfId="0" applyFont="1" applyFill="1" applyBorder="1" applyAlignment="1">
      <alignment horizontal="center" vertical="center"/>
    </xf>
    <xf numFmtId="0" fontId="0" fillId="0" borderId="64" xfId="0" applyFont="1" applyBorder="1" applyAlignment="1">
      <alignment horizontal="center"/>
    </xf>
    <xf numFmtId="3" fontId="7" fillId="0" borderId="32" xfId="0" applyNumberFormat="1" applyFont="1" applyBorder="1" applyAlignment="1">
      <alignment vertical="center"/>
    </xf>
    <xf numFmtId="3" fontId="7" fillId="0" borderId="16" xfId="0" applyNumberFormat="1" applyFont="1" applyBorder="1" applyAlignment="1">
      <alignment vertical="center"/>
    </xf>
    <xf numFmtId="3" fontId="7" fillId="0" borderId="17" xfId="0" applyNumberFormat="1" applyFont="1" applyBorder="1" applyAlignment="1">
      <alignment vertical="center"/>
    </xf>
    <xf numFmtId="0" fontId="0" fillId="0" borderId="38" xfId="0" applyFont="1" applyBorder="1" applyAlignment="1">
      <alignment horizontal="center"/>
    </xf>
    <xf numFmtId="3" fontId="7" fillId="0" borderId="70" xfId="0" applyNumberFormat="1" applyFont="1" applyBorder="1" applyAlignment="1">
      <alignment vertical="center"/>
    </xf>
    <xf numFmtId="0" fontId="7" fillId="0" borderId="28" xfId="0" applyFont="1" applyBorder="1" applyAlignment="1">
      <alignment/>
    </xf>
    <xf numFmtId="0" fontId="7" fillId="0" borderId="1" xfId="0" applyFont="1" applyBorder="1" applyAlignment="1">
      <alignment/>
    </xf>
    <xf numFmtId="0" fontId="0" fillId="0" borderId="1" xfId="0" applyBorder="1" applyAlignment="1">
      <alignment/>
    </xf>
    <xf numFmtId="0" fontId="7" fillId="2" borderId="34" xfId="0" applyFont="1" applyFill="1" applyBorder="1" applyAlignment="1">
      <alignment/>
    </xf>
    <xf numFmtId="0" fontId="7" fillId="2" borderId="24" xfId="0" applyFont="1" applyFill="1" applyBorder="1" applyAlignment="1">
      <alignment/>
    </xf>
    <xf numFmtId="0" fontId="0" fillId="2" borderId="24" xfId="0" applyFill="1" applyBorder="1" applyAlignment="1">
      <alignment/>
    </xf>
    <xf numFmtId="0" fontId="7" fillId="2" borderId="28" xfId="0" applyFont="1" applyFill="1" applyBorder="1" applyAlignment="1">
      <alignment/>
    </xf>
    <xf numFmtId="0" fontId="7" fillId="2" borderId="1" xfId="0" applyFont="1" applyFill="1" applyBorder="1" applyAlignment="1">
      <alignment/>
    </xf>
    <xf numFmtId="0" fontId="0" fillId="2" borderId="1" xfId="0" applyFill="1" applyBorder="1" applyAlignment="1">
      <alignment/>
    </xf>
    <xf numFmtId="0" fontId="7" fillId="2" borderId="79" xfId="0" applyFont="1" applyFill="1" applyBorder="1" applyAlignment="1">
      <alignment horizontal="center" vertical="center" wrapText="1"/>
    </xf>
    <xf numFmtId="0" fontId="0" fillId="0" borderId="15" xfId="0" applyBorder="1" applyAlignment="1">
      <alignment horizontal="center" vertical="center" wrapText="1"/>
    </xf>
    <xf numFmtId="0" fontId="5" fillId="2" borderId="18" xfId="0" applyFont="1" applyFill="1" applyBorder="1" applyAlignment="1">
      <alignment vertical="center"/>
    </xf>
    <xf numFmtId="0" fontId="0" fillId="0" borderId="35" xfId="0" applyFont="1" applyBorder="1" applyAlignment="1">
      <alignment vertical="center"/>
    </xf>
    <xf numFmtId="0" fontId="11" fillId="0" borderId="28" xfId="0" applyFont="1" applyBorder="1" applyAlignment="1">
      <alignment horizontal="justify" vertical="center"/>
    </xf>
    <xf numFmtId="0" fontId="11" fillId="0" borderId="12" xfId="0" applyFont="1" applyBorder="1" applyAlignment="1">
      <alignment horizontal="justify" vertical="center"/>
    </xf>
    <xf numFmtId="0" fontId="0" fillId="0" borderId="9" xfId="0" applyBorder="1" applyAlignment="1">
      <alignment/>
    </xf>
    <xf numFmtId="0" fontId="11" fillId="2" borderId="21" xfId="0" applyFont="1" applyFill="1" applyBorder="1" applyAlignment="1">
      <alignment horizontal="justify" vertical="center"/>
    </xf>
    <xf numFmtId="0" fontId="0" fillId="0" borderId="20" xfId="0" applyBorder="1" applyAlignment="1">
      <alignment/>
    </xf>
    <xf numFmtId="3" fontId="2" fillId="3" borderId="33" xfId="0" applyNumberFormat="1" applyFont="1" applyFill="1" applyBorder="1" applyAlignment="1">
      <alignment vertical="center"/>
    </xf>
    <xf numFmtId="3" fontId="2" fillId="3" borderId="27" xfId="0" applyNumberFormat="1" applyFont="1" applyFill="1" applyBorder="1" applyAlignment="1">
      <alignment vertical="center"/>
    </xf>
    <xf numFmtId="3" fontId="2" fillId="3" borderId="22" xfId="0" applyNumberFormat="1" applyFont="1" applyFill="1" applyBorder="1" applyAlignment="1">
      <alignment vertical="center"/>
    </xf>
    <xf numFmtId="3" fontId="2" fillId="3" borderId="64" xfId="0" applyNumberFormat="1" applyFont="1" applyFill="1" applyBorder="1" applyAlignment="1">
      <alignment horizontal="right" vertical="center"/>
    </xf>
    <xf numFmtId="3" fontId="2" fillId="3" borderId="48" xfId="0" applyNumberFormat="1" applyFont="1" applyFill="1" applyBorder="1" applyAlignment="1">
      <alignment horizontal="right" vertical="center"/>
    </xf>
    <xf numFmtId="3" fontId="2" fillId="3" borderId="1" xfId="0" applyNumberFormat="1" applyFont="1" applyFill="1" applyBorder="1" applyAlignment="1">
      <alignment vertical="center"/>
    </xf>
    <xf numFmtId="3" fontId="2" fillId="3" borderId="64" xfId="0" applyNumberFormat="1" applyFont="1" applyFill="1" applyBorder="1" applyAlignment="1">
      <alignment vertical="center"/>
    </xf>
    <xf numFmtId="0" fontId="7" fillId="3" borderId="42" xfId="0" applyFont="1" applyFill="1" applyBorder="1" applyAlignment="1">
      <alignment/>
    </xf>
    <xf numFmtId="0" fontId="5" fillId="3" borderId="50" xfId="0" applyFont="1" applyFill="1" applyBorder="1" applyAlignment="1">
      <alignment/>
    </xf>
    <xf numFmtId="0" fontId="7" fillId="3" borderId="36" xfId="0" applyFont="1" applyFill="1" applyBorder="1" applyAlignment="1">
      <alignment/>
    </xf>
    <xf numFmtId="0" fontId="7" fillId="3" borderId="49" xfId="0" applyFont="1" applyFill="1" applyBorder="1" applyAlignment="1">
      <alignment/>
    </xf>
    <xf numFmtId="0" fontId="7" fillId="3" borderId="48" xfId="0" applyFont="1" applyFill="1" applyBorder="1" applyAlignment="1">
      <alignment/>
    </xf>
    <xf numFmtId="3" fontId="7" fillId="2" borderId="31" xfId="0" applyNumberFormat="1" applyFont="1" applyFill="1" applyBorder="1" applyAlignment="1">
      <alignment horizontal="right" vertical="center"/>
    </xf>
    <xf numFmtId="3" fontId="7" fillId="2" borderId="19" xfId="0" applyNumberFormat="1" applyFont="1" applyFill="1" applyBorder="1" applyAlignment="1">
      <alignment horizontal="right" vertical="center"/>
    </xf>
    <xf numFmtId="3" fontId="7" fillId="2" borderId="4" xfId="0" applyNumberFormat="1" applyFont="1" applyFill="1" applyBorder="1" applyAlignment="1">
      <alignment horizontal="center" vertical="center" wrapText="1"/>
    </xf>
    <xf numFmtId="0" fontId="2" fillId="0" borderId="25" xfId="0" applyFont="1" applyBorder="1" applyAlignment="1">
      <alignment horizontal="center" vertical="center" wrapText="1"/>
    </xf>
    <xf numFmtId="3" fontId="2" fillId="3" borderId="8" xfId="0" applyNumberFormat="1" applyFont="1" applyFill="1" applyBorder="1" applyAlignment="1">
      <alignment vertical="center"/>
    </xf>
    <xf numFmtId="3" fontId="2" fillId="3" borderId="11" xfId="0" applyNumberFormat="1" applyFont="1" applyFill="1" applyBorder="1" applyAlignment="1">
      <alignment vertical="center"/>
    </xf>
    <xf numFmtId="3" fontId="2" fillId="3" borderId="76" xfId="0" applyNumberFormat="1" applyFont="1" applyFill="1" applyBorder="1" applyAlignment="1">
      <alignment vertical="center"/>
    </xf>
    <xf numFmtId="3" fontId="2" fillId="3" borderId="70" xfId="0" applyNumberFormat="1" applyFont="1" applyFill="1" applyBorder="1" applyAlignment="1">
      <alignment vertical="center"/>
    </xf>
    <xf numFmtId="3" fontId="2" fillId="3" borderId="75" xfId="0" applyNumberFormat="1" applyFont="1" applyFill="1" applyBorder="1" applyAlignment="1">
      <alignment vertical="center"/>
    </xf>
    <xf numFmtId="3" fontId="7" fillId="2" borderId="30" xfId="0" applyNumberFormat="1" applyFont="1" applyFill="1" applyBorder="1" applyAlignment="1">
      <alignment horizontal="right" vertical="center"/>
    </xf>
    <xf numFmtId="0" fontId="5" fillId="2" borderId="2" xfId="0" applyFont="1" applyFill="1" applyBorder="1" applyAlignment="1">
      <alignment horizontal="left" vertical="center" wrapText="1"/>
    </xf>
    <xf numFmtId="0" fontId="5" fillId="2" borderId="59" xfId="0" applyFont="1" applyFill="1" applyBorder="1" applyAlignment="1">
      <alignment horizontal="left" vertical="center" wrapText="1"/>
    </xf>
    <xf numFmtId="0" fontId="0" fillId="0" borderId="30" xfId="0" applyBorder="1" applyAlignment="1">
      <alignment/>
    </xf>
    <xf numFmtId="0" fontId="7" fillId="2" borderId="59"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53" xfId="0" applyFont="1" applyFill="1" applyBorder="1" applyAlignment="1">
      <alignment horizontal="center" vertical="center" wrapText="1"/>
    </xf>
    <xf numFmtId="0" fontId="0" fillId="0" borderId="59" xfId="0" applyFont="1" applyBorder="1" applyAlignment="1">
      <alignment horizontal="left"/>
    </xf>
    <xf numFmtId="3" fontId="2" fillId="3" borderId="36" xfId="0" applyNumberFormat="1" applyFont="1" applyFill="1" applyBorder="1" applyAlignment="1">
      <alignment vertical="center"/>
    </xf>
    <xf numFmtId="3" fontId="2" fillId="3" borderId="56" xfId="0" applyNumberFormat="1" applyFont="1" applyFill="1" applyBorder="1" applyAlignment="1">
      <alignment vertical="center"/>
    </xf>
    <xf numFmtId="0" fontId="7" fillId="3" borderId="37" xfId="0" applyFont="1" applyFill="1" applyBorder="1" applyAlignment="1">
      <alignment/>
    </xf>
    <xf numFmtId="0" fontId="7" fillId="3" borderId="0" xfId="0" applyFont="1" applyFill="1" applyBorder="1" applyAlignment="1">
      <alignment/>
    </xf>
    <xf numFmtId="0" fontId="7" fillId="3" borderId="0" xfId="0" applyFont="1" applyFill="1" applyAlignment="1">
      <alignment/>
    </xf>
    <xf numFmtId="3" fontId="7" fillId="2" borderId="21" xfId="0" applyNumberFormat="1" applyFont="1" applyFill="1" applyBorder="1" applyAlignment="1">
      <alignment horizontal="right" vertical="center"/>
    </xf>
    <xf numFmtId="3" fontId="7" fillId="2" borderId="20" xfId="0" applyNumberFormat="1" applyFont="1" applyFill="1" applyBorder="1" applyAlignment="1">
      <alignment horizontal="right" vertical="center"/>
    </xf>
    <xf numFmtId="3" fontId="7" fillId="2" borderId="82" xfId="0" applyNumberFormat="1" applyFont="1" applyFill="1" applyBorder="1" applyAlignment="1">
      <alignment horizontal="center" vertical="center" wrapText="1"/>
    </xf>
    <xf numFmtId="3" fontId="7" fillId="2" borderId="79" xfId="0" applyNumberFormat="1" applyFont="1" applyFill="1" applyBorder="1" applyAlignment="1">
      <alignment horizontal="center" vertical="center" wrapText="1"/>
    </xf>
    <xf numFmtId="3" fontId="7" fillId="2" borderId="84" xfId="0" applyNumberFormat="1" applyFont="1" applyFill="1" applyBorder="1" applyAlignment="1">
      <alignment horizontal="center" vertical="center" wrapText="1"/>
    </xf>
    <xf numFmtId="3" fontId="7" fillId="2" borderId="15" xfId="0" applyNumberFormat="1" applyFont="1" applyFill="1" applyBorder="1" applyAlignment="1">
      <alignment horizontal="center" vertical="center" wrapText="1"/>
    </xf>
    <xf numFmtId="3" fontId="7" fillId="2" borderId="32" xfId="0" applyNumberFormat="1" applyFont="1" applyFill="1" applyBorder="1" applyAlignment="1">
      <alignment horizontal="center" vertical="center" wrapText="1"/>
    </xf>
    <xf numFmtId="0" fontId="7" fillId="0" borderId="28" xfId="0" applyFont="1" applyFill="1" applyBorder="1" applyAlignment="1">
      <alignment/>
    </xf>
    <xf numFmtId="0" fontId="0" fillId="0" borderId="64" xfId="0" applyFont="1" applyBorder="1" applyAlignment="1">
      <alignment/>
    </xf>
    <xf numFmtId="0" fontId="7" fillId="3" borderId="28" xfId="0" applyFont="1" applyFill="1" applyBorder="1" applyAlignment="1">
      <alignment horizontal="left" vertical="center" wrapText="1"/>
    </xf>
    <xf numFmtId="0" fontId="5" fillId="0" borderId="64" xfId="0" applyFont="1" applyBorder="1" applyAlignment="1">
      <alignment horizontal="left" vertical="center" wrapText="1"/>
    </xf>
    <xf numFmtId="0" fontId="9" fillId="2" borderId="75" xfId="22" applyFont="1" applyFill="1" applyBorder="1" applyAlignment="1">
      <alignment horizontal="center" vertical="center" wrapText="1"/>
      <protection/>
    </xf>
    <xf numFmtId="0" fontId="9" fillId="2" borderId="27" xfId="22" applyFont="1" applyFill="1" applyBorder="1" applyAlignment="1">
      <alignment horizontal="center" vertical="center" wrapText="1"/>
      <protection/>
    </xf>
    <xf numFmtId="0" fontId="7" fillId="3" borderId="37" xfId="0" applyFont="1" applyFill="1" applyBorder="1" applyAlignment="1">
      <alignment horizontal="left" vertical="center" wrapText="1"/>
    </xf>
    <xf numFmtId="0" fontId="5" fillId="0" borderId="0" xfId="0" applyFont="1" applyBorder="1" applyAlignment="1">
      <alignment horizontal="left" vertical="center" wrapText="1"/>
    </xf>
    <xf numFmtId="0" fontId="11" fillId="3" borderId="28" xfId="0" applyFont="1" applyFill="1" applyBorder="1" applyAlignment="1">
      <alignment horizontal="justify" vertical="center"/>
    </xf>
    <xf numFmtId="0" fontId="0" fillId="3" borderId="29" xfId="0" applyFill="1" applyBorder="1" applyAlignment="1">
      <alignment/>
    </xf>
    <xf numFmtId="0" fontId="0" fillId="2" borderId="64" xfId="0" applyFont="1" applyFill="1" applyBorder="1" applyAlignment="1">
      <alignment/>
    </xf>
    <xf numFmtId="0" fontId="7" fillId="2" borderId="18" xfId="0" applyFont="1" applyFill="1" applyBorder="1" applyAlignment="1">
      <alignment/>
    </xf>
    <xf numFmtId="0" fontId="7" fillId="2" borderId="35" xfId="0" applyFont="1" applyFill="1" applyBorder="1" applyAlignment="1">
      <alignment/>
    </xf>
    <xf numFmtId="0" fontId="7" fillId="0" borderId="37" xfId="0" applyFont="1" applyFill="1" applyBorder="1" applyAlignment="1">
      <alignment/>
    </xf>
    <xf numFmtId="0" fontId="0" fillId="0" borderId="0" xfId="0" applyFont="1" applyBorder="1" applyAlignment="1">
      <alignment/>
    </xf>
    <xf numFmtId="3" fontId="7" fillId="3" borderId="1" xfId="0" applyNumberFormat="1" applyFont="1" applyFill="1" applyBorder="1" applyAlignment="1">
      <alignment vertical="center"/>
    </xf>
    <xf numFmtId="0" fontId="5" fillId="0" borderId="1" xfId="0" applyFont="1" applyBorder="1" applyAlignment="1">
      <alignment/>
    </xf>
    <xf numFmtId="0" fontId="11" fillId="3" borderId="12" xfId="0" applyFont="1" applyFill="1" applyBorder="1" applyAlignment="1">
      <alignment horizontal="justify" vertical="center"/>
    </xf>
    <xf numFmtId="0" fontId="0" fillId="3" borderId="9" xfId="0" applyFill="1" applyBorder="1" applyAlignment="1">
      <alignment/>
    </xf>
    <xf numFmtId="0" fontId="5" fillId="2" borderId="82" xfId="0" applyFont="1" applyFill="1" applyBorder="1" applyAlignment="1">
      <alignment horizontal="center" vertical="center" wrapText="1"/>
    </xf>
    <xf numFmtId="0" fontId="5" fillId="0" borderId="79"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5" xfId="0" applyFont="1" applyBorder="1" applyAlignment="1">
      <alignment horizontal="center" vertical="center" wrapText="1"/>
    </xf>
    <xf numFmtId="2" fontId="10" fillId="3" borderId="79" xfId="0" applyNumberFormat="1" applyFont="1" applyFill="1" applyBorder="1" applyAlignment="1">
      <alignment horizontal="left" vertical="center" wrapText="1"/>
    </xf>
    <xf numFmtId="3" fontId="2" fillId="3" borderId="11" xfId="0" applyNumberFormat="1" applyFont="1" applyFill="1" applyBorder="1" applyAlignment="1">
      <alignment horizontal="right" vertical="center"/>
    </xf>
    <xf numFmtId="3" fontId="2" fillId="3" borderId="58" xfId="0" applyNumberFormat="1" applyFont="1" applyFill="1" applyBorder="1" applyAlignment="1">
      <alignment horizontal="right" vertical="center"/>
    </xf>
    <xf numFmtId="3" fontId="2" fillId="3" borderId="63" xfId="0" applyNumberFormat="1" applyFont="1" applyFill="1" applyBorder="1" applyAlignment="1">
      <alignment vertical="center"/>
    </xf>
    <xf numFmtId="3" fontId="2" fillId="3" borderId="7" xfId="0" applyNumberFormat="1" applyFont="1" applyFill="1" applyBorder="1" applyAlignment="1">
      <alignment horizontal="right" vertical="center"/>
    </xf>
    <xf numFmtId="3" fontId="2" fillId="3" borderId="59" xfId="0" applyNumberFormat="1" applyFont="1" applyFill="1" applyBorder="1" applyAlignment="1">
      <alignment horizontal="right" vertical="center"/>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5" fillId="0" borderId="35" xfId="0" applyFont="1" applyBorder="1" applyAlignment="1">
      <alignment vertical="center"/>
    </xf>
    <xf numFmtId="0" fontId="0" fillId="0" borderId="5" xfId="0" applyFont="1" applyBorder="1" applyAlignment="1">
      <alignment vertical="center"/>
    </xf>
    <xf numFmtId="0" fontId="0" fillId="0" borderId="41" xfId="0" applyFont="1" applyBorder="1" applyAlignment="1">
      <alignment vertical="center"/>
    </xf>
    <xf numFmtId="3" fontId="7" fillId="2" borderId="35" xfId="0" applyNumberFormat="1" applyFont="1" applyFill="1" applyBorder="1" applyAlignment="1">
      <alignment horizontal="center" vertical="center" wrapText="1"/>
    </xf>
    <xf numFmtId="3" fontId="7" fillId="2" borderId="51" xfId="0" applyNumberFormat="1" applyFont="1" applyFill="1" applyBorder="1" applyAlignment="1">
      <alignment horizontal="center" vertical="center" wrapText="1"/>
    </xf>
    <xf numFmtId="0" fontId="2" fillId="0" borderId="35" xfId="0" applyFont="1" applyBorder="1" applyAlignment="1">
      <alignment horizontal="center" vertical="center" wrapText="1"/>
    </xf>
    <xf numFmtId="0" fontId="2" fillId="0" borderId="51" xfId="0" applyFont="1" applyBorder="1" applyAlignment="1">
      <alignment horizontal="center" vertical="center" wrapText="1"/>
    </xf>
    <xf numFmtId="0" fontId="0" fillId="0" borderId="25" xfId="0" applyFont="1" applyBorder="1" applyAlignment="1">
      <alignment horizontal="center"/>
    </xf>
    <xf numFmtId="0" fontId="0" fillId="0" borderId="35" xfId="0" applyFont="1" applyBorder="1" applyAlignment="1">
      <alignment/>
    </xf>
    <xf numFmtId="0" fontId="7" fillId="3" borderId="12" xfId="0" applyFont="1" applyFill="1" applyBorder="1" applyAlignment="1">
      <alignment horizontal="left" vertical="center" wrapText="1"/>
    </xf>
    <xf numFmtId="0" fontId="5" fillId="0" borderId="11" xfId="0" applyFont="1" applyBorder="1" applyAlignment="1">
      <alignment horizontal="left" vertical="center" wrapText="1"/>
    </xf>
    <xf numFmtId="3" fontId="7" fillId="2" borderId="82" xfId="0" applyNumberFormat="1" applyFont="1" applyFill="1" applyBorder="1" applyAlignment="1">
      <alignment horizontal="left" vertical="center" wrapText="1"/>
    </xf>
    <xf numFmtId="0" fontId="0" fillId="0" borderId="79" xfId="0" applyBorder="1" applyAlignment="1">
      <alignment horizontal="left" vertical="center" wrapText="1"/>
    </xf>
    <xf numFmtId="0" fontId="0" fillId="0" borderId="23" xfId="0" applyBorder="1" applyAlignment="1">
      <alignment horizontal="left" vertical="center" wrapText="1"/>
    </xf>
    <xf numFmtId="0" fontId="0" fillId="0" borderId="15" xfId="0" applyBorder="1" applyAlignment="1">
      <alignment horizontal="left" vertical="center" wrapText="1"/>
    </xf>
    <xf numFmtId="0" fontId="5" fillId="3" borderId="49" xfId="0" applyFont="1" applyFill="1" applyBorder="1" applyAlignment="1">
      <alignment/>
    </xf>
    <xf numFmtId="0" fontId="5" fillId="2" borderId="35" xfId="0" applyFont="1" applyFill="1" applyBorder="1" applyAlignment="1">
      <alignment/>
    </xf>
    <xf numFmtId="0" fontId="11" fillId="3" borderId="33" xfId="0" applyFont="1" applyFill="1" applyBorder="1" applyAlignment="1">
      <alignment horizontal="justify" vertical="center"/>
    </xf>
    <xf numFmtId="0" fontId="0" fillId="3" borderId="27" xfId="0" applyFill="1" applyBorder="1" applyAlignment="1">
      <alignment/>
    </xf>
    <xf numFmtId="0" fontId="5" fillId="2" borderId="82" xfId="0" applyFont="1" applyFill="1" applyBorder="1" applyAlignment="1">
      <alignment vertical="center"/>
    </xf>
    <xf numFmtId="0" fontId="5" fillId="2" borderId="23" xfId="0" applyFont="1" applyFill="1" applyBorder="1" applyAlignment="1">
      <alignment vertical="center"/>
    </xf>
    <xf numFmtId="0" fontId="0" fillId="0" borderId="7" xfId="0" applyBorder="1" applyAlignment="1">
      <alignment/>
    </xf>
    <xf numFmtId="0" fontId="0" fillId="0" borderId="34" xfId="0" applyBorder="1" applyAlignment="1">
      <alignment horizontal="left" vertical="center"/>
    </xf>
    <xf numFmtId="0" fontId="0" fillId="0" borderId="25" xfId="0" applyBorder="1" applyAlignment="1">
      <alignment/>
    </xf>
    <xf numFmtId="0" fontId="7" fillId="2" borderId="8" xfId="22" applyFont="1" applyFill="1" applyBorder="1" applyAlignment="1">
      <alignment horizontal="center" vertical="center"/>
      <protection/>
    </xf>
    <xf numFmtId="0" fontId="0" fillId="0" borderId="22" xfId="0" applyFont="1" applyBorder="1" applyAlignment="1">
      <alignment horizontal="center" vertical="center"/>
    </xf>
    <xf numFmtId="0" fontId="0" fillId="0" borderId="27" xfId="0" applyFont="1" applyBorder="1" applyAlignment="1">
      <alignment horizontal="center"/>
    </xf>
    <xf numFmtId="0" fontId="0" fillId="0" borderId="29" xfId="0" applyFont="1" applyBorder="1" applyAlignment="1">
      <alignment horizontal="center"/>
    </xf>
    <xf numFmtId="3" fontId="2" fillId="3" borderId="48" xfId="0" applyNumberFormat="1" applyFont="1" applyFill="1" applyBorder="1" applyAlignment="1">
      <alignment vertical="center"/>
    </xf>
    <xf numFmtId="0" fontId="8" fillId="2" borderId="37" xfId="0" applyFont="1" applyFill="1" applyBorder="1" applyAlignment="1">
      <alignment vertical="center"/>
    </xf>
    <xf numFmtId="0" fontId="8" fillId="2" borderId="23" xfId="0" applyFont="1" applyFill="1" applyBorder="1" applyAlignment="1">
      <alignment vertical="center"/>
    </xf>
    <xf numFmtId="0" fontId="0" fillId="0" borderId="35" xfId="0" applyBorder="1" applyAlignment="1">
      <alignment vertical="center"/>
    </xf>
    <xf numFmtId="0" fontId="0" fillId="0" borderId="51" xfId="0" applyBorder="1" applyAlignment="1">
      <alignment vertical="center"/>
    </xf>
    <xf numFmtId="0" fontId="2" fillId="3" borderId="79" xfId="0" applyFont="1" applyFill="1" applyBorder="1" applyAlignment="1">
      <alignment wrapText="1"/>
    </xf>
    <xf numFmtId="0" fontId="0" fillId="0" borderId="79" xfId="0" applyFont="1" applyBorder="1" applyAlignment="1">
      <alignment wrapText="1"/>
    </xf>
    <xf numFmtId="0" fontId="0" fillId="0" borderId="0" xfId="0" applyFont="1" applyAlignment="1">
      <alignment wrapText="1"/>
    </xf>
    <xf numFmtId="0" fontId="5" fillId="2" borderId="44" xfId="0" applyFont="1" applyFill="1" applyBorder="1" applyAlignment="1">
      <alignment horizontal="left" vertical="center"/>
    </xf>
    <xf numFmtId="0" fontId="7" fillId="2" borderId="50" xfId="0" applyFont="1" applyFill="1" applyBorder="1" applyAlignment="1">
      <alignment horizontal="center" vertical="center" wrapText="1"/>
    </xf>
    <xf numFmtId="0" fontId="0" fillId="0" borderId="5" xfId="0" applyBorder="1" applyAlignment="1">
      <alignment/>
    </xf>
    <xf numFmtId="0" fontId="0" fillId="0" borderId="41" xfId="0" applyBorder="1" applyAlignment="1">
      <alignment/>
    </xf>
    <xf numFmtId="3" fontId="2" fillId="3" borderId="64" xfId="0" applyNumberFormat="1" applyFont="1" applyFill="1" applyBorder="1" applyAlignment="1">
      <alignment horizontal="center" vertical="center"/>
    </xf>
    <xf numFmtId="3" fontId="2" fillId="3" borderId="48" xfId="0" applyNumberFormat="1" applyFont="1" applyFill="1" applyBorder="1" applyAlignment="1">
      <alignment horizontal="center" vertical="center"/>
    </xf>
    <xf numFmtId="0" fontId="0" fillId="0" borderId="35" xfId="0" applyBorder="1" applyAlignment="1">
      <alignment horizontal="center"/>
    </xf>
    <xf numFmtId="0" fontId="0" fillId="0" borderId="51" xfId="0"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4" xfId="0" applyFont="1" applyBorder="1" applyAlignment="1">
      <alignment/>
    </xf>
    <xf numFmtId="0" fontId="5" fillId="0" borderId="24" xfId="0" applyFont="1" applyBorder="1" applyAlignment="1">
      <alignment/>
    </xf>
    <xf numFmtId="0" fontId="5" fillId="0" borderId="25" xfId="0" applyFont="1" applyBorder="1" applyAlignment="1">
      <alignment/>
    </xf>
    <xf numFmtId="3" fontId="7" fillId="3" borderId="22" xfId="0" applyNumberFormat="1" applyFont="1" applyFill="1" applyBorder="1" applyAlignment="1">
      <alignment vertical="center"/>
    </xf>
    <xf numFmtId="0" fontId="5" fillId="0" borderId="22" xfId="0" applyFont="1" applyBorder="1" applyAlignment="1">
      <alignment/>
    </xf>
    <xf numFmtId="3" fontId="7" fillId="3" borderId="8" xfId="0" applyNumberFormat="1" applyFont="1" applyFill="1" applyBorder="1" applyAlignment="1">
      <alignment vertical="center"/>
    </xf>
    <xf numFmtId="0" fontId="5" fillId="0" borderId="8" xfId="0" applyFont="1" applyBorder="1" applyAlignment="1">
      <alignment/>
    </xf>
    <xf numFmtId="0" fontId="5" fillId="2" borderId="31" xfId="0" applyFont="1" applyFill="1" applyBorder="1" applyAlignment="1">
      <alignment/>
    </xf>
    <xf numFmtId="0" fontId="5" fillId="0" borderId="27" xfId="0" applyFont="1" applyBorder="1" applyAlignment="1">
      <alignment/>
    </xf>
    <xf numFmtId="0" fontId="5" fillId="0" borderId="29" xfId="0" applyFont="1" applyBorder="1" applyAlignment="1">
      <alignment/>
    </xf>
    <xf numFmtId="0" fontId="5" fillId="0" borderId="9" xfId="0" applyFont="1" applyBorder="1" applyAlignment="1">
      <alignment/>
    </xf>
    <xf numFmtId="0" fontId="5" fillId="2" borderId="20" xfId="0" applyFont="1" applyFill="1" applyBorder="1" applyAlignment="1">
      <alignment/>
    </xf>
    <xf numFmtId="0" fontId="0" fillId="0" borderId="23" xfId="0" applyBorder="1" applyAlignment="1">
      <alignment horizontal="center"/>
    </xf>
    <xf numFmtId="0" fontId="7" fillId="2" borderId="23" xfId="0" applyFont="1" applyFill="1" applyBorder="1" applyAlignment="1">
      <alignment/>
    </xf>
    <xf numFmtId="0" fontId="0" fillId="2" borderId="15" xfId="0" applyFont="1" applyFill="1" applyBorder="1" applyAlignment="1">
      <alignment/>
    </xf>
    <xf numFmtId="0" fontId="0" fillId="0" borderId="49" xfId="0" applyBorder="1" applyAlignment="1">
      <alignment horizontal="center" vertical="center"/>
    </xf>
    <xf numFmtId="0" fontId="0" fillId="0" borderId="48" xfId="0" applyBorder="1" applyAlignment="1">
      <alignment horizontal="center" vertical="center"/>
    </xf>
    <xf numFmtId="3" fontId="5" fillId="3" borderId="33" xfId="0" applyNumberFormat="1" applyFont="1" applyFill="1" applyBorder="1" applyAlignment="1">
      <alignment horizontal="center" vertical="center"/>
    </xf>
    <xf numFmtId="3" fontId="5" fillId="3" borderId="28" xfId="0" applyNumberFormat="1" applyFont="1" applyFill="1" applyBorder="1" applyAlignment="1">
      <alignment horizontal="center" vertical="center"/>
    </xf>
    <xf numFmtId="3" fontId="5" fillId="3" borderId="34" xfId="0" applyNumberFormat="1" applyFont="1" applyFill="1" applyBorder="1" applyAlignment="1">
      <alignment horizontal="center" vertical="center"/>
    </xf>
    <xf numFmtId="3" fontId="7" fillId="2" borderId="7" xfId="0" applyNumberFormat="1" applyFont="1" applyFill="1" applyBorder="1" applyAlignment="1">
      <alignment horizontal="center" vertical="center"/>
    </xf>
    <xf numFmtId="3" fontId="2" fillId="3" borderId="63" xfId="0" applyNumberFormat="1" applyFont="1" applyFill="1" applyBorder="1" applyAlignment="1">
      <alignment horizontal="right" vertical="center"/>
    </xf>
    <xf numFmtId="3" fontId="2" fillId="3" borderId="47" xfId="0" applyNumberFormat="1" applyFont="1" applyFill="1" applyBorder="1" applyAlignment="1">
      <alignment horizontal="right" vertical="center"/>
    </xf>
    <xf numFmtId="0" fontId="0" fillId="0" borderId="11" xfId="0" applyFont="1" applyBorder="1" applyAlignment="1">
      <alignment/>
    </xf>
    <xf numFmtId="0" fontId="0" fillId="0" borderId="64" xfId="0" applyFont="1" applyBorder="1" applyAlignment="1">
      <alignment/>
    </xf>
    <xf numFmtId="0" fontId="0" fillId="0" borderId="45" xfId="0" applyFont="1" applyBorder="1" applyAlignment="1">
      <alignment wrapText="1"/>
    </xf>
    <xf numFmtId="0" fontId="0" fillId="0" borderId="9" xfId="0" applyFont="1" applyBorder="1" applyAlignment="1">
      <alignment/>
    </xf>
    <xf numFmtId="0" fontId="0" fillId="0" borderId="20" xfId="0" applyFont="1" applyBorder="1" applyAlignment="1">
      <alignment/>
    </xf>
    <xf numFmtId="0" fontId="7" fillId="0" borderId="0" xfId="0" applyFont="1" applyBorder="1" applyAlignment="1">
      <alignment vertical="center" wrapText="1"/>
    </xf>
    <xf numFmtId="0" fontId="7" fillId="0" borderId="0" xfId="0" applyFont="1" applyBorder="1" applyAlignment="1">
      <alignment vertical="center" wrapText="1"/>
    </xf>
    <xf numFmtId="0" fontId="2" fillId="0" borderId="11" xfId="0" applyFont="1" applyBorder="1" applyAlignment="1">
      <alignment vertical="top" wrapText="1"/>
    </xf>
    <xf numFmtId="0" fontId="0" fillId="0" borderId="10" xfId="0" applyFont="1" applyBorder="1" applyAlignment="1">
      <alignment wrapText="1"/>
    </xf>
    <xf numFmtId="0" fontId="0" fillId="0" borderId="58" xfId="0" applyFont="1" applyBorder="1" applyAlignment="1">
      <alignment wrapText="1"/>
    </xf>
    <xf numFmtId="0" fontId="0" fillId="0" borderId="63" xfId="0" applyFont="1" applyBorder="1" applyAlignment="1">
      <alignment wrapText="1"/>
    </xf>
    <xf numFmtId="0" fontId="0" fillId="0" borderId="50" xfId="0" applyFont="1" applyBorder="1" applyAlignment="1">
      <alignment wrapText="1"/>
    </xf>
    <xf numFmtId="0" fontId="0" fillId="0" borderId="47" xfId="0" applyFont="1" applyBorder="1" applyAlignment="1">
      <alignment wrapText="1"/>
    </xf>
    <xf numFmtId="0" fontId="0" fillId="0" borderId="29" xfId="0" applyFont="1" applyBorder="1" applyAlignment="1">
      <alignment/>
    </xf>
    <xf numFmtId="0" fontId="11" fillId="0" borderId="28" xfId="0" applyFont="1" applyBorder="1" applyAlignment="1">
      <alignment horizontal="justify" vertical="center"/>
    </xf>
    <xf numFmtId="0" fontId="0" fillId="0" borderId="4" xfId="0" applyFont="1" applyBorder="1" applyAlignment="1">
      <alignment/>
    </xf>
    <xf numFmtId="0" fontId="0" fillId="0" borderId="34" xfId="0" applyFont="1" applyBorder="1" applyAlignment="1">
      <alignment horizontal="left" vertical="center"/>
    </xf>
    <xf numFmtId="0" fontId="0" fillId="0" borderId="25" xfId="0" applyFont="1" applyBorder="1" applyAlignment="1">
      <alignment/>
    </xf>
    <xf numFmtId="0" fontId="0" fillId="0" borderId="35" xfId="0" applyFont="1" applyBorder="1" applyAlignment="1">
      <alignment/>
    </xf>
    <xf numFmtId="0" fontId="0" fillId="0" borderId="51" xfId="0" applyFont="1" applyBorder="1" applyAlignment="1">
      <alignment/>
    </xf>
    <xf numFmtId="0" fontId="11" fillId="0" borderId="33" xfId="0" applyFont="1" applyBorder="1" applyAlignment="1">
      <alignment horizontal="justify" vertical="center"/>
    </xf>
    <xf numFmtId="0" fontId="0" fillId="0" borderId="27" xfId="0" applyFont="1" applyBorder="1" applyAlignment="1">
      <alignment/>
    </xf>
    <xf numFmtId="3" fontId="2" fillId="0" borderId="28" xfId="23" applyFont="1" applyFill="1" applyBorder="1" applyAlignment="1">
      <alignment horizontal="left" vertical="center" wrapText="1"/>
      <protection/>
    </xf>
    <xf numFmtId="3" fontId="2" fillId="0" borderId="29" xfId="23" applyFont="1" applyFill="1" applyBorder="1" applyAlignment="1">
      <alignment horizontal="left" vertical="center" wrapText="1"/>
      <protection/>
    </xf>
    <xf numFmtId="4" fontId="7" fillId="0" borderId="36" xfId="23" applyNumberFormat="1" applyFont="1" applyFill="1" applyBorder="1" applyAlignment="1">
      <alignment vertical="center" wrapText="1"/>
      <protection/>
    </xf>
    <xf numFmtId="4" fontId="7" fillId="0" borderId="56" xfId="23" applyNumberFormat="1" applyFont="1" applyFill="1" applyBorder="1" applyAlignment="1">
      <alignment vertical="center" wrapText="1"/>
      <protection/>
    </xf>
    <xf numFmtId="3" fontId="2" fillId="0" borderId="43" xfId="23" applyFont="1" applyFill="1" applyBorder="1" applyAlignment="1">
      <alignment horizontal="left" vertical="center" wrapText="1"/>
      <protection/>
    </xf>
    <xf numFmtId="3" fontId="2" fillId="0" borderId="57" xfId="23" applyFont="1" applyFill="1" applyBorder="1" applyAlignment="1">
      <alignment horizontal="left" vertical="center" wrapText="1"/>
      <protection/>
    </xf>
    <xf numFmtId="3" fontId="7" fillId="0" borderId="64" xfId="23" applyNumberFormat="1" applyFont="1" applyFill="1" applyBorder="1" applyAlignment="1">
      <alignment vertical="center" wrapText="1"/>
      <protection/>
    </xf>
    <xf numFmtId="3" fontId="7" fillId="0" borderId="49" xfId="23" applyNumberFormat="1" applyFont="1" applyFill="1" applyBorder="1" applyAlignment="1">
      <alignment vertical="center" wrapText="1"/>
      <protection/>
    </xf>
    <xf numFmtId="3" fontId="7" fillId="0" borderId="56" xfId="23" applyNumberFormat="1" applyFont="1" applyFill="1" applyBorder="1" applyAlignment="1">
      <alignment vertical="center" wrapText="1"/>
      <protection/>
    </xf>
    <xf numFmtId="3" fontId="7" fillId="0" borderId="48" xfId="23" applyNumberFormat="1" applyFont="1" applyFill="1" applyBorder="1" applyAlignment="1">
      <alignment vertical="center" wrapText="1"/>
      <protection/>
    </xf>
    <xf numFmtId="3" fontId="7" fillId="0" borderId="36" xfId="23" applyNumberFormat="1" applyFont="1" applyFill="1" applyBorder="1" applyAlignment="1">
      <alignment vertical="center" wrapText="1"/>
      <protection/>
    </xf>
    <xf numFmtId="3" fontId="7" fillId="0" borderId="63" xfId="23" applyNumberFormat="1" applyFont="1" applyFill="1" applyBorder="1" applyAlignment="1">
      <alignment vertical="center" wrapText="1"/>
      <protection/>
    </xf>
    <xf numFmtId="3" fontId="7" fillId="0" borderId="50" xfId="23" applyNumberFormat="1" applyFont="1" applyFill="1" applyBorder="1" applyAlignment="1">
      <alignment vertical="center" wrapText="1"/>
      <protection/>
    </xf>
    <xf numFmtId="4" fontId="7" fillId="0" borderId="42" xfId="23" applyNumberFormat="1" applyFont="1" applyFill="1" applyBorder="1" applyAlignment="1">
      <alignment vertical="center" wrapText="1"/>
      <protection/>
    </xf>
    <xf numFmtId="4" fontId="7" fillId="0" borderId="55" xfId="23" applyNumberFormat="1" applyFont="1" applyFill="1" applyBorder="1" applyAlignment="1">
      <alignment vertical="center" wrapText="1"/>
      <protection/>
    </xf>
    <xf numFmtId="3" fontId="7" fillId="0" borderId="47" xfId="23" applyNumberFormat="1" applyFont="1" applyFill="1" applyBorder="1" applyAlignment="1">
      <alignment vertical="center" wrapText="1"/>
      <protection/>
    </xf>
    <xf numFmtId="0" fontId="0" fillId="0" borderId="29" xfId="0" applyBorder="1" applyAlignment="1">
      <alignment vertical="center" wrapText="1"/>
    </xf>
    <xf numFmtId="0" fontId="0" fillId="0" borderId="29" xfId="0" applyFill="1" applyBorder="1" applyAlignment="1">
      <alignment vertical="center" wrapText="1"/>
    </xf>
    <xf numFmtId="3" fontId="2" fillId="0" borderId="12" xfId="23" applyFont="1" applyFill="1" applyBorder="1" applyAlignment="1">
      <alignment horizontal="left" vertical="center" wrapText="1"/>
      <protection/>
    </xf>
    <xf numFmtId="0" fontId="0" fillId="0" borderId="9" xfId="0" applyBorder="1" applyAlignment="1">
      <alignment vertical="center" wrapText="1"/>
    </xf>
    <xf numFmtId="3" fontId="2" fillId="0" borderId="37" xfId="23" applyFont="1" applyFill="1" applyBorder="1" applyAlignment="1">
      <alignment horizontal="left" vertical="center" wrapText="1"/>
      <protection/>
    </xf>
    <xf numFmtId="3" fontId="2" fillId="0" borderId="69" xfId="23" applyFont="1" applyFill="1" applyBorder="1" applyAlignment="1">
      <alignment horizontal="left" vertical="center" wrapText="1"/>
      <protection/>
    </xf>
    <xf numFmtId="4" fontId="2" fillId="0" borderId="58" xfId="23" applyNumberFormat="1" applyFont="1" applyFill="1" applyBorder="1" applyAlignment="1">
      <alignment vertical="center" wrapText="1"/>
      <protection/>
    </xf>
    <xf numFmtId="4" fontId="2" fillId="0" borderId="9" xfId="23" applyNumberFormat="1" applyFont="1" applyFill="1" applyBorder="1" applyAlignment="1">
      <alignment vertical="center" wrapText="1"/>
      <protection/>
    </xf>
    <xf numFmtId="0" fontId="0" fillId="0" borderId="69" xfId="0" applyBorder="1" applyAlignment="1">
      <alignment vertical="center" wrapText="1"/>
    </xf>
    <xf numFmtId="4" fontId="7" fillId="0" borderId="12" xfId="23" applyNumberFormat="1" applyFont="1" applyFill="1" applyBorder="1" applyAlignment="1">
      <alignment vertical="center" wrapText="1"/>
      <protection/>
    </xf>
    <xf numFmtId="4" fontId="7" fillId="0" borderId="9" xfId="23" applyNumberFormat="1" applyFont="1" applyFill="1" applyBorder="1" applyAlignment="1">
      <alignment vertical="center" wrapText="1"/>
      <protection/>
    </xf>
    <xf numFmtId="4" fontId="2" fillId="0" borderId="48" xfId="23" applyNumberFormat="1" applyFont="1" applyFill="1" applyBorder="1" applyAlignment="1">
      <alignment vertical="center" wrapText="1"/>
      <protection/>
    </xf>
    <xf numFmtId="4" fontId="2" fillId="0" borderId="29" xfId="23" applyNumberFormat="1" applyFont="1" applyFill="1" applyBorder="1" applyAlignment="1">
      <alignment vertical="center" wrapText="1"/>
      <protection/>
    </xf>
    <xf numFmtId="4" fontId="7" fillId="0" borderId="8" xfId="23" applyNumberFormat="1" applyFont="1" applyFill="1" applyBorder="1" applyAlignment="1">
      <alignment vertical="center" wrapText="1"/>
      <protection/>
    </xf>
    <xf numFmtId="4" fontId="7" fillId="0" borderId="28" xfId="23" applyNumberFormat="1" applyFont="1" applyFill="1" applyBorder="1" applyAlignment="1">
      <alignment vertical="center" wrapText="1"/>
      <protection/>
    </xf>
    <xf numFmtId="4" fontId="7" fillId="0" borderId="29" xfId="23" applyNumberFormat="1" applyFont="1" applyFill="1" applyBorder="1" applyAlignment="1">
      <alignment vertical="center" wrapText="1"/>
      <protection/>
    </xf>
    <xf numFmtId="4" fontId="7" fillId="0" borderId="1" xfId="23" applyNumberFormat="1" applyFont="1" applyFill="1" applyBorder="1" applyAlignment="1">
      <alignment vertical="center" wrapText="1"/>
      <protection/>
    </xf>
    <xf numFmtId="4" fontId="7" fillId="0" borderId="48" xfId="23" applyNumberFormat="1" applyFont="1" applyFill="1" applyBorder="1" applyAlignment="1">
      <alignment vertical="center" wrapText="1"/>
      <protection/>
    </xf>
    <xf numFmtId="4" fontId="7" fillId="0" borderId="58" xfId="23" applyNumberFormat="1" applyFont="1" applyFill="1" applyBorder="1" applyAlignment="1">
      <alignment vertical="center" wrapText="1"/>
      <protection/>
    </xf>
    <xf numFmtId="4" fontId="7" fillId="2" borderId="18" xfId="0" applyNumberFormat="1" applyFont="1" applyFill="1" applyBorder="1" applyAlignment="1">
      <alignment vertical="center" wrapText="1"/>
    </xf>
    <xf numFmtId="0" fontId="7" fillId="0" borderId="51" xfId="0" applyFont="1" applyBorder="1" applyAlignment="1">
      <alignment wrapText="1"/>
    </xf>
    <xf numFmtId="4" fontId="2" fillId="0" borderId="47" xfId="23" applyNumberFormat="1" applyFont="1" applyFill="1" applyBorder="1" applyAlignment="1">
      <alignment vertical="center" wrapText="1"/>
      <protection/>
    </xf>
    <xf numFmtId="4" fontId="2" fillId="0" borderId="27" xfId="23" applyNumberFormat="1" applyFont="1" applyFill="1" applyBorder="1" applyAlignment="1">
      <alignment vertical="center" wrapText="1"/>
      <protection/>
    </xf>
    <xf numFmtId="4" fontId="7" fillId="0" borderId="47" xfId="23" applyNumberFormat="1" applyFont="1" applyFill="1" applyBorder="1" applyAlignment="1">
      <alignment vertical="center" wrapText="1"/>
      <protection/>
    </xf>
    <xf numFmtId="4" fontId="7" fillId="0" borderId="22" xfId="23" applyNumberFormat="1" applyFont="1" applyFill="1" applyBorder="1" applyAlignment="1">
      <alignment vertical="center" wrapText="1"/>
      <protection/>
    </xf>
    <xf numFmtId="4" fontId="7" fillId="0" borderId="33" xfId="23" applyNumberFormat="1" applyFont="1" applyFill="1" applyBorder="1" applyAlignment="1">
      <alignment vertical="center" wrapText="1"/>
      <protection/>
    </xf>
    <xf numFmtId="4" fontId="7" fillId="0" borderId="27" xfId="23" applyNumberFormat="1" applyFont="1" applyFill="1" applyBorder="1" applyAlignment="1">
      <alignment vertical="center" wrapText="1"/>
      <protection/>
    </xf>
    <xf numFmtId="0" fontId="0" fillId="0" borderId="35" xfId="0" applyBorder="1" applyAlignment="1">
      <alignment horizontal="center" vertical="center" wrapText="1"/>
    </xf>
    <xf numFmtId="0" fontId="0" fillId="0" borderId="51" xfId="0" applyBorder="1" applyAlignment="1">
      <alignment horizontal="center" vertical="center" wrapText="1"/>
    </xf>
    <xf numFmtId="0" fontId="10" fillId="2" borderId="9" xfId="0" applyFont="1" applyFill="1" applyBorder="1" applyAlignment="1">
      <alignment horizontal="center" vertical="center"/>
    </xf>
    <xf numFmtId="0" fontId="0" fillId="0" borderId="73" xfId="0" applyFont="1" applyBorder="1" applyAlignment="1">
      <alignment horizontal="center" vertical="center"/>
    </xf>
    <xf numFmtId="0" fontId="8" fillId="0" borderId="85" xfId="0" applyFont="1" applyBorder="1" applyAlignment="1">
      <alignment vertical="center"/>
    </xf>
    <xf numFmtId="0" fontId="6" fillId="2" borderId="35" xfId="0" applyFont="1" applyFill="1" applyBorder="1" applyAlignment="1">
      <alignment horizontal="center" vertical="center"/>
    </xf>
    <xf numFmtId="0" fontId="0" fillId="0" borderId="51" xfId="0" applyFont="1" applyBorder="1" applyAlignment="1">
      <alignment/>
    </xf>
    <xf numFmtId="0" fontId="7" fillId="2" borderId="80" xfId="22" applyFont="1" applyFill="1" applyBorder="1" applyAlignment="1">
      <alignment horizontal="center" vertical="center"/>
      <protection/>
    </xf>
    <xf numFmtId="0" fontId="7" fillId="2" borderId="70" xfId="22" applyFont="1" applyFill="1" applyBorder="1" applyAlignment="1">
      <alignment horizontal="center" vertical="center"/>
      <protection/>
    </xf>
    <xf numFmtId="0" fontId="7" fillId="2" borderId="17" xfId="22" applyFont="1" applyFill="1" applyBorder="1" applyAlignment="1">
      <alignment horizontal="center" vertical="center"/>
      <protection/>
    </xf>
    <xf numFmtId="0" fontId="9" fillId="2" borderId="81" xfId="22" applyFont="1" applyFill="1" applyBorder="1" applyAlignment="1">
      <alignment horizontal="center" vertical="center" wrapText="1"/>
      <protection/>
    </xf>
    <xf numFmtId="0" fontId="9" fillId="2" borderId="76" xfId="22" applyFont="1" applyFill="1" applyBorder="1" applyAlignment="1">
      <alignment horizontal="center" vertical="center" wrapText="1"/>
      <protection/>
    </xf>
    <xf numFmtId="0" fontId="9" fillId="2" borderId="13" xfId="22" applyFont="1" applyFill="1" applyBorder="1" applyAlignment="1">
      <alignment horizontal="center" vertical="center" wrapText="1"/>
      <protection/>
    </xf>
    <xf numFmtId="0" fontId="9" fillId="2" borderId="14" xfId="22" applyFont="1" applyFill="1" applyBorder="1" applyAlignment="1">
      <alignment horizontal="center" vertical="center" wrapText="1"/>
      <protection/>
    </xf>
    <xf numFmtId="0" fontId="7" fillId="2" borderId="18" xfId="0" applyFont="1" applyFill="1" applyBorder="1" applyAlignment="1">
      <alignment horizontal="left" vertical="center" wrapText="1"/>
    </xf>
    <xf numFmtId="0" fontId="7" fillId="0" borderId="35" xfId="0" applyFont="1" applyBorder="1" applyAlignment="1">
      <alignment horizontal="left"/>
    </xf>
    <xf numFmtId="0" fontId="7" fillId="0" borderId="30" xfId="0" applyFont="1" applyBorder="1" applyAlignment="1">
      <alignment horizontal="left"/>
    </xf>
    <xf numFmtId="0" fontId="7" fillId="0" borderId="33" xfId="0" applyFont="1" applyFill="1" applyBorder="1" applyAlignment="1">
      <alignment vertical="center"/>
    </xf>
    <xf numFmtId="0" fontId="7" fillId="0" borderId="28" xfId="0" applyFont="1" applyFill="1" applyBorder="1" applyAlignment="1">
      <alignment vertical="center"/>
    </xf>
    <xf numFmtId="0" fontId="7" fillId="0" borderId="36" xfId="0" applyFont="1" applyFill="1" applyBorder="1" applyAlignment="1">
      <alignment vertical="center" wrapText="1"/>
    </xf>
    <xf numFmtId="0" fontId="0" fillId="0" borderId="49" xfId="0" applyBorder="1" applyAlignment="1">
      <alignment wrapText="1"/>
    </xf>
    <xf numFmtId="0" fontId="0" fillId="0" borderId="48" xfId="0" applyBorder="1" applyAlignment="1">
      <alignment wrapText="1"/>
    </xf>
    <xf numFmtId="0" fontId="5" fillId="2" borderId="42" xfId="0" applyFont="1" applyFill="1" applyBorder="1" applyAlignment="1">
      <alignment vertical="center"/>
    </xf>
    <xf numFmtId="3" fontId="7" fillId="2" borderId="81" xfId="0" applyNumberFormat="1" applyFont="1" applyFill="1" applyBorder="1" applyAlignment="1">
      <alignment horizontal="center" vertical="center"/>
    </xf>
    <xf numFmtId="0" fontId="0" fillId="0" borderId="22" xfId="0" applyBorder="1" applyAlignment="1">
      <alignment horizontal="center" vertical="center"/>
    </xf>
    <xf numFmtId="3" fontId="7" fillId="2" borderId="79" xfId="0" applyNumberFormat="1" applyFont="1" applyFill="1" applyBorder="1" applyAlignment="1">
      <alignment horizontal="center" vertical="center"/>
    </xf>
    <xf numFmtId="3" fontId="7" fillId="0" borderId="7" xfId="23" applyNumberFormat="1" applyFont="1" applyFill="1" applyBorder="1" applyAlignment="1">
      <alignment vertical="center" wrapText="1"/>
      <protection/>
    </xf>
    <xf numFmtId="3" fontId="7" fillId="0" borderId="5" xfId="23" applyNumberFormat="1" applyFont="1" applyFill="1" applyBorder="1" applyAlignment="1">
      <alignment vertical="center" wrapText="1"/>
      <protection/>
    </xf>
    <xf numFmtId="4" fontId="7" fillId="0" borderId="2" xfId="23" applyNumberFormat="1" applyFont="1" applyFill="1" applyBorder="1" applyAlignment="1">
      <alignment vertical="center" wrapText="1"/>
      <protection/>
    </xf>
    <xf numFmtId="4" fontId="7" fillId="0" borderId="41" xfId="23" applyNumberFormat="1" applyFont="1" applyFill="1" applyBorder="1" applyAlignment="1">
      <alignment vertical="center" wrapText="1"/>
      <protection/>
    </xf>
    <xf numFmtId="3" fontId="2" fillId="0" borderId="3" xfId="23" applyFont="1" applyFill="1" applyBorder="1" applyAlignment="1">
      <alignment horizontal="left" vertical="center" wrapText="1"/>
      <protection/>
    </xf>
    <xf numFmtId="3" fontId="2" fillId="0" borderId="4" xfId="23" applyFont="1" applyFill="1" applyBorder="1" applyAlignment="1">
      <alignment horizontal="left" vertical="center" wrapText="1"/>
      <protection/>
    </xf>
    <xf numFmtId="3" fontId="7" fillId="0" borderId="59" xfId="23" applyNumberFormat="1" applyFont="1" applyFill="1" applyBorder="1" applyAlignment="1">
      <alignment vertical="center" wrapText="1"/>
      <protection/>
    </xf>
    <xf numFmtId="0" fontId="5" fillId="2" borderId="18" xfId="0" applyFont="1" applyFill="1" applyBorder="1" applyAlignment="1">
      <alignment horizontal="center"/>
    </xf>
    <xf numFmtId="0" fontId="7" fillId="2" borderId="2" xfId="0" applyFont="1" applyFill="1" applyBorder="1" applyAlignment="1">
      <alignment horizontal="center" vertical="center" wrapText="1"/>
    </xf>
    <xf numFmtId="3" fontId="2" fillId="0" borderId="1" xfId="23" applyFont="1" applyFill="1" applyBorder="1" applyAlignment="1">
      <alignment horizontal="left" vertical="center" wrapText="1"/>
      <protection/>
    </xf>
    <xf numFmtId="3" fontId="7" fillId="0" borderId="1" xfId="23" applyNumberFormat="1" applyFont="1" applyFill="1" applyBorder="1" applyAlignment="1">
      <alignment vertical="center" wrapText="1"/>
      <protection/>
    </xf>
    <xf numFmtId="3" fontId="7" fillId="0" borderId="29" xfId="23" applyNumberFormat="1" applyFont="1" applyFill="1" applyBorder="1" applyAlignment="1">
      <alignment vertical="center" wrapText="1"/>
      <protection/>
    </xf>
    <xf numFmtId="3" fontId="7" fillId="0" borderId="8" xfId="23" applyNumberFormat="1" applyFont="1" applyFill="1" applyBorder="1" applyAlignment="1">
      <alignment vertical="center" wrapText="1"/>
      <protection/>
    </xf>
    <xf numFmtId="3" fontId="7" fillId="0" borderId="9" xfId="23" applyNumberFormat="1" applyFont="1" applyFill="1" applyBorder="1" applyAlignment="1">
      <alignment vertical="center" wrapText="1"/>
      <protection/>
    </xf>
    <xf numFmtId="0" fontId="5" fillId="0" borderId="6" xfId="0" applyFont="1" applyBorder="1" applyAlignment="1">
      <alignment horizontal="left"/>
    </xf>
    <xf numFmtId="0" fontId="5" fillId="2" borderId="30" xfId="0" applyFont="1" applyFill="1" applyBorder="1" applyAlignment="1">
      <alignment vertical="center"/>
    </xf>
    <xf numFmtId="3" fontId="2" fillId="0" borderId="8" xfId="23" applyFont="1" applyFill="1" applyBorder="1" applyAlignment="1">
      <alignment horizontal="left" vertical="center" wrapText="1"/>
      <protection/>
    </xf>
    <xf numFmtId="0" fontId="0" fillId="0" borderId="1" xfId="0" applyBorder="1" applyAlignment="1">
      <alignment vertical="center"/>
    </xf>
    <xf numFmtId="0" fontId="0" fillId="2" borderId="31" xfId="0" applyFill="1" applyBorder="1" applyAlignment="1">
      <alignment/>
    </xf>
    <xf numFmtId="3" fontId="7" fillId="0" borderId="22" xfId="23" applyNumberFormat="1" applyFont="1" applyFill="1" applyBorder="1" applyAlignment="1">
      <alignment vertical="center" wrapText="1"/>
      <protection/>
    </xf>
    <xf numFmtId="3" fontId="7" fillId="0" borderId="27" xfId="23" applyNumberFormat="1" applyFont="1" applyFill="1" applyBorder="1" applyAlignment="1">
      <alignment vertical="center" wrapText="1"/>
      <protection/>
    </xf>
    <xf numFmtId="0" fontId="7" fillId="2" borderId="31" xfId="0" applyFont="1" applyFill="1" applyBorder="1" applyAlignment="1">
      <alignment horizontal="center" vertical="center" wrapText="1"/>
    </xf>
    <xf numFmtId="0" fontId="7" fillId="2" borderId="18" xfId="0" applyFont="1" applyFill="1" applyBorder="1" applyAlignment="1">
      <alignment vertical="center" wrapText="1"/>
    </xf>
    <xf numFmtId="0" fontId="5" fillId="2" borderId="30" xfId="0" applyFont="1" applyFill="1" applyBorder="1" applyAlignment="1">
      <alignment vertical="center" wrapText="1"/>
    </xf>
    <xf numFmtId="0" fontId="7" fillId="0" borderId="82" xfId="0" applyFont="1" applyBorder="1" applyAlignment="1">
      <alignment/>
    </xf>
    <xf numFmtId="0" fontId="7" fillId="0" borderId="79" xfId="0" applyFont="1" applyBorder="1" applyAlignment="1">
      <alignment/>
    </xf>
    <xf numFmtId="0" fontId="0" fillId="0" borderId="84" xfId="0" applyBorder="1" applyAlignment="1">
      <alignment/>
    </xf>
    <xf numFmtId="0" fontId="7" fillId="0" borderId="12" xfId="0" applyFont="1" applyFill="1" applyBorder="1" applyAlignment="1">
      <alignment vertical="center"/>
    </xf>
    <xf numFmtId="0" fontId="0" fillId="0" borderId="8" xfId="0" applyBorder="1" applyAlignment="1">
      <alignment/>
    </xf>
    <xf numFmtId="0" fontId="9" fillId="2" borderId="8" xfId="22" applyFont="1" applyFill="1" applyBorder="1" applyAlignment="1">
      <alignment horizontal="center" vertical="center"/>
      <protection/>
    </xf>
    <xf numFmtId="0" fontId="9" fillId="2" borderId="13" xfId="22" applyFont="1" applyFill="1" applyBorder="1" applyAlignment="1">
      <alignment horizontal="center" vertical="center"/>
      <protection/>
    </xf>
    <xf numFmtId="0" fontId="9" fillId="2" borderId="64" xfId="22" applyFont="1" applyFill="1" applyBorder="1" applyAlignment="1">
      <alignment horizontal="center" vertical="center"/>
      <protection/>
    </xf>
    <xf numFmtId="0" fontId="9" fillId="2" borderId="49" xfId="22" applyFont="1" applyFill="1" applyBorder="1" applyAlignment="1">
      <alignment horizontal="center" vertical="center"/>
      <protection/>
    </xf>
    <xf numFmtId="0" fontId="9" fillId="2" borderId="48" xfId="22" applyFont="1" applyFill="1" applyBorder="1" applyAlignment="1">
      <alignment horizontal="center" vertical="center"/>
      <protection/>
    </xf>
    <xf numFmtId="0" fontId="11" fillId="2" borderId="28" xfId="0" applyFont="1" applyFill="1" applyBorder="1" applyAlignment="1">
      <alignment horizontal="justify" vertical="center"/>
    </xf>
    <xf numFmtId="0" fontId="0" fillId="2" borderId="29" xfId="0" applyFill="1" applyBorder="1" applyAlignment="1">
      <alignment/>
    </xf>
    <xf numFmtId="0" fontId="11" fillId="2" borderId="12" xfId="0" applyFont="1" applyFill="1" applyBorder="1" applyAlignment="1">
      <alignment horizontal="justify" vertical="center"/>
    </xf>
    <xf numFmtId="0" fontId="0" fillId="2" borderId="9" xfId="0" applyFill="1" applyBorder="1" applyAlignment="1">
      <alignment/>
    </xf>
    <xf numFmtId="3" fontId="2" fillId="0" borderId="64" xfId="0" applyNumberFormat="1" applyFont="1" applyBorder="1" applyAlignment="1">
      <alignment vertical="center"/>
    </xf>
    <xf numFmtId="3" fontId="2" fillId="0" borderId="49" xfId="0" applyNumberFormat="1" applyFont="1" applyBorder="1" applyAlignment="1">
      <alignment vertical="center"/>
    </xf>
    <xf numFmtId="3" fontId="2" fillId="0" borderId="48" xfId="0" applyNumberFormat="1" applyFont="1" applyBorder="1" applyAlignment="1">
      <alignment vertical="center"/>
    </xf>
    <xf numFmtId="3" fontId="2" fillId="0" borderId="56" xfId="0" applyNumberFormat="1" applyFont="1" applyBorder="1" applyAlignment="1">
      <alignment vertical="center"/>
    </xf>
    <xf numFmtId="0" fontId="7" fillId="2" borderId="23"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84" xfId="0" applyFont="1" applyFill="1" applyBorder="1" applyAlignment="1">
      <alignment horizontal="center" vertical="center" wrapText="1"/>
    </xf>
    <xf numFmtId="0" fontId="7" fillId="2" borderId="13" xfId="0" applyFont="1" applyFill="1" applyBorder="1" applyAlignment="1" quotePrefix="1">
      <alignment horizontal="center" vertical="center" wrapText="1"/>
    </xf>
    <xf numFmtId="3" fontId="2" fillId="0" borderId="39" xfId="0" applyNumberFormat="1" applyFont="1" applyBorder="1" applyAlignment="1">
      <alignment vertical="center"/>
    </xf>
    <xf numFmtId="3" fontId="2" fillId="0" borderId="40" xfId="0" applyNumberFormat="1" applyFont="1" applyBorder="1" applyAlignment="1">
      <alignment vertical="center"/>
    </xf>
    <xf numFmtId="3" fontId="2" fillId="0" borderId="84" xfId="0" applyNumberFormat="1" applyFont="1" applyBorder="1" applyAlignment="1">
      <alignment vertical="center"/>
    </xf>
    <xf numFmtId="0" fontId="0" fillId="0" borderId="14" xfId="0" applyFont="1" applyBorder="1" applyAlignment="1">
      <alignment horizontal="center" vertical="center"/>
    </xf>
    <xf numFmtId="0" fontId="6" fillId="0" borderId="78" xfId="0" applyFont="1" applyBorder="1" applyAlignment="1">
      <alignment vertical="center"/>
    </xf>
    <xf numFmtId="0" fontId="6" fillId="0" borderId="45" xfId="0" applyFont="1" applyBorder="1" applyAlignment="1">
      <alignment vertical="center"/>
    </xf>
    <xf numFmtId="0" fontId="8" fillId="2" borderId="35" xfId="0" applyFont="1" applyFill="1" applyBorder="1" applyAlignment="1">
      <alignment horizontal="center" vertical="center"/>
    </xf>
    <xf numFmtId="0" fontId="8" fillId="2" borderId="51" xfId="0" applyFont="1" applyFill="1" applyBorder="1" applyAlignment="1">
      <alignment horizontal="center" vertical="center"/>
    </xf>
    <xf numFmtId="0" fontId="7" fillId="0" borderId="37" xfId="0" applyFont="1" applyBorder="1" applyAlignment="1">
      <alignment vertical="center" wrapText="1"/>
    </xf>
    <xf numFmtId="0" fontId="7" fillId="0" borderId="23" xfId="0" applyFont="1" applyBorder="1" applyAlignment="1">
      <alignment vertical="center" wrapText="1"/>
    </xf>
    <xf numFmtId="0" fontId="7" fillId="2" borderId="41" xfId="0" applyFont="1" applyFill="1" applyBorder="1" applyAlignment="1">
      <alignment horizontal="center" vertical="center"/>
    </xf>
    <xf numFmtId="0" fontId="7" fillId="2" borderId="19" xfId="0" applyFont="1" applyFill="1" applyBorder="1" applyAlignment="1">
      <alignment horizontal="left" vertical="center" wrapText="1"/>
    </xf>
    <xf numFmtId="0" fontId="0" fillId="0" borderId="35" xfId="0" applyBorder="1" applyAlignment="1">
      <alignment horizontal="left" vertical="center" wrapText="1"/>
    </xf>
    <xf numFmtId="0" fontId="0" fillId="0" borderId="30" xfId="0" applyBorder="1" applyAlignment="1">
      <alignment horizontal="left" vertical="center" wrapText="1"/>
    </xf>
    <xf numFmtId="0" fontId="2" fillId="0" borderId="63" xfId="0" applyFont="1" applyBorder="1" applyAlignment="1">
      <alignment vertical="center"/>
    </xf>
    <xf numFmtId="0" fontId="0" fillId="0" borderId="50" xfId="0" applyFont="1" applyBorder="1" applyAlignment="1">
      <alignment vertical="center"/>
    </xf>
    <xf numFmtId="0" fontId="0" fillId="0" borderId="47" xfId="0" applyFont="1" applyBorder="1" applyAlignment="1">
      <alignment vertical="center"/>
    </xf>
    <xf numFmtId="0" fontId="2" fillId="0" borderId="64" xfId="0" applyFont="1" applyBorder="1" applyAlignment="1">
      <alignment vertical="center"/>
    </xf>
    <xf numFmtId="0" fontId="0" fillId="0" borderId="49" xfId="0" applyFont="1" applyBorder="1" applyAlignment="1">
      <alignment vertical="center"/>
    </xf>
    <xf numFmtId="0" fontId="0" fillId="0" borderId="48" xfId="0" applyFont="1" applyBorder="1" applyAlignment="1">
      <alignment vertical="center"/>
    </xf>
    <xf numFmtId="0" fontId="7" fillId="0" borderId="64" xfId="0" applyFont="1" applyBorder="1" applyAlignment="1">
      <alignment vertical="center"/>
    </xf>
    <xf numFmtId="0" fontId="0" fillId="0" borderId="49" xfId="0" applyBorder="1" applyAlignment="1">
      <alignment vertical="center"/>
    </xf>
    <xf numFmtId="0" fontId="0" fillId="0" borderId="48" xfId="0" applyBorder="1" applyAlignment="1">
      <alignment vertical="center"/>
    </xf>
    <xf numFmtId="0" fontId="7" fillId="2" borderId="19" xfId="0" applyFont="1" applyFill="1" applyBorder="1" applyAlignment="1">
      <alignment vertical="center"/>
    </xf>
    <xf numFmtId="0" fontId="7" fillId="2" borderId="35" xfId="0" applyFont="1" applyFill="1" applyBorder="1" applyAlignment="1">
      <alignment vertical="center"/>
    </xf>
    <xf numFmtId="0" fontId="7" fillId="2" borderId="30" xfId="0" applyFont="1" applyFill="1" applyBorder="1" applyAlignment="1">
      <alignment vertical="center"/>
    </xf>
    <xf numFmtId="0" fontId="7" fillId="2" borderId="2" xfId="0" applyFont="1" applyFill="1" applyBorder="1" applyAlignment="1">
      <alignment horizontal="center"/>
    </xf>
    <xf numFmtId="0" fontId="7" fillId="2" borderId="5" xfId="0" applyFont="1" applyFill="1" applyBorder="1" applyAlignment="1">
      <alignment horizontal="center"/>
    </xf>
    <xf numFmtId="0" fontId="5" fillId="2" borderId="3" xfId="0" applyFont="1" applyFill="1" applyBorder="1" applyAlignment="1">
      <alignment vertical="center"/>
    </xf>
    <xf numFmtId="0" fontId="0" fillId="0" borderId="6" xfId="0" applyBorder="1" applyAlignment="1">
      <alignment vertical="center"/>
    </xf>
    <xf numFmtId="3" fontId="2" fillId="0" borderId="64" xfId="0" applyNumberFormat="1" applyFont="1" applyFill="1" applyBorder="1" applyAlignment="1">
      <alignment vertical="center"/>
    </xf>
    <xf numFmtId="3" fontId="2" fillId="0" borderId="48" xfId="0" applyNumberFormat="1" applyFont="1" applyFill="1" applyBorder="1" applyAlignment="1">
      <alignment vertical="center"/>
    </xf>
    <xf numFmtId="3" fontId="7" fillId="2" borderId="35" xfId="0" applyNumberFormat="1" applyFont="1" applyFill="1" applyBorder="1" applyAlignment="1">
      <alignment vertical="center"/>
    </xf>
    <xf numFmtId="3" fontId="7" fillId="2" borderId="51" xfId="0" applyNumberFormat="1" applyFont="1" applyFill="1" applyBorder="1" applyAlignment="1">
      <alignment vertical="center"/>
    </xf>
  </cellXfs>
  <cellStyles count="12">
    <cellStyle name="Normal" xfId="0"/>
    <cellStyle name="Currency [0]" xfId="15"/>
    <cellStyle name="Comma" xfId="16"/>
    <cellStyle name="Comma [0]" xfId="17"/>
    <cellStyle name="Hyperlink" xfId="18"/>
    <cellStyle name="Currency" xfId="19"/>
    <cellStyle name="normální_Finanční plán 2006_kraj" xfId="20"/>
    <cellStyle name="normální_Finanční plány nemocnice" xfId="21"/>
    <cellStyle name="normální_RK Odpisový plán na rok 2002" xfId="22"/>
    <cellStyle name="nový" xfId="23"/>
    <cellStyle name="Percent"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49"/>
  <sheetViews>
    <sheetView tabSelected="1" workbookViewId="0" topLeftCell="A1">
      <selection activeCell="H1" sqref="H1"/>
    </sheetView>
  </sheetViews>
  <sheetFormatPr defaultColWidth="9.00390625" defaultRowHeight="12.75"/>
  <cols>
    <col min="1" max="1" width="14.625" style="765" customWidth="1"/>
    <col min="2" max="2" width="11.25390625" style="764" customWidth="1"/>
    <col min="3" max="5" width="12.375" style="764" customWidth="1"/>
    <col min="6" max="6" width="11.125" style="764" customWidth="1"/>
    <col min="7" max="7" width="12.00390625" style="764" customWidth="1"/>
    <col min="8" max="8" width="11.125" style="765" customWidth="1"/>
    <col min="9" max="9" width="12.00390625" style="765" customWidth="1"/>
    <col min="10" max="10" width="11.375" style="765" customWidth="1"/>
    <col min="11" max="16384" width="9.125" style="765" customWidth="1"/>
  </cols>
  <sheetData>
    <row r="1" ht="15">
      <c r="H1" s="935" t="s">
        <v>556</v>
      </c>
    </row>
    <row r="2" spans="1:8" ht="34.5" customHeight="1" thickBot="1">
      <c r="A2" s="763" t="s">
        <v>549</v>
      </c>
      <c r="H2" s="936" t="s">
        <v>545</v>
      </c>
    </row>
    <row r="3" spans="1:9" s="766" customFormat="1" ht="15.75" customHeight="1">
      <c r="A3" s="993" t="s">
        <v>500</v>
      </c>
      <c r="B3" s="1002" t="s">
        <v>487</v>
      </c>
      <c r="C3" s="982" t="s">
        <v>489</v>
      </c>
      <c r="D3" s="983"/>
      <c r="E3" s="983"/>
      <c r="F3" s="984"/>
      <c r="G3" s="980" t="s">
        <v>490</v>
      </c>
      <c r="H3" s="980" t="s">
        <v>523</v>
      </c>
      <c r="I3" s="998" t="s">
        <v>536</v>
      </c>
    </row>
    <row r="4" spans="1:9" s="766" customFormat="1" ht="47.25" customHeight="1" thickBot="1">
      <c r="A4" s="994"/>
      <c r="B4" s="981"/>
      <c r="C4" s="767" t="s">
        <v>493</v>
      </c>
      <c r="D4" s="767" t="s">
        <v>553</v>
      </c>
      <c r="E4" s="767" t="s">
        <v>506</v>
      </c>
      <c r="F4" s="767" t="s">
        <v>494</v>
      </c>
      <c r="G4" s="1001"/>
      <c r="H4" s="1001"/>
      <c r="I4" s="999"/>
    </row>
    <row r="5" spans="1:9" s="772" customFormat="1" ht="18" customHeight="1">
      <c r="A5" s="818" t="s">
        <v>495</v>
      </c>
      <c r="B5" s="770">
        <v>34600</v>
      </c>
      <c r="C5" s="856">
        <f>+D5+E5+F5</f>
        <v>18791.854</v>
      </c>
      <c r="D5" s="770">
        <v>1469</v>
      </c>
      <c r="E5" s="856">
        <v>22.854</v>
      </c>
      <c r="F5" s="770">
        <v>17300</v>
      </c>
      <c r="G5" s="771">
        <v>17300</v>
      </c>
      <c r="H5" s="860"/>
      <c r="I5" s="823">
        <f>+'H.Brod'!L88</f>
        <v>16700000</v>
      </c>
    </row>
    <row r="6" spans="1:10" s="772" customFormat="1" ht="18" customHeight="1">
      <c r="A6" s="819" t="s">
        <v>496</v>
      </c>
      <c r="B6" s="775">
        <v>52800</v>
      </c>
      <c r="C6" s="857">
        <f>+D6+E6+F6</f>
        <v>41222.107</v>
      </c>
      <c r="D6" s="775">
        <f>1274+82.911</f>
        <v>1356.911</v>
      </c>
      <c r="E6" s="857">
        <v>865.196</v>
      </c>
      <c r="F6" s="775">
        <v>39000</v>
      </c>
      <c r="G6" s="777">
        <f>+B6-F6</f>
        <v>13800</v>
      </c>
      <c r="H6" s="861"/>
      <c r="I6" s="824">
        <f>+Jihlava!K116</f>
        <v>40000000</v>
      </c>
      <c r="J6" s="939"/>
    </row>
    <row r="7" spans="1:9" s="772" customFormat="1" ht="18" customHeight="1">
      <c r="A7" s="819" t="s">
        <v>497</v>
      </c>
      <c r="B7" s="775">
        <v>32500</v>
      </c>
      <c r="C7" s="857">
        <f>+D7+E7+F7</f>
        <v>16088.7</v>
      </c>
      <c r="D7" s="775">
        <f>780+267</f>
        <v>1047</v>
      </c>
      <c r="E7" s="857">
        <v>41.7</v>
      </c>
      <c r="F7" s="775">
        <v>15000</v>
      </c>
      <c r="G7" s="777">
        <f>+B7-F7</f>
        <v>17500</v>
      </c>
      <c r="H7" s="861"/>
      <c r="I7" s="824">
        <f>+Pelhřimov!L96</f>
        <v>59300000</v>
      </c>
    </row>
    <row r="8" spans="1:9" s="772" customFormat="1" ht="18" customHeight="1">
      <c r="A8" s="819" t="s">
        <v>498</v>
      </c>
      <c r="B8" s="775">
        <v>24400</v>
      </c>
      <c r="C8" s="857">
        <v>1457</v>
      </c>
      <c r="D8" s="775">
        <v>1457</v>
      </c>
      <c r="E8" s="857">
        <v>0</v>
      </c>
      <c r="F8" s="775">
        <f>+C8-D8</f>
        <v>0</v>
      </c>
      <c r="G8" s="777">
        <f>+B8-F8</f>
        <v>24400</v>
      </c>
      <c r="H8" s="861">
        <v>160.298</v>
      </c>
      <c r="I8" s="824">
        <f>+Třebíč!L127</f>
        <v>176350000</v>
      </c>
    </row>
    <row r="9" spans="1:9" s="772" customFormat="1" ht="27" customHeight="1" thickBot="1">
      <c r="A9" s="820" t="s">
        <v>499</v>
      </c>
      <c r="B9" s="780">
        <v>35700</v>
      </c>
      <c r="C9" s="858">
        <f>+D9+E9+F9</f>
        <v>16532.3</v>
      </c>
      <c r="D9" s="780">
        <f>920+10</f>
        <v>930</v>
      </c>
      <c r="E9" s="858">
        <v>281.3</v>
      </c>
      <c r="F9" s="780">
        <v>15321</v>
      </c>
      <c r="G9" s="782">
        <f>+B9-F9</f>
        <v>20379</v>
      </c>
      <c r="H9" s="862"/>
      <c r="I9" s="825">
        <f>43285000-G9*1000</f>
        <v>22906000</v>
      </c>
    </row>
    <row r="10" spans="1:9" s="788" customFormat="1" ht="23.25" customHeight="1" thickBot="1">
      <c r="A10" s="821" t="s">
        <v>4</v>
      </c>
      <c r="B10" s="785">
        <f aca="true" t="shared" si="0" ref="B10:I10">SUM(B5:B9)</f>
        <v>180000</v>
      </c>
      <c r="C10" s="859">
        <f t="shared" si="0"/>
        <v>94091.96100000001</v>
      </c>
      <c r="D10" s="785">
        <f t="shared" si="0"/>
        <v>6259.911</v>
      </c>
      <c r="E10" s="859">
        <f t="shared" si="0"/>
        <v>1211.0500000000002</v>
      </c>
      <c r="F10" s="785">
        <f t="shared" si="0"/>
        <v>86621</v>
      </c>
      <c r="G10" s="787">
        <f t="shared" si="0"/>
        <v>93379</v>
      </c>
      <c r="H10" s="863">
        <f>SUM(H5:H9)</f>
        <v>160.298</v>
      </c>
      <c r="I10" s="826">
        <f t="shared" si="0"/>
        <v>315256000</v>
      </c>
    </row>
    <row r="11" spans="1:9" ht="8.25" customHeight="1">
      <c r="A11" s="789"/>
      <c r="B11" s="790"/>
      <c r="C11" s="790"/>
      <c r="D11" s="790"/>
      <c r="E11" s="790"/>
      <c r="F11" s="790"/>
      <c r="G11" s="790"/>
      <c r="H11" s="789"/>
      <c r="I11" s="789"/>
    </row>
    <row r="12" spans="1:9" ht="8.25" customHeight="1" thickBot="1">
      <c r="A12" s="789"/>
      <c r="B12" s="790"/>
      <c r="C12" s="790"/>
      <c r="D12" s="790"/>
      <c r="E12" s="790"/>
      <c r="F12" s="790"/>
      <c r="G12" s="790"/>
      <c r="H12" s="789"/>
      <c r="I12" s="789"/>
    </row>
    <row r="13" spans="1:9" ht="31.5" customHeight="1">
      <c r="A13" s="993" t="s">
        <v>500</v>
      </c>
      <c r="B13" s="985" t="s">
        <v>488</v>
      </c>
      <c r="C13" s="1002" t="s">
        <v>491</v>
      </c>
      <c r="D13" s="1004" t="s">
        <v>550</v>
      </c>
      <c r="E13" s="1000" t="s">
        <v>492</v>
      </c>
      <c r="F13" s="992" t="s">
        <v>502</v>
      </c>
      <c r="G13" s="990"/>
      <c r="H13" s="990"/>
      <c r="I13" s="991"/>
    </row>
    <row r="14" spans="1:9" ht="43.5" customHeight="1" thickBot="1">
      <c r="A14" s="994"/>
      <c r="B14" s="986"/>
      <c r="C14" s="1003"/>
      <c r="D14" s="979"/>
      <c r="E14" s="1001"/>
      <c r="F14" s="793">
        <v>2005</v>
      </c>
      <c r="G14" s="791">
        <v>2006</v>
      </c>
      <c r="H14" s="792" t="s">
        <v>7</v>
      </c>
      <c r="I14" s="794" t="s">
        <v>48</v>
      </c>
    </row>
    <row r="15" spans="1:9" ht="17.25" customHeight="1">
      <c r="A15" s="818" t="s">
        <v>495</v>
      </c>
      <c r="B15" s="770">
        <v>-12567</v>
      </c>
      <c r="C15" s="770">
        <f>+B15-F5</f>
        <v>-29867</v>
      </c>
      <c r="D15" s="822">
        <f aca="true" t="shared" si="1" ref="D15:D20">+F5/B5</f>
        <v>0.5</v>
      </c>
      <c r="E15" s="771">
        <f>+C15</f>
        <v>-29867</v>
      </c>
      <c r="F15" s="769">
        <v>145509</v>
      </c>
      <c r="G15" s="770">
        <v>145000</v>
      </c>
      <c r="H15" s="775">
        <f aca="true" t="shared" si="2" ref="H15:H20">+G15-F15</f>
        <v>-509</v>
      </c>
      <c r="I15" s="776">
        <f aca="true" t="shared" si="3" ref="I15:I20">+G15/F15</f>
        <v>0.9965019345882385</v>
      </c>
    </row>
    <row r="16" spans="1:9" ht="17.25" customHeight="1">
      <c r="A16" s="819" t="s">
        <v>496</v>
      </c>
      <c r="B16" s="775">
        <v>-24074</v>
      </c>
      <c r="C16" s="770">
        <f>+B16-F6</f>
        <v>-63074</v>
      </c>
      <c r="D16" s="795">
        <f>(F6-22410)/B6</f>
        <v>0.31420454545454546</v>
      </c>
      <c r="E16" s="777">
        <f>+C16+22410</f>
        <v>-40664</v>
      </c>
      <c r="F16" s="774">
        <v>180191</v>
      </c>
      <c r="G16" s="775">
        <v>169300</v>
      </c>
      <c r="H16" s="775">
        <f t="shared" si="2"/>
        <v>-10891</v>
      </c>
      <c r="I16" s="776">
        <f t="shared" si="3"/>
        <v>0.9395585795073006</v>
      </c>
    </row>
    <row r="17" spans="1:9" ht="17.25" customHeight="1">
      <c r="A17" s="819" t="s">
        <v>497</v>
      </c>
      <c r="B17" s="775">
        <v>-17316</v>
      </c>
      <c r="C17" s="770">
        <f>+B17-F7</f>
        <v>-32316</v>
      </c>
      <c r="D17" s="795">
        <f t="shared" si="1"/>
        <v>0.46153846153846156</v>
      </c>
      <c r="E17" s="777">
        <f>+C17</f>
        <v>-32316</v>
      </c>
      <c r="F17" s="774">
        <v>98012</v>
      </c>
      <c r="G17" s="775">
        <v>98000</v>
      </c>
      <c r="H17" s="775">
        <f t="shared" si="2"/>
        <v>-12</v>
      </c>
      <c r="I17" s="776">
        <f t="shared" si="3"/>
        <v>0.999877566012325</v>
      </c>
    </row>
    <row r="18" spans="1:9" ht="17.25" customHeight="1">
      <c r="A18" s="819" t="s">
        <v>498</v>
      </c>
      <c r="B18" s="775">
        <v>-17500</v>
      </c>
      <c r="C18" s="770">
        <f>+B18-F8</f>
        <v>-17500</v>
      </c>
      <c r="D18" s="795">
        <f t="shared" si="1"/>
        <v>0</v>
      </c>
      <c r="E18" s="777">
        <f>+C18</f>
        <v>-17500</v>
      </c>
      <c r="F18" s="774">
        <v>117329.18</v>
      </c>
      <c r="G18" s="775">
        <v>110100</v>
      </c>
      <c r="H18" s="775">
        <f t="shared" si="2"/>
        <v>-7229.179999999993</v>
      </c>
      <c r="I18" s="776">
        <f t="shared" si="3"/>
        <v>0.9383854894409047</v>
      </c>
    </row>
    <row r="19" spans="1:9" ht="25.5" customHeight="1" thickBot="1">
      <c r="A19" s="820" t="s">
        <v>499</v>
      </c>
      <c r="B19" s="780">
        <v>-14872</v>
      </c>
      <c r="C19" s="770">
        <f>+B19-F9</f>
        <v>-30193</v>
      </c>
      <c r="D19" s="796">
        <f t="shared" si="1"/>
        <v>0.4291596638655462</v>
      </c>
      <c r="E19" s="782">
        <f>+C19</f>
        <v>-30193</v>
      </c>
      <c r="F19" s="779">
        <v>134383</v>
      </c>
      <c r="G19" s="780">
        <v>133039</v>
      </c>
      <c r="H19" s="780">
        <f t="shared" si="2"/>
        <v>-1344</v>
      </c>
      <c r="I19" s="781">
        <f t="shared" si="3"/>
        <v>0.989998734959035</v>
      </c>
    </row>
    <row r="20" spans="1:9" ht="17.25" customHeight="1" thickBot="1">
      <c r="A20" s="821" t="s">
        <v>4</v>
      </c>
      <c r="B20" s="785">
        <f>SUM(B15:B19)</f>
        <v>-86329</v>
      </c>
      <c r="C20" s="785">
        <f>SUM(C15:C19)</f>
        <v>-172950</v>
      </c>
      <c r="D20" s="797">
        <f t="shared" si="1"/>
        <v>0.48122777777777775</v>
      </c>
      <c r="E20" s="787">
        <f>SUM(E15:E19)</f>
        <v>-150540</v>
      </c>
      <c r="F20" s="784">
        <f>SUM(F15:F19)</f>
        <v>675424.1799999999</v>
      </c>
      <c r="G20" s="785">
        <f>SUM(G15:G19)</f>
        <v>655439</v>
      </c>
      <c r="H20" s="785">
        <f t="shared" si="2"/>
        <v>-19985.179999999935</v>
      </c>
      <c r="I20" s="786">
        <f t="shared" si="3"/>
        <v>0.9704109201420655</v>
      </c>
    </row>
    <row r="21" ht="13.5" customHeight="1" thickBot="1"/>
    <row r="22" spans="1:10" s="788" customFormat="1" ht="12.75" customHeight="1">
      <c r="A22" s="993" t="s">
        <v>500</v>
      </c>
      <c r="B22" s="992" t="s">
        <v>542</v>
      </c>
      <c r="C22" s="990"/>
      <c r="D22" s="990"/>
      <c r="E22" s="991"/>
      <c r="F22" s="995" t="s">
        <v>524</v>
      </c>
      <c r="G22" s="996"/>
      <c r="H22" s="996"/>
      <c r="I22" s="996"/>
      <c r="J22" s="997"/>
    </row>
    <row r="23" spans="1:10" s="788" customFormat="1" ht="33.75" customHeight="1" thickBot="1">
      <c r="A23" s="994"/>
      <c r="B23" s="793">
        <v>2005</v>
      </c>
      <c r="C23" s="791">
        <v>2006</v>
      </c>
      <c r="D23" s="792" t="s">
        <v>7</v>
      </c>
      <c r="E23" s="794" t="s">
        <v>48</v>
      </c>
      <c r="F23" s="831" t="s">
        <v>507</v>
      </c>
      <c r="G23" s="832" t="s">
        <v>508</v>
      </c>
      <c r="H23" s="833" t="s">
        <v>521</v>
      </c>
      <c r="I23" s="833" t="s">
        <v>509</v>
      </c>
      <c r="J23" s="837" t="s">
        <v>45</v>
      </c>
    </row>
    <row r="24" spans="1:11" s="772" customFormat="1" ht="17.25" customHeight="1">
      <c r="A24" s="818" t="s">
        <v>495</v>
      </c>
      <c r="B24" s="769">
        <v>297153</v>
      </c>
      <c r="C24" s="770">
        <v>327596</v>
      </c>
      <c r="D24" s="775">
        <f aca="true" t="shared" si="4" ref="D24:D29">+C24-B24</f>
        <v>30443</v>
      </c>
      <c r="E24" s="776">
        <f aca="true" t="shared" si="5" ref="E24:E29">+C24/B24</f>
        <v>1.102448906792124</v>
      </c>
      <c r="F24" s="769">
        <f>13200/(1.37)</f>
        <v>9635.036496350363</v>
      </c>
      <c r="G24" s="827">
        <f>11600/(1.37)-4000</f>
        <v>4467.153284671533</v>
      </c>
      <c r="H24" s="827">
        <f>11100/(1.37)</f>
        <v>8102.189781021897</v>
      </c>
      <c r="I24" s="827">
        <v>0</v>
      </c>
      <c r="J24" s="771">
        <f>SUM(F24:I24)</f>
        <v>22204.379562043792</v>
      </c>
      <c r="K24"/>
    </row>
    <row r="25" spans="1:11" s="772" customFormat="1" ht="17.25" customHeight="1">
      <c r="A25" s="819" t="s">
        <v>496</v>
      </c>
      <c r="B25" s="774">
        <v>344593</v>
      </c>
      <c r="C25" s="775">
        <v>392710.875</v>
      </c>
      <c r="D25" s="775">
        <f t="shared" si="4"/>
        <v>48117.875</v>
      </c>
      <c r="E25" s="776">
        <f t="shared" si="5"/>
        <v>1.139636832437107</v>
      </c>
      <c r="F25" s="774">
        <v>9764</v>
      </c>
      <c r="G25" s="828">
        <v>5705</v>
      </c>
      <c r="H25" s="828">
        <v>9440</v>
      </c>
      <c r="I25" s="828">
        <v>10190</v>
      </c>
      <c r="J25" s="771">
        <f>SUM(F25:I25)</f>
        <v>35099</v>
      </c>
      <c r="K25"/>
    </row>
    <row r="26" spans="1:11" s="772" customFormat="1" ht="17.25" customHeight="1">
      <c r="A26" s="819" t="s">
        <v>497</v>
      </c>
      <c r="B26" s="774">
        <v>200118</v>
      </c>
      <c r="C26" s="775">
        <v>219885</v>
      </c>
      <c r="D26" s="775">
        <f t="shared" si="4"/>
        <v>19767</v>
      </c>
      <c r="E26" s="776">
        <f t="shared" si="5"/>
        <v>1.0987767217341768</v>
      </c>
      <c r="F26" s="838">
        <v>6963</v>
      </c>
      <c r="G26" s="775">
        <v>4700</v>
      </c>
      <c r="H26" s="775">
        <v>3520</v>
      </c>
      <c r="I26" s="828">
        <v>-720</v>
      </c>
      <c r="J26" s="771">
        <f>SUM(F26:I26)</f>
        <v>14463</v>
      </c>
      <c r="K26"/>
    </row>
    <row r="27" spans="1:11" s="772" customFormat="1" ht="17.25" customHeight="1">
      <c r="A27" s="819" t="s">
        <v>498</v>
      </c>
      <c r="B27" s="774">
        <v>272417.22</v>
      </c>
      <c r="C27" s="775">
        <v>302306.56</v>
      </c>
      <c r="D27" s="775">
        <f t="shared" si="4"/>
        <v>29889.340000000026</v>
      </c>
      <c r="E27" s="776">
        <f t="shared" si="5"/>
        <v>1.1097189817883026</v>
      </c>
      <c r="F27" s="774">
        <v>10000</v>
      </c>
      <c r="G27" s="828">
        <v>4500</v>
      </c>
      <c r="H27" s="828">
        <f>3900+4800</f>
        <v>8700</v>
      </c>
      <c r="I27" s="828">
        <v>-1800</v>
      </c>
      <c r="J27" s="771">
        <f>SUM(F27:I27)</f>
        <v>21400</v>
      </c>
      <c r="K27"/>
    </row>
    <row r="28" spans="1:11" s="772" customFormat="1" ht="27" customHeight="1" thickBot="1">
      <c r="A28" s="820" t="s">
        <v>499</v>
      </c>
      <c r="B28" s="779">
        <v>286422</v>
      </c>
      <c r="C28" s="780">
        <v>315064</v>
      </c>
      <c r="D28" s="780">
        <f t="shared" si="4"/>
        <v>28642</v>
      </c>
      <c r="E28" s="781">
        <f t="shared" si="5"/>
        <v>1.0999993017296157</v>
      </c>
      <c r="F28" s="779">
        <v>9326</v>
      </c>
      <c r="G28" s="829">
        <v>4836</v>
      </c>
      <c r="H28" s="829">
        <f>6036+709</f>
        <v>6745</v>
      </c>
      <c r="I28" s="829">
        <v>0</v>
      </c>
      <c r="J28" s="771">
        <f>SUM(F28:I28)</f>
        <v>20907</v>
      </c>
      <c r="K28"/>
    </row>
    <row r="29" spans="1:11" s="788" customFormat="1" ht="22.5" customHeight="1" thickBot="1">
      <c r="A29" s="821" t="s">
        <v>4</v>
      </c>
      <c r="B29" s="784">
        <f>SUM(B24:B28)</f>
        <v>1400703.22</v>
      </c>
      <c r="C29" s="785">
        <f>SUM(C24:C28)</f>
        <v>1557562.435</v>
      </c>
      <c r="D29" s="785">
        <f t="shared" si="4"/>
        <v>156859.21500000008</v>
      </c>
      <c r="E29" s="786">
        <f t="shared" si="5"/>
        <v>1.1119860458377473</v>
      </c>
      <c r="F29" s="784">
        <f>SUM(F24:F28)</f>
        <v>45688.03649635037</v>
      </c>
      <c r="G29" s="830">
        <f>SUM(G24:G28)</f>
        <v>24208.153284671534</v>
      </c>
      <c r="H29" s="830">
        <f>SUM(H24:H28)</f>
        <v>36507.189781021894</v>
      </c>
      <c r="I29" s="830">
        <f>SUM(I24:I28)</f>
        <v>7670</v>
      </c>
      <c r="J29" s="787">
        <f>SUM(J24:J28)</f>
        <v>114073.37956204379</v>
      </c>
      <c r="K29"/>
    </row>
    <row r="30" ht="9.75" customHeight="1"/>
    <row r="31" ht="3.75" customHeight="1" thickBot="1"/>
    <row r="32" spans="1:9" s="788" customFormat="1" ht="14.25" customHeight="1">
      <c r="A32" s="987" t="s">
        <v>500</v>
      </c>
      <c r="B32" s="992" t="s">
        <v>501</v>
      </c>
      <c r="C32" s="990"/>
      <c r="D32" s="990"/>
      <c r="E32" s="991"/>
      <c r="F32" s="992" t="s">
        <v>503</v>
      </c>
      <c r="G32" s="990"/>
      <c r="H32" s="990"/>
      <c r="I32" s="991"/>
    </row>
    <row r="33" spans="1:9" s="788" customFormat="1" ht="15" customHeight="1" thickBot="1">
      <c r="A33" s="988"/>
      <c r="B33" s="793">
        <v>2005</v>
      </c>
      <c r="C33" s="791">
        <v>2006</v>
      </c>
      <c r="D33" s="792" t="s">
        <v>7</v>
      </c>
      <c r="E33" s="794" t="s">
        <v>48</v>
      </c>
      <c r="F33" s="793">
        <v>2005</v>
      </c>
      <c r="G33" s="791">
        <v>2006</v>
      </c>
      <c r="H33" s="792" t="s">
        <v>7</v>
      </c>
      <c r="I33" s="794" t="s">
        <v>48</v>
      </c>
    </row>
    <row r="34" spans="1:9" s="772" customFormat="1" ht="17.25" customHeight="1">
      <c r="A34" s="768" t="s">
        <v>495</v>
      </c>
      <c r="B34" s="769">
        <f>+'H.Brod'!F19+'H.Brod'!F20</f>
        <v>18161</v>
      </c>
      <c r="C34" s="770">
        <f>+'H.Brod'!K19+'H.Brod'!K20</f>
        <v>21300</v>
      </c>
      <c r="D34" s="775">
        <f aca="true" t="shared" si="6" ref="D34:D39">+C34-B34</f>
        <v>3139</v>
      </c>
      <c r="E34" s="776">
        <f aca="true" t="shared" si="7" ref="E34:E39">+C34/B34</f>
        <v>1.1728429051263698</v>
      </c>
      <c r="F34" s="769">
        <v>2999</v>
      </c>
      <c r="G34" s="770">
        <v>2000</v>
      </c>
      <c r="H34" s="775">
        <f aca="true" t="shared" si="8" ref="H34:H39">+G34-F34</f>
        <v>-999</v>
      </c>
      <c r="I34" s="776">
        <f aca="true" t="shared" si="9" ref="I34:I39">+G34/F34</f>
        <v>0.6668889629876625</v>
      </c>
    </row>
    <row r="35" spans="1:9" s="772" customFormat="1" ht="17.25" customHeight="1">
      <c r="A35" s="773" t="s">
        <v>496</v>
      </c>
      <c r="B35" s="774">
        <f>+Jihlava!F19+Jihlava!F20</f>
        <v>30916</v>
      </c>
      <c r="C35" s="775">
        <f>+Jihlava!K19+Jihlava!K20</f>
        <v>32850</v>
      </c>
      <c r="D35" s="775">
        <f t="shared" si="6"/>
        <v>1934</v>
      </c>
      <c r="E35" s="776">
        <f t="shared" si="7"/>
        <v>1.0625566049941777</v>
      </c>
      <c r="F35" s="774">
        <v>1758</v>
      </c>
      <c r="G35" s="775">
        <v>2200</v>
      </c>
      <c r="H35" s="775">
        <f t="shared" si="8"/>
        <v>442</v>
      </c>
      <c r="I35" s="776">
        <f t="shared" si="9"/>
        <v>1.2514220705346986</v>
      </c>
    </row>
    <row r="36" spans="1:9" s="772" customFormat="1" ht="17.25" customHeight="1">
      <c r="A36" s="773" t="s">
        <v>497</v>
      </c>
      <c r="B36" s="774">
        <f>+Pelhřimov!F20+Pelhřimov!F21</f>
        <v>16208</v>
      </c>
      <c r="C36" s="775">
        <f>+Pelhřimov!K20+Pelhřimov!K21</f>
        <v>17000</v>
      </c>
      <c r="D36" s="775">
        <f t="shared" si="6"/>
        <v>792</v>
      </c>
      <c r="E36" s="776">
        <f t="shared" si="7"/>
        <v>1.0488647581441264</v>
      </c>
      <c r="F36" s="774">
        <v>968</v>
      </c>
      <c r="G36" s="775">
        <v>1408</v>
      </c>
      <c r="H36" s="775">
        <f t="shared" si="8"/>
        <v>440</v>
      </c>
      <c r="I36" s="776">
        <f t="shared" si="9"/>
        <v>1.4545454545454546</v>
      </c>
    </row>
    <row r="37" spans="1:9" s="772" customFormat="1" ht="17.25" customHeight="1">
      <c r="A37" s="773" t="s">
        <v>498</v>
      </c>
      <c r="B37" s="774">
        <f>+Třebíč!G20+Třebíč!G21</f>
        <v>19336.879999999997</v>
      </c>
      <c r="C37" s="775">
        <f>+Třebíč!L20+Třebíč!L21</f>
        <v>22520</v>
      </c>
      <c r="D37" s="775">
        <f t="shared" si="6"/>
        <v>3183.1200000000026</v>
      </c>
      <c r="E37" s="776">
        <f t="shared" si="7"/>
        <v>1.1646139397875976</v>
      </c>
      <c r="F37" s="774">
        <v>2303.56</v>
      </c>
      <c r="G37" s="775">
        <v>5213.525</v>
      </c>
      <c r="H37" s="775">
        <f t="shared" si="8"/>
        <v>2909.9649999999997</v>
      </c>
      <c r="I37" s="776">
        <f t="shared" si="9"/>
        <v>2.263246887426418</v>
      </c>
    </row>
    <row r="38" spans="1:9" s="772" customFormat="1" ht="31.5" customHeight="1" thickBot="1">
      <c r="A38" s="778" t="s">
        <v>499</v>
      </c>
      <c r="B38" s="779">
        <f>+'N.Město'!F20+'N.Město'!F19</f>
        <v>20879</v>
      </c>
      <c r="C38" s="780">
        <f>+'N.Město'!K19+'N.Město'!K20</f>
        <v>24000</v>
      </c>
      <c r="D38" s="780">
        <f t="shared" si="6"/>
        <v>3121</v>
      </c>
      <c r="E38" s="781">
        <f t="shared" si="7"/>
        <v>1.1494803390967</v>
      </c>
      <c r="F38" s="779">
        <v>2309</v>
      </c>
      <c r="G38" s="780">
        <v>4901</v>
      </c>
      <c r="H38" s="780">
        <f t="shared" si="8"/>
        <v>2592</v>
      </c>
      <c r="I38" s="781">
        <f t="shared" si="9"/>
        <v>2.122563880467735</v>
      </c>
    </row>
    <row r="39" spans="1:9" s="788" customFormat="1" ht="22.5" customHeight="1" thickBot="1">
      <c r="A39" s="783" t="s">
        <v>4</v>
      </c>
      <c r="B39" s="784">
        <f>SUM(B34:B38)</f>
        <v>105500.88</v>
      </c>
      <c r="C39" s="785">
        <f>SUM(C34:C38)</f>
        <v>117670</v>
      </c>
      <c r="D39" s="785">
        <f t="shared" si="6"/>
        <v>12169.119999999995</v>
      </c>
      <c r="E39" s="786">
        <f t="shared" si="7"/>
        <v>1.1153461468757417</v>
      </c>
      <c r="F39" s="784">
        <f>SUM(F34:F38)</f>
        <v>10337.56</v>
      </c>
      <c r="G39" s="785">
        <f>SUM(G34:G38)</f>
        <v>15722.525</v>
      </c>
      <c r="H39" s="785">
        <f t="shared" si="8"/>
        <v>5384.965</v>
      </c>
      <c r="I39" s="786">
        <f t="shared" si="9"/>
        <v>1.520912575114437</v>
      </c>
    </row>
    <row r="40" ht="13.5" thickBot="1"/>
    <row r="41" spans="1:9" s="788" customFormat="1" ht="18.75" customHeight="1">
      <c r="A41" s="987" t="s">
        <v>500</v>
      </c>
      <c r="B41" s="989" t="s">
        <v>504</v>
      </c>
      <c r="C41" s="990"/>
      <c r="D41" s="990"/>
      <c r="E41" s="991"/>
      <c r="F41" s="989" t="s">
        <v>505</v>
      </c>
      <c r="G41" s="990"/>
      <c r="H41" s="990"/>
      <c r="I41" s="991"/>
    </row>
    <row r="42" spans="1:9" s="788" customFormat="1" ht="15.75" customHeight="1" thickBot="1">
      <c r="A42" s="988"/>
      <c r="B42" s="791">
        <v>2005</v>
      </c>
      <c r="C42" s="791">
        <v>2006</v>
      </c>
      <c r="D42" s="792" t="s">
        <v>7</v>
      </c>
      <c r="E42" s="794" t="s">
        <v>48</v>
      </c>
      <c r="F42" s="791">
        <v>2005</v>
      </c>
      <c r="G42" s="791">
        <v>2006</v>
      </c>
      <c r="H42" s="792" t="s">
        <v>7</v>
      </c>
      <c r="I42" s="794" t="s">
        <v>48</v>
      </c>
    </row>
    <row r="43" spans="1:9" s="772" customFormat="1" ht="18.75" customHeight="1">
      <c r="A43" s="768" t="s">
        <v>495</v>
      </c>
      <c r="B43" s="770">
        <v>484941</v>
      </c>
      <c r="C43" s="770">
        <v>501377</v>
      </c>
      <c r="D43" s="775">
        <f aca="true" t="shared" si="10" ref="D43:D48">+C43-B43</f>
        <v>16436</v>
      </c>
      <c r="E43" s="776">
        <f aca="true" t="shared" si="11" ref="E43:E48">+C43/B43</f>
        <v>1.0338927828333757</v>
      </c>
      <c r="F43" s="770">
        <v>51119.92</v>
      </c>
      <c r="G43" s="770">
        <v>49862</v>
      </c>
      <c r="H43" s="775">
        <f aca="true" t="shared" si="12" ref="H43:H48">+G43-F43</f>
        <v>-1257.9199999999983</v>
      </c>
      <c r="I43" s="776">
        <f aca="true" t="shared" si="13" ref="I43:I48">+G43/F43</f>
        <v>0.9753927627429777</v>
      </c>
    </row>
    <row r="44" spans="1:9" s="772" customFormat="1" ht="18.75" customHeight="1">
      <c r="A44" s="773" t="s">
        <v>496</v>
      </c>
      <c r="B44" s="775">
        <v>612286</v>
      </c>
      <c r="C44" s="775">
        <f>620650</f>
        <v>620650</v>
      </c>
      <c r="D44" s="775">
        <f t="shared" si="10"/>
        <v>8364</v>
      </c>
      <c r="E44" s="776">
        <f t="shared" si="11"/>
        <v>1.013660282939672</v>
      </c>
      <c r="F44" s="775">
        <v>99498</v>
      </c>
      <c r="G44" s="775">
        <v>99766</v>
      </c>
      <c r="H44" s="775">
        <f t="shared" si="12"/>
        <v>268</v>
      </c>
      <c r="I44" s="776">
        <f t="shared" si="13"/>
        <v>1.0026935214778185</v>
      </c>
    </row>
    <row r="45" spans="1:9" s="772" customFormat="1" ht="18.75" customHeight="1">
      <c r="A45" s="773" t="s">
        <v>497</v>
      </c>
      <c r="B45" s="775">
        <v>323873</v>
      </c>
      <c r="C45" s="775">
        <v>333800</v>
      </c>
      <c r="D45" s="775">
        <f t="shared" si="10"/>
        <v>9927</v>
      </c>
      <c r="E45" s="776">
        <f t="shared" si="11"/>
        <v>1.0306509032861646</v>
      </c>
      <c r="F45" s="775">
        <v>47094</v>
      </c>
      <c r="G45" s="775">
        <v>46000</v>
      </c>
      <c r="H45" s="775">
        <f t="shared" si="12"/>
        <v>-1094</v>
      </c>
      <c r="I45" s="776">
        <f t="shared" si="13"/>
        <v>0.9767698645262666</v>
      </c>
    </row>
    <row r="46" spans="1:9" s="772" customFormat="1" ht="18.75" customHeight="1">
      <c r="A46" s="773" t="s">
        <v>498</v>
      </c>
      <c r="B46" s="775">
        <v>480380.61</v>
      </c>
      <c r="C46" s="775">
        <v>491662</v>
      </c>
      <c r="D46" s="775">
        <f t="shared" si="10"/>
        <v>11281.390000000014</v>
      </c>
      <c r="E46" s="776">
        <f t="shared" si="11"/>
        <v>1.023484274271603</v>
      </c>
      <c r="F46" s="775">
        <v>39297.09</v>
      </c>
      <c r="G46" s="775">
        <v>39100</v>
      </c>
      <c r="H46" s="775">
        <f t="shared" si="12"/>
        <v>-197.0899999999965</v>
      </c>
      <c r="I46" s="776">
        <f t="shared" si="13"/>
        <v>0.9949846159092188</v>
      </c>
    </row>
    <row r="47" spans="1:9" s="772" customFormat="1" ht="27" customHeight="1" thickBot="1">
      <c r="A47" s="778" t="s">
        <v>499</v>
      </c>
      <c r="B47" s="780">
        <v>473246</v>
      </c>
      <c r="C47" s="780">
        <v>493724</v>
      </c>
      <c r="D47" s="780">
        <f t="shared" si="10"/>
        <v>20478</v>
      </c>
      <c r="E47" s="781">
        <f t="shared" si="11"/>
        <v>1.0432713641531044</v>
      </c>
      <c r="F47" s="780">
        <v>48193</v>
      </c>
      <c r="G47" s="780">
        <v>50457</v>
      </c>
      <c r="H47" s="780">
        <f t="shared" si="12"/>
        <v>2264</v>
      </c>
      <c r="I47" s="781">
        <f t="shared" si="13"/>
        <v>1.04697777685556</v>
      </c>
    </row>
    <row r="48" spans="1:9" s="788" customFormat="1" ht="22.5" customHeight="1" thickBot="1">
      <c r="A48" s="783" t="s">
        <v>4</v>
      </c>
      <c r="B48" s="785">
        <f>SUM(B43:B47)</f>
        <v>2374726.61</v>
      </c>
      <c r="C48" s="785">
        <f>SUM(C43:C47)</f>
        <v>2441213</v>
      </c>
      <c r="D48" s="785">
        <f t="shared" si="10"/>
        <v>66486.39000000013</v>
      </c>
      <c r="E48" s="786">
        <f t="shared" si="11"/>
        <v>1.0279974923092305</v>
      </c>
      <c r="F48" s="785">
        <f>SUM(F43:F47)</f>
        <v>285202.01</v>
      </c>
      <c r="G48" s="785">
        <f>SUM(G43:G47)</f>
        <v>285185</v>
      </c>
      <c r="H48" s="785">
        <f t="shared" si="12"/>
        <v>-17.010000000009313</v>
      </c>
      <c r="I48" s="786">
        <f t="shared" si="13"/>
        <v>0.9999403580640963</v>
      </c>
    </row>
    <row r="49" ht="12.75">
      <c r="A49" s="938" t="s">
        <v>548</v>
      </c>
    </row>
  </sheetData>
  <mergeCells count="21">
    <mergeCell ref="A3:A4"/>
    <mergeCell ref="B3:B4"/>
    <mergeCell ref="A13:A14"/>
    <mergeCell ref="G3:G4"/>
    <mergeCell ref="C3:F3"/>
    <mergeCell ref="B13:B14"/>
    <mergeCell ref="I3:I4"/>
    <mergeCell ref="E13:E14"/>
    <mergeCell ref="C13:C14"/>
    <mergeCell ref="D13:D14"/>
    <mergeCell ref="F13:I13"/>
    <mergeCell ref="H3:H4"/>
    <mergeCell ref="B22:E22"/>
    <mergeCell ref="A22:A23"/>
    <mergeCell ref="B32:E32"/>
    <mergeCell ref="F22:J22"/>
    <mergeCell ref="A41:A42"/>
    <mergeCell ref="B41:E41"/>
    <mergeCell ref="F41:I41"/>
    <mergeCell ref="A32:A33"/>
    <mergeCell ref="F32:I32"/>
  </mergeCells>
  <printOptions horizontalCentered="1"/>
  <pageMargins left="0.31496062992125984" right="0.2362204724409449" top="0.47" bottom="0.3" header="0.34" footer="0.19"/>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F49"/>
  <sheetViews>
    <sheetView workbookViewId="0" topLeftCell="A1">
      <selection activeCell="A1" sqref="A1"/>
    </sheetView>
  </sheetViews>
  <sheetFormatPr defaultColWidth="9.00390625" defaultRowHeight="12.75"/>
  <cols>
    <col min="1" max="1" width="22.00390625" style="0" bestFit="1" customWidth="1"/>
    <col min="2" max="2" width="11.125" style="0" customWidth="1"/>
  </cols>
  <sheetData>
    <row r="1" ht="13.5" thickBot="1">
      <c r="A1" s="614" t="s">
        <v>268</v>
      </c>
    </row>
    <row r="2" spans="1:6" ht="15" customHeight="1">
      <c r="A2" s="978" t="s">
        <v>64</v>
      </c>
      <c r="B2" s="977" t="s">
        <v>544</v>
      </c>
      <c r="C2" s="974" t="s">
        <v>209</v>
      </c>
      <c r="D2" s="975"/>
      <c r="E2" s="975"/>
      <c r="F2" s="972"/>
    </row>
    <row r="3" spans="1:6" ht="21" customHeight="1" thickBot="1">
      <c r="A3" s="976"/>
      <c r="B3" s="973"/>
      <c r="C3" s="72" t="s">
        <v>164</v>
      </c>
      <c r="D3" s="46" t="s">
        <v>66</v>
      </c>
      <c r="E3" s="46" t="s">
        <v>67</v>
      </c>
      <c r="F3" s="47" t="s">
        <v>165</v>
      </c>
    </row>
    <row r="4" spans="1:6" ht="17.25" customHeight="1">
      <c r="A4" s="501" t="s">
        <v>69</v>
      </c>
      <c r="B4" s="363">
        <v>44638.42</v>
      </c>
      <c r="C4" s="502" t="s">
        <v>70</v>
      </c>
      <c r="D4" s="502" t="s">
        <v>70</v>
      </c>
      <c r="E4" s="502" t="s">
        <v>70</v>
      </c>
      <c r="F4" s="362" t="s">
        <v>70</v>
      </c>
    </row>
    <row r="5" spans="1:6" ht="17.25" customHeight="1">
      <c r="A5" s="503" t="s">
        <v>71</v>
      </c>
      <c r="B5" s="368">
        <v>0</v>
      </c>
      <c r="C5" s="49">
        <v>0</v>
      </c>
      <c r="D5" s="49">
        <v>0</v>
      </c>
      <c r="E5" s="49">
        <v>0</v>
      </c>
      <c r="F5" s="367">
        <v>0</v>
      </c>
    </row>
    <row r="6" spans="1:6" ht="17.25" customHeight="1">
      <c r="A6" s="503" t="s">
        <v>72</v>
      </c>
      <c r="B6" s="368">
        <v>0</v>
      </c>
      <c r="C6" s="594">
        <v>3273</v>
      </c>
      <c r="D6" s="49">
        <v>0</v>
      </c>
      <c r="E6" s="49">
        <v>0</v>
      </c>
      <c r="F6" s="367">
        <v>3273</v>
      </c>
    </row>
    <row r="7" spans="1:6" ht="17.25" customHeight="1">
      <c r="A7" s="503" t="s">
        <v>73</v>
      </c>
      <c r="B7" s="368">
        <v>37225.78</v>
      </c>
      <c r="C7" s="502" t="s">
        <v>70</v>
      </c>
      <c r="D7" s="502" t="s">
        <v>70</v>
      </c>
      <c r="E7" s="502" t="s">
        <v>70</v>
      </c>
      <c r="F7" s="362" t="s">
        <v>70</v>
      </c>
    </row>
    <row r="8" spans="1:6" ht="17.25" customHeight="1">
      <c r="A8" s="503" t="s">
        <v>74</v>
      </c>
      <c r="B8" s="368">
        <v>7412.64</v>
      </c>
      <c r="C8" s="937">
        <v>20794</v>
      </c>
      <c r="D8" s="372">
        <v>10000</v>
      </c>
      <c r="E8" s="372">
        <v>15389</v>
      </c>
      <c r="F8" s="367">
        <v>15405</v>
      </c>
    </row>
    <row r="9" spans="1:6" ht="17.25" customHeight="1" thickBot="1">
      <c r="A9" s="505" t="s">
        <v>75</v>
      </c>
      <c r="B9" s="376">
        <v>108.18</v>
      </c>
      <c r="C9" s="273">
        <v>1993</v>
      </c>
      <c r="D9" s="273">
        <v>4597</v>
      </c>
      <c r="E9" s="273">
        <v>5000</v>
      </c>
      <c r="F9" s="375">
        <v>1590</v>
      </c>
    </row>
    <row r="10" spans="1:6" ht="9.75" customHeight="1">
      <c r="A10" s="726"/>
      <c r="B10" s="57"/>
      <c r="C10" s="57"/>
      <c r="D10" s="57"/>
      <c r="E10" s="57"/>
      <c r="F10" s="57"/>
    </row>
    <row r="11" ht="13.5" thickBot="1">
      <c r="A11" s="614" t="s">
        <v>140</v>
      </c>
    </row>
    <row r="12" spans="1:6" ht="15" customHeight="1">
      <c r="A12" s="978" t="s">
        <v>64</v>
      </c>
      <c r="B12" s="977" t="s">
        <v>544</v>
      </c>
      <c r="C12" s="974" t="s">
        <v>209</v>
      </c>
      <c r="D12" s="975"/>
      <c r="E12" s="975"/>
      <c r="F12" s="972"/>
    </row>
    <row r="13" spans="1:6" ht="24.75" customHeight="1" thickBot="1">
      <c r="A13" s="976"/>
      <c r="B13" s="973"/>
      <c r="C13" s="72" t="s">
        <v>164</v>
      </c>
      <c r="D13" s="46" t="s">
        <v>66</v>
      </c>
      <c r="E13" s="46" t="s">
        <v>67</v>
      </c>
      <c r="F13" s="47" t="s">
        <v>165</v>
      </c>
    </row>
    <row r="14" spans="1:6" ht="15" customHeight="1">
      <c r="A14" s="501" t="s">
        <v>69</v>
      </c>
      <c r="B14" s="363">
        <v>24293</v>
      </c>
      <c r="C14" s="502" t="s">
        <v>70</v>
      </c>
      <c r="D14" s="502" t="s">
        <v>70</v>
      </c>
      <c r="E14" s="502" t="s">
        <v>70</v>
      </c>
      <c r="F14" s="362" t="s">
        <v>70</v>
      </c>
    </row>
    <row r="15" spans="1:6" ht="15" customHeight="1">
      <c r="A15" s="503" t="s">
        <v>71</v>
      </c>
      <c r="B15" s="368">
        <v>0</v>
      </c>
      <c r="C15" s="49">
        <v>129</v>
      </c>
      <c r="D15" s="49">
        <v>0</v>
      </c>
      <c r="E15" s="49">
        <v>0</v>
      </c>
      <c r="F15" s="367">
        <v>129</v>
      </c>
    </row>
    <row r="16" spans="1:6" ht="15" customHeight="1">
      <c r="A16" s="503" t="s">
        <v>72</v>
      </c>
      <c r="B16" s="368">
        <v>574</v>
      </c>
      <c r="C16" s="594">
        <v>1173</v>
      </c>
      <c r="D16" s="49">
        <v>2000</v>
      </c>
      <c r="E16" s="49">
        <v>2000</v>
      </c>
      <c r="F16" s="367">
        <v>1173</v>
      </c>
    </row>
    <row r="17" spans="1:6" ht="15" customHeight="1">
      <c r="A17" s="503" t="s">
        <v>73</v>
      </c>
      <c r="B17" s="368">
        <v>23719</v>
      </c>
      <c r="C17" s="502" t="s">
        <v>70</v>
      </c>
      <c r="D17" s="502" t="s">
        <v>70</v>
      </c>
      <c r="E17" s="502" t="s">
        <v>70</v>
      </c>
      <c r="F17" s="362" t="s">
        <v>70</v>
      </c>
    </row>
    <row r="18" spans="1:6" ht="15" customHeight="1">
      <c r="A18" s="503" t="s">
        <v>74</v>
      </c>
      <c r="B18" s="368">
        <v>587</v>
      </c>
      <c r="C18" s="937">
        <v>15745</v>
      </c>
      <c r="D18" s="372">
        <v>21338</v>
      </c>
      <c r="E18" s="372">
        <v>37083.108</v>
      </c>
      <c r="F18" s="367">
        <f>+C18+D18-E18</f>
        <v>-0.10800000000017462</v>
      </c>
    </row>
    <row r="19" spans="1:6" ht="15" customHeight="1" thickBot="1">
      <c r="A19" s="505" t="s">
        <v>75</v>
      </c>
      <c r="B19" s="376">
        <v>2720</v>
      </c>
      <c r="C19" s="273">
        <v>3143</v>
      </c>
      <c r="D19" s="273">
        <v>5005</v>
      </c>
      <c r="E19" s="273">
        <v>6860</v>
      </c>
      <c r="F19" s="375">
        <v>1345</v>
      </c>
    </row>
    <row r="21" ht="13.5" thickBot="1">
      <c r="A21" s="614" t="s">
        <v>403</v>
      </c>
    </row>
    <row r="22" spans="1:6" ht="16.5" customHeight="1">
      <c r="A22" s="978" t="s">
        <v>64</v>
      </c>
      <c r="B22" s="977" t="s">
        <v>544</v>
      </c>
      <c r="C22" s="974" t="s">
        <v>209</v>
      </c>
      <c r="D22" s="975"/>
      <c r="E22" s="975"/>
      <c r="F22" s="972"/>
    </row>
    <row r="23" spans="1:6" ht="18.75" customHeight="1" thickBot="1">
      <c r="A23" s="976"/>
      <c r="B23" s="973"/>
      <c r="C23" s="72" t="s">
        <v>164</v>
      </c>
      <c r="D23" s="46" t="s">
        <v>66</v>
      </c>
      <c r="E23" s="46" t="s">
        <v>67</v>
      </c>
      <c r="F23" s="47" t="s">
        <v>165</v>
      </c>
    </row>
    <row r="24" spans="1:6" ht="17.25" customHeight="1">
      <c r="A24" s="501" t="s">
        <v>69</v>
      </c>
      <c r="B24" s="363">
        <v>20985</v>
      </c>
      <c r="C24" s="502" t="s">
        <v>70</v>
      </c>
      <c r="D24" s="502" t="s">
        <v>70</v>
      </c>
      <c r="E24" s="502" t="s">
        <v>70</v>
      </c>
      <c r="F24" s="362" t="s">
        <v>70</v>
      </c>
    </row>
    <row r="25" spans="1:6" ht="17.25" customHeight="1">
      <c r="A25" s="503" t="s">
        <v>71</v>
      </c>
      <c r="B25" s="368">
        <v>1197.56</v>
      </c>
      <c r="C25" s="49">
        <v>1198</v>
      </c>
      <c r="D25" s="49">
        <v>0</v>
      </c>
      <c r="E25" s="49">
        <v>1100</v>
      </c>
      <c r="F25" s="367">
        <v>98</v>
      </c>
    </row>
    <row r="26" spans="1:6" ht="17.25" customHeight="1">
      <c r="A26" s="503" t="s">
        <v>72</v>
      </c>
      <c r="B26" s="368">
        <v>1850.57</v>
      </c>
      <c r="C26" s="594">
        <v>2713</v>
      </c>
      <c r="D26" s="49">
        <v>633</v>
      </c>
      <c r="E26" s="49">
        <v>2000</v>
      </c>
      <c r="F26" s="367">
        <v>1346</v>
      </c>
    </row>
    <row r="27" spans="1:6" ht="17.25" customHeight="1">
      <c r="A27" s="503" t="s">
        <v>73</v>
      </c>
      <c r="B27" s="368">
        <v>-22011.24</v>
      </c>
      <c r="C27" s="502" t="s">
        <v>70</v>
      </c>
      <c r="D27" s="502" t="s">
        <v>70</v>
      </c>
      <c r="E27" s="502" t="s">
        <v>70</v>
      </c>
      <c r="F27" s="362" t="s">
        <v>70</v>
      </c>
    </row>
    <row r="28" spans="1:6" ht="17.25" customHeight="1">
      <c r="A28" s="503" t="s">
        <v>74</v>
      </c>
      <c r="B28" s="368">
        <v>39947.91</v>
      </c>
      <c r="C28" s="937">
        <v>40118.2954</v>
      </c>
      <c r="D28" s="372">
        <v>18908</v>
      </c>
      <c r="E28" s="372">
        <v>19070</v>
      </c>
      <c r="F28" s="367">
        <v>39956.2954</v>
      </c>
    </row>
    <row r="29" spans="1:6" ht="17.25" customHeight="1" thickBot="1">
      <c r="A29" s="505" t="s">
        <v>75</v>
      </c>
      <c r="B29" s="376">
        <v>884.28</v>
      </c>
      <c r="C29" s="273">
        <v>687</v>
      </c>
      <c r="D29" s="273">
        <v>3208</v>
      </c>
      <c r="E29" s="273">
        <v>3208</v>
      </c>
      <c r="F29" s="375">
        <v>687</v>
      </c>
    </row>
    <row r="31" ht="13.5" thickBot="1">
      <c r="A31" s="614" t="s">
        <v>254</v>
      </c>
    </row>
    <row r="32" spans="1:6" ht="17.25" customHeight="1">
      <c r="A32" s="978" t="s">
        <v>64</v>
      </c>
      <c r="B32" s="977" t="s">
        <v>544</v>
      </c>
      <c r="C32" s="974" t="s">
        <v>209</v>
      </c>
      <c r="D32" s="975"/>
      <c r="E32" s="975"/>
      <c r="F32" s="972"/>
    </row>
    <row r="33" spans="1:6" ht="20.25" customHeight="1" thickBot="1">
      <c r="A33" s="976"/>
      <c r="B33" s="973"/>
      <c r="C33" s="72" t="s">
        <v>164</v>
      </c>
      <c r="D33" s="46" t="s">
        <v>66</v>
      </c>
      <c r="E33" s="46" t="s">
        <v>67</v>
      </c>
      <c r="F33" s="47" t="s">
        <v>165</v>
      </c>
    </row>
    <row r="34" spans="1:6" ht="17.25" customHeight="1">
      <c r="A34" s="501" t="s">
        <v>69</v>
      </c>
      <c r="B34" s="363">
        <v>29747.43</v>
      </c>
      <c r="C34" s="502" t="s">
        <v>70</v>
      </c>
      <c r="D34" s="502" t="s">
        <v>70</v>
      </c>
      <c r="E34" s="502" t="s">
        <v>70</v>
      </c>
      <c r="F34" s="362" t="s">
        <v>70</v>
      </c>
    </row>
    <row r="35" spans="1:6" ht="17.25" customHeight="1">
      <c r="A35" s="503" t="s">
        <v>71</v>
      </c>
      <c r="B35" s="368">
        <v>1404.17</v>
      </c>
      <c r="C35" s="49">
        <v>1404</v>
      </c>
      <c r="D35" s="49">
        <v>0</v>
      </c>
      <c r="E35" s="49">
        <v>0</v>
      </c>
      <c r="F35" s="367">
        <v>1404</v>
      </c>
    </row>
    <row r="36" spans="1:6" ht="17.25" customHeight="1">
      <c r="A36" s="503" t="s">
        <v>72</v>
      </c>
      <c r="B36" s="368">
        <v>170.69</v>
      </c>
      <c r="C36" s="594">
        <v>171</v>
      </c>
      <c r="D36" s="49">
        <v>400</v>
      </c>
      <c r="E36" s="49">
        <v>500</v>
      </c>
      <c r="F36" s="367">
        <v>71</v>
      </c>
    </row>
    <row r="37" spans="1:6" ht="17.25" customHeight="1">
      <c r="A37" s="503" t="s">
        <v>73</v>
      </c>
      <c r="B37" s="368">
        <v>28172.57</v>
      </c>
      <c r="C37" s="502" t="s">
        <v>70</v>
      </c>
      <c r="D37" s="502" t="s">
        <v>70</v>
      </c>
      <c r="E37" s="502" t="s">
        <v>70</v>
      </c>
      <c r="F37" s="362" t="s">
        <v>70</v>
      </c>
    </row>
    <row r="38" spans="1:6" ht="17.25" customHeight="1">
      <c r="A38" s="503" t="s">
        <v>74</v>
      </c>
      <c r="B38" s="368">
        <v>9839</v>
      </c>
      <c r="C38" s="937">
        <v>9839</v>
      </c>
      <c r="D38" s="372">
        <v>37974.3</v>
      </c>
      <c r="E38" s="372">
        <v>42429.445999999996</v>
      </c>
      <c r="F38" s="367">
        <v>5383.854000000007</v>
      </c>
    </row>
    <row r="39" spans="1:6" ht="17.25" customHeight="1" thickBot="1">
      <c r="A39" s="505" t="s">
        <v>75</v>
      </c>
      <c r="B39" s="376">
        <v>725.54</v>
      </c>
      <c r="C39" s="273">
        <v>1239</v>
      </c>
      <c r="D39" s="273">
        <v>4322</v>
      </c>
      <c r="E39" s="273">
        <v>5481</v>
      </c>
      <c r="F39" s="375">
        <v>80</v>
      </c>
    </row>
    <row r="41" ht="13.5" thickBot="1">
      <c r="A41" s="614" t="s">
        <v>440</v>
      </c>
    </row>
    <row r="42" spans="1:6" ht="17.25" customHeight="1">
      <c r="A42" s="978" t="s">
        <v>64</v>
      </c>
      <c r="B42" s="977" t="s">
        <v>544</v>
      </c>
      <c r="C42" s="974" t="s">
        <v>209</v>
      </c>
      <c r="D42" s="975"/>
      <c r="E42" s="975"/>
      <c r="F42" s="972"/>
    </row>
    <row r="43" spans="1:6" ht="21.75" customHeight="1" thickBot="1">
      <c r="A43" s="976"/>
      <c r="B43" s="973"/>
      <c r="C43" s="72" t="s">
        <v>164</v>
      </c>
      <c r="D43" s="46" t="s">
        <v>66</v>
      </c>
      <c r="E43" s="46" t="s">
        <v>67</v>
      </c>
      <c r="F43" s="47" t="s">
        <v>165</v>
      </c>
    </row>
    <row r="44" spans="1:6" ht="17.25" customHeight="1">
      <c r="A44" s="501" t="s">
        <v>69</v>
      </c>
      <c r="B44" s="363">
        <v>32376.11</v>
      </c>
      <c r="C44" s="502" t="s">
        <v>70</v>
      </c>
      <c r="D44" s="502" t="s">
        <v>70</v>
      </c>
      <c r="E44" s="502" t="s">
        <v>70</v>
      </c>
      <c r="F44" s="362" t="s">
        <v>70</v>
      </c>
    </row>
    <row r="45" spans="1:6" ht="17.25" customHeight="1">
      <c r="A45" s="503" t="s">
        <v>71</v>
      </c>
      <c r="B45" s="368">
        <v>543.17</v>
      </c>
      <c r="C45" s="49">
        <v>543.17</v>
      </c>
      <c r="D45" s="49">
        <v>0</v>
      </c>
      <c r="E45" s="49">
        <v>0</v>
      </c>
      <c r="F45" s="367">
        <v>543.17</v>
      </c>
    </row>
    <row r="46" spans="1:6" ht="17.25" customHeight="1">
      <c r="A46" s="503" t="s">
        <v>72</v>
      </c>
      <c r="B46" s="368">
        <v>1192.51</v>
      </c>
      <c r="C46" s="594">
        <v>1192.51</v>
      </c>
      <c r="D46" s="49"/>
      <c r="E46" s="49"/>
      <c r="F46" s="367">
        <v>1192.51</v>
      </c>
    </row>
    <row r="47" spans="1:6" ht="17.25" customHeight="1">
      <c r="A47" s="503" t="s">
        <v>73</v>
      </c>
      <c r="B47" s="368">
        <v>-38558.21</v>
      </c>
      <c r="C47" s="502" t="s">
        <v>70</v>
      </c>
      <c r="D47" s="502" t="s">
        <v>70</v>
      </c>
      <c r="E47" s="502" t="s">
        <v>70</v>
      </c>
      <c r="F47" s="362" t="s">
        <v>70</v>
      </c>
    </row>
    <row r="48" spans="1:6" ht="17.25" customHeight="1">
      <c r="A48" s="503" t="s">
        <v>74</v>
      </c>
      <c r="B48" s="368">
        <v>69198.64</v>
      </c>
      <c r="C48" s="937">
        <v>69198.64</v>
      </c>
      <c r="D48" s="372">
        <v>24770</v>
      </c>
      <c r="E48" s="372">
        <v>21833</v>
      </c>
      <c r="F48" s="367">
        <v>72135.64</v>
      </c>
    </row>
    <row r="49" spans="1:6" ht="17.25" customHeight="1" thickBot="1">
      <c r="A49" s="505" t="s">
        <v>75</v>
      </c>
      <c r="B49" s="376">
        <v>2.72</v>
      </c>
      <c r="C49" s="273">
        <v>534.66</v>
      </c>
      <c r="D49" s="273">
        <v>4486</v>
      </c>
      <c r="E49" s="273">
        <v>4500</v>
      </c>
      <c r="F49" s="375">
        <v>520.66</v>
      </c>
    </row>
  </sheetData>
  <mergeCells count="15">
    <mergeCell ref="A22:A23"/>
    <mergeCell ref="B22:B23"/>
    <mergeCell ref="C22:F22"/>
    <mergeCell ref="A2:A3"/>
    <mergeCell ref="B2:B3"/>
    <mergeCell ref="C2:F2"/>
    <mergeCell ref="A12:A13"/>
    <mergeCell ref="B12:B13"/>
    <mergeCell ref="C12:F12"/>
    <mergeCell ref="A32:A33"/>
    <mergeCell ref="B32:B33"/>
    <mergeCell ref="C32:F32"/>
    <mergeCell ref="A42:A43"/>
    <mergeCell ref="B42:B43"/>
    <mergeCell ref="C42:F42"/>
  </mergeCells>
  <printOptions horizontalCentered="1"/>
  <pageMargins left="0.7874015748031497" right="0.7874015748031497" top="0.52" bottom="0.4724409448818898" header="0.2755905511811024" footer="0.275590551181102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AH181"/>
  <sheetViews>
    <sheetView workbookViewId="0" topLeftCell="A1">
      <selection activeCell="A1" sqref="A1"/>
    </sheetView>
  </sheetViews>
  <sheetFormatPr defaultColWidth="9.00390625" defaultRowHeight="12.75"/>
  <cols>
    <col min="1" max="1" width="34.125" style="276" customWidth="1"/>
    <col min="2" max="2" width="10.625" style="356" customWidth="1"/>
    <col min="3" max="3" width="10.25390625" style="356" customWidth="1"/>
    <col min="4" max="7" width="9.75390625" style="356" customWidth="1"/>
    <col min="8" max="8" width="9.875" style="356" customWidth="1"/>
    <col min="9" max="9" width="9.25390625" style="276" customWidth="1"/>
    <col min="10" max="10" width="9.375" style="276" customWidth="1"/>
    <col min="11" max="11" width="9.75390625" style="276" customWidth="1"/>
    <col min="12" max="16" width="9.125" style="276" customWidth="1"/>
  </cols>
  <sheetData>
    <row r="1" spans="12:14" ht="15.75">
      <c r="L1" s="303"/>
      <c r="N1" s="304"/>
    </row>
    <row r="2" spans="1:14" ht="16.5" thickBot="1">
      <c r="A2" s="307" t="s">
        <v>155</v>
      </c>
      <c r="B2" s="443"/>
      <c r="C2" s="443"/>
      <c r="D2" s="443"/>
      <c r="E2" s="443"/>
      <c r="F2" s="443"/>
      <c r="G2" s="443"/>
      <c r="H2" s="443"/>
      <c r="L2" s="303"/>
      <c r="N2" s="304"/>
    </row>
    <row r="3" spans="1:16" ht="24" customHeight="1" thickBot="1">
      <c r="A3" s="1078" t="s">
        <v>0</v>
      </c>
      <c r="B3" s="1083" t="s">
        <v>268</v>
      </c>
      <c r="C3" s="1084"/>
      <c r="D3" s="1084"/>
      <c r="E3" s="1084"/>
      <c r="F3" s="1084"/>
      <c r="G3" s="1084"/>
      <c r="H3" s="1084"/>
      <c r="I3" s="1084"/>
      <c r="J3" s="1084"/>
      <c r="K3" s="1084"/>
      <c r="L3" s="1084"/>
      <c r="M3" s="1085"/>
      <c r="N3"/>
      <c r="O3"/>
      <c r="P3"/>
    </row>
    <row r="4" spans="1:22" ht="10.5" customHeight="1">
      <c r="A4" s="1079"/>
      <c r="B4" s="1014" t="s">
        <v>289</v>
      </c>
      <c r="C4" s="1057" t="s">
        <v>288</v>
      </c>
      <c r="D4" s="434" t="s">
        <v>266</v>
      </c>
      <c r="E4" s="435"/>
      <c r="F4" s="436"/>
      <c r="G4" s="1090" t="s">
        <v>246</v>
      </c>
      <c r="H4" s="1091"/>
      <c r="I4" s="434" t="s">
        <v>169</v>
      </c>
      <c r="J4" s="435"/>
      <c r="K4" s="436"/>
      <c r="L4" s="1090" t="s">
        <v>246</v>
      </c>
      <c r="M4" s="1091"/>
      <c r="Q4" s="276"/>
      <c r="R4" s="276"/>
      <c r="S4" s="276"/>
      <c r="T4" s="276"/>
      <c r="U4" s="276"/>
      <c r="V4" s="276"/>
    </row>
    <row r="5" spans="1:16" ht="13.5" customHeight="1">
      <c r="A5" s="1079"/>
      <c r="B5" s="1060"/>
      <c r="C5" s="1058"/>
      <c r="D5" s="437" t="s">
        <v>2</v>
      </c>
      <c r="E5" s="438" t="s">
        <v>267</v>
      </c>
      <c r="F5" s="439" t="s">
        <v>4</v>
      </c>
      <c r="G5" s="10" t="s">
        <v>4</v>
      </c>
      <c r="H5" s="10" t="s">
        <v>5</v>
      </c>
      <c r="I5" s="437" t="s">
        <v>2</v>
      </c>
      <c r="J5" s="438" t="s">
        <v>267</v>
      </c>
      <c r="K5" s="439" t="s">
        <v>4</v>
      </c>
      <c r="L5" s="10" t="s">
        <v>4</v>
      </c>
      <c r="M5" s="8" t="s">
        <v>5</v>
      </c>
      <c r="N5"/>
      <c r="O5"/>
      <c r="P5"/>
    </row>
    <row r="6" spans="1:16" ht="12" customHeight="1" thickBot="1">
      <c r="A6" s="1080"/>
      <c r="B6" s="1061"/>
      <c r="C6" s="1059"/>
      <c r="D6" s="440" t="s">
        <v>6</v>
      </c>
      <c r="E6" s="441" t="s">
        <v>6</v>
      </c>
      <c r="F6" s="442"/>
      <c r="G6" s="15" t="s">
        <v>7</v>
      </c>
      <c r="H6" s="16" t="s">
        <v>8</v>
      </c>
      <c r="I6" s="440" t="s">
        <v>6</v>
      </c>
      <c r="J6" s="441" t="s">
        <v>6</v>
      </c>
      <c r="K6" s="442"/>
      <c r="L6" s="15" t="s">
        <v>7</v>
      </c>
      <c r="M6" s="13" t="s">
        <v>8</v>
      </c>
      <c r="N6"/>
      <c r="O6"/>
      <c r="P6"/>
    </row>
    <row r="7" spans="1:16" ht="15.75" customHeight="1" thickTop="1">
      <c r="A7" s="444" t="s">
        <v>9</v>
      </c>
      <c r="B7" s="555"/>
      <c r="C7" s="546"/>
      <c r="D7" s="525"/>
      <c r="E7" s="526"/>
      <c r="F7" s="527"/>
      <c r="G7" s="446"/>
      <c r="H7" s="447"/>
      <c r="I7" s="525"/>
      <c r="J7" s="526"/>
      <c r="K7" s="527"/>
      <c r="L7" s="446"/>
      <c r="M7" s="449"/>
      <c r="N7"/>
      <c r="O7"/>
      <c r="P7"/>
    </row>
    <row r="8" spans="1:16" ht="15.75" customHeight="1">
      <c r="A8" s="450" t="s">
        <v>10</v>
      </c>
      <c r="B8" s="556">
        <v>417337</v>
      </c>
      <c r="C8" s="405">
        <v>454198.04</v>
      </c>
      <c r="D8" s="392">
        <v>483994.73</v>
      </c>
      <c r="E8" s="24">
        <v>946.16</v>
      </c>
      <c r="F8" s="405">
        <f>SUM(D8:E8)</f>
        <v>484940.88999999996</v>
      </c>
      <c r="G8" s="454">
        <f>+F8-C8</f>
        <v>30742.849999999977</v>
      </c>
      <c r="H8" s="455">
        <f>+F8/C8</f>
        <v>1.0676860032244966</v>
      </c>
      <c r="I8" s="392">
        <f>480212+13083+7332</f>
        <v>500627</v>
      </c>
      <c r="J8" s="24">
        <v>750</v>
      </c>
      <c r="K8" s="405">
        <f aca="true" t="shared" si="0" ref="K8:K35">SUM(I8:J8)</f>
        <v>501377</v>
      </c>
      <c r="L8" s="454">
        <f>+K8-F8</f>
        <v>16436.110000000044</v>
      </c>
      <c r="M8" s="456">
        <f>+K8/F8</f>
        <v>1.0338930173531047</v>
      </c>
      <c r="N8"/>
      <c r="O8"/>
      <c r="P8"/>
    </row>
    <row r="9" spans="1:16" ht="15.75" customHeight="1">
      <c r="A9" s="450" t="s">
        <v>11</v>
      </c>
      <c r="B9" s="557">
        <v>55674</v>
      </c>
      <c r="C9" s="395">
        <v>58834.4</v>
      </c>
      <c r="D9" s="402">
        <v>-12.08</v>
      </c>
      <c r="E9" s="403">
        <v>51131.77</v>
      </c>
      <c r="F9" s="395">
        <f>SUM(D9:E9)</f>
        <v>51119.689999999995</v>
      </c>
      <c r="G9" s="454">
        <f aca="true" t="shared" si="1" ref="G9:G35">+F9-C9</f>
        <v>-7714.710000000006</v>
      </c>
      <c r="H9" s="455">
        <f aca="true" t="shared" si="2" ref="H9:H35">+F9/C9</f>
        <v>0.8688741620548521</v>
      </c>
      <c r="I9" s="402"/>
      <c r="J9" s="403">
        <v>49862</v>
      </c>
      <c r="K9" s="395">
        <f t="shared" si="0"/>
        <v>49862</v>
      </c>
      <c r="L9" s="454">
        <f aca="true" t="shared" si="3" ref="L9:L34">+K9-F9</f>
        <v>-1257.689999999995</v>
      </c>
      <c r="M9" s="456">
        <f aca="true" t="shared" si="4" ref="M9:M33">+K9/F9</f>
        <v>0.9753971512738048</v>
      </c>
      <c r="N9"/>
      <c r="O9"/>
      <c r="P9"/>
    </row>
    <row r="10" spans="1:16" ht="15.75" customHeight="1">
      <c r="A10" s="450" t="s">
        <v>12</v>
      </c>
      <c r="B10" s="557">
        <v>12166</v>
      </c>
      <c r="C10" s="395">
        <v>10233.57</v>
      </c>
      <c r="D10" s="402">
        <v>9414.13</v>
      </c>
      <c r="E10" s="403"/>
      <c r="F10" s="395">
        <f>SUM(D10:E10)</f>
        <v>9414.13</v>
      </c>
      <c r="G10" s="454">
        <f t="shared" si="1"/>
        <v>-819.4400000000005</v>
      </c>
      <c r="H10" s="455">
        <f t="shared" si="2"/>
        <v>0.9199262818351758</v>
      </c>
      <c r="I10" s="402">
        <v>10000</v>
      </c>
      <c r="J10" s="403"/>
      <c r="K10" s="395">
        <f t="shared" si="0"/>
        <v>10000</v>
      </c>
      <c r="L10" s="454">
        <f t="shared" si="3"/>
        <v>585.8700000000008</v>
      </c>
      <c r="M10" s="456">
        <f t="shared" si="4"/>
        <v>1.062233047557236</v>
      </c>
      <c r="N10"/>
      <c r="O10"/>
      <c r="P10"/>
    </row>
    <row r="11" spans="1:16" ht="15.75" customHeight="1">
      <c r="A11" s="450" t="s">
        <v>13</v>
      </c>
      <c r="B11" s="557">
        <v>2185</v>
      </c>
      <c r="C11" s="395">
        <v>4142.51</v>
      </c>
      <c r="D11" s="402">
        <f>1117.26+14.72+1497.94+3022.19</f>
        <v>5652.110000000001</v>
      </c>
      <c r="E11" s="403">
        <v>5.84</v>
      </c>
      <c r="F11" s="395">
        <f>SUM(D11:E11)</f>
        <v>5657.950000000001</v>
      </c>
      <c r="G11" s="454">
        <f t="shared" si="1"/>
        <v>1515.4400000000005</v>
      </c>
      <c r="H11" s="455">
        <f t="shared" si="2"/>
        <v>1.365826515808049</v>
      </c>
      <c r="I11" s="402">
        <v>6000</v>
      </c>
      <c r="J11" s="403">
        <v>6</v>
      </c>
      <c r="K11" s="395">
        <f t="shared" si="0"/>
        <v>6006</v>
      </c>
      <c r="L11" s="454">
        <f t="shared" si="3"/>
        <v>348.0499999999993</v>
      </c>
      <c r="M11" s="456">
        <f t="shared" si="4"/>
        <v>1.0615152131072207</v>
      </c>
      <c r="N11"/>
      <c r="O11"/>
      <c r="P11"/>
    </row>
    <row r="12" spans="1:16" ht="15.75" customHeight="1">
      <c r="A12" s="457" t="s">
        <v>14</v>
      </c>
      <c r="B12" s="557">
        <v>0</v>
      </c>
      <c r="C12" s="395">
        <v>734.19</v>
      </c>
      <c r="D12" s="402">
        <v>1498</v>
      </c>
      <c r="E12" s="403"/>
      <c r="F12" s="395">
        <f>SUM(D12:E12)</f>
        <v>1498</v>
      </c>
      <c r="G12" s="454">
        <f t="shared" si="1"/>
        <v>763.81</v>
      </c>
      <c r="H12" s="455">
        <f t="shared" si="2"/>
        <v>2.040343780220379</v>
      </c>
      <c r="I12" s="402">
        <v>1500</v>
      </c>
      <c r="J12" s="403"/>
      <c r="K12" s="395">
        <f t="shared" si="0"/>
        <v>1500</v>
      </c>
      <c r="L12" s="454">
        <f t="shared" si="3"/>
        <v>2</v>
      </c>
      <c r="M12" s="456">
        <f t="shared" si="4"/>
        <v>1.0013351134846462</v>
      </c>
      <c r="N12"/>
      <c r="O12"/>
      <c r="P12"/>
    </row>
    <row r="13" spans="1:16" ht="15.75" customHeight="1">
      <c r="A13" s="457" t="s">
        <v>15</v>
      </c>
      <c r="B13" s="557">
        <v>3686</v>
      </c>
      <c r="C13" s="395">
        <v>3527.05</v>
      </c>
      <c r="D13" s="402">
        <v>2171</v>
      </c>
      <c r="E13" s="403">
        <v>53</v>
      </c>
      <c r="F13" s="395">
        <f aca="true" t="shared" si="5" ref="F13:F35">SUM(D13:E13)</f>
        <v>2224</v>
      </c>
      <c r="G13" s="454">
        <f t="shared" si="1"/>
        <v>-1303.0500000000002</v>
      </c>
      <c r="H13" s="455">
        <f t="shared" si="2"/>
        <v>0.6305552799081385</v>
      </c>
      <c r="I13" s="402">
        <v>2502</v>
      </c>
      <c r="J13" s="403">
        <v>0</v>
      </c>
      <c r="K13" s="395">
        <f t="shared" si="0"/>
        <v>2502</v>
      </c>
      <c r="L13" s="454">
        <f t="shared" si="3"/>
        <v>278</v>
      </c>
      <c r="M13" s="456">
        <f t="shared" si="4"/>
        <v>1.125</v>
      </c>
      <c r="N13"/>
      <c r="O13"/>
      <c r="P13"/>
    </row>
    <row r="14" spans="1:16" ht="17.25" customHeight="1">
      <c r="A14" s="457" t="s">
        <v>16</v>
      </c>
      <c r="B14" s="557">
        <v>0</v>
      </c>
      <c r="C14" s="395">
        <v>0</v>
      </c>
      <c r="D14" s="402"/>
      <c r="E14" s="403"/>
      <c r="F14" s="395">
        <f t="shared" si="5"/>
        <v>0</v>
      </c>
      <c r="G14" s="454">
        <f t="shared" si="1"/>
        <v>0</v>
      </c>
      <c r="H14" s="455"/>
      <c r="I14" s="402"/>
      <c r="J14" s="403"/>
      <c r="K14" s="395">
        <f t="shared" si="0"/>
        <v>0</v>
      </c>
      <c r="L14" s="454">
        <f t="shared" si="3"/>
        <v>0</v>
      </c>
      <c r="M14" s="456"/>
      <c r="N14"/>
      <c r="O14"/>
      <c r="P14"/>
    </row>
    <row r="15" spans="1:16" ht="15.75" customHeight="1" thickBot="1">
      <c r="A15" s="458" t="s">
        <v>17</v>
      </c>
      <c r="B15" s="558">
        <v>25757</v>
      </c>
      <c r="C15" s="398">
        <v>16769.48</v>
      </c>
      <c r="D15" s="396">
        <v>15532.36</v>
      </c>
      <c r="E15" s="459"/>
      <c r="F15" s="398">
        <f>SUM(D15:E15)</f>
        <v>15532.36</v>
      </c>
      <c r="G15" s="460">
        <f t="shared" si="1"/>
        <v>-1237.119999999999</v>
      </c>
      <c r="H15" s="461">
        <f t="shared" si="2"/>
        <v>0.9262278854204186</v>
      </c>
      <c r="I15" s="396">
        <f>+D51/1000</f>
        <v>18791.854</v>
      </c>
      <c r="J15" s="459"/>
      <c r="K15" s="398">
        <f t="shared" si="0"/>
        <v>18791.854</v>
      </c>
      <c r="L15" s="454">
        <f t="shared" si="3"/>
        <v>3259.493999999999</v>
      </c>
      <c r="M15" s="456">
        <f t="shared" si="4"/>
        <v>1.2098518190410215</v>
      </c>
      <c r="N15"/>
      <c r="O15"/>
      <c r="P15"/>
    </row>
    <row r="16" spans="1:16" ht="13.5" customHeight="1" thickBot="1">
      <c r="A16" s="19" t="s">
        <v>18</v>
      </c>
      <c r="B16" s="259">
        <v>516805</v>
      </c>
      <c r="C16" s="22">
        <v>547705.05</v>
      </c>
      <c r="D16" s="20">
        <f>SUM(D7+D8+D9+D10+D11+D13+D15)</f>
        <v>516752.24999999994</v>
      </c>
      <c r="E16" s="21">
        <f>SUM(E7+E8+E9+E10+E11+E13+E15)</f>
        <v>52136.77</v>
      </c>
      <c r="F16" s="22">
        <v>568890</v>
      </c>
      <c r="G16" s="462">
        <f>+F16-C16</f>
        <v>21184.949999999953</v>
      </c>
      <c r="H16" s="463">
        <f t="shared" si="2"/>
        <v>1.0386794863403213</v>
      </c>
      <c r="I16" s="20">
        <f>SUM(I7+I8+I9+I10+I11+I13+I15)</f>
        <v>537920.854</v>
      </c>
      <c r="J16" s="21">
        <f>SUM(J7+J8+J9+J10+J11+J13+J15)</f>
        <v>50618</v>
      </c>
      <c r="K16" s="22">
        <f t="shared" si="0"/>
        <v>588538.854</v>
      </c>
      <c r="L16" s="454">
        <f t="shared" si="3"/>
        <v>19648.85400000005</v>
      </c>
      <c r="M16" s="456">
        <f t="shared" si="4"/>
        <v>1.0345389337130202</v>
      </c>
      <c r="N16"/>
      <c r="O16"/>
      <c r="P16"/>
    </row>
    <row r="17" spans="1:16" ht="13.5" customHeight="1">
      <c r="A17" s="464" t="s">
        <v>19</v>
      </c>
      <c r="B17" s="559">
        <v>128907</v>
      </c>
      <c r="C17" s="465">
        <v>134557.84</v>
      </c>
      <c r="D17" s="452">
        <v>145443</v>
      </c>
      <c r="E17" s="453">
        <v>66</v>
      </c>
      <c r="F17" s="465">
        <f t="shared" si="5"/>
        <v>145509</v>
      </c>
      <c r="G17" s="446">
        <f t="shared" si="1"/>
        <v>10951.160000000003</v>
      </c>
      <c r="H17" s="466">
        <f t="shared" si="2"/>
        <v>1.0813862648211356</v>
      </c>
      <c r="I17" s="452">
        <v>144934</v>
      </c>
      <c r="J17" s="453">
        <v>66</v>
      </c>
      <c r="K17" s="465">
        <f t="shared" si="0"/>
        <v>145000</v>
      </c>
      <c r="L17" s="454">
        <f t="shared" si="3"/>
        <v>-509</v>
      </c>
      <c r="M17" s="456">
        <f t="shared" si="4"/>
        <v>0.9965019345882385</v>
      </c>
      <c r="N17"/>
      <c r="O17"/>
      <c r="P17"/>
    </row>
    <row r="18" spans="1:16" ht="15.75" customHeight="1">
      <c r="A18" s="457" t="s">
        <v>20</v>
      </c>
      <c r="B18" s="560">
        <v>1351</v>
      </c>
      <c r="C18" s="393">
        <v>3053</v>
      </c>
      <c r="D18" s="392">
        <v>8075</v>
      </c>
      <c r="E18" s="24"/>
      <c r="F18" s="393">
        <f t="shared" si="5"/>
        <v>8075</v>
      </c>
      <c r="G18" s="454">
        <f t="shared" si="1"/>
        <v>5022</v>
      </c>
      <c r="H18" s="455">
        <f t="shared" si="2"/>
        <v>2.6449394038650507</v>
      </c>
      <c r="I18" s="392">
        <v>4000</v>
      </c>
      <c r="J18" s="24"/>
      <c r="K18" s="393">
        <f t="shared" si="0"/>
        <v>4000</v>
      </c>
      <c r="L18" s="454">
        <f t="shared" si="3"/>
        <v>-4075</v>
      </c>
      <c r="M18" s="456">
        <f t="shared" si="4"/>
        <v>0.4953560371517028</v>
      </c>
      <c r="N18"/>
      <c r="O18"/>
      <c r="P18"/>
    </row>
    <row r="19" spans="1:16" ht="15.75" customHeight="1">
      <c r="A19" s="450" t="s">
        <v>21</v>
      </c>
      <c r="B19" s="560">
        <v>16629</v>
      </c>
      <c r="C19" s="393">
        <v>16618.77</v>
      </c>
      <c r="D19" s="402">
        <v>17880</v>
      </c>
      <c r="E19" s="403">
        <v>281</v>
      </c>
      <c r="F19" s="393">
        <f t="shared" si="5"/>
        <v>18161</v>
      </c>
      <c r="G19" s="454">
        <f t="shared" si="1"/>
        <v>1542.2299999999996</v>
      </c>
      <c r="H19" s="455">
        <f t="shared" si="2"/>
        <v>1.0928004900483008</v>
      </c>
      <c r="I19" s="402">
        <v>21000</v>
      </c>
      <c r="J19" s="403">
        <v>300</v>
      </c>
      <c r="K19" s="393">
        <f t="shared" si="0"/>
        <v>21300</v>
      </c>
      <c r="L19" s="454">
        <f t="shared" si="3"/>
        <v>3139</v>
      </c>
      <c r="M19" s="456">
        <f t="shared" si="4"/>
        <v>1.1728429051263698</v>
      </c>
      <c r="N19"/>
      <c r="O19"/>
      <c r="P19"/>
    </row>
    <row r="20" spans="1:16" ht="15.75" customHeight="1">
      <c r="A20" s="457" t="s">
        <v>22</v>
      </c>
      <c r="B20" s="560">
        <v>0</v>
      </c>
      <c r="C20" s="393">
        <v>0</v>
      </c>
      <c r="D20" s="402"/>
      <c r="E20" s="403"/>
      <c r="F20" s="393">
        <f t="shared" si="5"/>
        <v>0</v>
      </c>
      <c r="G20" s="454">
        <f t="shared" si="1"/>
        <v>0</v>
      </c>
      <c r="H20" s="455"/>
      <c r="I20" s="402"/>
      <c r="J20" s="403"/>
      <c r="K20" s="393">
        <f t="shared" si="0"/>
        <v>0</v>
      </c>
      <c r="L20" s="454">
        <f t="shared" si="3"/>
        <v>0</v>
      </c>
      <c r="M20" s="456"/>
      <c r="N20"/>
      <c r="O20"/>
      <c r="P20"/>
    </row>
    <row r="21" spans="1:16" ht="15.75" customHeight="1">
      <c r="A21" s="450" t="s">
        <v>23</v>
      </c>
      <c r="B21" s="560">
        <v>46478</v>
      </c>
      <c r="C21" s="393">
        <v>49137.96</v>
      </c>
      <c r="D21" s="402"/>
      <c r="E21" s="403">
        <v>42916</v>
      </c>
      <c r="F21" s="393">
        <f t="shared" si="5"/>
        <v>42916</v>
      </c>
      <c r="G21" s="454">
        <f t="shared" si="1"/>
        <v>-6221.959999999999</v>
      </c>
      <c r="H21" s="455">
        <f t="shared" si="2"/>
        <v>0.8733777307808465</v>
      </c>
      <c r="I21" s="402"/>
      <c r="J21" s="403">
        <v>44640</v>
      </c>
      <c r="K21" s="393">
        <f t="shared" si="0"/>
        <v>44640</v>
      </c>
      <c r="L21" s="454">
        <f t="shared" si="3"/>
        <v>1724</v>
      </c>
      <c r="M21" s="456">
        <f t="shared" si="4"/>
        <v>1.0401714978096748</v>
      </c>
      <c r="N21"/>
      <c r="O21"/>
      <c r="P21"/>
    </row>
    <row r="22" spans="1:16" ht="15.75" customHeight="1">
      <c r="A22" s="450" t="s">
        <v>24</v>
      </c>
      <c r="B22" s="560">
        <v>46457</v>
      </c>
      <c r="C22" s="393">
        <v>46079.67</v>
      </c>
      <c r="D22" s="402">
        <v>53853</v>
      </c>
      <c r="E22" s="403">
        <v>2537</v>
      </c>
      <c r="F22" s="393">
        <f t="shared" si="5"/>
        <v>56390</v>
      </c>
      <c r="G22" s="454">
        <f t="shared" si="1"/>
        <v>10310.330000000002</v>
      </c>
      <c r="H22" s="455">
        <f t="shared" si="2"/>
        <v>1.2237500832796764</v>
      </c>
      <c r="I22" s="402">
        <v>53700</v>
      </c>
      <c r="J22" s="403">
        <v>2800</v>
      </c>
      <c r="K22" s="393">
        <f t="shared" si="0"/>
        <v>56500</v>
      </c>
      <c r="L22" s="454">
        <f t="shared" si="3"/>
        <v>110</v>
      </c>
      <c r="M22" s="456">
        <f t="shared" si="4"/>
        <v>1.0019507004788084</v>
      </c>
      <c r="N22"/>
      <c r="O22"/>
      <c r="P22"/>
    </row>
    <row r="23" spans="1:16" ht="15.75" customHeight="1">
      <c r="A23" s="457" t="s">
        <v>25</v>
      </c>
      <c r="B23" s="560">
        <v>10100</v>
      </c>
      <c r="C23" s="393">
        <v>11672.01</v>
      </c>
      <c r="D23" s="402">
        <v>13009</v>
      </c>
      <c r="E23" s="403"/>
      <c r="F23" s="393">
        <f t="shared" si="5"/>
        <v>13009</v>
      </c>
      <c r="G23" s="454">
        <f t="shared" si="1"/>
        <v>1336.9899999999998</v>
      </c>
      <c r="H23" s="455">
        <f t="shared" si="2"/>
        <v>1.1145466804774842</v>
      </c>
      <c r="I23" s="402">
        <v>10800</v>
      </c>
      <c r="J23" s="403"/>
      <c r="K23" s="393">
        <f t="shared" si="0"/>
        <v>10800</v>
      </c>
      <c r="L23" s="454">
        <f t="shared" si="3"/>
        <v>-2209</v>
      </c>
      <c r="M23" s="456">
        <f t="shared" si="4"/>
        <v>0.8301944807441002</v>
      </c>
      <c r="N23"/>
      <c r="O23"/>
      <c r="P23"/>
    </row>
    <row r="24" spans="1:16" ht="15.75" customHeight="1">
      <c r="A24" s="450" t="s">
        <v>26</v>
      </c>
      <c r="B24" s="560">
        <v>35829</v>
      </c>
      <c r="C24" s="393">
        <v>31229.83</v>
      </c>
      <c r="D24" s="402">
        <v>40468</v>
      </c>
      <c r="E24" s="403">
        <v>2533</v>
      </c>
      <c r="F24" s="393">
        <f t="shared" si="5"/>
        <v>43001</v>
      </c>
      <c r="G24" s="454">
        <f t="shared" si="1"/>
        <v>11771.169999999998</v>
      </c>
      <c r="H24" s="455">
        <f t="shared" si="2"/>
        <v>1.3769207197093292</v>
      </c>
      <c r="I24" s="402">
        <v>42500</v>
      </c>
      <c r="J24" s="403">
        <v>2800</v>
      </c>
      <c r="K24" s="393">
        <f t="shared" si="0"/>
        <v>45300</v>
      </c>
      <c r="L24" s="454">
        <f t="shared" si="3"/>
        <v>2299</v>
      </c>
      <c r="M24" s="456">
        <f t="shared" si="4"/>
        <v>1.0534638729331876</v>
      </c>
      <c r="N24"/>
      <c r="O24"/>
      <c r="P24"/>
    </row>
    <row r="25" spans="1:16" ht="15.75" customHeight="1">
      <c r="A25" s="264" t="s">
        <v>27</v>
      </c>
      <c r="B25" s="560">
        <v>317455</v>
      </c>
      <c r="C25" s="393">
        <v>286563.41</v>
      </c>
      <c r="D25" s="402">
        <v>294749</v>
      </c>
      <c r="E25" s="403">
        <v>2404</v>
      </c>
      <c r="F25" s="393">
        <f t="shared" si="5"/>
        <v>297153</v>
      </c>
      <c r="G25" s="454">
        <f t="shared" si="1"/>
        <v>10589.590000000026</v>
      </c>
      <c r="H25" s="455">
        <f t="shared" si="2"/>
        <v>1.0369537408840857</v>
      </c>
      <c r="I25" s="402">
        <f>330274-4000*1.37</f>
        <v>324794</v>
      </c>
      <c r="J25" s="403">
        <f>SUM(J26+J29)</f>
        <v>2802</v>
      </c>
      <c r="K25" s="393">
        <f t="shared" si="0"/>
        <v>327596</v>
      </c>
      <c r="L25" s="454">
        <f t="shared" si="3"/>
        <v>30443</v>
      </c>
      <c r="M25" s="456">
        <f t="shared" si="4"/>
        <v>1.102448906792124</v>
      </c>
      <c r="N25"/>
      <c r="O25"/>
      <c r="P25"/>
    </row>
    <row r="26" spans="1:16" ht="15.75" customHeight="1">
      <c r="A26" s="457" t="s">
        <v>28</v>
      </c>
      <c r="B26" s="560">
        <v>231272</v>
      </c>
      <c r="C26" s="393">
        <v>209396.32</v>
      </c>
      <c r="D26" s="402">
        <v>215356</v>
      </c>
      <c r="E26" s="403">
        <v>1758</v>
      </c>
      <c r="F26" s="393">
        <f t="shared" si="5"/>
        <v>217114</v>
      </c>
      <c r="G26" s="454">
        <f t="shared" si="1"/>
        <v>7717.679999999993</v>
      </c>
      <c r="H26" s="455">
        <f t="shared" si="2"/>
        <v>1.036856808180774</v>
      </c>
      <c r="I26" s="402">
        <f>241273-4000</f>
        <v>237273</v>
      </c>
      <c r="J26" s="403">
        <f>SUM(J27+J28)</f>
        <v>2045</v>
      </c>
      <c r="K26" s="393">
        <f t="shared" si="0"/>
        <v>239318</v>
      </c>
      <c r="L26" s="454">
        <f t="shared" si="3"/>
        <v>22204</v>
      </c>
      <c r="M26" s="456">
        <f t="shared" si="4"/>
        <v>1.1022688541503542</v>
      </c>
      <c r="N26"/>
      <c r="O26"/>
      <c r="P26"/>
    </row>
    <row r="27" spans="1:16" ht="15.75" customHeight="1">
      <c r="A27" s="264" t="s">
        <v>29</v>
      </c>
      <c r="B27" s="561">
        <v>226372</v>
      </c>
      <c r="C27" s="448">
        <v>0</v>
      </c>
      <c r="D27" s="451">
        <v>203090</v>
      </c>
      <c r="E27" s="18">
        <v>1758</v>
      </c>
      <c r="F27" s="445">
        <f t="shared" si="5"/>
        <v>204848</v>
      </c>
      <c r="G27" s="454">
        <f t="shared" si="1"/>
        <v>204848</v>
      </c>
      <c r="H27" s="455"/>
      <c r="I27" s="451">
        <f>227780-4000</f>
        <v>223780</v>
      </c>
      <c r="J27" s="18">
        <v>2045</v>
      </c>
      <c r="K27" s="445">
        <f t="shared" si="0"/>
        <v>225825</v>
      </c>
      <c r="L27" s="454">
        <f t="shared" si="3"/>
        <v>20977</v>
      </c>
      <c r="M27" s="456">
        <f t="shared" si="4"/>
        <v>1.102402757166289</v>
      </c>
      <c r="N27"/>
      <c r="O27"/>
      <c r="P27"/>
    </row>
    <row r="28" spans="1:16" ht="15.75" customHeight="1">
      <c r="A28" s="457" t="s">
        <v>30</v>
      </c>
      <c r="B28" s="561">
        <v>4900</v>
      </c>
      <c r="C28" s="448">
        <v>0</v>
      </c>
      <c r="D28" s="451">
        <v>12266</v>
      </c>
      <c r="E28" s="18"/>
      <c r="F28" s="445">
        <f t="shared" si="5"/>
        <v>12266</v>
      </c>
      <c r="G28" s="454">
        <f t="shared" si="1"/>
        <v>12266</v>
      </c>
      <c r="H28" s="455"/>
      <c r="I28" s="451">
        <v>13493</v>
      </c>
      <c r="J28" s="18"/>
      <c r="K28" s="445">
        <f t="shared" si="0"/>
        <v>13493</v>
      </c>
      <c r="L28" s="454">
        <f t="shared" si="3"/>
        <v>1227</v>
      </c>
      <c r="M28" s="456">
        <f t="shared" si="4"/>
        <v>1.1000326104679603</v>
      </c>
      <c r="N28"/>
      <c r="O28"/>
      <c r="P28"/>
    </row>
    <row r="29" spans="1:16" ht="15.75" customHeight="1">
      <c r="A29" s="457" t="s">
        <v>31</v>
      </c>
      <c r="B29" s="561">
        <v>86183</v>
      </c>
      <c r="C29" s="448">
        <v>77167.09</v>
      </c>
      <c r="D29" s="402">
        <v>79393</v>
      </c>
      <c r="E29" s="403">
        <v>646</v>
      </c>
      <c r="F29" s="445">
        <f t="shared" si="5"/>
        <v>80039</v>
      </c>
      <c r="G29" s="454">
        <f t="shared" si="1"/>
        <v>2871.9100000000035</v>
      </c>
      <c r="H29" s="455">
        <f t="shared" si="2"/>
        <v>1.037216772072136</v>
      </c>
      <c r="I29" s="402">
        <f>89001-4000*0.37</f>
        <v>87521</v>
      </c>
      <c r="J29" s="403">
        <v>757</v>
      </c>
      <c r="K29" s="445">
        <f t="shared" si="0"/>
        <v>88278</v>
      </c>
      <c r="L29" s="454">
        <f t="shared" si="3"/>
        <v>8239</v>
      </c>
      <c r="M29" s="456">
        <f t="shared" si="4"/>
        <v>1.102937318057447</v>
      </c>
      <c r="N29"/>
      <c r="O29"/>
      <c r="P29"/>
    </row>
    <row r="30" spans="1:16" ht="15.75" customHeight="1">
      <c r="A30" s="264" t="s">
        <v>32</v>
      </c>
      <c r="B30" s="561">
        <v>46</v>
      </c>
      <c r="C30" s="448">
        <v>7.14</v>
      </c>
      <c r="D30" s="402">
        <v>67</v>
      </c>
      <c r="E30" s="403"/>
      <c r="F30" s="445">
        <f t="shared" si="5"/>
        <v>67</v>
      </c>
      <c r="G30" s="454">
        <f t="shared" si="1"/>
        <v>59.86</v>
      </c>
      <c r="H30" s="455">
        <f t="shared" si="2"/>
        <v>9.38375350140056</v>
      </c>
      <c r="I30" s="402">
        <v>60</v>
      </c>
      <c r="J30" s="403"/>
      <c r="K30" s="445">
        <f t="shared" si="0"/>
        <v>60</v>
      </c>
      <c r="L30" s="454">
        <f t="shared" si="3"/>
        <v>-7</v>
      </c>
      <c r="M30" s="456">
        <f t="shared" si="4"/>
        <v>0.8955223880597015</v>
      </c>
      <c r="N30"/>
      <c r="O30"/>
      <c r="P30"/>
    </row>
    <row r="31" spans="1:16" ht="15.75" customHeight="1">
      <c r="A31" s="264" t="s">
        <v>33</v>
      </c>
      <c r="B31" s="561">
        <v>3158</v>
      </c>
      <c r="C31" s="448">
        <v>4175.55</v>
      </c>
      <c r="D31" s="402">
        <v>3060</v>
      </c>
      <c r="E31" s="403">
        <v>9</v>
      </c>
      <c r="F31" s="445">
        <f t="shared" si="5"/>
        <v>3069</v>
      </c>
      <c r="G31" s="454">
        <f t="shared" si="1"/>
        <v>-1106.5500000000002</v>
      </c>
      <c r="H31" s="455">
        <f t="shared" si="2"/>
        <v>0.734992994934799</v>
      </c>
      <c r="I31" s="402">
        <v>4000</v>
      </c>
      <c r="J31" s="403">
        <v>10</v>
      </c>
      <c r="K31" s="445">
        <f t="shared" si="0"/>
        <v>4010</v>
      </c>
      <c r="L31" s="454">
        <f t="shared" si="3"/>
        <v>941</v>
      </c>
      <c r="M31" s="456">
        <f t="shared" si="4"/>
        <v>1.3066145324209841</v>
      </c>
      <c r="N31"/>
      <c r="O31"/>
      <c r="P31"/>
    </row>
    <row r="32" spans="1:16" ht="15.75" customHeight="1">
      <c r="A32" s="457" t="s">
        <v>34</v>
      </c>
      <c r="B32" s="561">
        <v>7605</v>
      </c>
      <c r="C32" s="448">
        <v>10306.29</v>
      </c>
      <c r="D32" s="402">
        <v>5390</v>
      </c>
      <c r="E32" s="403">
        <v>50</v>
      </c>
      <c r="F32" s="445">
        <f t="shared" si="5"/>
        <v>5440</v>
      </c>
      <c r="G32" s="454">
        <f t="shared" si="1"/>
        <v>-4866.290000000001</v>
      </c>
      <c r="H32" s="455">
        <f t="shared" si="2"/>
        <v>0.5278330029525659</v>
      </c>
      <c r="I32" s="402">
        <v>2000</v>
      </c>
      <c r="J32" s="403"/>
      <c r="K32" s="445">
        <f t="shared" si="0"/>
        <v>2000</v>
      </c>
      <c r="L32" s="454">
        <f t="shared" si="3"/>
        <v>-3440</v>
      </c>
      <c r="M32" s="456">
        <f t="shared" si="4"/>
        <v>0.36764705882352944</v>
      </c>
      <c r="N32"/>
      <c r="O32"/>
      <c r="P32"/>
    </row>
    <row r="33" spans="1:16" ht="15.75" customHeight="1">
      <c r="A33" s="457" t="s">
        <v>35</v>
      </c>
      <c r="B33" s="561">
        <v>2844</v>
      </c>
      <c r="C33" s="448">
        <v>6712.75</v>
      </c>
      <c r="D33" s="402">
        <v>2999</v>
      </c>
      <c r="E33" s="403"/>
      <c r="F33" s="445">
        <f t="shared" si="5"/>
        <v>2999</v>
      </c>
      <c r="G33" s="454">
        <f t="shared" si="1"/>
        <v>-3713.75</v>
      </c>
      <c r="H33" s="455">
        <f t="shared" si="2"/>
        <v>0.4467617593385721</v>
      </c>
      <c r="I33" s="402">
        <v>2000</v>
      </c>
      <c r="J33" s="403"/>
      <c r="K33" s="445">
        <f t="shared" si="0"/>
        <v>2000</v>
      </c>
      <c r="L33" s="454">
        <f t="shared" si="3"/>
        <v>-999</v>
      </c>
      <c r="M33" s="456">
        <f t="shared" si="4"/>
        <v>0.6668889629876625</v>
      </c>
      <c r="N33"/>
      <c r="O33"/>
      <c r="P33"/>
    </row>
    <row r="34" spans="1:16" ht="15.75" customHeight="1" thickBot="1">
      <c r="A34" s="467" t="s">
        <v>36</v>
      </c>
      <c r="B34" s="561">
        <v>855</v>
      </c>
      <c r="C34" s="448">
        <v>749.76</v>
      </c>
      <c r="D34" s="396"/>
      <c r="E34" s="459"/>
      <c r="F34" s="445">
        <f t="shared" si="5"/>
        <v>0</v>
      </c>
      <c r="G34" s="460">
        <f t="shared" si="1"/>
        <v>-749.76</v>
      </c>
      <c r="H34" s="461">
        <f t="shared" si="2"/>
        <v>0</v>
      </c>
      <c r="I34" s="396"/>
      <c r="J34" s="459">
        <v>0</v>
      </c>
      <c r="K34" s="445">
        <f t="shared" si="0"/>
        <v>0</v>
      </c>
      <c r="L34" s="454">
        <f t="shared" si="3"/>
        <v>0</v>
      </c>
      <c r="M34" s="456"/>
      <c r="N34"/>
      <c r="O34"/>
      <c r="P34"/>
    </row>
    <row r="35" spans="1:16" ht="15.75" customHeight="1" thickBot="1">
      <c r="A35" s="19" t="s">
        <v>37</v>
      </c>
      <c r="B35" s="259">
        <v>567589</v>
      </c>
      <c r="C35" s="22">
        <v>548196.39</v>
      </c>
      <c r="D35" s="20">
        <f>SUM(D17+D19+D20+D21+D22+D25+D30+D31+D32+D34)</f>
        <v>520442</v>
      </c>
      <c r="E35" s="21">
        <f>SUM(E17+E19+E20+E21+E22+E25+E30+E31+E32+E34)</f>
        <v>48263</v>
      </c>
      <c r="F35" s="22">
        <f t="shared" si="5"/>
        <v>568705</v>
      </c>
      <c r="G35" s="547">
        <f t="shared" si="1"/>
        <v>20508.609999999986</v>
      </c>
      <c r="H35" s="548">
        <f t="shared" si="2"/>
        <v>1.0374110635788754</v>
      </c>
      <c r="I35" s="20">
        <f>SUM(I17+I19+I20+I21+I22+I25+I30+I31+I32+I34)</f>
        <v>550488</v>
      </c>
      <c r="J35" s="21">
        <f>SUM(J17+J19+J20+J21+J22+J25+J30+J31+J32+J34)</f>
        <v>50618</v>
      </c>
      <c r="K35" s="22">
        <f t="shared" si="0"/>
        <v>601106</v>
      </c>
      <c r="L35"/>
      <c r="M35"/>
      <c r="N35"/>
      <c r="O35"/>
      <c r="P35"/>
    </row>
    <row r="36" spans="1:16" ht="15.75" customHeight="1" thickBot="1">
      <c r="A36" s="19" t="s">
        <v>38</v>
      </c>
      <c r="B36" s="562">
        <f>+B16-B35</f>
        <v>-50784</v>
      </c>
      <c r="C36" s="551">
        <v>-491.3399999999674</v>
      </c>
      <c r="D36" s="1069">
        <f>+F16-F35</f>
        <v>185</v>
      </c>
      <c r="E36" s="1070">
        <f>SUM(E16-E35)</f>
        <v>3873.769999999997</v>
      </c>
      <c r="F36" s="1071">
        <f>SUM(F16-F35)</f>
        <v>185</v>
      </c>
      <c r="G36" s="549">
        <f>+D36-C36</f>
        <v>676.3399999999674</v>
      </c>
      <c r="H36" s="550">
        <f>+D36/C36</f>
        <v>-0.3765213497781827</v>
      </c>
      <c r="I36" s="1069">
        <f>+K16-K35</f>
        <v>-12567.14599999995</v>
      </c>
      <c r="J36" s="1070">
        <f>SUM(J16-J35)</f>
        <v>0</v>
      </c>
      <c r="K36" s="1071">
        <f>SUM(K16-K35)</f>
        <v>-12567.14599999995</v>
      </c>
      <c r="L36"/>
      <c r="M36"/>
      <c r="N36"/>
      <c r="O36"/>
      <c r="P36"/>
    </row>
    <row r="37" spans="1:16" ht="20.25" customHeight="1" thickBot="1">
      <c r="A37" s="25" t="s">
        <v>39</v>
      </c>
      <c r="B37" s="563">
        <v>-285584</v>
      </c>
      <c r="C37" s="564">
        <v>-325173.09</v>
      </c>
      <c r="D37" s="1062">
        <v>-44271.79</v>
      </c>
      <c r="E37" s="1063"/>
      <c r="F37" s="1064"/>
      <c r="G37"/>
      <c r="H37"/>
      <c r="I37"/>
      <c r="J37"/>
      <c r="K37"/>
      <c r="L37"/>
      <c r="M37"/>
      <c r="N37"/>
      <c r="O37"/>
      <c r="P37"/>
    </row>
    <row r="38" spans="1:16" ht="19.5" customHeight="1" thickBot="1">
      <c r="A38" s="26" t="s">
        <v>40</v>
      </c>
      <c r="B38" s="562">
        <f>+B37+B36</f>
        <v>-336368</v>
      </c>
      <c r="C38" s="551">
        <v>-325664.43</v>
      </c>
      <c r="D38" s="1062">
        <f>+D37+D36</f>
        <v>-44086.79</v>
      </c>
      <c r="E38" s="1063"/>
      <c r="F38" s="1064"/>
      <c r="G38" s="553"/>
      <c r="H38" s="554"/>
      <c r="L38"/>
      <c r="M38"/>
      <c r="N38"/>
      <c r="O38"/>
      <c r="P38"/>
    </row>
    <row r="39" spans="2:10" ht="13.5" thickBot="1">
      <c r="B39" s="276"/>
      <c r="C39" s="276"/>
      <c r="D39" s="468"/>
      <c r="E39" s="552"/>
      <c r="F39" s="552"/>
      <c r="G39" s="552"/>
      <c r="H39" s="276"/>
      <c r="J39" s="469"/>
    </row>
    <row r="40" spans="1:34" s="27" customFormat="1" ht="17.25" customHeight="1">
      <c r="A40" s="1047" t="s">
        <v>171</v>
      </c>
      <c r="B40" s="1048"/>
      <c r="C40" s="1048"/>
      <c r="D40" s="1048"/>
      <c r="E40" s="1048"/>
      <c r="F40" s="1048"/>
      <c r="G40" s="1048"/>
      <c r="H40" s="1048"/>
      <c r="I40" s="1048"/>
      <c r="J40" s="1048"/>
      <c r="K40" s="997"/>
      <c r="N40"/>
      <c r="O40"/>
      <c r="T40" s="346"/>
      <c r="U40" s="346"/>
      <c r="V40" s="346"/>
      <c r="W40" s="346"/>
      <c r="X40" s="346"/>
      <c r="Y40" s="346"/>
      <c r="Z40" s="346"/>
      <c r="AA40" s="346"/>
      <c r="AB40" s="346"/>
      <c r="AC40" s="346"/>
      <c r="AD40" s="346"/>
      <c r="AE40" s="346"/>
      <c r="AF40" s="346"/>
      <c r="AG40" s="346"/>
      <c r="AH40" s="346"/>
    </row>
    <row r="41" spans="1:24" s="27" customFormat="1" ht="18" customHeight="1">
      <c r="A41" s="1081" t="s">
        <v>42</v>
      </c>
      <c r="B41" s="1020" t="s">
        <v>157</v>
      </c>
      <c r="C41" s="1021"/>
      <c r="D41" s="1021"/>
      <c r="E41" s="1021"/>
      <c r="F41" s="1022"/>
      <c r="G41" s="1020" t="s">
        <v>158</v>
      </c>
      <c r="H41" s="1021"/>
      <c r="I41" s="1021"/>
      <c r="J41" s="1021"/>
      <c r="K41" s="1022"/>
      <c r="L41" s="346"/>
      <c r="M41" s="346"/>
      <c r="N41" s="346"/>
      <c r="O41" s="346"/>
      <c r="P41" s="346"/>
      <c r="Q41" s="346"/>
      <c r="R41" s="346"/>
      <c r="S41" s="346"/>
      <c r="T41" s="346"/>
      <c r="U41" s="346"/>
      <c r="V41" s="346"/>
      <c r="W41" s="346"/>
      <c r="X41" s="346"/>
    </row>
    <row r="42" spans="1:24" ht="20.25" customHeight="1" thickBot="1">
      <c r="A42" s="1082"/>
      <c r="B42" s="470">
        <v>2004</v>
      </c>
      <c r="C42" s="28">
        <v>2005</v>
      </c>
      <c r="D42" s="28">
        <v>2006</v>
      </c>
      <c r="E42" s="29" t="s">
        <v>7</v>
      </c>
      <c r="F42" s="30" t="s">
        <v>48</v>
      </c>
      <c r="G42" s="31">
        <v>2004</v>
      </c>
      <c r="H42" s="28">
        <v>2005</v>
      </c>
      <c r="I42" s="28">
        <v>2006</v>
      </c>
      <c r="J42" s="29" t="s">
        <v>7</v>
      </c>
      <c r="K42" s="30" t="s">
        <v>48</v>
      </c>
      <c r="Q42" s="276"/>
      <c r="R42" s="276"/>
      <c r="S42" s="276"/>
      <c r="T42" s="276"/>
      <c r="U42" s="276"/>
      <c r="V42" s="276"/>
      <c r="W42" s="276"/>
      <c r="X42" s="276"/>
    </row>
    <row r="43" spans="1:24" s="27" customFormat="1" ht="23.25" customHeight="1">
      <c r="A43" s="472" t="s">
        <v>269</v>
      </c>
      <c r="B43" s="473">
        <v>1627000</v>
      </c>
      <c r="C43" s="32">
        <v>6072000</v>
      </c>
      <c r="D43" s="32">
        <v>1469000</v>
      </c>
      <c r="E43" s="24">
        <f>+D43-C43</f>
        <v>-4603000</v>
      </c>
      <c r="F43" s="33">
        <f aca="true" t="shared" si="6" ref="F43:F48">+D43/C43</f>
        <v>0.24193017127799737</v>
      </c>
      <c r="G43" s="34"/>
      <c r="H43" s="35"/>
      <c r="I43" s="35"/>
      <c r="J43" s="24">
        <f>+H43-G43</f>
        <v>0</v>
      </c>
      <c r="K43" s="33"/>
      <c r="L43" s="346"/>
      <c r="M43" s="346"/>
      <c r="N43" s="346"/>
      <c r="O43" s="346"/>
      <c r="P43" s="346"/>
      <c r="Q43" s="346"/>
      <c r="R43" s="346"/>
      <c r="S43" s="346"/>
      <c r="T43" s="346"/>
      <c r="U43" s="346"/>
      <c r="V43" s="346"/>
      <c r="W43" s="346"/>
      <c r="X43" s="346"/>
    </row>
    <row r="44" spans="1:24" s="27" customFormat="1" ht="23.25" customHeight="1">
      <c r="A44" s="407" t="s">
        <v>287</v>
      </c>
      <c r="B44" s="474">
        <v>13159000</v>
      </c>
      <c r="C44" s="32">
        <v>8765000</v>
      </c>
      <c r="D44" s="32">
        <v>17300000</v>
      </c>
      <c r="E44" s="24">
        <f aca="true" t="shared" si="7" ref="E44:E50">+D44-C44</f>
        <v>8535000</v>
      </c>
      <c r="F44" s="33">
        <f t="shared" si="6"/>
        <v>1.9737592698231603</v>
      </c>
      <c r="G44" s="34">
        <v>14941000</v>
      </c>
      <c r="H44" s="35">
        <v>25835000</v>
      </c>
      <c r="I44" s="35">
        <v>17300000</v>
      </c>
      <c r="J44" s="36">
        <f>+I44-H44</f>
        <v>-8535000</v>
      </c>
      <c r="K44" s="37">
        <f>+I44/H44</f>
        <v>0.6696342171472808</v>
      </c>
      <c r="L44" s="346"/>
      <c r="M44" s="346"/>
      <c r="N44" s="346"/>
      <c r="O44" s="346"/>
      <c r="P44" s="346"/>
      <c r="Q44" s="346"/>
      <c r="R44" s="346"/>
      <c r="S44" s="346"/>
      <c r="T44" s="346"/>
      <c r="U44" s="346"/>
      <c r="V44" s="346"/>
      <c r="W44" s="346"/>
      <c r="X44" s="346"/>
    </row>
    <row r="45" spans="1:24" s="27" customFormat="1" ht="23.25" customHeight="1">
      <c r="A45" s="475" t="s">
        <v>270</v>
      </c>
      <c r="B45" s="474">
        <v>201935.4</v>
      </c>
      <c r="C45" s="32">
        <v>370591</v>
      </c>
      <c r="D45" s="32">
        <v>22854</v>
      </c>
      <c r="E45" s="24">
        <f t="shared" si="7"/>
        <v>-347737</v>
      </c>
      <c r="F45" s="33">
        <f t="shared" si="6"/>
        <v>0.06166906373873084</v>
      </c>
      <c r="G45" s="34">
        <v>244663.6</v>
      </c>
      <c r="H45" s="35"/>
      <c r="I45" s="35"/>
      <c r="J45" s="36">
        <f aca="true" t="shared" si="8" ref="J45:J50">+I45-H45</f>
        <v>0</v>
      </c>
      <c r="K45" s="37"/>
      <c r="L45" s="346"/>
      <c r="M45" s="346"/>
      <c r="N45" s="346"/>
      <c r="O45" s="346"/>
      <c r="P45" s="346"/>
      <c r="Q45" s="346"/>
      <c r="R45" s="346"/>
      <c r="S45" s="346"/>
      <c r="T45" s="346"/>
      <c r="U45" s="346"/>
      <c r="V45" s="346"/>
      <c r="W45" s="346"/>
      <c r="X45" s="346"/>
    </row>
    <row r="46" spans="1:28" s="27" customFormat="1" ht="23.25" customHeight="1">
      <c r="A46" s="475" t="s">
        <v>271</v>
      </c>
      <c r="B46" s="474">
        <v>108545.5</v>
      </c>
      <c r="C46" s="32">
        <v>257769.4</v>
      </c>
      <c r="D46" s="32"/>
      <c r="E46" s="24">
        <f t="shared" si="7"/>
        <v>-257769.4</v>
      </c>
      <c r="F46" s="33">
        <f t="shared" si="6"/>
        <v>0</v>
      </c>
      <c r="G46" s="34"/>
      <c r="H46" s="35"/>
      <c r="I46" s="35"/>
      <c r="J46" s="36">
        <f t="shared" si="8"/>
        <v>0</v>
      </c>
      <c r="K46" s="37"/>
      <c r="N46" s="346"/>
      <c r="O46" s="346"/>
      <c r="P46" s="346"/>
      <c r="Q46" s="346"/>
      <c r="R46" s="346"/>
      <c r="S46" s="346"/>
      <c r="T46" s="346"/>
      <c r="U46" s="346"/>
      <c r="V46" s="346"/>
      <c r="W46" s="346"/>
      <c r="X46" s="346"/>
      <c r="Y46" s="346"/>
      <c r="Z46" s="346"/>
      <c r="AA46" s="346"/>
      <c r="AB46" s="346"/>
    </row>
    <row r="47" spans="1:28" s="27" customFormat="1" ht="23.25" customHeight="1">
      <c r="A47" s="475" t="s">
        <v>49</v>
      </c>
      <c r="B47" s="476">
        <v>1650000</v>
      </c>
      <c r="C47" s="32">
        <v>22000</v>
      </c>
      <c r="D47" s="32"/>
      <c r="E47" s="24">
        <f t="shared" si="7"/>
        <v>-22000</v>
      </c>
      <c r="F47" s="33">
        <f t="shared" si="6"/>
        <v>0</v>
      </c>
      <c r="G47" s="38">
        <v>18409999.99</v>
      </c>
      <c r="H47" s="409"/>
      <c r="I47" s="409"/>
      <c r="J47" s="36">
        <f t="shared" si="8"/>
        <v>0</v>
      </c>
      <c r="K47" s="37"/>
      <c r="L47"/>
      <c r="M47"/>
      <c r="N47" s="346"/>
      <c r="O47" s="346"/>
      <c r="P47" s="346"/>
      <c r="Q47" s="346"/>
      <c r="R47" s="346"/>
      <c r="S47" s="346"/>
      <c r="T47" s="346"/>
      <c r="U47" s="346"/>
      <c r="V47" s="346"/>
      <c r="W47" s="346"/>
      <c r="X47" s="346"/>
      <c r="Y47" s="346"/>
      <c r="Z47" s="346"/>
      <c r="AA47" s="346"/>
      <c r="AB47" s="346"/>
    </row>
    <row r="48" spans="1:28" s="27" customFormat="1" ht="23.25" customHeight="1">
      <c r="A48" s="475" t="s">
        <v>290</v>
      </c>
      <c r="B48" s="474">
        <v>23000</v>
      </c>
      <c r="C48" s="32">
        <v>45000</v>
      </c>
      <c r="D48" s="32"/>
      <c r="E48" s="24">
        <f t="shared" si="7"/>
        <v>-45000</v>
      </c>
      <c r="F48" s="33">
        <f t="shared" si="6"/>
        <v>0</v>
      </c>
      <c r="G48" s="34"/>
      <c r="H48" s="35"/>
      <c r="I48" s="35"/>
      <c r="J48" s="36">
        <f t="shared" si="8"/>
        <v>0</v>
      </c>
      <c r="K48" s="37"/>
      <c r="L48"/>
      <c r="M48"/>
      <c r="N48" s="346"/>
      <c r="O48" s="346"/>
      <c r="P48" s="346"/>
      <c r="Q48" s="346"/>
      <c r="R48" s="346"/>
      <c r="S48" s="346"/>
      <c r="T48" s="346"/>
      <c r="U48" s="346"/>
      <c r="V48" s="346"/>
      <c r="W48" s="346"/>
      <c r="X48" s="346"/>
      <c r="Y48" s="346"/>
      <c r="Z48" s="346"/>
      <c r="AA48" s="346"/>
      <c r="AB48" s="346"/>
    </row>
    <row r="49" spans="1:28" s="27" customFormat="1" ht="23.25" customHeight="1">
      <c r="A49" s="408" t="s">
        <v>272</v>
      </c>
      <c r="B49" s="474"/>
      <c r="C49" s="32"/>
      <c r="D49" s="32"/>
      <c r="E49" s="24">
        <f t="shared" si="7"/>
        <v>0</v>
      </c>
      <c r="F49" s="33"/>
      <c r="G49" s="34"/>
      <c r="H49" s="35">
        <v>20452000</v>
      </c>
      <c r="I49" s="35"/>
      <c r="J49" s="36">
        <f t="shared" si="8"/>
        <v>-20452000</v>
      </c>
      <c r="K49" s="37"/>
      <c r="L49" s="346"/>
      <c r="M49" s="346"/>
      <c r="N49" s="346"/>
      <c r="O49" s="346"/>
      <c r="P49" s="346"/>
      <c r="Q49" s="346"/>
      <c r="R49" s="346"/>
      <c r="S49" s="346"/>
      <c r="T49" s="346"/>
      <c r="U49" s="346"/>
      <c r="V49" s="346"/>
      <c r="W49" s="346"/>
      <c r="X49" s="346"/>
      <c r="Y49" s="346"/>
      <c r="Z49" s="346"/>
      <c r="AA49" s="346"/>
      <c r="AB49" s="346"/>
    </row>
    <row r="50" spans="1:28" s="27" customFormat="1" ht="20.25" customHeight="1" thickBot="1">
      <c r="A50" s="348"/>
      <c r="B50" s="474"/>
      <c r="C50" s="32"/>
      <c r="D50" s="32"/>
      <c r="E50" s="24">
        <f t="shared" si="7"/>
        <v>0</v>
      </c>
      <c r="F50" s="33"/>
      <c r="G50" s="34"/>
      <c r="H50" s="478"/>
      <c r="I50" s="478"/>
      <c r="J50" s="36">
        <f t="shared" si="8"/>
        <v>0</v>
      </c>
      <c r="K50" s="37"/>
      <c r="L50" s="346"/>
      <c r="M50" s="346"/>
      <c r="N50" s="346"/>
      <c r="O50" s="346"/>
      <c r="P50" s="346"/>
      <c r="Q50" s="346"/>
      <c r="R50" s="346"/>
      <c r="S50" s="346"/>
      <c r="T50" s="346"/>
      <c r="U50" s="346"/>
      <c r="V50" s="346"/>
      <c r="W50" s="346"/>
      <c r="X50" s="346"/>
      <c r="Y50" s="346"/>
      <c r="Z50" s="346"/>
      <c r="AA50" s="346"/>
      <c r="AB50" s="346"/>
    </row>
    <row r="51" spans="1:28" s="27" customFormat="1" ht="18.75" customHeight="1" thickBot="1">
      <c r="A51" s="479" t="s">
        <v>54</v>
      </c>
      <c r="B51" s="39">
        <f>SUM(B43:B50)</f>
        <v>16769480.9</v>
      </c>
      <c r="C51" s="40">
        <f>SUM(C43:C50)</f>
        <v>15532360.4</v>
      </c>
      <c r="D51" s="40">
        <f>SUM(D43:D50)</f>
        <v>18791854</v>
      </c>
      <c r="E51" s="41">
        <f>+D51-C51</f>
        <v>3259493.5999999996</v>
      </c>
      <c r="F51" s="42">
        <f>+D51/C51</f>
        <v>1.2098517878840875</v>
      </c>
      <c r="G51" s="23">
        <f>SUM(G43:G50)</f>
        <v>33595663.589999996</v>
      </c>
      <c r="H51" s="40">
        <f>SUM(H43:H50)</f>
        <v>46287000</v>
      </c>
      <c r="I51" s="40">
        <f>SUM(I43:I50)</f>
        <v>17300000</v>
      </c>
      <c r="J51" s="41">
        <f>+I51-H51</f>
        <v>-28987000</v>
      </c>
      <c r="K51" s="42">
        <f>+I51/H51</f>
        <v>0.3737550500140428</v>
      </c>
      <c r="L51" s="346"/>
      <c r="M51" s="346"/>
      <c r="N51" s="346"/>
      <c r="O51" s="346"/>
      <c r="P51" s="346"/>
      <c r="Q51" s="346"/>
      <c r="R51" s="346"/>
      <c r="S51" s="346"/>
      <c r="T51" s="346"/>
      <c r="U51" s="346"/>
      <c r="V51" s="346"/>
      <c r="W51" s="346"/>
      <c r="X51" s="346"/>
      <c r="Y51" s="346"/>
      <c r="Z51" s="346"/>
      <c r="AA51" s="346"/>
      <c r="AB51" s="346"/>
    </row>
    <row r="52" spans="1:16" ht="18.75" customHeight="1" thickBot="1">
      <c r="A52"/>
      <c r="B52"/>
      <c r="C52"/>
      <c r="D52"/>
      <c r="E52"/>
      <c r="F52"/>
      <c r="G52"/>
      <c r="H52"/>
      <c r="I52"/>
      <c r="J52"/>
      <c r="K52"/>
      <c r="L52"/>
      <c r="M52"/>
      <c r="N52"/>
      <c r="O52"/>
      <c r="P52"/>
    </row>
    <row r="53" spans="1:16" ht="12.75" customHeight="1">
      <c r="A53" s="1049" t="s">
        <v>41</v>
      </c>
      <c r="B53" s="1025" t="s">
        <v>248</v>
      </c>
      <c r="C53" s="1026"/>
      <c r="D53" s="1026"/>
      <c r="E53" s="1026"/>
      <c r="F53" s="1026"/>
      <c r="G53" s="1026"/>
      <c r="H53" s="1025" t="s">
        <v>156</v>
      </c>
      <c r="I53" s="1027"/>
      <c r="J53" s="1027"/>
      <c r="K53" s="1028"/>
      <c r="L53"/>
      <c r="M53"/>
      <c r="N53"/>
      <c r="O53"/>
      <c r="P53"/>
    </row>
    <row r="54" spans="1:16" ht="27.75" customHeight="1" thickBot="1">
      <c r="A54" s="1050" t="s">
        <v>44</v>
      </c>
      <c r="B54" s="1023" t="s">
        <v>45</v>
      </c>
      <c r="C54" s="1024"/>
      <c r="D54" s="1023" t="s">
        <v>46</v>
      </c>
      <c r="E54" s="1024"/>
      <c r="F54" s="1023" t="s">
        <v>47</v>
      </c>
      <c r="G54" s="1024"/>
      <c r="H54" s="296" t="s">
        <v>50</v>
      </c>
      <c r="I54" s="296" t="s">
        <v>52</v>
      </c>
      <c r="J54" s="297" t="s">
        <v>51</v>
      </c>
      <c r="K54" s="239" t="s">
        <v>53</v>
      </c>
      <c r="L54"/>
      <c r="M54"/>
      <c r="N54"/>
      <c r="O54"/>
      <c r="P54"/>
    </row>
    <row r="55" spans="1:16" ht="18.75" customHeight="1">
      <c r="A55" s="607">
        <v>2004</v>
      </c>
      <c r="B55" s="1029">
        <f>+G44+B44</f>
        <v>28100000</v>
      </c>
      <c r="C55" s="1030"/>
      <c r="D55" s="1029">
        <v>20500000</v>
      </c>
      <c r="E55" s="1030"/>
      <c r="F55" s="1029">
        <v>7600000</v>
      </c>
      <c r="G55" s="1030"/>
      <c r="H55" s="540">
        <f>+G44/B55</f>
        <v>0.5317081850533808</v>
      </c>
      <c r="I55" s="540">
        <f>(23977466-1995000-16415000-136-244663)/B55</f>
        <v>0.18941875444839856</v>
      </c>
      <c r="J55" s="540">
        <f>9619233/B55</f>
        <v>0.3423214590747331</v>
      </c>
      <c r="K55" s="608">
        <f>+B44/B55</f>
        <v>0.4682918149466192</v>
      </c>
      <c r="L55"/>
      <c r="M55"/>
      <c r="N55"/>
      <c r="O55"/>
      <c r="P55"/>
    </row>
    <row r="56" spans="1:16" ht="18.75" customHeight="1">
      <c r="A56" s="542">
        <v>2005</v>
      </c>
      <c r="B56" s="1051">
        <f>+H44+C44</f>
        <v>34600000</v>
      </c>
      <c r="C56" s="1052"/>
      <c r="D56" s="1051">
        <v>26400000</v>
      </c>
      <c r="E56" s="1052"/>
      <c r="F56" s="1051">
        <v>8200000</v>
      </c>
      <c r="G56" s="1052"/>
      <c r="H56" s="541">
        <f>+H44/B56</f>
        <v>0.7466763005780347</v>
      </c>
      <c r="I56" s="541">
        <f>14169950.3/B56</f>
        <v>0.4095361358381503</v>
      </c>
      <c r="J56" s="541">
        <f>11665049.7/B56</f>
        <v>0.3371401647398844</v>
      </c>
      <c r="K56" s="543">
        <f>+C44/B56</f>
        <v>0.2533236994219653</v>
      </c>
      <c r="L56"/>
      <c r="M56"/>
      <c r="N56"/>
      <c r="O56"/>
      <c r="P56"/>
    </row>
    <row r="57" spans="1:16" ht="18.75" customHeight="1" thickBot="1">
      <c r="A57" s="544">
        <v>2006</v>
      </c>
      <c r="B57" s="1053">
        <f>+B56</f>
        <v>34600000</v>
      </c>
      <c r="C57" s="1054"/>
      <c r="D57" s="1053">
        <f>+D56</f>
        <v>26400000</v>
      </c>
      <c r="E57" s="1054"/>
      <c r="F57" s="1053">
        <f>+F56</f>
        <v>8200000</v>
      </c>
      <c r="G57" s="1054"/>
      <c r="H57" s="477">
        <f>+E88/B57</f>
        <v>0.5</v>
      </c>
      <c r="I57" s="477">
        <f>+E72/B57</f>
        <v>0.014450867052023121</v>
      </c>
      <c r="J57" s="477">
        <f>+E86/B57</f>
        <v>0.48554913294797686</v>
      </c>
      <c r="K57" s="545">
        <f>+(D44)/B57</f>
        <v>0.5</v>
      </c>
      <c r="L57"/>
      <c r="M57"/>
      <c r="N57"/>
      <c r="O57"/>
      <c r="P57"/>
    </row>
    <row r="58" spans="1:16" ht="18.75" customHeight="1">
      <c r="A58"/>
      <c r="B58"/>
      <c r="C58"/>
      <c r="D58"/>
      <c r="E58"/>
      <c r="F58"/>
      <c r="G58"/>
      <c r="H58"/>
      <c r="I58"/>
      <c r="J58"/>
      <c r="K58"/>
      <c r="L58"/>
      <c r="M58"/>
      <c r="N58"/>
      <c r="O58"/>
      <c r="P58"/>
    </row>
    <row r="59" spans="1:16" ht="18.75" customHeight="1" thickBot="1">
      <c r="A59" s="184" t="s">
        <v>249</v>
      </c>
      <c r="B59" s="140"/>
      <c r="C59" s="140"/>
      <c r="D59"/>
      <c r="E59"/>
      <c r="F59"/>
      <c r="G59"/>
      <c r="H59"/>
      <c r="I59"/>
      <c r="J59"/>
      <c r="K59"/>
      <c r="L59"/>
      <c r="M59"/>
      <c r="N59"/>
      <c r="O59"/>
      <c r="P59"/>
    </row>
    <row r="60" spans="1:16" ht="18.75" customHeight="1" thickBot="1">
      <c r="A60" s="126" t="s">
        <v>162</v>
      </c>
      <c r="B60" s="115"/>
      <c r="C60" s="116"/>
      <c r="D60"/>
      <c r="E60"/>
      <c r="F60"/>
      <c r="G60"/>
      <c r="H60"/>
      <c r="I60"/>
      <c r="J60"/>
      <c r="K60"/>
      <c r="L60"/>
      <c r="M60"/>
      <c r="N60"/>
      <c r="O60"/>
      <c r="P60"/>
    </row>
    <row r="61" spans="1:16" ht="18.75" customHeight="1">
      <c r="A61" s="1035" t="s">
        <v>138</v>
      </c>
      <c r="B61" s="1036"/>
      <c r="C61" s="605">
        <f>+I15</f>
        <v>18791.854</v>
      </c>
      <c r="D61"/>
      <c r="E61"/>
      <c r="F61"/>
      <c r="G61"/>
      <c r="H61"/>
      <c r="I61"/>
      <c r="J61"/>
      <c r="K61"/>
      <c r="L61"/>
      <c r="M61"/>
      <c r="N61"/>
      <c r="O61"/>
      <c r="P61"/>
    </row>
    <row r="62" spans="1:16" ht="18.75" customHeight="1">
      <c r="A62" s="1037" t="s">
        <v>43</v>
      </c>
      <c r="B62" s="1038"/>
      <c r="C62" s="606">
        <f>+J88/1000</f>
        <v>17300</v>
      </c>
      <c r="D62"/>
      <c r="E62"/>
      <c r="F62"/>
      <c r="G62"/>
      <c r="H62"/>
      <c r="I62"/>
      <c r="J62"/>
      <c r="K62"/>
      <c r="L62"/>
      <c r="M62"/>
      <c r="N62"/>
      <c r="O62"/>
      <c r="P62"/>
    </row>
    <row r="63" spans="1:16" ht="18.75" customHeight="1" thickBot="1">
      <c r="A63" s="1088" t="s">
        <v>139</v>
      </c>
      <c r="B63" s="1089"/>
      <c r="C63" s="931">
        <f>+I27</f>
        <v>223780</v>
      </c>
      <c r="D63"/>
      <c r="E63"/>
      <c r="F63"/>
      <c r="G63"/>
      <c r="H63"/>
      <c r="I63"/>
      <c r="J63"/>
      <c r="K63"/>
      <c r="L63"/>
      <c r="M63"/>
      <c r="N63"/>
      <c r="O63"/>
      <c r="P63"/>
    </row>
    <row r="64" spans="1:16" ht="18.75" customHeight="1">
      <c r="A64"/>
      <c r="B64"/>
      <c r="C64"/>
      <c r="D64"/>
      <c r="E64"/>
      <c r="F64"/>
      <c r="G64"/>
      <c r="H64"/>
      <c r="I64"/>
      <c r="J64"/>
      <c r="K64"/>
      <c r="L64"/>
      <c r="M64"/>
      <c r="N64"/>
      <c r="O64"/>
      <c r="P64"/>
    </row>
    <row r="65" spans="1:16" ht="9.75" customHeight="1">
      <c r="A65"/>
      <c r="B65"/>
      <c r="C65"/>
      <c r="D65"/>
      <c r="E65"/>
      <c r="F65"/>
      <c r="G65"/>
      <c r="H65"/>
      <c r="I65"/>
      <c r="J65"/>
      <c r="K65"/>
      <c r="L65"/>
      <c r="M65"/>
      <c r="N65"/>
      <c r="O65"/>
      <c r="P65"/>
    </row>
    <row r="66" spans="1:16" ht="14.25" customHeight="1" thickBot="1">
      <c r="A66" s="184" t="s">
        <v>311</v>
      </c>
      <c r="B66"/>
      <c r="C66"/>
      <c r="D66"/>
      <c r="E66"/>
      <c r="F66" s="480"/>
      <c r="G66"/>
      <c r="H66"/>
      <c r="I66"/>
      <c r="J66"/>
      <c r="K66"/>
      <c r="L66"/>
      <c r="M66"/>
      <c r="N66"/>
      <c r="O66"/>
      <c r="P66"/>
    </row>
    <row r="67" spans="1:16" ht="33.75" customHeight="1">
      <c r="A67" s="1049" t="s">
        <v>273</v>
      </c>
      <c r="B67" s="1130"/>
      <c r="C67" s="1066" t="s">
        <v>274</v>
      </c>
      <c r="D67" s="1066"/>
      <c r="E67" s="1066" t="s">
        <v>55</v>
      </c>
      <c r="F67" s="1067"/>
      <c r="G67" s="1067" t="s">
        <v>56</v>
      </c>
      <c r="H67" s="1086"/>
      <c r="I67" s="1087"/>
      <c r="J67" s="1066" t="s">
        <v>250</v>
      </c>
      <c r="K67" s="1076"/>
      <c r="L67" s="1072" t="s">
        <v>346</v>
      </c>
      <c r="M67" s="1073"/>
      <c r="N67"/>
      <c r="O67"/>
      <c r="P67"/>
    </row>
    <row r="68" spans="1:21" ht="33" customHeight="1" thickBot="1">
      <c r="A68" s="1121"/>
      <c r="B68" s="1131"/>
      <c r="C68" s="1039" t="s">
        <v>275</v>
      </c>
      <c r="D68" s="1031"/>
      <c r="E68" s="1031" t="s">
        <v>58</v>
      </c>
      <c r="F68" s="1032"/>
      <c r="G68" s="1031" t="s">
        <v>59</v>
      </c>
      <c r="H68" s="1032"/>
      <c r="I68" s="43" t="s">
        <v>276</v>
      </c>
      <c r="J68" s="1068" t="s">
        <v>60</v>
      </c>
      <c r="K68" s="1077"/>
      <c r="L68" s="1074"/>
      <c r="M68" s="1075"/>
      <c r="Q68" s="276"/>
      <c r="R68" s="276"/>
      <c r="S68" s="276"/>
      <c r="T68" s="276"/>
      <c r="U68" s="276"/>
    </row>
    <row r="69" spans="1:21" ht="26.25" customHeight="1">
      <c r="A69" s="1132" t="s">
        <v>291</v>
      </c>
      <c r="B69" s="997"/>
      <c r="C69" s="967">
        <v>7389469</v>
      </c>
      <c r="D69" s="967"/>
      <c r="E69" s="967"/>
      <c r="F69" s="967"/>
      <c r="G69" s="967"/>
      <c r="H69" s="967"/>
      <c r="I69" s="481"/>
      <c r="J69" s="971">
        <f>+E69+G69+I69</f>
        <v>0</v>
      </c>
      <c r="K69" s="1045"/>
      <c r="L69" s="971"/>
      <c r="M69" s="1045"/>
      <c r="Q69" s="276"/>
      <c r="R69" s="276"/>
      <c r="S69" s="276"/>
      <c r="T69" s="276"/>
      <c r="U69" s="276"/>
    </row>
    <row r="70" spans="1:13" s="412" customFormat="1" ht="25.5" customHeight="1">
      <c r="A70" s="1133" t="s">
        <v>547</v>
      </c>
      <c r="B70" s="1134"/>
      <c r="C70" s="967"/>
      <c r="D70" s="967"/>
      <c r="E70" s="967">
        <v>500000</v>
      </c>
      <c r="F70" s="967"/>
      <c r="G70" s="967"/>
      <c r="H70" s="967"/>
      <c r="I70" s="471"/>
      <c r="J70" s="971">
        <f>+E70+G70+I70</f>
        <v>500000</v>
      </c>
      <c r="K70" s="1045"/>
      <c r="L70" s="1096"/>
      <c r="M70" s="1097"/>
    </row>
    <row r="71" spans="1:13" s="412" customFormat="1" ht="23.25" customHeight="1" thickBot="1">
      <c r="A71" s="1033" t="s">
        <v>295</v>
      </c>
      <c r="B71" s="1034"/>
      <c r="C71" s="967"/>
      <c r="D71" s="967"/>
      <c r="E71" s="967"/>
      <c r="F71" s="967"/>
      <c r="G71" s="967"/>
      <c r="H71" s="967"/>
      <c r="I71" s="471"/>
      <c r="J71" s="971"/>
      <c r="K71" s="1045"/>
      <c r="L71" s="1096">
        <v>5000000</v>
      </c>
      <c r="M71" s="1097"/>
    </row>
    <row r="72" spans="1:13" s="412" customFormat="1" ht="14.25" customHeight="1" thickBot="1">
      <c r="A72" s="1127" t="s">
        <v>277</v>
      </c>
      <c r="B72" s="1129"/>
      <c r="C72" s="1041">
        <f>SUM(C69:C70)</f>
        <v>7389469</v>
      </c>
      <c r="D72" s="1041"/>
      <c r="E72" s="1041">
        <f>SUM(E69:F70)</f>
        <v>500000</v>
      </c>
      <c r="F72" s="1041"/>
      <c r="G72" s="1041">
        <f>SUM(G69:G70)</f>
        <v>0</v>
      </c>
      <c r="H72" s="1041"/>
      <c r="I72" s="240">
        <f>SUM(I69:I70)</f>
        <v>0</v>
      </c>
      <c r="J72" s="1040">
        <f>SUM(J69:J70)</f>
        <v>500000</v>
      </c>
      <c r="K72" s="1046"/>
      <c r="L72" s="1040">
        <f>SUM(L69:L70)</f>
        <v>0</v>
      </c>
      <c r="M72" s="1046"/>
    </row>
    <row r="73" spans="1:14" s="412" customFormat="1" ht="18.75" customHeight="1" thickBot="1">
      <c r="A73"/>
      <c r="B73"/>
      <c r="C73"/>
      <c r="D73"/>
      <c r="E73"/>
      <c r="F73"/>
      <c r="G73"/>
      <c r="H73"/>
      <c r="I73"/>
      <c r="J73"/>
      <c r="K73"/>
      <c r="L73"/>
      <c r="M73"/>
      <c r="N73"/>
    </row>
    <row r="74" spans="1:16" ht="30.75" customHeight="1">
      <c r="A74" s="1049" t="s">
        <v>278</v>
      </c>
      <c r="B74" s="1120"/>
      <c r="C74" s="1065" t="s">
        <v>274</v>
      </c>
      <c r="D74" s="1066"/>
      <c r="E74" s="1066" t="s">
        <v>55</v>
      </c>
      <c r="F74" s="1067"/>
      <c r="G74" s="1067" t="s">
        <v>56</v>
      </c>
      <c r="H74" s="1086"/>
      <c r="I74" s="1087"/>
      <c r="J74" s="1066" t="s">
        <v>250</v>
      </c>
      <c r="K74" s="1076"/>
      <c r="L74" s="1072" t="s">
        <v>346</v>
      </c>
      <c r="M74" s="1073"/>
      <c r="N74"/>
      <c r="O74"/>
      <c r="P74"/>
    </row>
    <row r="75" spans="1:21" ht="20.25" customHeight="1" thickBot="1">
      <c r="A75" s="1121" t="s">
        <v>279</v>
      </c>
      <c r="B75" s="1122"/>
      <c r="C75" s="1068" t="s">
        <v>275</v>
      </c>
      <c r="D75" s="1031"/>
      <c r="E75" s="1031" t="s">
        <v>58</v>
      </c>
      <c r="F75" s="1032"/>
      <c r="G75" s="1094" t="s">
        <v>280</v>
      </c>
      <c r="H75" s="1095"/>
      <c r="I75" s="43" t="s">
        <v>276</v>
      </c>
      <c r="J75" s="1068" t="s">
        <v>60</v>
      </c>
      <c r="K75" s="1077"/>
      <c r="L75" s="1074"/>
      <c r="M75" s="1075"/>
      <c r="Q75" s="276"/>
      <c r="R75" s="276"/>
      <c r="S75" s="276"/>
      <c r="T75" s="276"/>
      <c r="U75" s="276"/>
    </row>
    <row r="76" spans="1:21" s="27" customFormat="1" ht="18" customHeight="1">
      <c r="A76" s="1123" t="s">
        <v>300</v>
      </c>
      <c r="B76" s="1124"/>
      <c r="C76" s="971"/>
      <c r="D76" s="964"/>
      <c r="E76" s="965">
        <v>100000</v>
      </c>
      <c r="F76" s="966"/>
      <c r="G76" s="964"/>
      <c r="H76" s="964"/>
      <c r="I76" s="481"/>
      <c r="J76" s="971">
        <f>+E76+G76+I76</f>
        <v>100000</v>
      </c>
      <c r="K76" s="1045"/>
      <c r="L76" s="971">
        <v>0</v>
      </c>
      <c r="M76" s="1045"/>
      <c r="N76" s="346"/>
      <c r="O76" s="346"/>
      <c r="P76" s="346"/>
      <c r="Q76" s="346"/>
      <c r="R76" s="346"/>
      <c r="S76" s="346"/>
      <c r="T76" s="346"/>
      <c r="U76" s="346"/>
    </row>
    <row r="77" spans="1:13" s="496" customFormat="1" ht="16.5" customHeight="1">
      <c r="A77" s="969" t="s">
        <v>292</v>
      </c>
      <c r="B77" s="970"/>
      <c r="C77" s="971"/>
      <c r="D77" s="964"/>
      <c r="E77" s="1109">
        <v>120000</v>
      </c>
      <c r="F77" s="1110"/>
      <c r="G77" s="967"/>
      <c r="H77" s="967"/>
      <c r="I77" s="481"/>
      <c r="J77" s="971">
        <f aca="true" t="shared" si="9" ref="J77:J84">+E77+G77+I77</f>
        <v>120000</v>
      </c>
      <c r="K77" s="1045"/>
      <c r="L77" s="971">
        <v>0</v>
      </c>
      <c r="M77" s="1045"/>
    </row>
    <row r="78" spans="1:13" s="496" customFormat="1" ht="14.25" customHeight="1">
      <c r="A78" s="969" t="s">
        <v>293</v>
      </c>
      <c r="B78" s="970"/>
      <c r="C78" s="971"/>
      <c r="D78" s="964"/>
      <c r="E78" s="1055">
        <v>800000</v>
      </c>
      <c r="F78" s="1056"/>
      <c r="G78" s="967"/>
      <c r="H78" s="967"/>
      <c r="I78" s="481"/>
      <c r="J78" s="971">
        <f t="shared" si="9"/>
        <v>800000</v>
      </c>
      <c r="K78" s="1045"/>
      <c r="L78" s="971">
        <v>0</v>
      </c>
      <c r="M78" s="1045"/>
    </row>
    <row r="79" spans="1:13" s="496" customFormat="1" ht="22.5" customHeight="1">
      <c r="A79" s="969" t="s">
        <v>294</v>
      </c>
      <c r="B79" s="970"/>
      <c r="C79" s="971"/>
      <c r="D79" s="964"/>
      <c r="E79" s="1055">
        <v>1200000</v>
      </c>
      <c r="F79" s="1056"/>
      <c r="G79" s="967"/>
      <c r="H79" s="967"/>
      <c r="I79" s="481"/>
      <c r="J79" s="971">
        <f t="shared" si="9"/>
        <v>1200000</v>
      </c>
      <c r="K79" s="1045"/>
      <c r="L79" s="971">
        <v>0</v>
      </c>
      <c r="M79" s="1045"/>
    </row>
    <row r="80" spans="1:15" s="496" customFormat="1" ht="23.25" customHeight="1">
      <c r="A80" s="969" t="s">
        <v>551</v>
      </c>
      <c r="B80" s="970"/>
      <c r="C80" s="971"/>
      <c r="D80" s="964"/>
      <c r="E80" s="965">
        <v>5280000</v>
      </c>
      <c r="F80" s="966"/>
      <c r="G80" s="967"/>
      <c r="H80" s="967"/>
      <c r="I80" s="481"/>
      <c r="J80" s="971">
        <f t="shared" si="9"/>
        <v>5280000</v>
      </c>
      <c r="K80" s="1045"/>
      <c r="L80" s="971">
        <v>0</v>
      </c>
      <c r="M80" s="1045"/>
      <c r="O80"/>
    </row>
    <row r="81" spans="1:15" s="496" customFormat="1" ht="19.5" customHeight="1">
      <c r="A81" s="969" t="s">
        <v>299</v>
      </c>
      <c r="B81" s="970"/>
      <c r="C81" s="971"/>
      <c r="D81" s="964"/>
      <c r="E81" s="1092"/>
      <c r="F81" s="1093"/>
      <c r="G81" s="967"/>
      <c r="H81" s="967"/>
      <c r="I81" s="481"/>
      <c r="J81" s="971">
        <f t="shared" si="9"/>
        <v>0</v>
      </c>
      <c r="K81" s="1045"/>
      <c r="L81" s="971">
        <v>1700000</v>
      </c>
      <c r="M81" s="1045"/>
      <c r="O81"/>
    </row>
    <row r="82" spans="1:15" s="412" customFormat="1" ht="20.25" customHeight="1">
      <c r="A82" s="969" t="s">
        <v>296</v>
      </c>
      <c r="B82" s="970"/>
      <c r="C82" s="971"/>
      <c r="D82" s="964"/>
      <c r="E82" s="1092"/>
      <c r="F82" s="1093"/>
      <c r="G82" s="967"/>
      <c r="H82" s="967"/>
      <c r="I82" s="481"/>
      <c r="J82" s="971">
        <f t="shared" si="9"/>
        <v>0</v>
      </c>
      <c r="K82" s="1045"/>
      <c r="L82" s="971">
        <v>6000000</v>
      </c>
      <c r="M82" s="1045"/>
      <c r="O82"/>
    </row>
    <row r="83" spans="1:15" s="412" customFormat="1" ht="33.75" customHeight="1">
      <c r="A83" s="969" t="s">
        <v>297</v>
      </c>
      <c r="B83" s="970"/>
      <c r="C83" s="971"/>
      <c r="D83" s="964"/>
      <c r="E83" s="1092"/>
      <c r="F83" s="1093"/>
      <c r="G83" s="967"/>
      <c r="H83" s="967"/>
      <c r="I83" s="481"/>
      <c r="J83" s="971">
        <f t="shared" si="9"/>
        <v>0</v>
      </c>
      <c r="K83" s="1045"/>
      <c r="L83" s="971">
        <v>5200000</v>
      </c>
      <c r="M83" s="1045"/>
      <c r="O83"/>
    </row>
    <row r="84" spans="1:15" s="412" customFormat="1" ht="16.5" customHeight="1">
      <c r="A84" s="969" t="s">
        <v>298</v>
      </c>
      <c r="B84" s="970"/>
      <c r="C84" s="971"/>
      <c r="D84" s="964"/>
      <c r="E84" s="1092"/>
      <c r="F84" s="1093"/>
      <c r="G84" s="967"/>
      <c r="H84" s="967"/>
      <c r="I84" s="481"/>
      <c r="J84" s="971">
        <f t="shared" si="9"/>
        <v>0</v>
      </c>
      <c r="K84" s="1045"/>
      <c r="L84" s="971">
        <v>3800000</v>
      </c>
      <c r="M84" s="1045"/>
      <c r="O84"/>
    </row>
    <row r="85" spans="1:15" s="412" customFormat="1" ht="16.5" customHeight="1" thickBot="1">
      <c r="A85" s="969" t="s">
        <v>415</v>
      </c>
      <c r="B85" s="970"/>
      <c r="C85" s="971"/>
      <c r="D85" s="964"/>
      <c r="E85" s="965">
        <f>4000000+5300000</f>
        <v>9300000</v>
      </c>
      <c r="F85" s="966"/>
      <c r="G85" s="967"/>
      <c r="H85" s="967"/>
      <c r="I85" s="481"/>
      <c r="J85" s="971">
        <f>+E85+G85+I85</f>
        <v>9300000</v>
      </c>
      <c r="K85" s="1045"/>
      <c r="L85" s="971"/>
      <c r="M85" s="1045"/>
      <c r="O85"/>
    </row>
    <row r="86" spans="1:13" s="412" customFormat="1" ht="22.5" customHeight="1" thickBot="1">
      <c r="A86" s="1127" t="s">
        <v>281</v>
      </c>
      <c r="B86" s="1128"/>
      <c r="C86" s="1040">
        <f>SUM(C76:C81)</f>
        <v>0</v>
      </c>
      <c r="D86" s="1041"/>
      <c r="E86" s="1041">
        <f>SUM(E76:F85)</f>
        <v>16800000</v>
      </c>
      <c r="F86" s="1041"/>
      <c r="G86" s="1042">
        <f>SUM(G76:G81)</f>
        <v>0</v>
      </c>
      <c r="H86" s="1043"/>
      <c r="I86" s="240">
        <f>SUM(I76:I84)</f>
        <v>0</v>
      </c>
      <c r="J86" s="1040">
        <f>SUM(J76:K85)</f>
        <v>16800000</v>
      </c>
      <c r="K86" s="1046"/>
      <c r="L86" s="1040">
        <f>SUM(L76:M84)</f>
        <v>16700000</v>
      </c>
      <c r="M86" s="1046"/>
    </row>
    <row r="87" spans="1:14" s="412" customFormat="1" ht="3" customHeight="1" thickBot="1">
      <c r="A87" s="356"/>
      <c r="B87" s="356"/>
      <c r="C87" s="356"/>
      <c r="D87" s="356"/>
      <c r="E87" s="356"/>
      <c r="F87" s="356"/>
      <c r="G87" s="356"/>
      <c r="H87" s="356"/>
      <c r="I87" s="356"/>
      <c r="J87" s="356"/>
      <c r="K87" s="356"/>
      <c r="L87" s="356"/>
      <c r="M87" s="356"/>
      <c r="N87" s="356"/>
    </row>
    <row r="88" spans="1:13" s="356" customFormat="1" ht="15" customHeight="1" thickBot="1">
      <c r="A88" s="1125" t="s">
        <v>61</v>
      </c>
      <c r="B88" s="1126"/>
      <c r="C88" s="1044">
        <f>+C86+C72</f>
        <v>7389469</v>
      </c>
      <c r="D88" s="1041"/>
      <c r="E88" s="1044">
        <f>+E86+E72</f>
        <v>17300000</v>
      </c>
      <c r="F88" s="1042"/>
      <c r="G88" s="1042">
        <f>+G86+G72</f>
        <v>0</v>
      </c>
      <c r="H88" s="1043"/>
      <c r="I88" s="254">
        <f>+I86+I72</f>
        <v>0</v>
      </c>
      <c r="J88" s="1041">
        <f>+J86+J72</f>
        <v>17300000</v>
      </c>
      <c r="K88" s="1042"/>
      <c r="L88" s="1040">
        <f>+L86+L72</f>
        <v>16700000</v>
      </c>
      <c r="M88" s="1046"/>
    </row>
    <row r="89" spans="1:14" s="412" customFormat="1" ht="5.25" customHeight="1">
      <c r="A89"/>
      <c r="B89"/>
      <c r="C89"/>
      <c r="D89"/>
      <c r="E89"/>
      <c r="F89"/>
      <c r="G89"/>
      <c r="H89"/>
      <c r="I89"/>
      <c r="J89"/>
      <c r="K89"/>
      <c r="L89"/>
      <c r="M89"/>
      <c r="N89"/>
    </row>
    <row r="90" spans="1:16" ht="6" customHeight="1" thickBot="1">
      <c r="A90"/>
      <c r="B90"/>
      <c r="C90"/>
      <c r="D90"/>
      <c r="E90"/>
      <c r="F90"/>
      <c r="G90"/>
      <c r="H90"/>
      <c r="I90"/>
      <c r="J90"/>
      <c r="K90"/>
      <c r="L90"/>
      <c r="M90"/>
      <c r="N90"/>
      <c r="O90"/>
      <c r="P90"/>
    </row>
    <row r="91" spans="1:16" ht="29.25" customHeight="1" thickBot="1">
      <c r="A91" s="482" t="s">
        <v>282</v>
      </c>
      <c r="B91" s="86" t="s">
        <v>283</v>
      </c>
      <c r="C91" s="1015" t="s">
        <v>284</v>
      </c>
      <c r="D91" s="1016"/>
      <c r="E91" s="1017"/>
      <c r="F91" s="483" t="s">
        <v>283</v>
      </c>
      <c r="G91"/>
      <c r="H91"/>
      <c r="I91"/>
      <c r="J91"/>
      <c r="K91"/>
      <c r="L91"/>
      <c r="M91"/>
      <c r="N91"/>
      <c r="O91"/>
      <c r="P91"/>
    </row>
    <row r="92" spans="1:16" ht="18" customHeight="1">
      <c r="A92" s="484" t="s">
        <v>546</v>
      </c>
      <c r="B92" s="485">
        <v>500</v>
      </c>
      <c r="C92" s="528"/>
      <c r="D92" s="486"/>
      <c r="E92" s="487"/>
      <c r="F92" s="488"/>
      <c r="G92" s="27"/>
      <c r="H92" s="27"/>
      <c r="I92" s="27"/>
      <c r="J92" s="27"/>
      <c r="K92" s="27"/>
      <c r="L92" s="27"/>
      <c r="M92" s="27"/>
      <c r="N92" s="27"/>
      <c r="O92"/>
      <c r="P92"/>
    </row>
    <row r="93" spans="1:6" s="27" customFormat="1" ht="17.25" customHeight="1">
      <c r="A93" s="489"/>
      <c r="B93" s="490"/>
      <c r="C93" s="529"/>
      <c r="D93" s="530"/>
      <c r="E93" s="531"/>
      <c r="F93" s="491"/>
    </row>
    <row r="94" spans="1:6" s="27" customFormat="1" ht="17.25" customHeight="1">
      <c r="A94" s="489"/>
      <c r="B94" s="490"/>
      <c r="C94" s="529"/>
      <c r="D94" s="530"/>
      <c r="E94" s="531"/>
      <c r="F94" s="491"/>
    </row>
    <row r="95" spans="1:6" s="27" customFormat="1" ht="16.5" customHeight="1" hidden="1">
      <c r="A95" s="489"/>
      <c r="B95" s="490"/>
      <c r="C95" s="529"/>
      <c r="D95" s="530"/>
      <c r="E95" s="531"/>
      <c r="F95" s="491"/>
    </row>
    <row r="96" spans="1:6" s="27" customFormat="1" ht="16.5" customHeight="1" hidden="1">
      <c r="A96" s="489"/>
      <c r="B96" s="490"/>
      <c r="C96" s="529"/>
      <c r="D96" s="530"/>
      <c r="E96" s="531"/>
      <c r="F96" s="491"/>
    </row>
    <row r="97" spans="1:6" s="27" customFormat="1" ht="16.5" customHeight="1" hidden="1">
      <c r="A97" s="489"/>
      <c r="B97" s="490"/>
      <c r="C97" s="529"/>
      <c r="D97" s="530"/>
      <c r="E97" s="531"/>
      <c r="F97" s="491"/>
    </row>
    <row r="98" spans="1:6" s="27" customFormat="1" ht="16.5" customHeight="1" hidden="1">
      <c r="A98" s="489"/>
      <c r="B98" s="490"/>
      <c r="C98" s="529"/>
      <c r="D98" s="530"/>
      <c r="E98" s="531"/>
      <c r="F98" s="491"/>
    </row>
    <row r="99" spans="1:6" s="27" customFormat="1" ht="16.5" customHeight="1" hidden="1">
      <c r="A99" s="489"/>
      <c r="B99" s="490"/>
      <c r="C99" s="529"/>
      <c r="D99" s="530"/>
      <c r="E99" s="531"/>
      <c r="F99" s="491"/>
    </row>
    <row r="100" spans="1:6" s="27" customFormat="1" ht="16.5" customHeight="1" hidden="1">
      <c r="A100" s="489"/>
      <c r="B100" s="490"/>
      <c r="C100" s="529"/>
      <c r="D100" s="530"/>
      <c r="E100" s="531"/>
      <c r="F100" s="492"/>
    </row>
    <row r="101" spans="1:6" s="27" customFormat="1" ht="16.5" customHeight="1" hidden="1">
      <c r="A101" s="489"/>
      <c r="B101" s="490"/>
      <c r="C101" s="529"/>
      <c r="D101" s="530"/>
      <c r="E101" s="531"/>
      <c r="F101" s="491"/>
    </row>
    <row r="102" spans="1:6" s="27" customFormat="1" ht="13.5" thickBot="1">
      <c r="A102" s="493"/>
      <c r="B102" s="494"/>
      <c r="C102" s="532"/>
      <c r="D102" s="533"/>
      <c r="E102" s="534"/>
      <c r="F102" s="495"/>
    </row>
    <row r="103" spans="1:14" s="27" customFormat="1" ht="13.5" thickBot="1">
      <c r="A103" s="244" t="s">
        <v>285</v>
      </c>
      <c r="B103" s="240">
        <f>SUM(B92:B102)</f>
        <v>500</v>
      </c>
      <c r="C103" s="535" t="s">
        <v>4</v>
      </c>
      <c r="D103" s="536"/>
      <c r="E103" s="537"/>
      <c r="F103" s="241">
        <f>SUM(F92:F102)</f>
        <v>0</v>
      </c>
      <c r="G103" s="496"/>
      <c r="H103" s="496"/>
      <c r="I103" s="496"/>
      <c r="J103" s="496"/>
      <c r="K103" s="496"/>
      <c r="L103" s="496"/>
      <c r="M103" s="496"/>
      <c r="N103" s="496"/>
    </row>
    <row r="104" spans="1:14" s="496" customFormat="1" ht="12.75">
      <c r="A104"/>
      <c r="B104"/>
      <c r="C104"/>
      <c r="D104"/>
      <c r="E104"/>
      <c r="F104"/>
      <c r="G104"/>
      <c r="H104"/>
      <c r="I104"/>
      <c r="J104"/>
      <c r="K104"/>
      <c r="L104"/>
      <c r="M104"/>
      <c r="N104"/>
    </row>
    <row r="105" spans="1:16" ht="7.5" customHeight="1" thickBot="1">
      <c r="A105"/>
      <c r="B105"/>
      <c r="C105"/>
      <c r="D105"/>
      <c r="E105"/>
      <c r="F105"/>
      <c r="G105"/>
      <c r="H105"/>
      <c r="I105"/>
      <c r="J105"/>
      <c r="K105"/>
      <c r="L105"/>
      <c r="M105"/>
      <c r="N105"/>
      <c r="O105"/>
      <c r="P105"/>
    </row>
    <row r="106" spans="1:16" ht="12.75" customHeight="1">
      <c r="A106" s="1106" t="s">
        <v>62</v>
      </c>
      <c r="B106" s="1098" t="s">
        <v>301</v>
      </c>
      <c r="C106" s="1018" t="s">
        <v>206</v>
      </c>
      <c r="D106" s="975"/>
      <c r="E106" s="975"/>
      <c r="F106" s="975"/>
      <c r="G106" s="975"/>
      <c r="H106" s="1019"/>
      <c r="I106" s="1101" t="s">
        <v>302</v>
      </c>
      <c r="O106"/>
      <c r="P106"/>
    </row>
    <row r="107" spans="1:14" s="497" customFormat="1" ht="17.25" customHeight="1">
      <c r="A107" s="1107"/>
      <c r="B107" s="1099"/>
      <c r="C107" s="1104" t="s">
        <v>45</v>
      </c>
      <c r="D107" s="274" t="s">
        <v>63</v>
      </c>
      <c r="E107" s="538"/>
      <c r="F107" s="538"/>
      <c r="G107" s="538"/>
      <c r="H107" s="539"/>
      <c r="I107" s="1102"/>
      <c r="J107" s="276"/>
      <c r="K107" s="276"/>
      <c r="L107" s="276"/>
      <c r="M107" s="276"/>
      <c r="N107" s="276"/>
    </row>
    <row r="108" spans="1:14" s="497" customFormat="1" ht="17.25" customHeight="1" thickBot="1">
      <c r="A108" s="1108"/>
      <c r="B108" s="1100"/>
      <c r="C108" s="1105"/>
      <c r="D108" s="498">
        <v>1</v>
      </c>
      <c r="E108" s="498">
        <v>2</v>
      </c>
      <c r="F108" s="498">
        <v>3</v>
      </c>
      <c r="G108" s="498">
        <v>4</v>
      </c>
      <c r="H108" s="498">
        <v>5</v>
      </c>
      <c r="I108" s="1103"/>
      <c r="J108" s="346"/>
      <c r="K108" s="346"/>
      <c r="L108" s="346"/>
      <c r="M108" s="346"/>
      <c r="N108" s="346"/>
    </row>
    <row r="109" spans="1:14" s="497" customFormat="1" ht="11.25" customHeight="1" thickBot="1">
      <c r="A109" s="499">
        <v>36746</v>
      </c>
      <c r="B109" s="410">
        <v>11670</v>
      </c>
      <c r="C109" s="500">
        <f>SUM(D109:H109)</f>
        <v>2000</v>
      </c>
      <c r="D109" s="410">
        <v>991</v>
      </c>
      <c r="E109" s="410">
        <v>846</v>
      </c>
      <c r="F109" s="410">
        <v>0</v>
      </c>
      <c r="G109" s="410">
        <v>65</v>
      </c>
      <c r="H109" s="410">
        <v>98</v>
      </c>
      <c r="I109" s="411">
        <f>SUM(A109-B109-C109)</f>
        <v>23076</v>
      </c>
      <c r="J109" s="276"/>
      <c r="K109" s="276"/>
      <c r="L109" s="276"/>
      <c r="M109" s="276"/>
      <c r="N109" s="276"/>
    </row>
    <row r="110" spans="1:14" s="497" customFormat="1" ht="11.25" customHeight="1">
      <c r="A110" s="600"/>
      <c r="B110" s="601"/>
      <c r="C110" s="601"/>
      <c r="D110" s="601"/>
      <c r="E110" s="601"/>
      <c r="F110" s="601"/>
      <c r="G110" s="601"/>
      <c r="H110" s="601"/>
      <c r="I110" s="601"/>
      <c r="J110" s="276"/>
      <c r="K110" s="276"/>
      <c r="L110" s="276"/>
      <c r="M110" s="276"/>
      <c r="N110" s="276"/>
    </row>
    <row r="111" spans="1:14" s="497" customFormat="1" ht="17.25" customHeight="1" thickBot="1">
      <c r="A111" s="184" t="s">
        <v>312</v>
      </c>
      <c r="B111" s="356"/>
      <c r="C111" s="356"/>
      <c r="D111" s="356"/>
      <c r="E111" s="356"/>
      <c r="F111" s="356"/>
      <c r="G111" s="356"/>
      <c r="H111" s="356"/>
      <c r="I111" s="276"/>
      <c r="J111" s="276"/>
      <c r="K111" s="276"/>
      <c r="L111" s="276"/>
      <c r="M111" s="276"/>
      <c r="N111" s="276"/>
    </row>
    <row r="112" spans="1:14" ht="17.25" customHeight="1">
      <c r="A112" s="978" t="s">
        <v>64</v>
      </c>
      <c r="B112" s="1117" t="s">
        <v>163</v>
      </c>
      <c r="C112" s="974" t="s">
        <v>207</v>
      </c>
      <c r="D112" s="975"/>
      <c r="E112" s="975"/>
      <c r="F112" s="972"/>
      <c r="G112" s="977" t="s">
        <v>208</v>
      </c>
      <c r="H112" s="1014" t="s">
        <v>65</v>
      </c>
      <c r="I112" s="974" t="s">
        <v>209</v>
      </c>
      <c r="J112" s="975"/>
      <c r="K112" s="975"/>
      <c r="L112" s="972"/>
      <c r="M112"/>
      <c r="N112"/>
    </row>
    <row r="113" spans="1:16" ht="20.25" customHeight="1" thickBot="1">
      <c r="A113" s="976"/>
      <c r="B113" s="1074"/>
      <c r="C113" s="45" t="s">
        <v>228</v>
      </c>
      <c r="D113" s="46" t="s">
        <v>66</v>
      </c>
      <c r="E113" s="46" t="s">
        <v>67</v>
      </c>
      <c r="F113" s="47" t="s">
        <v>68</v>
      </c>
      <c r="G113" s="973"/>
      <c r="H113" s="973"/>
      <c r="I113" s="72" t="s">
        <v>164</v>
      </c>
      <c r="J113" s="46" t="s">
        <v>66</v>
      </c>
      <c r="K113" s="46" t="s">
        <v>67</v>
      </c>
      <c r="L113" s="47" t="s">
        <v>165</v>
      </c>
      <c r="M113"/>
      <c r="N113"/>
      <c r="O113"/>
      <c r="P113"/>
    </row>
    <row r="114" spans="1:16" ht="12.75">
      <c r="A114" s="501" t="s">
        <v>69</v>
      </c>
      <c r="B114" s="209">
        <f>+B115+B116+B117+B118</f>
        <v>26148.69</v>
      </c>
      <c r="C114" s="370" t="s">
        <v>70</v>
      </c>
      <c r="D114" s="361" t="s">
        <v>70</v>
      </c>
      <c r="E114" s="371" t="s">
        <v>70</v>
      </c>
      <c r="F114" s="602">
        <f>+F115+F116+F117</f>
        <v>37225.78</v>
      </c>
      <c r="G114" s="363">
        <f>+G115+G116+G117+G118</f>
        <v>44638.42</v>
      </c>
      <c r="H114" s="364" t="s">
        <v>70</v>
      </c>
      <c r="I114" s="502" t="s">
        <v>70</v>
      </c>
      <c r="J114" s="502" t="s">
        <v>70</v>
      </c>
      <c r="K114" s="502" t="s">
        <v>70</v>
      </c>
      <c r="L114" s="362" t="s">
        <v>70</v>
      </c>
      <c r="M114"/>
      <c r="N114"/>
      <c r="O114"/>
      <c r="P114"/>
    </row>
    <row r="115" spans="1:16" ht="12.75">
      <c r="A115" s="503" t="s">
        <v>71</v>
      </c>
      <c r="B115" s="366">
        <v>0</v>
      </c>
      <c r="C115" s="269">
        <v>0</v>
      </c>
      <c r="D115" s="49">
        <v>0</v>
      </c>
      <c r="E115" s="49">
        <v>0</v>
      </c>
      <c r="F115" s="603">
        <f>+C115+D115-E115</f>
        <v>0</v>
      </c>
      <c r="G115" s="368">
        <v>0</v>
      </c>
      <c r="H115" s="369">
        <f>+G115-F115</f>
        <v>0</v>
      </c>
      <c r="I115" s="49">
        <v>0</v>
      </c>
      <c r="J115" s="49">
        <v>0</v>
      </c>
      <c r="K115" s="49">
        <v>0</v>
      </c>
      <c r="L115" s="367">
        <f>+I115+J115-K115</f>
        <v>0</v>
      </c>
      <c r="M115"/>
      <c r="N115"/>
      <c r="O115"/>
      <c r="P115"/>
    </row>
    <row r="116" spans="1:16" ht="12.75">
      <c r="A116" s="503" t="s">
        <v>72</v>
      </c>
      <c r="B116" s="366">
        <v>0</v>
      </c>
      <c r="C116" s="269">
        <v>2501.12</v>
      </c>
      <c r="D116" s="49">
        <f>+K124</f>
        <v>3273</v>
      </c>
      <c r="E116" s="49">
        <f>+K131</f>
        <v>2501</v>
      </c>
      <c r="F116" s="603">
        <f>+C116+D116-E116</f>
        <v>3273.12</v>
      </c>
      <c r="G116" s="368">
        <v>0</v>
      </c>
      <c r="H116" s="368">
        <f>+G116-F116</f>
        <v>-3273.12</v>
      </c>
      <c r="I116" s="49">
        <f>+L122</f>
        <v>3273</v>
      </c>
      <c r="J116" s="49">
        <f>+L124</f>
        <v>0</v>
      </c>
      <c r="K116" s="49">
        <f>+L131</f>
        <v>0</v>
      </c>
      <c r="L116" s="367">
        <f>+I116+J116-K116</f>
        <v>3273</v>
      </c>
      <c r="M116"/>
      <c r="N116"/>
      <c r="O116"/>
      <c r="P116"/>
    </row>
    <row r="117" spans="1:16" ht="12.75">
      <c r="A117" s="503" t="s">
        <v>73</v>
      </c>
      <c r="B117" s="366">
        <v>26145.98</v>
      </c>
      <c r="C117" s="370" t="s">
        <v>70</v>
      </c>
      <c r="D117" s="361" t="s">
        <v>70</v>
      </c>
      <c r="E117" s="371" t="s">
        <v>70</v>
      </c>
      <c r="F117" s="602">
        <f>37225.78-F116</f>
        <v>33952.659999999996</v>
      </c>
      <c r="G117" s="368">
        <v>37225.78</v>
      </c>
      <c r="H117" s="504" t="s">
        <v>70</v>
      </c>
      <c r="I117" s="502" t="s">
        <v>70</v>
      </c>
      <c r="J117" s="502" t="s">
        <v>70</v>
      </c>
      <c r="K117" s="502" t="s">
        <v>70</v>
      </c>
      <c r="L117" s="362" t="s">
        <v>70</v>
      </c>
      <c r="M117"/>
      <c r="N117"/>
      <c r="O117"/>
      <c r="P117"/>
    </row>
    <row r="118" spans="1:16" ht="12.75">
      <c r="A118" s="503" t="s">
        <v>74</v>
      </c>
      <c r="B118" s="366">
        <v>2.71</v>
      </c>
      <c r="C118" s="269">
        <f>+C122</f>
        <v>291590</v>
      </c>
      <c r="D118" s="49">
        <f>+C124</f>
        <v>50599</v>
      </c>
      <c r="E118" s="49">
        <f>+C131</f>
        <v>321394</v>
      </c>
      <c r="F118" s="603">
        <f>+C136</f>
        <v>20794</v>
      </c>
      <c r="G118" s="368">
        <v>7412.64</v>
      </c>
      <c r="H118" s="369">
        <f>+G118-F118</f>
        <v>-13381.36</v>
      </c>
      <c r="I118" s="372">
        <f>+D122</f>
        <v>20794</v>
      </c>
      <c r="J118" s="372">
        <f>+D124</f>
        <v>10000</v>
      </c>
      <c r="K118" s="372">
        <f>+D131</f>
        <v>15389</v>
      </c>
      <c r="L118" s="367">
        <f>+I118+J118-K118</f>
        <v>15405</v>
      </c>
      <c r="M118"/>
      <c r="N118"/>
      <c r="O118"/>
      <c r="P118"/>
    </row>
    <row r="119" spans="1:16" ht="13.5" thickBot="1">
      <c r="A119" s="505" t="s">
        <v>75</v>
      </c>
      <c r="B119" s="374">
        <v>60.76</v>
      </c>
      <c r="C119" s="272">
        <v>2763.36</v>
      </c>
      <c r="D119" s="273">
        <v>4097</v>
      </c>
      <c r="E119" s="273">
        <v>4867</v>
      </c>
      <c r="F119" s="604">
        <v>1992.7</v>
      </c>
      <c r="G119" s="376">
        <v>108.18</v>
      </c>
      <c r="H119" s="377">
        <f>+G119-F119</f>
        <v>-1884.52</v>
      </c>
      <c r="I119" s="273">
        <v>1993</v>
      </c>
      <c r="J119" s="273">
        <v>4597</v>
      </c>
      <c r="K119" s="273">
        <v>5000</v>
      </c>
      <c r="L119" s="375">
        <f>+I119+J119-K119</f>
        <v>1590</v>
      </c>
      <c r="M119"/>
      <c r="N119"/>
      <c r="O119"/>
      <c r="P119"/>
    </row>
    <row r="120" spans="15:16" ht="13.5" thickBot="1">
      <c r="O120"/>
      <c r="P120"/>
    </row>
    <row r="121" spans="1:13" s="27" customFormat="1" ht="19.5" customHeight="1" thickBot="1">
      <c r="A121" s="244" t="s">
        <v>76</v>
      </c>
      <c r="B121" s="565">
        <v>2004</v>
      </c>
      <c r="C121" s="586">
        <v>2005</v>
      </c>
      <c r="D121" s="566">
        <v>2006</v>
      </c>
      <c r="E121" s="497"/>
      <c r="F121" s="497"/>
      <c r="G121" s="942" t="s">
        <v>77</v>
      </c>
      <c r="H121" s="1135"/>
      <c r="I121" s="1135"/>
      <c r="J121" s="565">
        <v>2004</v>
      </c>
      <c r="K121" s="586">
        <v>2005</v>
      </c>
      <c r="L121" s="566">
        <v>2006</v>
      </c>
      <c r="M121" s="346"/>
    </row>
    <row r="122" spans="1:16" ht="12.75">
      <c r="A122" s="52" t="s">
        <v>78</v>
      </c>
      <c r="B122" s="53">
        <v>284877</v>
      </c>
      <c r="C122" s="590">
        <f>+B136</f>
        <v>291590</v>
      </c>
      <c r="D122" s="54">
        <v>20794</v>
      </c>
      <c r="G122" s="1136" t="s">
        <v>79</v>
      </c>
      <c r="H122" s="1137"/>
      <c r="I122" s="1138"/>
      <c r="J122" s="53">
        <v>3366</v>
      </c>
      <c r="K122" s="590">
        <f>+J136</f>
        <v>2501</v>
      </c>
      <c r="L122" s="54">
        <v>3273</v>
      </c>
      <c r="N122"/>
      <c r="O122"/>
      <c r="P122"/>
    </row>
    <row r="123" spans="1:16" ht="12.75">
      <c r="A123" s="55" t="s">
        <v>244</v>
      </c>
      <c r="B123" s="49"/>
      <c r="C123" s="591"/>
      <c r="D123" s="367">
        <v>7389</v>
      </c>
      <c r="G123" s="944"/>
      <c r="H123" s="945"/>
      <c r="I123" s="1005"/>
      <c r="J123" s="49"/>
      <c r="K123" s="591"/>
      <c r="L123" s="367"/>
      <c r="N123"/>
      <c r="O123"/>
      <c r="P123"/>
    </row>
    <row r="124" spans="1:16" ht="12.75">
      <c r="A124" s="593" t="s">
        <v>66</v>
      </c>
      <c r="B124" s="594">
        <v>42898</v>
      </c>
      <c r="C124" s="595">
        <f>SUM(C125:C129)</f>
        <v>50599</v>
      </c>
      <c r="D124" s="596">
        <v>10000</v>
      </c>
      <c r="G124" s="1006" t="s">
        <v>66</v>
      </c>
      <c r="H124" s="1007"/>
      <c r="I124" s="1008"/>
      <c r="J124" s="594">
        <f>+J125+J126</f>
        <v>2791</v>
      </c>
      <c r="K124" s="595">
        <f>+K125+K126</f>
        <v>3273</v>
      </c>
      <c r="L124" s="596">
        <f>+L125+L126</f>
        <v>0</v>
      </c>
      <c r="N124"/>
      <c r="O124"/>
      <c r="P124"/>
    </row>
    <row r="125" spans="1:16" ht="12.75">
      <c r="A125" s="55" t="s">
        <v>80</v>
      </c>
      <c r="B125" s="49">
        <v>6713</v>
      </c>
      <c r="C125" s="591">
        <v>3208</v>
      </c>
      <c r="D125" s="367">
        <v>2000</v>
      </c>
      <c r="G125" s="944" t="s">
        <v>310</v>
      </c>
      <c r="H125" s="945"/>
      <c r="I125" s="1005"/>
      <c r="J125" s="49"/>
      <c r="K125" s="591"/>
      <c r="L125" s="367"/>
      <c r="N125"/>
      <c r="O125"/>
      <c r="P125"/>
    </row>
    <row r="126" spans="1:16" ht="12.75">
      <c r="A126" s="55" t="s">
        <v>303</v>
      </c>
      <c r="B126" s="49">
        <v>15186</v>
      </c>
      <c r="C126" s="591">
        <v>46287</v>
      </c>
      <c r="D126" s="367">
        <v>8000</v>
      </c>
      <c r="G126" s="944" t="s">
        <v>82</v>
      </c>
      <c r="H126" s="945"/>
      <c r="I126" s="1005"/>
      <c r="J126" s="49">
        <v>2791</v>
      </c>
      <c r="K126" s="591">
        <v>3273</v>
      </c>
      <c r="L126" s="367"/>
      <c r="N126"/>
      <c r="O126"/>
      <c r="P126"/>
    </row>
    <row r="127" spans="1:16" ht="12.75">
      <c r="A127" s="55" t="s">
        <v>304</v>
      </c>
      <c r="B127" s="49"/>
      <c r="C127" s="591"/>
      <c r="D127" s="367"/>
      <c r="E127"/>
      <c r="G127" s="944"/>
      <c r="H127" s="945"/>
      <c r="I127" s="1005"/>
      <c r="J127" s="49"/>
      <c r="K127" s="591"/>
      <c r="L127" s="367"/>
      <c r="N127"/>
      <c r="O127"/>
      <c r="P127"/>
    </row>
    <row r="128" spans="1:16" ht="12.75">
      <c r="A128" s="55" t="s">
        <v>83</v>
      </c>
      <c r="B128" s="49">
        <v>18410</v>
      </c>
      <c r="C128" s="591"/>
      <c r="D128" s="367"/>
      <c r="E128"/>
      <c r="G128" s="944"/>
      <c r="H128" s="945"/>
      <c r="I128" s="1005"/>
      <c r="J128" s="49"/>
      <c r="K128" s="591"/>
      <c r="L128" s="367"/>
      <c r="N128"/>
      <c r="O128"/>
      <c r="P128"/>
    </row>
    <row r="129" spans="1:16" ht="12.75">
      <c r="A129" s="55" t="s">
        <v>82</v>
      </c>
      <c r="B129" s="49"/>
      <c r="C129" s="591">
        <v>1104</v>
      </c>
      <c r="D129" s="367"/>
      <c r="E129"/>
      <c r="G129" s="944"/>
      <c r="H129" s="945"/>
      <c r="I129" s="1005"/>
      <c r="J129" s="49"/>
      <c r="K129" s="591"/>
      <c r="L129" s="367"/>
      <c r="N129"/>
      <c r="O129"/>
      <c r="P129"/>
    </row>
    <row r="130" spans="1:16" ht="12.75">
      <c r="A130" s="56" t="s">
        <v>84</v>
      </c>
      <c r="B130" s="49">
        <v>2589</v>
      </c>
      <c r="C130" s="591"/>
      <c r="D130" s="367"/>
      <c r="E130"/>
      <c r="G130" s="944"/>
      <c r="H130" s="945"/>
      <c r="I130" s="1005"/>
      <c r="J130" s="49"/>
      <c r="K130" s="591"/>
      <c r="L130" s="367"/>
      <c r="N130"/>
      <c r="O130"/>
      <c r="P130"/>
    </row>
    <row r="131" spans="1:16" ht="12.75">
      <c r="A131" s="593" t="s">
        <v>67</v>
      </c>
      <c r="B131" s="594">
        <f>+B132+B133</f>
        <v>36185</v>
      </c>
      <c r="C131" s="595">
        <v>321394</v>
      </c>
      <c r="D131" s="596">
        <v>15389</v>
      </c>
      <c r="G131" s="1006" t="s">
        <v>67</v>
      </c>
      <c r="H131" s="1007"/>
      <c r="I131" s="1008"/>
      <c r="J131" s="594">
        <f>+J132+J133+J134</f>
        <v>3656</v>
      </c>
      <c r="K131" s="595">
        <f>+K132+K133+K134</f>
        <v>2501</v>
      </c>
      <c r="L131" s="596">
        <f>+L132+L133+L134</f>
        <v>0</v>
      </c>
      <c r="N131"/>
      <c r="O131"/>
      <c r="P131"/>
    </row>
    <row r="132" spans="1:16" ht="12.75">
      <c r="A132" s="55" t="s">
        <v>263</v>
      </c>
      <c r="B132" s="49">
        <v>26812</v>
      </c>
      <c r="C132" s="591">
        <v>33462</v>
      </c>
      <c r="D132" s="367">
        <v>7500</v>
      </c>
      <c r="G132" s="418" t="s">
        <v>85</v>
      </c>
      <c r="H132" s="419"/>
      <c r="I132" s="420"/>
      <c r="J132" s="49">
        <v>1067</v>
      </c>
      <c r="K132" s="591">
        <v>1397</v>
      </c>
      <c r="L132" s="367">
        <f>+L133+L134</f>
        <v>0</v>
      </c>
      <c r="N132"/>
      <c r="O132"/>
      <c r="P132"/>
    </row>
    <row r="133" spans="1:16" ht="12.75">
      <c r="A133" s="55" t="s">
        <v>264</v>
      </c>
      <c r="B133" s="49">
        <v>9373</v>
      </c>
      <c r="C133" s="591">
        <v>6540</v>
      </c>
      <c r="D133" s="367">
        <v>7889</v>
      </c>
      <c r="G133" s="418" t="s">
        <v>86</v>
      </c>
      <c r="H133" s="419"/>
      <c r="I133" s="420"/>
      <c r="J133" s="49"/>
      <c r="K133" s="591"/>
      <c r="L133" s="367"/>
      <c r="N133"/>
      <c r="O133"/>
      <c r="P133"/>
    </row>
    <row r="134" spans="1:16" ht="12.75">
      <c r="A134" s="587" t="s">
        <v>308</v>
      </c>
      <c r="B134" s="588"/>
      <c r="C134" s="592">
        <f>+C131-C132-C133</f>
        <v>281392</v>
      </c>
      <c r="D134" s="589"/>
      <c r="G134" s="418" t="s">
        <v>286</v>
      </c>
      <c r="H134" s="419"/>
      <c r="I134" s="420"/>
      <c r="J134" s="49">
        <v>2589</v>
      </c>
      <c r="K134" s="591">
        <v>1104</v>
      </c>
      <c r="L134" s="367"/>
      <c r="N134"/>
      <c r="O134"/>
      <c r="P134"/>
    </row>
    <row r="135" spans="1:16" ht="12.75">
      <c r="A135" s="587" t="s">
        <v>309</v>
      </c>
      <c r="B135" s="588"/>
      <c r="C135" s="592"/>
      <c r="D135" s="589"/>
      <c r="G135" s="944"/>
      <c r="H135" s="945"/>
      <c r="I135" s="1005"/>
      <c r="J135" s="588"/>
      <c r="K135" s="592"/>
      <c r="L135" s="589"/>
      <c r="N135"/>
      <c r="O135"/>
      <c r="P135"/>
    </row>
    <row r="136" spans="1:16" ht="13.5" thickBot="1">
      <c r="A136" s="597" t="s">
        <v>87</v>
      </c>
      <c r="B136" s="117">
        <f>+B122+B124-B131</f>
        <v>291590</v>
      </c>
      <c r="C136" s="598">
        <v>20794</v>
      </c>
      <c r="D136" s="599">
        <f>+D122-D131+D124</f>
        <v>15405</v>
      </c>
      <c r="G136" s="1139" t="s">
        <v>87</v>
      </c>
      <c r="H136" s="1140"/>
      <c r="I136" s="1141"/>
      <c r="J136" s="117">
        <f>+J122+J124-J131</f>
        <v>2501</v>
      </c>
      <c r="K136" s="598">
        <f>+K122+K124-K131</f>
        <v>3273</v>
      </c>
      <c r="L136" s="599">
        <f>+L122+L124-L131</f>
        <v>3273</v>
      </c>
      <c r="N136"/>
      <c r="O136"/>
      <c r="P136"/>
    </row>
    <row r="138" ht="16.5" thickBot="1">
      <c r="A138" s="184" t="s">
        <v>313</v>
      </c>
    </row>
    <row r="139" spans="1:8" ht="12.75">
      <c r="A139" s="968" t="s">
        <v>201</v>
      </c>
      <c r="B139" s="963" t="s">
        <v>4</v>
      </c>
      <c r="C139" s="963" t="s">
        <v>261</v>
      </c>
      <c r="D139" s="959"/>
      <c r="E139" s="959"/>
      <c r="F139" s="959"/>
      <c r="G139" s="959"/>
      <c r="H139" s="960"/>
    </row>
    <row r="140" spans="1:8" ht="13.5" thickBot="1">
      <c r="A140" s="962"/>
      <c r="B140" s="958"/>
      <c r="C140" s="122" t="s">
        <v>88</v>
      </c>
      <c r="D140" s="123" t="s">
        <v>89</v>
      </c>
      <c r="E140" s="123" t="s">
        <v>90</v>
      </c>
      <c r="F140" s="123" t="s">
        <v>91</v>
      </c>
      <c r="G140" s="747" t="s">
        <v>92</v>
      </c>
      <c r="H140" s="748" t="s">
        <v>45</v>
      </c>
    </row>
    <row r="141" spans="1:8" ht="12.75">
      <c r="A141" s="814" t="s">
        <v>93</v>
      </c>
      <c r="B141" s="209">
        <v>79059</v>
      </c>
      <c r="C141" s="924">
        <v>22158</v>
      </c>
      <c r="D141" s="750">
        <v>2459</v>
      </c>
      <c r="E141" s="750">
        <v>482</v>
      </c>
      <c r="F141" s="750">
        <v>746</v>
      </c>
      <c r="G141" s="750">
        <v>7068</v>
      </c>
      <c r="H141" s="817">
        <f>SUM(C141:G141)</f>
        <v>32913</v>
      </c>
    </row>
    <row r="142" spans="1:8" ht="13.5" thickBot="1">
      <c r="A142" s="645" t="s">
        <v>149</v>
      </c>
      <c r="B142" s="210">
        <v>125795</v>
      </c>
      <c r="C142" s="812">
        <v>19161</v>
      </c>
      <c r="D142" s="383">
        <v>29272</v>
      </c>
      <c r="E142" s="383">
        <v>28543</v>
      </c>
      <c r="F142" s="383">
        <v>23370</v>
      </c>
      <c r="G142" s="383">
        <v>40</v>
      </c>
      <c r="H142" s="813">
        <f>SUM(C142:G142)</f>
        <v>100386</v>
      </c>
    </row>
    <row r="143" ht="15.75">
      <c r="A143" s="184"/>
    </row>
    <row r="144" ht="16.5" thickBot="1">
      <c r="A144" s="184"/>
    </row>
    <row r="145" spans="1:16" ht="13.5" thickBot="1">
      <c r="A145" s="1111" t="s">
        <v>94</v>
      </c>
      <c r="B145" s="1112"/>
      <c r="C145" s="1115" t="s">
        <v>95</v>
      </c>
      <c r="D145" s="1084"/>
      <c r="E145" s="1084"/>
      <c r="F145" s="1084"/>
      <c r="G145" s="1084"/>
      <c r="H145" s="1116" t="s">
        <v>96</v>
      </c>
      <c r="I145" s="1084"/>
      <c r="J145" s="1084"/>
      <c r="K145" s="1084"/>
      <c r="L145" s="1085"/>
      <c r="M145"/>
      <c r="N145"/>
      <c r="O145"/>
      <c r="P145"/>
    </row>
    <row r="146" spans="1:16" ht="13.5" thickBot="1">
      <c r="A146" s="1113"/>
      <c r="B146" s="1114"/>
      <c r="C146" s="43">
        <v>2003</v>
      </c>
      <c r="D146" s="44">
        <v>2004</v>
      </c>
      <c r="E146" s="59" t="s">
        <v>7</v>
      </c>
      <c r="F146" s="44">
        <v>2005</v>
      </c>
      <c r="G146" s="59" t="s">
        <v>7</v>
      </c>
      <c r="H146" s="235">
        <v>2003</v>
      </c>
      <c r="I146" s="44">
        <v>2004</v>
      </c>
      <c r="J146" s="567" t="s">
        <v>7</v>
      </c>
      <c r="K146" s="44">
        <v>2005</v>
      </c>
      <c r="L146" s="60" t="s">
        <v>7</v>
      </c>
      <c r="M146"/>
      <c r="N146"/>
      <c r="O146"/>
      <c r="P146"/>
    </row>
    <row r="147" spans="1:16" ht="12.75">
      <c r="A147" s="955" t="s">
        <v>97</v>
      </c>
      <c r="B147" s="947"/>
      <c r="C147" s="506">
        <v>114</v>
      </c>
      <c r="D147" s="384">
        <v>114</v>
      </c>
      <c r="E147" s="507">
        <f>+D147-C147</f>
        <v>0</v>
      </c>
      <c r="F147" s="568">
        <v>114</v>
      </c>
      <c r="G147" s="507">
        <f aca="true" t="shared" si="10" ref="G147:G165">+F147-D147</f>
        <v>0</v>
      </c>
      <c r="H147" s="508">
        <v>85.2</v>
      </c>
      <c r="I147" s="569">
        <v>77.5</v>
      </c>
      <c r="J147" s="206">
        <f>+I147-H147</f>
        <v>-7.700000000000003</v>
      </c>
      <c r="K147" s="569">
        <v>79.4</v>
      </c>
      <c r="L147" s="385">
        <f aca="true" t="shared" si="11" ref="L147:L165">+K147-I147</f>
        <v>1.9000000000000057</v>
      </c>
      <c r="M147"/>
      <c r="N147"/>
      <c r="O147"/>
      <c r="P147"/>
    </row>
    <row r="148" spans="1:16" ht="12.75">
      <c r="A148" s="955" t="s">
        <v>98</v>
      </c>
      <c r="B148" s="947"/>
      <c r="C148" s="509">
        <v>18</v>
      </c>
      <c r="D148" s="386">
        <v>24</v>
      </c>
      <c r="E148" s="510">
        <f>+D148-C148</f>
        <v>6</v>
      </c>
      <c r="F148" s="570">
        <v>24</v>
      </c>
      <c r="G148" s="507">
        <f t="shared" si="10"/>
        <v>0</v>
      </c>
      <c r="H148" s="511">
        <v>78.7</v>
      </c>
      <c r="I148" s="571">
        <v>78.7</v>
      </c>
      <c r="J148" s="207">
        <f>+I148-H148</f>
        <v>0</v>
      </c>
      <c r="K148" s="571">
        <v>78.2</v>
      </c>
      <c r="L148" s="385">
        <f t="shared" si="11"/>
        <v>-0.5</v>
      </c>
      <c r="M148"/>
      <c r="N148"/>
      <c r="O148"/>
      <c r="P148"/>
    </row>
    <row r="149" spans="1:16" ht="12.75">
      <c r="A149" s="955" t="s">
        <v>99</v>
      </c>
      <c r="B149" s="947"/>
      <c r="C149" s="509">
        <v>24</v>
      </c>
      <c r="D149" s="386">
        <v>24</v>
      </c>
      <c r="E149" s="510">
        <f>+D149-C149</f>
        <v>0</v>
      </c>
      <c r="F149" s="570">
        <v>24</v>
      </c>
      <c r="G149" s="507">
        <f t="shared" si="10"/>
        <v>0</v>
      </c>
      <c r="H149" s="511">
        <v>77</v>
      </c>
      <c r="I149" s="571">
        <v>79</v>
      </c>
      <c r="J149" s="207">
        <f>+I149-H149</f>
        <v>2</v>
      </c>
      <c r="K149" s="571">
        <v>86.6</v>
      </c>
      <c r="L149" s="385">
        <f t="shared" si="11"/>
        <v>7.599999999999994</v>
      </c>
      <c r="M149"/>
      <c r="N149"/>
      <c r="O149"/>
      <c r="P149"/>
    </row>
    <row r="150" spans="1:16" ht="12.75">
      <c r="A150" s="955" t="s">
        <v>100</v>
      </c>
      <c r="B150" s="947"/>
      <c r="C150" s="509">
        <v>24</v>
      </c>
      <c r="D150" s="386">
        <v>24</v>
      </c>
      <c r="E150" s="510">
        <f>+D150-C150</f>
        <v>0</v>
      </c>
      <c r="F150" s="570">
        <v>24</v>
      </c>
      <c r="G150" s="507">
        <f t="shared" si="10"/>
        <v>0</v>
      </c>
      <c r="H150" s="511">
        <v>83.2</v>
      </c>
      <c r="I150" s="571">
        <v>89.2</v>
      </c>
      <c r="J150" s="207">
        <f>+I150-H150</f>
        <v>6</v>
      </c>
      <c r="K150" s="571">
        <v>91</v>
      </c>
      <c r="L150" s="385">
        <f t="shared" si="11"/>
        <v>1.7999999999999972</v>
      </c>
      <c r="M150"/>
      <c r="N150"/>
      <c r="O150"/>
      <c r="P150"/>
    </row>
    <row r="151" spans="1:16" ht="12.75">
      <c r="A151" s="955" t="s">
        <v>101</v>
      </c>
      <c r="B151" s="947"/>
      <c r="C151" s="509"/>
      <c r="D151" s="386"/>
      <c r="E151" s="510"/>
      <c r="F151" s="570"/>
      <c r="G151" s="507">
        <f t="shared" si="10"/>
        <v>0</v>
      </c>
      <c r="H151" s="511"/>
      <c r="I151" s="571"/>
      <c r="J151" s="207"/>
      <c r="K151" s="571"/>
      <c r="L151" s="385">
        <f t="shared" si="11"/>
        <v>0</v>
      </c>
      <c r="M151"/>
      <c r="N151"/>
      <c r="O151"/>
      <c r="P151"/>
    </row>
    <row r="152" spans="1:16" ht="12.75">
      <c r="A152" s="955" t="s">
        <v>102</v>
      </c>
      <c r="B152" s="947"/>
      <c r="C152" s="509">
        <v>70</v>
      </c>
      <c r="D152" s="386">
        <v>70</v>
      </c>
      <c r="E152" s="510">
        <f aca="true" t="shared" si="12" ref="E152:E165">+D152-C152</f>
        <v>0</v>
      </c>
      <c r="F152" s="570">
        <v>68</v>
      </c>
      <c r="G152" s="507">
        <f t="shared" si="10"/>
        <v>-2</v>
      </c>
      <c r="H152" s="511">
        <v>78.4</v>
      </c>
      <c r="I152" s="571">
        <v>83.2</v>
      </c>
      <c r="J152" s="207">
        <f aca="true" t="shared" si="13" ref="J152:J165">+I152-H152</f>
        <v>4.799999999999997</v>
      </c>
      <c r="K152" s="571">
        <v>88.6</v>
      </c>
      <c r="L152" s="385">
        <f t="shared" si="11"/>
        <v>5.3999999999999915</v>
      </c>
      <c r="M152"/>
      <c r="N152"/>
      <c r="O152"/>
      <c r="P152"/>
    </row>
    <row r="153" spans="1:16" ht="12.75">
      <c r="A153" s="955" t="s">
        <v>103</v>
      </c>
      <c r="B153" s="947"/>
      <c r="C153" s="509">
        <v>53</v>
      </c>
      <c r="D153" s="386">
        <v>53</v>
      </c>
      <c r="E153" s="510">
        <f t="shared" si="12"/>
        <v>0</v>
      </c>
      <c r="F153" s="570">
        <v>53</v>
      </c>
      <c r="G153" s="507">
        <f t="shared" si="10"/>
        <v>0</v>
      </c>
      <c r="H153" s="511">
        <v>76.6</v>
      </c>
      <c r="I153" s="571">
        <v>71.2</v>
      </c>
      <c r="J153" s="207">
        <f t="shared" si="13"/>
        <v>-5.3999999999999915</v>
      </c>
      <c r="K153" s="571">
        <v>68.3</v>
      </c>
      <c r="L153" s="385">
        <f t="shared" si="11"/>
        <v>-2.9000000000000057</v>
      </c>
      <c r="M153"/>
      <c r="N153"/>
      <c r="O153"/>
      <c r="P153"/>
    </row>
    <row r="154" spans="1:16" ht="12.75">
      <c r="A154" s="955" t="s">
        <v>104</v>
      </c>
      <c r="B154" s="947"/>
      <c r="C154" s="509">
        <v>71</v>
      </c>
      <c r="D154" s="386">
        <v>70</v>
      </c>
      <c r="E154" s="510">
        <f t="shared" si="12"/>
        <v>-1</v>
      </c>
      <c r="F154" s="570">
        <v>70</v>
      </c>
      <c r="G154" s="507">
        <f t="shared" si="10"/>
        <v>0</v>
      </c>
      <c r="H154" s="511">
        <v>88</v>
      </c>
      <c r="I154" s="571">
        <v>82.4</v>
      </c>
      <c r="J154" s="207">
        <f t="shared" si="13"/>
        <v>-5.599999999999994</v>
      </c>
      <c r="K154" s="571">
        <v>78.9</v>
      </c>
      <c r="L154" s="385">
        <f t="shared" si="11"/>
        <v>-3.5</v>
      </c>
      <c r="M154"/>
      <c r="N154"/>
      <c r="O154"/>
      <c r="P154"/>
    </row>
    <row r="155" spans="1:16" ht="12.75">
      <c r="A155" s="955" t="s">
        <v>105</v>
      </c>
      <c r="B155" s="947"/>
      <c r="C155" s="509">
        <v>5</v>
      </c>
      <c r="D155" s="386">
        <v>6</v>
      </c>
      <c r="E155" s="510">
        <f t="shared" si="12"/>
        <v>1</v>
      </c>
      <c r="F155" s="570">
        <v>6</v>
      </c>
      <c r="G155" s="507">
        <f t="shared" si="10"/>
        <v>0</v>
      </c>
      <c r="H155" s="511">
        <v>77.7</v>
      </c>
      <c r="I155" s="571">
        <v>77.4</v>
      </c>
      <c r="J155" s="207">
        <f t="shared" si="13"/>
        <v>-0.29999999999999716</v>
      </c>
      <c r="K155" s="571">
        <v>73.5</v>
      </c>
      <c r="L155" s="385">
        <f t="shared" si="11"/>
        <v>-3.9000000000000057</v>
      </c>
      <c r="M155"/>
      <c r="N155"/>
      <c r="O155"/>
      <c r="P155"/>
    </row>
    <row r="156" spans="1:16" ht="12.75">
      <c r="A156" s="955" t="s">
        <v>106</v>
      </c>
      <c r="B156" s="947"/>
      <c r="C156" s="509">
        <v>30</v>
      </c>
      <c r="D156" s="386">
        <v>32</v>
      </c>
      <c r="E156" s="510">
        <f t="shared" si="12"/>
        <v>2</v>
      </c>
      <c r="F156" s="570">
        <v>32</v>
      </c>
      <c r="G156" s="507">
        <f t="shared" si="10"/>
        <v>0</v>
      </c>
      <c r="H156" s="511">
        <v>85.1</v>
      </c>
      <c r="I156" s="571">
        <v>93.6</v>
      </c>
      <c r="J156" s="207">
        <f t="shared" si="13"/>
        <v>8.5</v>
      </c>
      <c r="K156" s="571">
        <v>86.3</v>
      </c>
      <c r="L156" s="385">
        <f t="shared" si="11"/>
        <v>-7.299999999999997</v>
      </c>
      <c r="M156"/>
      <c r="N156"/>
      <c r="O156"/>
      <c r="P156"/>
    </row>
    <row r="157" spans="1:16" ht="12.75">
      <c r="A157" s="955" t="s">
        <v>107</v>
      </c>
      <c r="B157" s="947"/>
      <c r="C157" s="509">
        <v>22</v>
      </c>
      <c r="D157" s="386">
        <v>20</v>
      </c>
      <c r="E157" s="510">
        <f t="shared" si="12"/>
        <v>-2</v>
      </c>
      <c r="F157" s="570">
        <v>20</v>
      </c>
      <c r="G157" s="507">
        <f t="shared" si="10"/>
        <v>0</v>
      </c>
      <c r="H157" s="511">
        <v>64.1</v>
      </c>
      <c r="I157" s="571">
        <v>75.6</v>
      </c>
      <c r="J157" s="207">
        <f t="shared" si="13"/>
        <v>11.5</v>
      </c>
      <c r="K157" s="571">
        <v>68.1</v>
      </c>
      <c r="L157" s="385">
        <f t="shared" si="11"/>
        <v>-7.5</v>
      </c>
      <c r="M157"/>
      <c r="N157"/>
      <c r="O157"/>
      <c r="P157"/>
    </row>
    <row r="158" spans="1:16" ht="12.75">
      <c r="A158" s="955" t="s">
        <v>108</v>
      </c>
      <c r="B158" s="947"/>
      <c r="C158" s="509">
        <v>23</v>
      </c>
      <c r="D158" s="386">
        <v>20</v>
      </c>
      <c r="E158" s="510">
        <f t="shared" si="12"/>
        <v>-3</v>
      </c>
      <c r="F158" s="570">
        <v>15</v>
      </c>
      <c r="G158" s="507">
        <f t="shared" si="10"/>
        <v>-5</v>
      </c>
      <c r="H158" s="511">
        <v>79.3</v>
      </c>
      <c r="I158" s="571">
        <v>79</v>
      </c>
      <c r="J158" s="207">
        <f t="shared" si="13"/>
        <v>-0.29999999999999716</v>
      </c>
      <c r="K158" s="571">
        <v>55.7</v>
      </c>
      <c r="L158" s="385">
        <f t="shared" si="11"/>
        <v>-23.299999999999997</v>
      </c>
      <c r="M158"/>
      <c r="N158"/>
      <c r="O158"/>
      <c r="P158"/>
    </row>
    <row r="159" spans="1:16" ht="12.75">
      <c r="A159" s="955" t="s">
        <v>109</v>
      </c>
      <c r="B159" s="947"/>
      <c r="C159" s="509">
        <v>25</v>
      </c>
      <c r="D159" s="386">
        <v>20</v>
      </c>
      <c r="E159" s="510">
        <f t="shared" si="12"/>
        <v>-5</v>
      </c>
      <c r="F159" s="570">
        <v>12</v>
      </c>
      <c r="G159" s="507">
        <f t="shared" si="10"/>
        <v>-8</v>
      </c>
      <c r="H159" s="511">
        <v>66.7</v>
      </c>
      <c r="I159" s="571">
        <v>77.9</v>
      </c>
      <c r="J159" s="207">
        <f t="shared" si="13"/>
        <v>11.200000000000003</v>
      </c>
      <c r="K159" s="571">
        <v>84.4</v>
      </c>
      <c r="L159" s="385">
        <f t="shared" si="11"/>
        <v>6.5</v>
      </c>
      <c r="M159"/>
      <c r="N159"/>
      <c r="O159"/>
      <c r="P159"/>
    </row>
    <row r="160" spans="1:16" ht="12.75">
      <c r="A160" s="955" t="s">
        <v>110</v>
      </c>
      <c r="B160" s="947"/>
      <c r="C160" s="509">
        <v>15</v>
      </c>
      <c r="D160" s="386">
        <v>0</v>
      </c>
      <c r="E160" s="510">
        <f t="shared" si="12"/>
        <v>-15</v>
      </c>
      <c r="F160" s="570"/>
      <c r="G160" s="507">
        <f t="shared" si="10"/>
        <v>0</v>
      </c>
      <c r="H160" s="511">
        <v>74</v>
      </c>
      <c r="I160" s="571"/>
      <c r="J160" s="207">
        <f t="shared" si="13"/>
        <v>-74</v>
      </c>
      <c r="K160" s="571"/>
      <c r="L160" s="385">
        <f t="shared" si="11"/>
        <v>0</v>
      </c>
      <c r="M160"/>
      <c r="N160"/>
      <c r="O160"/>
      <c r="P160"/>
    </row>
    <row r="161" spans="1:16" ht="12.75">
      <c r="A161" s="955" t="s">
        <v>111</v>
      </c>
      <c r="B161" s="947"/>
      <c r="C161" s="509">
        <v>20</v>
      </c>
      <c r="D161" s="386">
        <v>20</v>
      </c>
      <c r="E161" s="510">
        <f t="shared" si="12"/>
        <v>0</v>
      </c>
      <c r="F161" s="570">
        <v>20</v>
      </c>
      <c r="G161" s="507">
        <f t="shared" si="10"/>
        <v>0</v>
      </c>
      <c r="H161" s="511">
        <v>73.7</v>
      </c>
      <c r="I161" s="571">
        <v>89.7</v>
      </c>
      <c r="J161" s="207">
        <f t="shared" si="13"/>
        <v>16</v>
      </c>
      <c r="K161" s="571">
        <v>85.1</v>
      </c>
      <c r="L161" s="385">
        <f t="shared" si="11"/>
        <v>-4.6000000000000085</v>
      </c>
      <c r="M161"/>
      <c r="N161"/>
      <c r="O161"/>
      <c r="P161"/>
    </row>
    <row r="162" spans="1:16" ht="12.75">
      <c r="A162" s="955" t="s">
        <v>112</v>
      </c>
      <c r="B162" s="947"/>
      <c r="C162" s="509">
        <v>25</v>
      </c>
      <c r="D162" s="386">
        <v>25</v>
      </c>
      <c r="E162" s="510">
        <f t="shared" si="12"/>
        <v>0</v>
      </c>
      <c r="F162" s="570">
        <v>25</v>
      </c>
      <c r="G162" s="507">
        <f t="shared" si="10"/>
        <v>0</v>
      </c>
      <c r="H162" s="511">
        <v>86.7</v>
      </c>
      <c r="I162" s="571">
        <v>84.3</v>
      </c>
      <c r="J162" s="207">
        <f t="shared" si="13"/>
        <v>-2.4000000000000057</v>
      </c>
      <c r="K162" s="571">
        <v>84.9</v>
      </c>
      <c r="L162" s="385">
        <f t="shared" si="11"/>
        <v>0.6000000000000085</v>
      </c>
      <c r="M162"/>
      <c r="N162"/>
      <c r="O162"/>
      <c r="P162"/>
    </row>
    <row r="163" spans="1:16" ht="12.75">
      <c r="A163" s="955" t="s">
        <v>113</v>
      </c>
      <c r="B163" s="947"/>
      <c r="C163" s="509">
        <v>26</v>
      </c>
      <c r="D163" s="386">
        <v>44</v>
      </c>
      <c r="E163" s="510">
        <f t="shared" si="12"/>
        <v>18</v>
      </c>
      <c r="F163" s="570">
        <v>44</v>
      </c>
      <c r="G163" s="507">
        <f t="shared" si="10"/>
        <v>0</v>
      </c>
      <c r="H163" s="511">
        <v>97.9</v>
      </c>
      <c r="I163" s="571">
        <v>91.7</v>
      </c>
      <c r="J163" s="207">
        <f t="shared" si="13"/>
        <v>-6.200000000000003</v>
      </c>
      <c r="K163" s="571">
        <v>98.3</v>
      </c>
      <c r="L163" s="385">
        <f t="shared" si="11"/>
        <v>6.599999999999994</v>
      </c>
      <c r="M163"/>
      <c r="N163"/>
      <c r="O163"/>
      <c r="P163"/>
    </row>
    <row r="164" spans="1:16" ht="13.5" thickBot="1">
      <c r="A164" s="948" t="s">
        <v>114</v>
      </c>
      <c r="B164" s="949"/>
      <c r="C164" s="512">
        <v>10</v>
      </c>
      <c r="D164" s="514">
        <v>10</v>
      </c>
      <c r="E164" s="513">
        <f t="shared" si="12"/>
        <v>0</v>
      </c>
      <c r="F164" s="572">
        <v>10</v>
      </c>
      <c r="G164" s="515">
        <f t="shared" si="10"/>
        <v>0</v>
      </c>
      <c r="H164" s="516">
        <v>78.4</v>
      </c>
      <c r="I164" s="573">
        <v>85.8</v>
      </c>
      <c r="J164" s="574">
        <f t="shared" si="13"/>
        <v>7.3999999999999915</v>
      </c>
      <c r="K164" s="573">
        <v>86.5</v>
      </c>
      <c r="L164" s="575">
        <f t="shared" si="11"/>
        <v>0.7000000000000028</v>
      </c>
      <c r="M164"/>
      <c r="N164"/>
      <c r="O164"/>
      <c r="P164"/>
    </row>
    <row r="165" spans="1:16" ht="12" customHeight="1" thickBot="1">
      <c r="A165" s="1118" t="s">
        <v>4</v>
      </c>
      <c r="B165" s="1119"/>
      <c r="C165" s="387">
        <f>SUM(C147:C164)</f>
        <v>575</v>
      </c>
      <c r="D165" s="62">
        <f>SUM(D147:D164)</f>
        <v>576</v>
      </c>
      <c r="E165" s="61">
        <f t="shared" si="12"/>
        <v>1</v>
      </c>
      <c r="F165" s="62">
        <f>SUM(F147:F164)</f>
        <v>561</v>
      </c>
      <c r="G165" s="576">
        <f t="shared" si="10"/>
        <v>-15</v>
      </c>
      <c r="H165" s="577">
        <v>81.5</v>
      </c>
      <c r="I165" s="578">
        <v>81.3</v>
      </c>
      <c r="J165" s="579">
        <f t="shared" si="13"/>
        <v>-0.20000000000000284</v>
      </c>
      <c r="K165" s="578">
        <v>81.6</v>
      </c>
      <c r="L165" s="388">
        <f t="shared" si="11"/>
        <v>0.29999999999999716</v>
      </c>
      <c r="M165"/>
      <c r="N165"/>
      <c r="O165"/>
      <c r="P165"/>
    </row>
    <row r="166" spans="1:16" ht="11.25" customHeight="1">
      <c r="A166"/>
      <c r="B166"/>
      <c r="C166"/>
      <c r="D166"/>
      <c r="E166"/>
      <c r="F166"/>
      <c r="G166"/>
      <c r="H166"/>
      <c r="I166"/>
      <c r="J166"/>
      <c r="K166"/>
      <c r="L166"/>
      <c r="M166"/>
      <c r="N166"/>
      <c r="O166"/>
      <c r="P166"/>
    </row>
    <row r="167" spans="1:16" ht="16.5" thickBot="1">
      <c r="A167" s="580" t="s">
        <v>305</v>
      </c>
      <c r="B167"/>
      <c r="C167"/>
      <c r="D167"/>
      <c r="E167"/>
      <c r="F167"/>
      <c r="G167"/>
      <c r="H167"/>
      <c r="I167"/>
      <c r="J167"/>
      <c r="K167"/>
      <c r="L167" s="581" t="s">
        <v>306</v>
      </c>
      <c r="M167"/>
      <c r="N167"/>
      <c r="O167"/>
      <c r="P167"/>
    </row>
    <row r="168" spans="1:16" ht="17.25" customHeight="1">
      <c r="A168" s="957" t="s">
        <v>307</v>
      </c>
      <c r="B168" s="952" t="s">
        <v>116</v>
      </c>
      <c r="C168" s="953"/>
      <c r="D168" s="954"/>
      <c r="E168" s="1010" t="s">
        <v>307</v>
      </c>
      <c r="F168" s="1011"/>
      <c r="G168" s="953" t="s">
        <v>117</v>
      </c>
      <c r="H168" s="953"/>
      <c r="I168" s="1009"/>
      <c r="J168" s="953" t="s">
        <v>200</v>
      </c>
      <c r="K168" s="953"/>
      <c r="L168" s="1009"/>
      <c r="M168"/>
      <c r="N168"/>
      <c r="O168"/>
      <c r="P168"/>
    </row>
    <row r="169" spans="1:16" ht="33.75" customHeight="1" thickBot="1">
      <c r="A169" s="951"/>
      <c r="B169" s="63" t="s">
        <v>119</v>
      </c>
      <c r="C169" s="64" t="s">
        <v>120</v>
      </c>
      <c r="D169" s="517" t="s">
        <v>121</v>
      </c>
      <c r="E169" s="1012"/>
      <c r="F169" s="1013"/>
      <c r="G169" s="64" t="s">
        <v>119</v>
      </c>
      <c r="H169" s="64" t="s">
        <v>120</v>
      </c>
      <c r="I169" s="48" t="s">
        <v>121</v>
      </c>
      <c r="J169" s="64" t="s">
        <v>119</v>
      </c>
      <c r="K169" s="64" t="s">
        <v>120</v>
      </c>
      <c r="L169" s="48" t="s">
        <v>121</v>
      </c>
      <c r="M169"/>
      <c r="N169"/>
      <c r="O169"/>
      <c r="P169"/>
    </row>
    <row r="170" spans="1:16" ht="19.5" customHeight="1">
      <c r="A170" s="518" t="s">
        <v>122</v>
      </c>
      <c r="B170" s="519">
        <v>114.74</v>
      </c>
      <c r="C170" s="520">
        <v>48951153</v>
      </c>
      <c r="D170" s="521">
        <f aca="true" t="shared" si="14" ref="D170:D176">+IF(B170&gt;0,C170/B170/12,"")</f>
        <v>35552.22895241416</v>
      </c>
      <c r="E170" s="961" t="s">
        <v>122</v>
      </c>
      <c r="F170" s="956"/>
      <c r="G170" s="582">
        <v>115.94</v>
      </c>
      <c r="H170" s="522">
        <v>43345761</v>
      </c>
      <c r="I170" s="427">
        <f aca="true" t="shared" si="15" ref="I170:I180">+IF(G170&gt;0,H170/G170/12,"")</f>
        <v>31155.310936691396</v>
      </c>
      <c r="J170" s="582">
        <v>120.92</v>
      </c>
      <c r="K170" s="522">
        <v>53371146</v>
      </c>
      <c r="L170" s="427">
        <f aca="true" t="shared" si="16" ref="L170:L180">+IF(J170&gt;0,K170/J170/12,"")</f>
        <v>36781.30582203109</v>
      </c>
      <c r="M170"/>
      <c r="N170"/>
      <c r="O170"/>
      <c r="P170"/>
    </row>
    <row r="171" spans="1:16" ht="19.5" customHeight="1">
      <c r="A171" s="518" t="s">
        <v>123</v>
      </c>
      <c r="B171" s="519">
        <v>6.33</v>
      </c>
      <c r="C171" s="520">
        <v>1733702</v>
      </c>
      <c r="D171" s="523">
        <f t="shared" si="14"/>
        <v>22823.880989994734</v>
      </c>
      <c r="E171" s="961" t="s">
        <v>123</v>
      </c>
      <c r="F171" s="956"/>
      <c r="G171" s="583">
        <v>5</v>
      </c>
      <c r="H171" s="520">
        <v>1560438</v>
      </c>
      <c r="I171" s="423">
        <f t="shared" si="15"/>
        <v>26007.3</v>
      </c>
      <c r="J171" s="583">
        <v>3.58</v>
      </c>
      <c r="K171" s="520">
        <v>1440451</v>
      </c>
      <c r="L171" s="423">
        <f t="shared" si="16"/>
        <v>33530.051210428304</v>
      </c>
      <c r="M171"/>
      <c r="N171"/>
      <c r="O171"/>
      <c r="P171"/>
    </row>
    <row r="172" spans="1:16" ht="21.75" customHeight="1">
      <c r="A172" s="518" t="s">
        <v>124</v>
      </c>
      <c r="B172" s="519">
        <v>9.72</v>
      </c>
      <c r="C172" s="520">
        <v>3087463</v>
      </c>
      <c r="D172" s="523">
        <f t="shared" si="14"/>
        <v>26470.018861454042</v>
      </c>
      <c r="E172" s="961" t="s">
        <v>125</v>
      </c>
      <c r="F172" s="956"/>
      <c r="G172" s="583">
        <v>433.26</v>
      </c>
      <c r="H172" s="520">
        <v>85590363</v>
      </c>
      <c r="I172" s="423">
        <f t="shared" si="15"/>
        <v>16462.471148963672</v>
      </c>
      <c r="J172" s="583">
        <v>427.15</v>
      </c>
      <c r="K172" s="520">
        <v>88986531</v>
      </c>
      <c r="L172" s="423">
        <f t="shared" si="16"/>
        <v>17360.515626828983</v>
      </c>
      <c r="M172"/>
      <c r="N172"/>
      <c r="O172"/>
      <c r="P172"/>
    </row>
    <row r="173" spans="1:16" ht="21.75" customHeight="1">
      <c r="A173" s="518" t="s">
        <v>126</v>
      </c>
      <c r="B173" s="519">
        <v>7.5</v>
      </c>
      <c r="C173" s="520">
        <v>1307816</v>
      </c>
      <c r="D173" s="523">
        <f t="shared" si="14"/>
        <v>14531.28888888889</v>
      </c>
      <c r="E173" s="961" t="s">
        <v>127</v>
      </c>
      <c r="F173" s="956"/>
      <c r="G173" s="583">
        <v>57.57</v>
      </c>
      <c r="H173" s="520">
        <v>12356009</v>
      </c>
      <c r="I173" s="423">
        <f t="shared" si="15"/>
        <v>17885.485785420646</v>
      </c>
      <c r="J173" s="583">
        <v>57.33</v>
      </c>
      <c r="K173" s="520">
        <v>12619106</v>
      </c>
      <c r="L173" s="423">
        <f t="shared" si="16"/>
        <v>18342.790278504563</v>
      </c>
      <c r="M173"/>
      <c r="N173"/>
      <c r="O173"/>
      <c r="P173"/>
    </row>
    <row r="174" spans="1:16" ht="21.75" customHeight="1">
      <c r="A174" s="518" t="s">
        <v>128</v>
      </c>
      <c r="B174" s="519">
        <v>526.67</v>
      </c>
      <c r="C174" s="520">
        <v>114307401</v>
      </c>
      <c r="D174" s="523">
        <f t="shared" si="14"/>
        <v>18086.49961076196</v>
      </c>
      <c r="E174" s="961" t="s">
        <v>129</v>
      </c>
      <c r="F174" s="956"/>
      <c r="G174" s="583">
        <v>22.53</v>
      </c>
      <c r="H174" s="520">
        <v>5116320</v>
      </c>
      <c r="I174" s="423">
        <f t="shared" si="15"/>
        <v>18924.101198402128</v>
      </c>
      <c r="J174" s="583">
        <v>22</v>
      </c>
      <c r="K174" s="520">
        <v>5120411</v>
      </c>
      <c r="L174" s="423">
        <f t="shared" si="16"/>
        <v>19395.496212121212</v>
      </c>
      <c r="M174"/>
      <c r="N174"/>
      <c r="O174"/>
      <c r="P174"/>
    </row>
    <row r="175" spans="1:16" ht="21.75" customHeight="1">
      <c r="A175" s="518" t="s">
        <v>130</v>
      </c>
      <c r="B175" s="519">
        <v>3.5</v>
      </c>
      <c r="C175" s="520">
        <v>608556</v>
      </c>
      <c r="D175" s="523">
        <f t="shared" si="14"/>
        <v>14489.428571428572</v>
      </c>
      <c r="E175" s="961" t="s">
        <v>131</v>
      </c>
      <c r="F175" s="956"/>
      <c r="G175" s="583">
        <v>106.49</v>
      </c>
      <c r="H175" s="520">
        <v>16008769</v>
      </c>
      <c r="I175" s="423">
        <f t="shared" si="15"/>
        <v>12527.599618117507</v>
      </c>
      <c r="J175" s="583">
        <v>111.2</v>
      </c>
      <c r="K175" s="520">
        <v>16302819</v>
      </c>
      <c r="L175" s="423">
        <f t="shared" si="16"/>
        <v>12217.340377697843</v>
      </c>
      <c r="M175"/>
      <c r="N175"/>
      <c r="O175"/>
      <c r="P175"/>
    </row>
    <row r="176" spans="1:16" ht="21.75" customHeight="1">
      <c r="A176" s="518" t="s">
        <v>132</v>
      </c>
      <c r="B176" s="519">
        <v>114.97</v>
      </c>
      <c r="C176" s="520">
        <v>18942613</v>
      </c>
      <c r="D176" s="523">
        <f t="shared" si="14"/>
        <v>13730.112928010205</v>
      </c>
      <c r="E176" s="961" t="s">
        <v>133</v>
      </c>
      <c r="F176" s="956"/>
      <c r="G176" s="583">
        <v>6.87</v>
      </c>
      <c r="H176" s="520">
        <v>1412433</v>
      </c>
      <c r="I176" s="423">
        <f t="shared" si="15"/>
        <v>17132.860262008733</v>
      </c>
      <c r="J176" s="583">
        <v>4.59</v>
      </c>
      <c r="K176" s="520">
        <v>1253376</v>
      </c>
      <c r="L176" s="423">
        <f t="shared" si="16"/>
        <v>22755.55555555556</v>
      </c>
      <c r="M176"/>
      <c r="N176"/>
      <c r="O176"/>
      <c r="P176"/>
    </row>
    <row r="177" spans="1:16" ht="21.75" customHeight="1">
      <c r="A177" s="518"/>
      <c r="B177" s="519"/>
      <c r="C177" s="520"/>
      <c r="D177" s="523"/>
      <c r="E177" s="961" t="s">
        <v>134</v>
      </c>
      <c r="F177" s="956"/>
      <c r="G177" s="583">
        <v>0</v>
      </c>
      <c r="H177" s="520">
        <v>0</v>
      </c>
      <c r="I177" s="423">
        <f t="shared" si="15"/>
      </c>
      <c r="J177" s="583">
        <v>0</v>
      </c>
      <c r="K177" s="520">
        <v>0</v>
      </c>
      <c r="L177" s="423">
        <f t="shared" si="16"/>
      </c>
      <c r="M177"/>
      <c r="N177"/>
      <c r="O177"/>
      <c r="P177"/>
    </row>
    <row r="178" spans="1:16" ht="21.75" customHeight="1">
      <c r="A178" s="518" t="s">
        <v>135</v>
      </c>
      <c r="B178" s="519">
        <v>53.64</v>
      </c>
      <c r="C178" s="520">
        <v>12047835</v>
      </c>
      <c r="D178" s="523">
        <f>+IF(B178&gt;0,C178/B178/12,"")</f>
        <v>18717.1187546607</v>
      </c>
      <c r="E178" s="961" t="s">
        <v>135</v>
      </c>
      <c r="F178" s="956"/>
      <c r="G178" s="584">
        <v>50.37</v>
      </c>
      <c r="H178" s="422">
        <v>10413086</v>
      </c>
      <c r="I178" s="423">
        <f t="shared" si="15"/>
        <v>17227.65865925485</v>
      </c>
      <c r="J178" s="584">
        <v>52.72</v>
      </c>
      <c r="K178" s="422">
        <v>11319226</v>
      </c>
      <c r="L178" s="423">
        <f t="shared" si="16"/>
        <v>17892.04919069297</v>
      </c>
      <c r="P178"/>
    </row>
    <row r="179" spans="1:12" ht="21.75" customHeight="1" thickBot="1">
      <c r="A179" s="524" t="s">
        <v>136</v>
      </c>
      <c r="B179" s="428">
        <v>193.38</v>
      </c>
      <c r="C179" s="422">
        <v>25385305</v>
      </c>
      <c r="D179" s="523">
        <f>+IF(B179&gt;0,C179/B179/12,"")</f>
        <v>10939.301289343952</v>
      </c>
      <c r="E179" s="950" t="s">
        <v>137</v>
      </c>
      <c r="F179" s="946"/>
      <c r="G179" s="582">
        <v>170.04</v>
      </c>
      <c r="H179" s="522">
        <v>20736803</v>
      </c>
      <c r="I179" s="427">
        <f t="shared" si="15"/>
        <v>10162.708284325257</v>
      </c>
      <c r="J179" s="582">
        <v>172.51</v>
      </c>
      <c r="K179" s="522">
        <v>21947879</v>
      </c>
      <c r="L179" s="423">
        <f t="shared" si="16"/>
        <v>10602.225474851699</v>
      </c>
    </row>
    <row r="180" spans="1:16" ht="13.5" thickBot="1">
      <c r="A180" s="244" t="s">
        <v>4</v>
      </c>
      <c r="B180" s="245">
        <f>SUM(B170:B179)</f>
        <v>1030.4499999999998</v>
      </c>
      <c r="C180" s="240">
        <f>SUM(C170:C179)</f>
        <v>226371844</v>
      </c>
      <c r="D180" s="254">
        <f>+IF(B180&gt;0,C180/B180/12,"")</f>
        <v>18306.875960340953</v>
      </c>
      <c r="E180" s="942" t="s">
        <v>4</v>
      </c>
      <c r="F180" s="943"/>
      <c r="G180" s="585">
        <f>SUM(G170:G179)</f>
        <v>968.07</v>
      </c>
      <c r="H180" s="240">
        <f>SUM(H170:H179)</f>
        <v>196539982</v>
      </c>
      <c r="I180" s="241">
        <f t="shared" si="15"/>
        <v>16918.54084243219</v>
      </c>
      <c r="J180" s="585">
        <f>SUM(J170:J179)</f>
        <v>972.0000000000001</v>
      </c>
      <c r="K180" s="240">
        <f>SUM(K170:K179)</f>
        <v>212360945</v>
      </c>
      <c r="L180" s="241">
        <f t="shared" si="16"/>
        <v>18206.528206447187</v>
      </c>
      <c r="O180"/>
      <c r="P180"/>
    </row>
    <row r="181" spans="2:8" s="276" customFormat="1" ht="15.75" customHeight="1">
      <c r="B181" s="356"/>
      <c r="C181" s="356"/>
      <c r="D181" s="356"/>
      <c r="E181" s="356"/>
      <c r="F181" s="356"/>
      <c r="G181" s="356"/>
      <c r="H181" s="356"/>
    </row>
  </sheetData>
  <mergeCells count="214">
    <mergeCell ref="L74:M75"/>
    <mergeCell ref="A157:B157"/>
    <mergeCell ref="A158:B158"/>
    <mergeCell ref="A159:B159"/>
    <mergeCell ref="A149:B149"/>
    <mergeCell ref="A150:B150"/>
    <mergeCell ref="A151:B151"/>
    <mergeCell ref="A152:B152"/>
    <mergeCell ref="G136:I136"/>
    <mergeCell ref="G126:I126"/>
    <mergeCell ref="A160:B160"/>
    <mergeCell ref="A153:B153"/>
    <mergeCell ref="A154:B154"/>
    <mergeCell ref="A155:B155"/>
    <mergeCell ref="A156:B156"/>
    <mergeCell ref="G128:I128"/>
    <mergeCell ref="G129:I129"/>
    <mergeCell ref="G130:I130"/>
    <mergeCell ref="G121:I121"/>
    <mergeCell ref="G122:I122"/>
    <mergeCell ref="G124:I124"/>
    <mergeCell ref="G125:I125"/>
    <mergeCell ref="A72:B72"/>
    <mergeCell ref="A79:B79"/>
    <mergeCell ref="A67:B68"/>
    <mergeCell ref="A69:B69"/>
    <mergeCell ref="A70:B70"/>
    <mergeCell ref="E177:F177"/>
    <mergeCell ref="A165:B165"/>
    <mergeCell ref="A74:B75"/>
    <mergeCell ref="A76:B76"/>
    <mergeCell ref="A77:B77"/>
    <mergeCell ref="A78:B78"/>
    <mergeCell ref="A88:B88"/>
    <mergeCell ref="A86:B86"/>
    <mergeCell ref="A147:B147"/>
    <mergeCell ref="A148:B148"/>
    <mergeCell ref="C84:D84"/>
    <mergeCell ref="I112:L112"/>
    <mergeCell ref="A145:B146"/>
    <mergeCell ref="C145:G145"/>
    <mergeCell ref="H145:L145"/>
    <mergeCell ref="J84:K84"/>
    <mergeCell ref="L84:M84"/>
    <mergeCell ref="A112:A113"/>
    <mergeCell ref="B112:B113"/>
    <mergeCell ref="L86:M86"/>
    <mergeCell ref="C80:D80"/>
    <mergeCell ref="E80:F80"/>
    <mergeCell ref="C79:D79"/>
    <mergeCell ref="E79:F79"/>
    <mergeCell ref="A83:B83"/>
    <mergeCell ref="A84:B84"/>
    <mergeCell ref="J72:K72"/>
    <mergeCell ref="L72:M72"/>
    <mergeCell ref="J74:K74"/>
    <mergeCell ref="J75:K75"/>
    <mergeCell ref="C77:D77"/>
    <mergeCell ref="E77:F77"/>
    <mergeCell ref="C83:D83"/>
    <mergeCell ref="C82:D82"/>
    <mergeCell ref="C71:D71"/>
    <mergeCell ref="A80:B80"/>
    <mergeCell ref="L70:M70"/>
    <mergeCell ref="B106:B108"/>
    <mergeCell ref="I106:I108"/>
    <mergeCell ref="C107:C108"/>
    <mergeCell ref="A106:A108"/>
    <mergeCell ref="A81:B81"/>
    <mergeCell ref="A82:B82"/>
    <mergeCell ref="C72:D72"/>
    <mergeCell ref="L69:M69"/>
    <mergeCell ref="E83:F83"/>
    <mergeCell ref="E84:F84"/>
    <mergeCell ref="G74:I74"/>
    <mergeCell ref="L71:M71"/>
    <mergeCell ref="E71:F71"/>
    <mergeCell ref="G71:H71"/>
    <mergeCell ref="J71:K71"/>
    <mergeCell ref="E72:F72"/>
    <mergeCell ref="G83:H83"/>
    <mergeCell ref="G84:H84"/>
    <mergeCell ref="E81:F81"/>
    <mergeCell ref="E82:F82"/>
    <mergeCell ref="J70:K70"/>
    <mergeCell ref="G80:H80"/>
    <mergeCell ref="G81:H81"/>
    <mergeCell ref="G82:H82"/>
    <mergeCell ref="J78:K78"/>
    <mergeCell ref="G75:H75"/>
    <mergeCell ref="J80:K80"/>
    <mergeCell ref="C67:D67"/>
    <mergeCell ref="E67:F67"/>
    <mergeCell ref="C69:D69"/>
    <mergeCell ref="E69:F69"/>
    <mergeCell ref="J69:K69"/>
    <mergeCell ref="J67:K67"/>
    <mergeCell ref="J68:K68"/>
    <mergeCell ref="A3:A6"/>
    <mergeCell ref="A41:A42"/>
    <mergeCell ref="B3:M3"/>
    <mergeCell ref="G67:I67"/>
    <mergeCell ref="A63:B63"/>
    <mergeCell ref="L4:M4"/>
    <mergeCell ref="G4:H4"/>
    <mergeCell ref="D36:F36"/>
    <mergeCell ref="I36:K36"/>
    <mergeCell ref="L67:M68"/>
    <mergeCell ref="G79:H79"/>
    <mergeCell ref="J76:K76"/>
    <mergeCell ref="L76:M76"/>
    <mergeCell ref="J77:K77"/>
    <mergeCell ref="L77:M77"/>
    <mergeCell ref="J79:K79"/>
    <mergeCell ref="L79:M79"/>
    <mergeCell ref="C4:C6"/>
    <mergeCell ref="B4:B6"/>
    <mergeCell ref="D38:F38"/>
    <mergeCell ref="C76:D76"/>
    <mergeCell ref="C74:D74"/>
    <mergeCell ref="E74:F74"/>
    <mergeCell ref="C75:D75"/>
    <mergeCell ref="E76:F76"/>
    <mergeCell ref="E75:F75"/>
    <mergeCell ref="D37:F37"/>
    <mergeCell ref="L78:M78"/>
    <mergeCell ref="C78:D78"/>
    <mergeCell ref="E78:F78"/>
    <mergeCell ref="F55:G55"/>
    <mergeCell ref="F56:G56"/>
    <mergeCell ref="F57:G57"/>
    <mergeCell ref="G69:H69"/>
    <mergeCell ref="G70:H70"/>
    <mergeCell ref="G72:H72"/>
    <mergeCell ref="G78:H78"/>
    <mergeCell ref="C81:D81"/>
    <mergeCell ref="A40:K40"/>
    <mergeCell ref="A53:A54"/>
    <mergeCell ref="D55:E55"/>
    <mergeCell ref="B56:C56"/>
    <mergeCell ref="D56:E56"/>
    <mergeCell ref="B57:C57"/>
    <mergeCell ref="D57:E57"/>
    <mergeCell ref="F54:G54"/>
    <mergeCell ref="G77:H77"/>
    <mergeCell ref="L80:M80"/>
    <mergeCell ref="J81:K81"/>
    <mergeCell ref="L81:M81"/>
    <mergeCell ref="J82:K82"/>
    <mergeCell ref="L82:M82"/>
    <mergeCell ref="J83:K83"/>
    <mergeCell ref="L83:M83"/>
    <mergeCell ref="J88:K88"/>
    <mergeCell ref="L88:M88"/>
    <mergeCell ref="J86:K86"/>
    <mergeCell ref="J85:K85"/>
    <mergeCell ref="L85:M85"/>
    <mergeCell ref="C86:D86"/>
    <mergeCell ref="E86:F86"/>
    <mergeCell ref="G86:H86"/>
    <mergeCell ref="G88:H88"/>
    <mergeCell ref="C88:D88"/>
    <mergeCell ref="E88:F88"/>
    <mergeCell ref="B55:C55"/>
    <mergeCell ref="G68:H68"/>
    <mergeCell ref="G76:H76"/>
    <mergeCell ref="A71:B71"/>
    <mergeCell ref="A61:B61"/>
    <mergeCell ref="A62:B62"/>
    <mergeCell ref="C70:D70"/>
    <mergeCell ref="E70:F70"/>
    <mergeCell ref="C68:D68"/>
    <mergeCell ref="E68:F68"/>
    <mergeCell ref="B41:F41"/>
    <mergeCell ref="G41:K41"/>
    <mergeCell ref="B54:C54"/>
    <mergeCell ref="D54:E54"/>
    <mergeCell ref="B53:G53"/>
    <mergeCell ref="H53:K53"/>
    <mergeCell ref="H112:H113"/>
    <mergeCell ref="C91:E91"/>
    <mergeCell ref="C106:H106"/>
    <mergeCell ref="C112:F112"/>
    <mergeCell ref="G112:G113"/>
    <mergeCell ref="J168:L168"/>
    <mergeCell ref="E170:F170"/>
    <mergeCell ref="E171:F171"/>
    <mergeCell ref="E172:F172"/>
    <mergeCell ref="E168:F169"/>
    <mergeCell ref="G168:I168"/>
    <mergeCell ref="E179:F179"/>
    <mergeCell ref="E180:F180"/>
    <mergeCell ref="G123:I123"/>
    <mergeCell ref="G127:I127"/>
    <mergeCell ref="G135:I135"/>
    <mergeCell ref="G131:I131"/>
    <mergeCell ref="E173:F173"/>
    <mergeCell ref="E174:F174"/>
    <mergeCell ref="E175:F175"/>
    <mergeCell ref="E176:F176"/>
    <mergeCell ref="A139:A140"/>
    <mergeCell ref="B139:B140"/>
    <mergeCell ref="C139:H139"/>
    <mergeCell ref="E178:F178"/>
    <mergeCell ref="A168:A169"/>
    <mergeCell ref="B168:D168"/>
    <mergeCell ref="A161:B161"/>
    <mergeCell ref="A162:B162"/>
    <mergeCell ref="A163:B163"/>
    <mergeCell ref="A164:B164"/>
    <mergeCell ref="A85:B85"/>
    <mergeCell ref="C85:D85"/>
    <mergeCell ref="E85:F85"/>
    <mergeCell ref="G85:H85"/>
  </mergeCells>
  <printOptions horizontalCentered="1"/>
  <pageMargins left="0.2362204724409449" right="0.2755905511811024" top="0.45" bottom="0.2362204724409449" header="0.2362204724409449" footer="0.1968503937007874"/>
  <pageSetup horizontalDpi="600" verticalDpi="600" orientation="portrait" paperSize="9" scale="65" r:id="rId1"/>
  <rowBreaks count="2" manualBreakCount="2">
    <brk id="64" max="255" man="1"/>
    <brk id="137" max="255" man="1"/>
  </rowBreaks>
</worksheet>
</file>

<file path=xl/worksheets/sheet4.xml><?xml version="1.0" encoding="utf-8"?>
<worksheet xmlns="http://schemas.openxmlformats.org/spreadsheetml/2006/main" xmlns:r="http://schemas.openxmlformats.org/officeDocument/2006/relationships">
  <dimension ref="A1:AH185"/>
  <sheetViews>
    <sheetView workbookViewId="0" topLeftCell="A40">
      <selection activeCell="K59" sqref="K59"/>
    </sheetView>
  </sheetViews>
  <sheetFormatPr defaultColWidth="9.00390625" defaultRowHeight="12.75"/>
  <cols>
    <col min="1" max="1" width="32.25390625" style="276" customWidth="1"/>
    <col min="2" max="3" width="10.75390625" style="356" customWidth="1"/>
    <col min="4" max="4" width="9.875" style="356" customWidth="1"/>
    <col min="5" max="5" width="9.00390625" style="356" customWidth="1"/>
    <col min="6" max="7" width="8.375" style="356" customWidth="1"/>
    <col min="8" max="8" width="9.625" style="356" customWidth="1"/>
    <col min="9" max="9" width="8.375" style="276" customWidth="1"/>
    <col min="10" max="11" width="9.375" style="276" customWidth="1"/>
    <col min="12" max="14" width="8.375" style="276" customWidth="1"/>
    <col min="15" max="15" width="15.875" style="0" customWidth="1"/>
  </cols>
  <sheetData>
    <row r="1" spans="12:14" ht="15.75">
      <c r="L1" s="303"/>
      <c r="N1" s="304"/>
    </row>
    <row r="2" spans="1:14" ht="19.5" customHeight="1" thickBot="1">
      <c r="A2" s="307" t="s">
        <v>155</v>
      </c>
      <c r="B2" s="443"/>
      <c r="C2" s="443"/>
      <c r="D2" s="443"/>
      <c r="E2" s="443"/>
      <c r="F2" s="443"/>
      <c r="G2" s="443"/>
      <c r="H2" s="443"/>
      <c r="L2" s="303"/>
      <c r="N2" s="304"/>
    </row>
    <row r="3" spans="1:14" ht="34.5" customHeight="1" thickBot="1">
      <c r="A3" s="1167" t="s">
        <v>0</v>
      </c>
      <c r="B3" s="1083" t="s">
        <v>403</v>
      </c>
      <c r="C3" s="1084"/>
      <c r="D3" s="1084"/>
      <c r="E3" s="1084"/>
      <c r="F3" s="1084"/>
      <c r="G3" s="1084"/>
      <c r="H3" s="1084"/>
      <c r="I3" s="1084"/>
      <c r="J3" s="1084"/>
      <c r="K3" s="1084"/>
      <c r="L3" s="1084"/>
      <c r="M3" s="1085"/>
      <c r="N3"/>
    </row>
    <row r="4" spans="1:26" ht="12.75" customHeight="1" thickBot="1">
      <c r="A4" s="1168"/>
      <c r="B4" s="1014" t="s">
        <v>289</v>
      </c>
      <c r="C4" s="1014" t="s">
        <v>288</v>
      </c>
      <c r="D4" s="1180" t="s">
        <v>410</v>
      </c>
      <c r="E4" s="1181"/>
      <c r="F4" s="1182"/>
      <c r="G4" s="1090" t="s">
        <v>246</v>
      </c>
      <c r="H4" s="1091"/>
      <c r="I4" s="1180" t="s">
        <v>411</v>
      </c>
      <c r="J4" s="1181"/>
      <c r="K4" s="1182"/>
      <c r="L4" s="1090" t="s">
        <v>170</v>
      </c>
      <c r="M4" s="1091"/>
      <c r="O4" s="276"/>
      <c r="P4" s="276"/>
      <c r="Q4" s="276"/>
      <c r="R4" s="276"/>
      <c r="S4" s="276"/>
      <c r="T4" s="276"/>
      <c r="U4" s="276"/>
      <c r="V4" s="276"/>
      <c r="W4" s="276"/>
      <c r="X4" s="276"/>
      <c r="Y4" s="276"/>
      <c r="Z4" s="276"/>
    </row>
    <row r="5" spans="1:14" ht="12.75">
      <c r="A5" s="1168"/>
      <c r="B5" s="1060"/>
      <c r="C5" s="1060"/>
      <c r="D5" s="2" t="s">
        <v>2</v>
      </c>
      <c r="E5" s="5" t="s">
        <v>404</v>
      </c>
      <c r="F5" s="1183" t="s">
        <v>4</v>
      </c>
      <c r="G5" s="630" t="s">
        <v>4</v>
      </c>
      <c r="H5" s="8" t="s">
        <v>5</v>
      </c>
      <c r="I5" s="2" t="s">
        <v>2</v>
      </c>
      <c r="J5" s="5" t="s">
        <v>404</v>
      </c>
      <c r="K5" s="1183" t="s">
        <v>4</v>
      </c>
      <c r="L5" s="630" t="s">
        <v>4</v>
      </c>
      <c r="M5" s="8" t="s">
        <v>5</v>
      </c>
      <c r="N5"/>
    </row>
    <row r="6" spans="1:14" ht="13.5" thickBot="1">
      <c r="A6" s="1169"/>
      <c r="B6" s="1061"/>
      <c r="C6" s="1061"/>
      <c r="D6" s="646" t="s">
        <v>6</v>
      </c>
      <c r="E6" s="647" t="s">
        <v>6</v>
      </c>
      <c r="F6" s="1184"/>
      <c r="G6" s="666" t="s">
        <v>7</v>
      </c>
      <c r="H6" s="13" t="s">
        <v>8</v>
      </c>
      <c r="I6" s="646" t="s">
        <v>6</v>
      </c>
      <c r="J6" s="647" t="s">
        <v>6</v>
      </c>
      <c r="K6" s="1184"/>
      <c r="L6" s="666" t="s">
        <v>7</v>
      </c>
      <c r="M6" s="13" t="s">
        <v>8</v>
      </c>
      <c r="N6"/>
    </row>
    <row r="7" spans="1:13" s="27" customFormat="1" ht="17.25" customHeight="1">
      <c r="A7" s="444" t="s">
        <v>9</v>
      </c>
      <c r="B7" s="561">
        <v>0</v>
      </c>
      <c r="C7" s="561">
        <v>0</v>
      </c>
      <c r="D7" s="638">
        <v>0</v>
      </c>
      <c r="E7" s="526"/>
      <c r="F7" s="546">
        <f aca="true" t="shared" si="0" ref="F7:F15">D7+E7</f>
        <v>0</v>
      </c>
      <c r="G7" s="632"/>
      <c r="H7" s="633"/>
      <c r="I7" s="400"/>
      <c r="J7" s="401"/>
      <c r="K7" s="448">
        <v>0</v>
      </c>
      <c r="L7" s="632"/>
      <c r="M7" s="633"/>
    </row>
    <row r="8" spans="1:13" s="27" customFormat="1" ht="17.25" customHeight="1">
      <c r="A8" s="450" t="s">
        <v>10</v>
      </c>
      <c r="B8" s="667">
        <v>300578</v>
      </c>
      <c r="C8" s="667">
        <v>300452.87</v>
      </c>
      <c r="D8" s="392">
        <v>322397</v>
      </c>
      <c r="E8" s="24">
        <v>1475</v>
      </c>
      <c r="F8" s="445">
        <f t="shared" si="0"/>
        <v>323872</v>
      </c>
      <c r="G8" s="635">
        <f>+F8-C8</f>
        <v>23419.130000000005</v>
      </c>
      <c r="H8" s="636">
        <f>+F8/C8</f>
        <v>1.0779461018295482</v>
      </c>
      <c r="I8" s="394">
        <v>339100</v>
      </c>
      <c r="J8" s="18">
        <v>600</v>
      </c>
      <c r="K8" s="648">
        <f>+I8+J8</f>
        <v>339700</v>
      </c>
      <c r="L8" s="635">
        <f>+K8-F8</f>
        <v>15828</v>
      </c>
      <c r="M8" s="636">
        <f>+K8/F8</f>
        <v>1.0488711589763857</v>
      </c>
    </row>
    <row r="9" spans="1:13" s="27" customFormat="1" ht="17.25" customHeight="1">
      <c r="A9" s="450" t="s">
        <v>11</v>
      </c>
      <c r="B9" s="667">
        <v>39606</v>
      </c>
      <c r="C9" s="557">
        <v>43838.78</v>
      </c>
      <c r="D9" s="394">
        <v>47094</v>
      </c>
      <c r="E9" s="18"/>
      <c r="F9" s="648">
        <f t="shared" si="0"/>
        <v>47094</v>
      </c>
      <c r="G9" s="635">
        <f aca="true" t="shared" si="1" ref="G9:G16">+F9-C9</f>
        <v>3255.220000000001</v>
      </c>
      <c r="H9" s="636">
        <f aca="true" t="shared" si="2" ref="H9:H16">+F9/C9</f>
        <v>1.0742543474065656</v>
      </c>
      <c r="I9" s="394">
        <v>46000</v>
      </c>
      <c r="J9" s="18"/>
      <c r="K9" s="648">
        <f aca="true" t="shared" si="3" ref="K9:K14">+I9+J9</f>
        <v>46000</v>
      </c>
      <c r="L9" s="635">
        <f aca="true" t="shared" si="4" ref="L9:L15">+K9-F9</f>
        <v>-1094</v>
      </c>
      <c r="M9" s="636">
        <f aca="true" t="shared" si="5" ref="M9:M16">+K9/F9</f>
        <v>0.9767698645262666</v>
      </c>
    </row>
    <row r="10" spans="1:13" s="27" customFormat="1" ht="17.25" customHeight="1">
      <c r="A10" s="450" t="s">
        <v>12</v>
      </c>
      <c r="B10" s="667">
        <v>7653</v>
      </c>
      <c r="C10" s="557">
        <v>8574.61</v>
      </c>
      <c r="D10" s="394">
        <v>7951</v>
      </c>
      <c r="E10" s="18"/>
      <c r="F10" s="648">
        <f t="shared" si="0"/>
        <v>7951</v>
      </c>
      <c r="G10" s="635">
        <f t="shared" si="1"/>
        <v>-623.6100000000006</v>
      </c>
      <c r="H10" s="636">
        <f t="shared" si="2"/>
        <v>0.9272724940259673</v>
      </c>
      <c r="I10" s="394">
        <v>8000</v>
      </c>
      <c r="J10" s="18"/>
      <c r="K10" s="648">
        <f t="shared" si="3"/>
        <v>8000</v>
      </c>
      <c r="L10" s="635">
        <f t="shared" si="4"/>
        <v>49</v>
      </c>
      <c r="M10" s="636">
        <f t="shared" si="5"/>
        <v>1.0061627468242988</v>
      </c>
    </row>
    <row r="11" spans="1:13" s="27" customFormat="1" ht="17.25" customHeight="1">
      <c r="A11" s="450" t="s">
        <v>13</v>
      </c>
      <c r="B11" s="667">
        <v>6374</v>
      </c>
      <c r="C11" s="557">
        <v>7941.93</v>
      </c>
      <c r="D11" s="402">
        <v>12119</v>
      </c>
      <c r="E11" s="403">
        <v>44</v>
      </c>
      <c r="F11" s="648">
        <f t="shared" si="0"/>
        <v>12163</v>
      </c>
      <c r="G11" s="635">
        <f t="shared" si="1"/>
        <v>4221.07</v>
      </c>
      <c r="H11" s="636">
        <f t="shared" si="2"/>
        <v>1.5314917154898116</v>
      </c>
      <c r="I11" s="394">
        <v>4500</v>
      </c>
      <c r="J11" s="18"/>
      <c r="K11" s="648">
        <f t="shared" si="3"/>
        <v>4500</v>
      </c>
      <c r="L11" s="635">
        <f t="shared" si="4"/>
        <v>-7663</v>
      </c>
      <c r="M11" s="636">
        <f t="shared" si="5"/>
        <v>0.36997451286689137</v>
      </c>
    </row>
    <row r="12" spans="1:13" s="27" customFormat="1" ht="17.25" customHeight="1">
      <c r="A12" s="457" t="s">
        <v>14</v>
      </c>
      <c r="B12" s="667">
        <v>78</v>
      </c>
      <c r="C12" s="557">
        <v>0</v>
      </c>
      <c r="D12" s="394">
        <v>8819</v>
      </c>
      <c r="E12" s="18"/>
      <c r="F12" s="648">
        <f t="shared" si="0"/>
        <v>8819</v>
      </c>
      <c r="G12" s="635">
        <f t="shared" si="1"/>
        <v>8819</v>
      </c>
      <c r="H12" s="636"/>
      <c r="I12" s="394">
        <v>4000</v>
      </c>
      <c r="J12" s="18"/>
      <c r="K12" s="648">
        <f t="shared" si="3"/>
        <v>4000</v>
      </c>
      <c r="L12" s="635">
        <f t="shared" si="4"/>
        <v>-4819</v>
      </c>
      <c r="M12" s="636">
        <f t="shared" si="5"/>
        <v>0.45356616396416827</v>
      </c>
    </row>
    <row r="13" spans="1:13" s="27" customFormat="1" ht="17.25" customHeight="1">
      <c r="A13" s="457" t="s">
        <v>15</v>
      </c>
      <c r="B13" s="667">
        <v>1983</v>
      </c>
      <c r="C13" s="557">
        <v>1704.38</v>
      </c>
      <c r="D13" s="402">
        <v>1087</v>
      </c>
      <c r="E13" s="403">
        <v>9</v>
      </c>
      <c r="F13" s="648">
        <f t="shared" si="0"/>
        <v>1096</v>
      </c>
      <c r="G13" s="635">
        <f t="shared" si="1"/>
        <v>-608.3800000000001</v>
      </c>
      <c r="H13" s="636">
        <f t="shared" si="2"/>
        <v>0.6430490852978795</v>
      </c>
      <c r="I13" s="394">
        <v>1800</v>
      </c>
      <c r="J13" s="18"/>
      <c r="K13" s="648">
        <f t="shared" si="3"/>
        <v>1800</v>
      </c>
      <c r="L13" s="635">
        <f t="shared" si="4"/>
        <v>704</v>
      </c>
      <c r="M13" s="636">
        <f t="shared" si="5"/>
        <v>1.6423357664233578</v>
      </c>
    </row>
    <row r="14" spans="1:13" s="27" customFormat="1" ht="17.25" customHeight="1">
      <c r="A14" s="457" t="s">
        <v>16</v>
      </c>
      <c r="B14" s="667">
        <v>0</v>
      </c>
      <c r="C14" s="557">
        <v>0</v>
      </c>
      <c r="D14" s="394">
        <v>0</v>
      </c>
      <c r="E14" s="18"/>
      <c r="F14" s="648">
        <f t="shared" si="0"/>
        <v>0</v>
      </c>
      <c r="G14" s="635">
        <f t="shared" si="1"/>
        <v>0</v>
      </c>
      <c r="H14" s="636"/>
      <c r="I14" s="394">
        <v>0</v>
      </c>
      <c r="J14" s="18"/>
      <c r="K14" s="648">
        <f t="shared" si="3"/>
        <v>0</v>
      </c>
      <c r="L14" s="635">
        <f t="shared" si="4"/>
        <v>0</v>
      </c>
      <c r="M14" s="636"/>
    </row>
    <row r="15" spans="1:13" s="27" customFormat="1" ht="17.25" customHeight="1" thickBot="1">
      <c r="A15" s="670" t="s">
        <v>17</v>
      </c>
      <c r="B15" s="671">
        <v>32726</v>
      </c>
      <c r="C15" s="558">
        <v>27529.19</v>
      </c>
      <c r="D15" s="396">
        <v>22990</v>
      </c>
      <c r="E15" s="397"/>
      <c r="F15" s="668">
        <f t="shared" si="0"/>
        <v>22990</v>
      </c>
      <c r="G15" s="669">
        <f t="shared" si="1"/>
        <v>-4539.189999999999</v>
      </c>
      <c r="H15" s="663">
        <f t="shared" si="2"/>
        <v>0.835113564910555</v>
      </c>
      <c r="I15" s="396">
        <f>+D53/1000</f>
        <v>16088.625</v>
      </c>
      <c r="J15" s="397"/>
      <c r="K15" s="668">
        <f>+I15</f>
        <v>16088.625</v>
      </c>
      <c r="L15" s="669">
        <f t="shared" si="4"/>
        <v>-6901.375</v>
      </c>
      <c r="M15" s="663">
        <f t="shared" si="5"/>
        <v>0.6998096998695085</v>
      </c>
    </row>
    <row r="16" spans="1:13" s="27" customFormat="1" ht="17.25" customHeight="1" thickBot="1">
      <c r="A16" s="19" t="s">
        <v>18</v>
      </c>
      <c r="B16" s="259">
        <v>388920</v>
      </c>
      <c r="C16" s="259">
        <v>390041.76</v>
      </c>
      <c r="D16" s="20">
        <f>SUM(D7+D8+D9+D10+D11+D13+D15)</f>
        <v>413638</v>
      </c>
      <c r="E16" s="21">
        <f>SUM(E7+E8+E9+E10+E11+E13+E15)</f>
        <v>1528</v>
      </c>
      <c r="F16" s="22">
        <f>SUM(F7+F8+F9+F10+F11+F13+F15)</f>
        <v>415166</v>
      </c>
      <c r="G16" s="672">
        <f t="shared" si="1"/>
        <v>25124.23999999999</v>
      </c>
      <c r="H16" s="652">
        <f t="shared" si="2"/>
        <v>1.064414230927478</v>
      </c>
      <c r="I16" s="20">
        <f>SUM(I7+I8+I9+I10+I11+I13+I15)</f>
        <v>415488.625</v>
      </c>
      <c r="J16" s="21">
        <v>600</v>
      </c>
      <c r="K16" s="22">
        <f>SUM(K7+K8+K9+K10+K11+K13+K15)</f>
        <v>416088.625</v>
      </c>
      <c r="L16" s="462">
        <f>+K16-C16</f>
        <v>26046.86499999999</v>
      </c>
      <c r="M16" s="652">
        <f t="shared" si="5"/>
        <v>1.0022223038495446</v>
      </c>
    </row>
    <row r="17" spans="2:14" ht="6.75" customHeight="1" thickBot="1">
      <c r="B17" s="276"/>
      <c r="C17" s="276"/>
      <c r="D17" s="276"/>
      <c r="E17" s="276"/>
      <c r="F17" s="276"/>
      <c r="G17" s="276"/>
      <c r="H17" s="276"/>
      <c r="N17"/>
    </row>
    <row r="18" spans="1:14" ht="19.5" customHeight="1">
      <c r="A18" s="673" t="s">
        <v>19</v>
      </c>
      <c r="B18" s="651">
        <v>95494</v>
      </c>
      <c r="C18" s="555">
        <v>101349.23</v>
      </c>
      <c r="D18" s="452">
        <v>97546</v>
      </c>
      <c r="E18" s="453">
        <v>466</v>
      </c>
      <c r="F18" s="651">
        <f aca="true" t="shared" si="6" ref="F18:F35">D18+E18</f>
        <v>98012</v>
      </c>
      <c r="G18" s="656">
        <f>+F18-C18</f>
        <v>-3337.229999999996</v>
      </c>
      <c r="H18" s="657">
        <f>+F18/C18</f>
        <v>0.9670719747944805</v>
      </c>
      <c r="I18" s="654">
        <v>98000</v>
      </c>
      <c r="J18" s="526"/>
      <c r="K18" s="18">
        <f>+I18+J18</f>
        <v>98000</v>
      </c>
      <c r="L18" s="656">
        <f>+K18-F18</f>
        <v>-12</v>
      </c>
      <c r="M18" s="658">
        <f>+K18/F18</f>
        <v>0.999877566012325</v>
      </c>
      <c r="N18"/>
    </row>
    <row r="19" spans="1:14" ht="19.5" customHeight="1">
      <c r="A19" s="323" t="s">
        <v>20</v>
      </c>
      <c r="B19" s="631">
        <v>4502</v>
      </c>
      <c r="C19" s="561">
        <v>0</v>
      </c>
      <c r="D19" s="400">
        <v>2778</v>
      </c>
      <c r="E19" s="401"/>
      <c r="F19" s="631">
        <f t="shared" si="6"/>
        <v>2778</v>
      </c>
      <c r="G19" s="653">
        <f aca="true" t="shared" si="7" ref="G19:G36">+F19-C19</f>
        <v>2778</v>
      </c>
      <c r="H19" s="655"/>
      <c r="I19" s="634">
        <v>2500</v>
      </c>
      <c r="J19" s="401"/>
      <c r="K19" s="18">
        <f aca="true" t="shared" si="8" ref="K19:K35">+I19+J19</f>
        <v>2500</v>
      </c>
      <c r="L19" s="653">
        <f aca="true" t="shared" si="9" ref="L19:L36">+K19-F19</f>
        <v>-278</v>
      </c>
      <c r="M19" s="636">
        <f aca="true" t="shared" si="10" ref="M19:M36">+K19/F19</f>
        <v>0.8999280057595392</v>
      </c>
      <c r="N19"/>
    </row>
    <row r="20" spans="1:14" ht="19.5" customHeight="1">
      <c r="A20" s="674" t="s">
        <v>21</v>
      </c>
      <c r="B20" s="631">
        <v>12334</v>
      </c>
      <c r="C20" s="561">
        <v>14780.65</v>
      </c>
      <c r="D20" s="394">
        <v>16208</v>
      </c>
      <c r="E20" s="18"/>
      <c r="F20" s="631">
        <f t="shared" si="6"/>
        <v>16208</v>
      </c>
      <c r="G20" s="653">
        <f t="shared" si="7"/>
        <v>1427.3500000000004</v>
      </c>
      <c r="H20" s="655">
        <f aca="true" t="shared" si="11" ref="H20:H36">+F20/C20</f>
        <v>1.0965688247810481</v>
      </c>
      <c r="I20" s="637">
        <v>17000</v>
      </c>
      <c r="J20" s="18"/>
      <c r="K20" s="18">
        <f t="shared" si="8"/>
        <v>17000</v>
      </c>
      <c r="L20" s="653">
        <f t="shared" si="9"/>
        <v>792</v>
      </c>
      <c r="M20" s="636">
        <f t="shared" si="10"/>
        <v>1.0488647581441264</v>
      </c>
      <c r="N20"/>
    </row>
    <row r="21" spans="1:14" ht="19.5" customHeight="1">
      <c r="A21" s="323" t="s">
        <v>22</v>
      </c>
      <c r="B21" s="631">
        <v>1948</v>
      </c>
      <c r="C21" s="561">
        <v>0</v>
      </c>
      <c r="D21" s="394">
        <v>0</v>
      </c>
      <c r="E21" s="18"/>
      <c r="F21" s="631">
        <f t="shared" si="6"/>
        <v>0</v>
      </c>
      <c r="G21" s="653">
        <f t="shared" si="7"/>
        <v>0</v>
      </c>
      <c r="H21" s="655"/>
      <c r="I21" s="637">
        <v>0</v>
      </c>
      <c r="J21" s="18"/>
      <c r="K21" s="18">
        <f t="shared" si="8"/>
        <v>0</v>
      </c>
      <c r="L21" s="653">
        <f t="shared" si="9"/>
        <v>0</v>
      </c>
      <c r="M21" s="636"/>
      <c r="N21"/>
    </row>
    <row r="22" spans="1:14" ht="19.5" customHeight="1">
      <c r="A22" s="674" t="s">
        <v>23</v>
      </c>
      <c r="B22" s="631">
        <v>32718</v>
      </c>
      <c r="C22" s="561">
        <v>36717.16</v>
      </c>
      <c r="D22" s="394">
        <v>39711</v>
      </c>
      <c r="E22" s="18"/>
      <c r="F22" s="631">
        <f t="shared" si="6"/>
        <v>39711</v>
      </c>
      <c r="G22" s="653">
        <f t="shared" si="7"/>
        <v>2993.8399999999965</v>
      </c>
      <c r="H22" s="655">
        <f t="shared" si="11"/>
        <v>1.0815378967218596</v>
      </c>
      <c r="I22" s="637">
        <v>38000</v>
      </c>
      <c r="J22" s="18"/>
      <c r="K22" s="18">
        <f t="shared" si="8"/>
        <v>38000</v>
      </c>
      <c r="L22" s="653">
        <f t="shared" si="9"/>
        <v>-1711</v>
      </c>
      <c r="M22" s="636">
        <f t="shared" si="10"/>
        <v>0.956913701493289</v>
      </c>
      <c r="N22"/>
    </row>
    <row r="23" spans="1:14" ht="19.5" customHeight="1">
      <c r="A23" s="674" t="s">
        <v>24</v>
      </c>
      <c r="B23" s="631">
        <v>42282</v>
      </c>
      <c r="C23" s="561">
        <v>43307.61</v>
      </c>
      <c r="D23" s="394">
        <v>57814</v>
      </c>
      <c r="E23" s="18"/>
      <c r="F23" s="631">
        <f t="shared" si="6"/>
        <v>57814</v>
      </c>
      <c r="G23" s="653">
        <f t="shared" si="7"/>
        <v>14506.39</v>
      </c>
      <c r="H23" s="655">
        <f t="shared" si="11"/>
        <v>1.3349616845630594</v>
      </c>
      <c r="I23" s="637">
        <v>55700</v>
      </c>
      <c r="J23" s="18"/>
      <c r="K23" s="18">
        <f t="shared" si="8"/>
        <v>55700</v>
      </c>
      <c r="L23" s="653">
        <f t="shared" si="9"/>
        <v>-2114</v>
      </c>
      <c r="M23" s="636">
        <f t="shared" si="10"/>
        <v>0.9634344622409797</v>
      </c>
      <c r="N23"/>
    </row>
    <row r="24" spans="1:14" ht="19.5" customHeight="1">
      <c r="A24" s="323" t="s">
        <v>25</v>
      </c>
      <c r="B24" s="631">
        <v>4604</v>
      </c>
      <c r="C24" s="561">
        <v>6262.21</v>
      </c>
      <c r="D24" s="394">
        <v>7978</v>
      </c>
      <c r="E24" s="18"/>
      <c r="F24" s="631">
        <f t="shared" si="6"/>
        <v>7978</v>
      </c>
      <c r="G24" s="653">
        <f t="shared" si="7"/>
        <v>1715.79</v>
      </c>
      <c r="H24" s="655">
        <f t="shared" si="11"/>
        <v>1.2739911309266216</v>
      </c>
      <c r="I24" s="637">
        <v>7000</v>
      </c>
      <c r="J24" s="18"/>
      <c r="K24" s="18">
        <f t="shared" si="8"/>
        <v>7000</v>
      </c>
      <c r="L24" s="653">
        <f t="shared" si="9"/>
        <v>-978</v>
      </c>
      <c r="M24" s="636">
        <f t="shared" si="10"/>
        <v>0.8774128854349461</v>
      </c>
      <c r="N24"/>
    </row>
    <row r="25" spans="1:14" ht="19.5" customHeight="1">
      <c r="A25" s="674" t="s">
        <v>26</v>
      </c>
      <c r="B25" s="631">
        <v>37029</v>
      </c>
      <c r="C25" s="561">
        <v>36432.91</v>
      </c>
      <c r="D25" s="394">
        <v>48455</v>
      </c>
      <c r="E25" s="18"/>
      <c r="F25" s="631">
        <f t="shared" si="6"/>
        <v>48455</v>
      </c>
      <c r="G25" s="653">
        <f t="shared" si="7"/>
        <v>12022.089999999997</v>
      </c>
      <c r="H25" s="655">
        <f t="shared" si="11"/>
        <v>1.3299788570278903</v>
      </c>
      <c r="I25" s="637">
        <v>48300</v>
      </c>
      <c r="J25" s="18"/>
      <c r="K25" s="18">
        <f t="shared" si="8"/>
        <v>48300</v>
      </c>
      <c r="L25" s="653">
        <f t="shared" si="9"/>
        <v>-155</v>
      </c>
      <c r="M25" s="636">
        <f t="shared" si="10"/>
        <v>0.9968011557114849</v>
      </c>
      <c r="N25"/>
    </row>
    <row r="26" spans="1:14" ht="19.5" customHeight="1">
      <c r="A26" s="675" t="s">
        <v>27</v>
      </c>
      <c r="B26" s="631">
        <v>200388</v>
      </c>
      <c r="C26" s="561">
        <v>189351.83</v>
      </c>
      <c r="D26" s="394">
        <f>D27+D30</f>
        <v>200118</v>
      </c>
      <c r="E26" s="18"/>
      <c r="F26" s="631">
        <f t="shared" si="6"/>
        <v>200118</v>
      </c>
      <c r="G26" s="653">
        <f t="shared" si="7"/>
        <v>10766.170000000013</v>
      </c>
      <c r="H26" s="655">
        <f t="shared" si="11"/>
        <v>1.0568580192755466</v>
      </c>
      <c r="I26" s="637">
        <v>219885</v>
      </c>
      <c r="J26" s="18"/>
      <c r="K26" s="18">
        <f t="shared" si="8"/>
        <v>219885</v>
      </c>
      <c r="L26" s="653">
        <f t="shared" si="9"/>
        <v>19767</v>
      </c>
      <c r="M26" s="636">
        <f t="shared" si="10"/>
        <v>1.0987767217341768</v>
      </c>
      <c r="N26"/>
    </row>
    <row r="27" spans="1:14" ht="19.5" customHeight="1">
      <c r="A27" s="323" t="s">
        <v>28</v>
      </c>
      <c r="B27" s="631">
        <v>146078</v>
      </c>
      <c r="C27" s="561">
        <v>137980.82</v>
      </c>
      <c r="D27" s="394">
        <v>146037</v>
      </c>
      <c r="E27" s="403"/>
      <c r="F27" s="631">
        <f t="shared" si="6"/>
        <v>146037</v>
      </c>
      <c r="G27" s="653">
        <f t="shared" si="7"/>
        <v>8056.179999999993</v>
      </c>
      <c r="H27" s="655">
        <f t="shared" si="11"/>
        <v>1.0583862307819303</v>
      </c>
      <c r="I27" s="637">
        <v>160500</v>
      </c>
      <c r="J27" s="403"/>
      <c r="K27" s="18">
        <f t="shared" si="8"/>
        <v>160500</v>
      </c>
      <c r="L27" s="653">
        <f t="shared" si="9"/>
        <v>14463</v>
      </c>
      <c r="M27" s="636">
        <f t="shared" si="10"/>
        <v>1.0990365455329814</v>
      </c>
      <c r="N27"/>
    </row>
    <row r="28" spans="1:14" ht="19.5" customHeight="1">
      <c r="A28" s="675" t="s">
        <v>29</v>
      </c>
      <c r="B28" s="631">
        <v>145181</v>
      </c>
      <c r="C28" s="561">
        <v>137853.44</v>
      </c>
      <c r="D28" s="394">
        <v>146000</v>
      </c>
      <c r="E28" s="18"/>
      <c r="F28" s="631">
        <f t="shared" si="6"/>
        <v>146000</v>
      </c>
      <c r="G28" s="653">
        <f t="shared" si="7"/>
        <v>8146.559999999998</v>
      </c>
      <c r="H28" s="655">
        <f t="shared" si="11"/>
        <v>1.0590958049360248</v>
      </c>
      <c r="I28" s="637">
        <v>160400</v>
      </c>
      <c r="J28" s="18"/>
      <c r="K28" s="18">
        <f t="shared" si="8"/>
        <v>160400</v>
      </c>
      <c r="L28" s="653">
        <f t="shared" si="9"/>
        <v>14400</v>
      </c>
      <c r="M28" s="636">
        <f t="shared" si="10"/>
        <v>1.0986301369863014</v>
      </c>
      <c r="N28"/>
    </row>
    <row r="29" spans="1:14" ht="19.5" customHeight="1">
      <c r="A29" s="323" t="s">
        <v>30</v>
      </c>
      <c r="B29" s="631">
        <v>897</v>
      </c>
      <c r="C29" s="561">
        <v>127.82000000000698</v>
      </c>
      <c r="D29" s="394">
        <v>37</v>
      </c>
      <c r="E29" s="18"/>
      <c r="F29" s="631">
        <f t="shared" si="6"/>
        <v>37</v>
      </c>
      <c r="G29" s="653">
        <f t="shared" si="7"/>
        <v>-90.82000000000698</v>
      </c>
      <c r="H29" s="655">
        <f t="shared" si="11"/>
        <v>0.2894695665779845</v>
      </c>
      <c r="I29" s="637">
        <v>100</v>
      </c>
      <c r="J29" s="18"/>
      <c r="K29" s="18">
        <f t="shared" si="8"/>
        <v>100</v>
      </c>
      <c r="L29" s="653">
        <f t="shared" si="9"/>
        <v>63</v>
      </c>
      <c r="M29" s="636">
        <f t="shared" si="10"/>
        <v>2.7027027027027026</v>
      </c>
      <c r="N29"/>
    </row>
    <row r="30" spans="1:14" ht="19.5" customHeight="1">
      <c r="A30" s="323" t="s">
        <v>31</v>
      </c>
      <c r="B30" s="631">
        <v>54310</v>
      </c>
      <c r="C30" s="561">
        <v>51371.01</v>
      </c>
      <c r="D30" s="394">
        <f>51161+2920</f>
        <v>54081</v>
      </c>
      <c r="E30" s="18"/>
      <c r="F30" s="631">
        <f t="shared" si="6"/>
        <v>54081</v>
      </c>
      <c r="G30" s="653">
        <f t="shared" si="7"/>
        <v>2709.989999999998</v>
      </c>
      <c r="H30" s="655">
        <f t="shared" si="11"/>
        <v>1.0527532941244488</v>
      </c>
      <c r="I30" s="637">
        <v>59385</v>
      </c>
      <c r="J30" s="18"/>
      <c r="K30" s="18">
        <f t="shared" si="8"/>
        <v>59385</v>
      </c>
      <c r="L30" s="653">
        <f t="shared" si="9"/>
        <v>5304</v>
      </c>
      <c r="M30" s="636">
        <f t="shared" si="10"/>
        <v>1.0980751095578853</v>
      </c>
      <c r="N30"/>
    </row>
    <row r="31" spans="1:14" ht="19.5" customHeight="1">
      <c r="A31" s="675" t="s">
        <v>32</v>
      </c>
      <c r="B31" s="631">
        <v>65</v>
      </c>
      <c r="C31" s="561">
        <v>16.91</v>
      </c>
      <c r="D31" s="394">
        <v>17</v>
      </c>
      <c r="E31" s="18"/>
      <c r="F31" s="631">
        <f t="shared" si="6"/>
        <v>17</v>
      </c>
      <c r="G31" s="653">
        <f t="shared" si="7"/>
        <v>0.08999999999999986</v>
      </c>
      <c r="H31" s="655">
        <f t="shared" si="11"/>
        <v>1.0053222945002958</v>
      </c>
      <c r="I31" s="637">
        <v>20</v>
      </c>
      <c r="J31" s="18"/>
      <c r="K31" s="18">
        <f t="shared" si="8"/>
        <v>20</v>
      </c>
      <c r="L31" s="653">
        <f t="shared" si="9"/>
        <v>3</v>
      </c>
      <c r="M31" s="636">
        <f t="shared" si="10"/>
        <v>1.1764705882352942</v>
      </c>
      <c r="N31"/>
    </row>
    <row r="32" spans="1:14" ht="19.5" customHeight="1">
      <c r="A32" s="675" t="s">
        <v>33</v>
      </c>
      <c r="B32" s="631">
        <v>2034</v>
      </c>
      <c r="C32" s="561">
        <v>1769.24</v>
      </c>
      <c r="D32" s="394">
        <v>1794</v>
      </c>
      <c r="E32" s="18"/>
      <c r="F32" s="631">
        <f t="shared" si="6"/>
        <v>1794</v>
      </c>
      <c r="G32" s="653">
        <f t="shared" si="7"/>
        <v>24.75999999999999</v>
      </c>
      <c r="H32" s="655">
        <f t="shared" si="11"/>
        <v>1.0139947095928195</v>
      </c>
      <c r="I32" s="637">
        <v>2200</v>
      </c>
      <c r="J32" s="18"/>
      <c r="K32" s="18">
        <f t="shared" si="8"/>
        <v>2200</v>
      </c>
      <c r="L32" s="653">
        <f t="shared" si="9"/>
        <v>406</v>
      </c>
      <c r="M32" s="636">
        <f t="shared" si="10"/>
        <v>1.2263099219620959</v>
      </c>
      <c r="N32"/>
    </row>
    <row r="33" spans="1:14" ht="19.5" customHeight="1">
      <c r="A33" s="323" t="s">
        <v>34</v>
      </c>
      <c r="B33" s="631">
        <v>2702</v>
      </c>
      <c r="C33" s="561">
        <v>2589.3</v>
      </c>
      <c r="D33" s="402">
        <v>1317</v>
      </c>
      <c r="E33" s="403">
        <v>8</v>
      </c>
      <c r="F33" s="631">
        <f t="shared" si="6"/>
        <v>1325</v>
      </c>
      <c r="G33" s="653">
        <f t="shared" si="7"/>
        <v>-1264.3000000000002</v>
      </c>
      <c r="H33" s="655">
        <f t="shared" si="11"/>
        <v>0.5117213146410227</v>
      </c>
      <c r="I33" s="637">
        <v>2600</v>
      </c>
      <c r="J33" s="18"/>
      <c r="K33" s="18">
        <f t="shared" si="8"/>
        <v>2600</v>
      </c>
      <c r="L33" s="653">
        <f t="shared" si="9"/>
        <v>1275</v>
      </c>
      <c r="M33" s="636">
        <f t="shared" si="10"/>
        <v>1.9622641509433962</v>
      </c>
      <c r="N33"/>
    </row>
    <row r="34" spans="1:14" ht="19.5" customHeight="1">
      <c r="A34" s="323" t="s">
        <v>35</v>
      </c>
      <c r="B34" s="631">
        <v>718</v>
      </c>
      <c r="C34" s="561">
        <v>639.92</v>
      </c>
      <c r="D34" s="394">
        <v>968</v>
      </c>
      <c r="E34" s="18"/>
      <c r="F34" s="631">
        <f t="shared" si="6"/>
        <v>968</v>
      </c>
      <c r="G34" s="653">
        <f t="shared" si="7"/>
        <v>328.08000000000004</v>
      </c>
      <c r="H34" s="655">
        <f t="shared" si="11"/>
        <v>1.5126890861357671</v>
      </c>
      <c r="I34" s="637">
        <v>1408</v>
      </c>
      <c r="J34" s="18"/>
      <c r="K34" s="18">
        <f t="shared" si="8"/>
        <v>1408</v>
      </c>
      <c r="L34" s="653">
        <f t="shared" si="9"/>
        <v>440</v>
      </c>
      <c r="M34" s="636">
        <f t="shared" si="10"/>
        <v>1.4545454545454546</v>
      </c>
      <c r="N34"/>
    </row>
    <row r="35" spans="1:14" ht="19.5" customHeight="1" thickBot="1">
      <c r="A35" s="676" t="s">
        <v>36</v>
      </c>
      <c r="B35" s="659">
        <v>-1447</v>
      </c>
      <c r="C35" s="660">
        <v>88.84</v>
      </c>
      <c r="D35" s="404">
        <v>22</v>
      </c>
      <c r="E35" s="397"/>
      <c r="F35" s="659">
        <f t="shared" si="6"/>
        <v>22</v>
      </c>
      <c r="G35" s="661">
        <f t="shared" si="7"/>
        <v>-66.84</v>
      </c>
      <c r="H35" s="662">
        <f t="shared" si="11"/>
        <v>0.24763619990995045</v>
      </c>
      <c r="I35" s="639">
        <v>0</v>
      </c>
      <c r="J35" s="397"/>
      <c r="K35" s="397">
        <f t="shared" si="8"/>
        <v>0</v>
      </c>
      <c r="L35" s="661">
        <f t="shared" si="9"/>
        <v>-22</v>
      </c>
      <c r="M35" s="663">
        <f t="shared" si="10"/>
        <v>0</v>
      </c>
      <c r="N35"/>
    </row>
    <row r="36" spans="1:13" s="27" customFormat="1" ht="19.5" customHeight="1" thickBot="1">
      <c r="A36" s="677" t="s">
        <v>37</v>
      </c>
      <c r="B36" s="65">
        <v>388518</v>
      </c>
      <c r="C36" s="259">
        <v>389970.77</v>
      </c>
      <c r="D36" s="23">
        <f>SUM(D18+D20+D21+D22+D23+D26+D31+D32+D33+D35)</f>
        <v>414547</v>
      </c>
      <c r="E36" s="21">
        <f>SUM(E18+E20+E21+E22+E23+E26+E31+E32+E33+E35)</f>
        <v>474</v>
      </c>
      <c r="F36" s="21">
        <f>SUM(F18+F20+F21+F22+F23+F26+F31+F32+F33+F35)</f>
        <v>415021</v>
      </c>
      <c r="G36" s="664">
        <f t="shared" si="7"/>
        <v>25050.22999999998</v>
      </c>
      <c r="H36" s="665">
        <f t="shared" si="11"/>
        <v>1.0642361733932006</v>
      </c>
      <c r="I36" s="39">
        <f>SUM(I18+I20+I21+I22+I23+I26+I31+I32+I33+I35)</f>
        <v>433405</v>
      </c>
      <c r="J36" s="40">
        <v>0</v>
      </c>
      <c r="K36" s="39">
        <f>SUM(K18+K20+K21+K22+K23+K26+K31+K32+K33+K35)</f>
        <v>433405</v>
      </c>
      <c r="L36" s="664">
        <f t="shared" si="9"/>
        <v>18384</v>
      </c>
      <c r="M36" s="652">
        <f t="shared" si="10"/>
        <v>1.0442965536683686</v>
      </c>
    </row>
    <row r="37" spans="1:14" ht="5.25" customHeight="1" thickBot="1">
      <c r="A37"/>
      <c r="B37"/>
      <c r="C37"/>
      <c r="D37"/>
      <c r="E37"/>
      <c r="F37"/>
      <c r="G37"/>
      <c r="H37"/>
      <c r="I37"/>
      <c r="J37"/>
      <c r="K37"/>
      <c r="L37"/>
      <c r="M37"/>
      <c r="N37"/>
    </row>
    <row r="38" spans="1:14" ht="15" customHeight="1" thickBot="1">
      <c r="A38" s="19" t="s">
        <v>38</v>
      </c>
      <c r="B38" s="260">
        <f>+B16-B36</f>
        <v>402</v>
      </c>
      <c r="C38" s="260">
        <v>70.9900000000489</v>
      </c>
      <c r="D38" s="1142">
        <f>+F16-F36</f>
        <v>145</v>
      </c>
      <c r="E38" s="1143"/>
      <c r="F38" s="1144"/>
      <c r="G38" s="679"/>
      <c r="H38" s="680"/>
      <c r="I38" s="649">
        <f>SUM(I16-I36)</f>
        <v>-17916.375</v>
      </c>
      <c r="J38" s="240">
        <f>SUM(J16-J36)</f>
        <v>600</v>
      </c>
      <c r="K38" s="650">
        <f>+K16-K36</f>
        <v>-17316.375</v>
      </c>
      <c r="L38"/>
      <c r="M38"/>
      <c r="N38"/>
    </row>
    <row r="39" spans="1:14" ht="20.25" customHeight="1" thickBot="1">
      <c r="A39" s="25" t="s">
        <v>39</v>
      </c>
      <c r="B39" s="260">
        <v>0</v>
      </c>
      <c r="C39" s="260">
        <v>0</v>
      </c>
      <c r="D39" s="1142">
        <v>0</v>
      </c>
      <c r="E39" s="1143"/>
      <c r="F39" s="1144"/>
      <c r="G39"/>
      <c r="H39"/>
      <c r="I39"/>
      <c r="J39"/>
      <c r="K39"/>
      <c r="L39"/>
      <c r="M39"/>
      <c r="N39"/>
    </row>
    <row r="40" spans="1:14" ht="19.5" customHeight="1" thickBot="1">
      <c r="A40" s="26" t="s">
        <v>40</v>
      </c>
      <c r="B40" s="678">
        <v>0</v>
      </c>
      <c r="C40" s="260">
        <v>0</v>
      </c>
      <c r="D40" s="1142">
        <f>+D38+D39</f>
        <v>145</v>
      </c>
      <c r="E40" s="1143"/>
      <c r="F40" s="1144"/>
      <c r="G40"/>
      <c r="H40"/>
      <c r="I40"/>
      <c r="J40"/>
      <c r="K40"/>
      <c r="L40"/>
      <c r="M40"/>
      <c r="N40"/>
    </row>
    <row r="41" ht="12.75" customHeight="1" thickBot="1">
      <c r="A41" s="356"/>
    </row>
    <row r="42" spans="1:29" ht="17.25" customHeight="1">
      <c r="A42" s="1047" t="s">
        <v>171</v>
      </c>
      <c r="B42" s="1048"/>
      <c r="C42" s="1048"/>
      <c r="D42" s="1048"/>
      <c r="E42" s="1048"/>
      <c r="F42" s="1048"/>
      <c r="G42" s="1048"/>
      <c r="H42" s="1048"/>
      <c r="I42" s="1048"/>
      <c r="J42" s="1048"/>
      <c r="K42" s="997"/>
      <c r="O42" s="276"/>
      <c r="P42" s="276"/>
      <c r="Q42" s="276"/>
      <c r="R42" s="276"/>
      <c r="S42" s="276"/>
      <c r="T42" s="276"/>
      <c r="U42" s="276"/>
      <c r="V42" s="276"/>
      <c r="W42" s="276"/>
      <c r="X42" s="276"/>
      <c r="Y42" s="276"/>
      <c r="Z42" s="276"/>
      <c r="AA42" s="276"/>
      <c r="AB42" s="276"/>
      <c r="AC42" s="276"/>
    </row>
    <row r="43" spans="1:29" s="27" customFormat="1" ht="20.25" customHeight="1">
      <c r="A43" s="1081" t="s">
        <v>42</v>
      </c>
      <c r="B43" s="1020" t="s">
        <v>157</v>
      </c>
      <c r="C43" s="1021"/>
      <c r="D43" s="1021"/>
      <c r="E43" s="1021"/>
      <c r="F43" s="1022"/>
      <c r="G43" s="1020" t="s">
        <v>158</v>
      </c>
      <c r="H43" s="1021"/>
      <c r="I43" s="1021"/>
      <c r="J43" s="1021"/>
      <c r="K43" s="1022"/>
      <c r="L43"/>
      <c r="M43"/>
      <c r="O43" s="346"/>
      <c r="P43" s="346"/>
      <c r="Q43" s="346"/>
      <c r="R43" s="346"/>
      <c r="S43" s="346"/>
      <c r="T43" s="346"/>
      <c r="U43" s="346"/>
      <c r="V43" s="346"/>
      <c r="W43" s="346"/>
      <c r="X43" s="346"/>
      <c r="Y43" s="346"/>
      <c r="Z43" s="346"/>
      <c r="AA43" s="346"/>
      <c r="AB43" s="346"/>
      <c r="AC43" s="346"/>
    </row>
    <row r="44" spans="1:25" ht="19.5" customHeight="1" thickBot="1">
      <c r="A44" s="1082"/>
      <c r="B44" s="470">
        <v>2004</v>
      </c>
      <c r="C44" s="28">
        <v>2005</v>
      </c>
      <c r="D44" s="28">
        <v>2006</v>
      </c>
      <c r="E44" s="29" t="s">
        <v>7</v>
      </c>
      <c r="F44" s="30" t="s">
        <v>48</v>
      </c>
      <c r="G44" s="31">
        <v>2004</v>
      </c>
      <c r="H44" s="28">
        <v>2005</v>
      </c>
      <c r="I44" s="28">
        <v>2006</v>
      </c>
      <c r="J44" s="29" t="s">
        <v>7</v>
      </c>
      <c r="K44" s="30" t="s">
        <v>48</v>
      </c>
      <c r="O44" s="276"/>
      <c r="P44" s="276"/>
      <c r="Q44" s="276"/>
      <c r="R44" s="276"/>
      <c r="S44" s="276"/>
      <c r="T44" s="276"/>
      <c r="U44" s="276"/>
      <c r="V44" s="276"/>
      <c r="W44" s="276"/>
      <c r="X44" s="276"/>
      <c r="Y44" s="276"/>
    </row>
    <row r="45" spans="1:25" s="27" customFormat="1" ht="21" customHeight="1">
      <c r="A45" s="472" t="s">
        <v>151</v>
      </c>
      <c r="B45" s="473">
        <v>8546000</v>
      </c>
      <c r="C45" s="32">
        <v>993000</v>
      </c>
      <c r="D45" s="32">
        <v>780000</v>
      </c>
      <c r="E45" s="24">
        <f>+D45-C45</f>
        <v>-213000</v>
      </c>
      <c r="F45" s="33">
        <f>+D45/C45</f>
        <v>0.7854984894259819</v>
      </c>
      <c r="G45" s="34"/>
      <c r="H45" s="35"/>
      <c r="I45" s="35"/>
      <c r="J45" s="24">
        <f>+I45-H45</f>
        <v>0</v>
      </c>
      <c r="K45" s="33"/>
      <c r="L45" s="346"/>
      <c r="M45" s="346"/>
      <c r="N45" s="346"/>
      <c r="O45" s="346"/>
      <c r="P45" s="346"/>
      <c r="Q45" s="346"/>
      <c r="R45" s="346"/>
      <c r="S45" s="346"/>
      <c r="T45" s="346"/>
      <c r="U45" s="346"/>
      <c r="V45" s="346"/>
      <c r="W45" s="346"/>
      <c r="X45" s="346"/>
      <c r="Y45" s="346"/>
    </row>
    <row r="46" spans="1:25" s="27" customFormat="1" ht="21" customHeight="1">
      <c r="A46" s="407" t="s">
        <v>152</v>
      </c>
      <c r="B46" s="474">
        <v>5341000</v>
      </c>
      <c r="C46" s="32">
        <v>20604397</v>
      </c>
      <c r="D46" s="32">
        <v>15000000</v>
      </c>
      <c r="E46" s="24">
        <f aca="true" t="shared" si="12" ref="E46:E52">+D46-C46</f>
        <v>-5604397</v>
      </c>
      <c r="F46" s="33">
        <f>+D46/C46</f>
        <v>0.7279999506901367</v>
      </c>
      <c r="G46" s="34">
        <v>12259000</v>
      </c>
      <c r="H46" s="35">
        <v>11895603</v>
      </c>
      <c r="I46" s="35">
        <f>+D96</f>
        <v>17500000</v>
      </c>
      <c r="J46" s="24">
        <f aca="true" t="shared" si="13" ref="J46:J52">+I46-H46</f>
        <v>5604397</v>
      </c>
      <c r="K46" s="33">
        <f>+I46/H46</f>
        <v>1.471131812317543</v>
      </c>
      <c r="L46" s="346"/>
      <c r="M46" s="346"/>
      <c r="N46" s="346"/>
      <c r="O46" s="346"/>
      <c r="P46" s="346"/>
      <c r="Q46" s="346"/>
      <c r="R46" s="346"/>
      <c r="S46" s="346"/>
      <c r="T46" s="346"/>
      <c r="U46" s="346"/>
      <c r="V46" s="346"/>
      <c r="W46" s="346"/>
      <c r="X46" s="346"/>
      <c r="Y46" s="346"/>
    </row>
    <row r="47" spans="1:25" s="27" customFormat="1" ht="21" customHeight="1">
      <c r="A47" s="475" t="s">
        <v>153</v>
      </c>
      <c r="B47" s="474">
        <v>326231.12</v>
      </c>
      <c r="C47" s="32">
        <v>380345.83</v>
      </c>
      <c r="D47" s="32">
        <v>41625</v>
      </c>
      <c r="E47" s="24">
        <f t="shared" si="12"/>
        <v>-338720.83</v>
      </c>
      <c r="F47" s="33">
        <f>+D47/C47</f>
        <v>0.10943987475819046</v>
      </c>
      <c r="G47" s="34"/>
      <c r="H47" s="35"/>
      <c r="I47" s="35"/>
      <c r="J47" s="24">
        <f t="shared" si="13"/>
        <v>0</v>
      </c>
      <c r="K47" s="33"/>
      <c r="L47" s="346"/>
      <c r="M47" s="346"/>
      <c r="N47" s="346"/>
      <c r="O47" s="346"/>
      <c r="P47" s="346"/>
      <c r="Q47" s="346"/>
      <c r="R47" s="346"/>
      <c r="S47" s="346"/>
      <c r="T47" s="346"/>
      <c r="U47" s="346"/>
      <c r="V47" s="346"/>
      <c r="W47" s="346"/>
      <c r="X47" s="346"/>
      <c r="Y47" s="346"/>
    </row>
    <row r="48" spans="1:25" s="27" customFormat="1" ht="21" customHeight="1">
      <c r="A48" s="475" t="s">
        <v>154</v>
      </c>
      <c r="B48" s="474">
        <v>45000</v>
      </c>
      <c r="C48" s="32">
        <v>55776.62</v>
      </c>
      <c r="D48" s="32"/>
      <c r="E48" s="24">
        <f t="shared" si="12"/>
        <v>-55776.62</v>
      </c>
      <c r="F48" s="33">
        <f>+D48/C48</f>
        <v>0</v>
      </c>
      <c r="G48" s="34"/>
      <c r="H48" s="35"/>
      <c r="I48" s="35"/>
      <c r="J48" s="24">
        <f t="shared" si="13"/>
        <v>0</v>
      </c>
      <c r="K48" s="33"/>
      <c r="L48" s="346"/>
      <c r="M48" s="346"/>
      <c r="N48" s="346"/>
      <c r="O48" s="346"/>
      <c r="P48" s="346"/>
      <c r="Q48" s="346"/>
      <c r="R48" s="346"/>
      <c r="S48" s="346"/>
      <c r="T48" s="346"/>
      <c r="U48" s="346"/>
      <c r="V48" s="346"/>
      <c r="W48" s="346"/>
      <c r="X48" s="346"/>
      <c r="Y48" s="346"/>
    </row>
    <row r="49" spans="1:25" s="27" customFormat="1" ht="19.5" customHeight="1">
      <c r="A49" s="475" t="s">
        <v>49</v>
      </c>
      <c r="B49" s="476">
        <v>12700000</v>
      </c>
      <c r="C49" s="32"/>
      <c r="D49" s="32"/>
      <c r="E49" s="24">
        <f t="shared" si="12"/>
        <v>0</v>
      </c>
      <c r="F49" s="33"/>
      <c r="G49" s="38">
        <v>10743000</v>
      </c>
      <c r="H49" s="409"/>
      <c r="I49" s="409"/>
      <c r="J49" s="24">
        <f t="shared" si="13"/>
        <v>0</v>
      </c>
      <c r="K49" s="33"/>
      <c r="L49" s="346"/>
      <c r="M49" s="346"/>
      <c r="N49" s="346"/>
      <c r="O49" s="346"/>
      <c r="P49" s="346"/>
      <c r="Q49" s="346"/>
      <c r="R49" s="346"/>
      <c r="S49" s="346"/>
      <c r="T49" s="346"/>
      <c r="U49" s="346"/>
      <c r="V49" s="346"/>
      <c r="W49" s="346"/>
      <c r="X49" s="346"/>
      <c r="Y49" s="346"/>
    </row>
    <row r="50" spans="1:25" s="27" customFormat="1" ht="17.25" customHeight="1">
      <c r="A50" s="475" t="s">
        <v>290</v>
      </c>
      <c r="B50" s="474">
        <v>570962</v>
      </c>
      <c r="C50" s="32">
        <v>942992</v>
      </c>
      <c r="D50" s="32"/>
      <c r="E50" s="24">
        <f t="shared" si="12"/>
        <v>-942992</v>
      </c>
      <c r="F50" s="33">
        <f>+D50/C50</f>
        <v>0</v>
      </c>
      <c r="G50" s="34"/>
      <c r="H50" s="35"/>
      <c r="I50" s="35"/>
      <c r="J50" s="24">
        <f t="shared" si="13"/>
        <v>0</v>
      </c>
      <c r="K50" s="33"/>
      <c r="M50" s="346"/>
      <c r="N50" s="346"/>
      <c r="O50" s="346"/>
      <c r="P50" s="346"/>
      <c r="Q50" s="346"/>
      <c r="R50" s="346"/>
      <c r="S50" s="346"/>
      <c r="T50" s="346"/>
      <c r="U50" s="346"/>
      <c r="V50" s="346"/>
      <c r="W50" s="346"/>
      <c r="X50" s="346"/>
      <c r="Y50" s="346"/>
    </row>
    <row r="51" spans="1:25" s="27" customFormat="1" ht="18.75" customHeight="1">
      <c r="A51" s="408" t="s">
        <v>272</v>
      </c>
      <c r="B51" s="474"/>
      <c r="C51" s="32"/>
      <c r="D51" s="32"/>
      <c r="E51" s="24">
        <f t="shared" si="12"/>
        <v>0</v>
      </c>
      <c r="F51" s="33"/>
      <c r="G51" s="34"/>
      <c r="H51" s="35">
        <v>20000000</v>
      </c>
      <c r="I51" s="35"/>
      <c r="J51" s="24">
        <f t="shared" si="13"/>
        <v>-20000000</v>
      </c>
      <c r="K51" s="33">
        <f>+I51/H51</f>
        <v>0</v>
      </c>
      <c r="L51" s="346"/>
      <c r="M51" s="346"/>
      <c r="N51" s="346"/>
      <c r="O51" s="346"/>
      <c r="P51" s="346"/>
      <c r="Q51" s="346"/>
      <c r="R51" s="346"/>
      <c r="S51" s="346"/>
      <c r="T51" s="346"/>
      <c r="U51" s="346"/>
      <c r="V51" s="346"/>
      <c r="W51" s="346"/>
      <c r="X51" s="346"/>
      <c r="Y51" s="346"/>
    </row>
    <row r="52" spans="1:25" s="27" customFormat="1" ht="23.25" customHeight="1" thickBot="1">
      <c r="A52" s="408" t="s">
        <v>552</v>
      </c>
      <c r="B52" s="474"/>
      <c r="C52" s="32"/>
      <c r="D52" s="32">
        <v>267000</v>
      </c>
      <c r="E52" s="24">
        <f t="shared" si="12"/>
        <v>267000</v>
      </c>
      <c r="F52" s="33"/>
      <c r="G52" s="34"/>
      <c r="H52" s="478"/>
      <c r="I52" s="478"/>
      <c r="J52" s="24">
        <f t="shared" si="13"/>
        <v>0</v>
      </c>
      <c r="K52" s="33"/>
      <c r="L52" s="346"/>
      <c r="M52" s="346"/>
      <c r="N52" s="346"/>
      <c r="O52" s="346"/>
      <c r="P52" s="346"/>
      <c r="Q52" s="346"/>
      <c r="R52" s="346"/>
      <c r="S52" s="346"/>
      <c r="T52" s="346"/>
      <c r="U52" s="346"/>
      <c r="V52" s="346"/>
      <c r="W52" s="346"/>
      <c r="X52" s="346"/>
      <c r="Y52" s="346"/>
    </row>
    <row r="53" spans="1:25" s="27" customFormat="1" ht="18.75" customHeight="1" thickBot="1">
      <c r="A53" s="479" t="s">
        <v>54</v>
      </c>
      <c r="B53" s="39">
        <f>SUM(B45:B52)</f>
        <v>27529193.119999997</v>
      </c>
      <c r="C53" s="40">
        <f>SUM(C45:C52)</f>
        <v>22976511.45</v>
      </c>
      <c r="D53" s="40">
        <f>SUM(D45:D52)</f>
        <v>16088625</v>
      </c>
      <c r="E53" s="41">
        <f>+D53-C53</f>
        <v>-6887886.449999999</v>
      </c>
      <c r="F53" s="42">
        <f>+C53/B53</f>
        <v>0.8346234976755469</v>
      </c>
      <c r="G53" s="23">
        <f>SUM(G45:G52)</f>
        <v>23002000</v>
      </c>
      <c r="H53" s="40">
        <f>SUM(H45:H52)</f>
        <v>31895603</v>
      </c>
      <c r="I53" s="40">
        <f>SUM(I45:I52)</f>
        <v>17500000</v>
      </c>
      <c r="J53" s="41">
        <f>+I53-H53</f>
        <v>-14395603</v>
      </c>
      <c r="K53" s="42">
        <f>+I53/H53</f>
        <v>0.5486649680208272</v>
      </c>
      <c r="L53" s="346"/>
      <c r="M53" s="346"/>
      <c r="N53" s="346"/>
      <c r="O53" s="346"/>
      <c r="P53" s="346"/>
      <c r="Q53" s="346"/>
      <c r="R53" s="346"/>
      <c r="S53" s="346"/>
      <c r="T53" s="346"/>
      <c r="U53" s="346"/>
      <c r="V53" s="346"/>
      <c r="W53" s="346"/>
      <c r="X53" s="346"/>
      <c r="Y53" s="346"/>
    </row>
    <row r="54" spans="1:14" ht="8.25" customHeight="1" thickBot="1">
      <c r="A54"/>
      <c r="B54"/>
      <c r="C54"/>
      <c r="D54"/>
      <c r="E54"/>
      <c r="F54"/>
      <c r="G54"/>
      <c r="H54"/>
      <c r="I54"/>
      <c r="J54"/>
      <c r="K54"/>
      <c r="L54"/>
      <c r="M54"/>
      <c r="N54"/>
    </row>
    <row r="55" spans="1:14" ht="12.75" customHeight="1">
      <c r="A55" s="1049" t="s">
        <v>41</v>
      </c>
      <c r="B55" s="1025" t="s">
        <v>248</v>
      </c>
      <c r="C55" s="1026"/>
      <c r="D55" s="1026"/>
      <c r="E55" s="1026"/>
      <c r="F55" s="1026"/>
      <c r="G55" s="1026"/>
      <c r="H55" s="1188" t="s">
        <v>156</v>
      </c>
      <c r="I55" s="1027"/>
      <c r="J55" s="1027"/>
      <c r="K55" s="1028"/>
      <c r="L55"/>
      <c r="M55"/>
      <c r="N55"/>
    </row>
    <row r="56" spans="1:14" ht="27.75" customHeight="1" thickBot="1">
      <c r="A56" s="1050" t="s">
        <v>44</v>
      </c>
      <c r="B56" s="1023" t="s">
        <v>45</v>
      </c>
      <c r="C56" s="1024"/>
      <c r="D56" s="1023" t="s">
        <v>46</v>
      </c>
      <c r="E56" s="1024"/>
      <c r="F56" s="1023" t="s">
        <v>47</v>
      </c>
      <c r="G56" s="1122"/>
      <c r="H56" s="298" t="s">
        <v>50</v>
      </c>
      <c r="I56" s="296" t="s">
        <v>52</v>
      </c>
      <c r="J56" s="297" t="s">
        <v>51</v>
      </c>
      <c r="K56" s="239" t="s">
        <v>53</v>
      </c>
      <c r="L56"/>
      <c r="M56"/>
      <c r="N56"/>
    </row>
    <row r="57" spans="1:14" ht="18.75" customHeight="1">
      <c r="A57" s="607" t="s">
        <v>541</v>
      </c>
      <c r="B57" s="1029">
        <f>+D57+F57</f>
        <v>17200000</v>
      </c>
      <c r="C57" s="1030"/>
      <c r="D57" s="1029">
        <v>14100000</v>
      </c>
      <c r="E57" s="1030"/>
      <c r="F57" s="1029">
        <v>3100000</v>
      </c>
      <c r="G57" s="1187"/>
      <c r="H57" s="682">
        <f>+G46/B57</f>
        <v>0.7127325581395348</v>
      </c>
      <c r="I57" s="540">
        <v>0.2722</v>
      </c>
      <c r="J57" s="540">
        <v>0.4405</v>
      </c>
      <c r="K57" s="608">
        <f>+B46/B57</f>
        <v>0.3105232558139535</v>
      </c>
      <c r="L57"/>
      <c r="M57"/>
      <c r="N57"/>
    </row>
    <row r="58" spans="1:14" ht="18.75" customHeight="1">
      <c r="A58" s="542">
        <v>2005</v>
      </c>
      <c r="B58" s="1051">
        <v>32500000</v>
      </c>
      <c r="C58" s="1052"/>
      <c r="D58" s="1051">
        <v>27100000</v>
      </c>
      <c r="E58" s="1052"/>
      <c r="F58" s="1051">
        <v>5400000</v>
      </c>
      <c r="G58" s="1189"/>
      <c r="H58" s="681">
        <f>+H46/B58</f>
        <v>0.36601855384615384</v>
      </c>
      <c r="I58" s="541">
        <f>6970630.4/B58</f>
        <v>0.2144809353846154</v>
      </c>
      <c r="J58" s="541">
        <f>4924972.6/B58</f>
        <v>0.15153761846153846</v>
      </c>
      <c r="K58" s="543">
        <f>+C46/B58</f>
        <v>0.6339814461538461</v>
      </c>
      <c r="L58"/>
      <c r="M58"/>
      <c r="N58"/>
    </row>
    <row r="59" spans="1:14" ht="18.75" customHeight="1" thickBot="1">
      <c r="A59" s="544">
        <v>2006</v>
      </c>
      <c r="B59" s="1053">
        <f>+B58</f>
        <v>32500000</v>
      </c>
      <c r="C59" s="1054"/>
      <c r="D59" s="1053">
        <f>+D58</f>
        <v>27100000</v>
      </c>
      <c r="E59" s="1054"/>
      <c r="F59" s="1053">
        <f>+F58</f>
        <v>5400000</v>
      </c>
      <c r="G59" s="1193"/>
      <c r="H59" s="640">
        <f>+I46/B59</f>
        <v>0.5384615384615384</v>
      </c>
      <c r="I59" s="477">
        <f>+D76/B59</f>
        <v>0.0864</v>
      </c>
      <c r="J59" s="477">
        <f>+D94/B59</f>
        <v>0.45206153846153846</v>
      </c>
      <c r="K59" s="545">
        <f>15000000/B59</f>
        <v>0.46153846153846156</v>
      </c>
      <c r="L59"/>
      <c r="M59"/>
      <c r="N59"/>
    </row>
    <row r="60" spans="1:14" ht="15.75" customHeight="1">
      <c r="A60"/>
      <c r="B60"/>
      <c r="C60"/>
      <c r="D60"/>
      <c r="E60"/>
      <c r="F60"/>
      <c r="G60"/>
      <c r="H60"/>
      <c r="I60"/>
      <c r="J60"/>
      <c r="K60"/>
      <c r="L60"/>
      <c r="M60"/>
      <c r="N60"/>
    </row>
    <row r="61" spans="1:14" ht="15.75" customHeight="1" thickBot="1">
      <c r="A61" s="184" t="s">
        <v>249</v>
      </c>
      <c r="B61" s="140"/>
      <c r="C61" s="140"/>
      <c r="D61"/>
      <c r="E61"/>
      <c r="F61"/>
      <c r="G61"/>
      <c r="H61"/>
      <c r="I61"/>
      <c r="J61"/>
      <c r="K61"/>
      <c r="L61"/>
      <c r="M61"/>
      <c r="N61"/>
    </row>
    <row r="62" spans="1:14" ht="15.75" customHeight="1" thickBot="1">
      <c r="A62" s="126" t="s">
        <v>162</v>
      </c>
      <c r="B62" s="115"/>
      <c r="C62" s="116"/>
      <c r="D62"/>
      <c r="E62"/>
      <c r="F62"/>
      <c r="G62"/>
      <c r="H62"/>
      <c r="I62"/>
      <c r="J62"/>
      <c r="K62"/>
      <c r="L62"/>
      <c r="M62"/>
      <c r="N62"/>
    </row>
    <row r="63" spans="1:14" ht="15.75" customHeight="1">
      <c r="A63" s="1035" t="s">
        <v>138</v>
      </c>
      <c r="B63" s="1036"/>
      <c r="C63" s="605">
        <f>+D53/1000+0.1</f>
        <v>16088.725</v>
      </c>
      <c r="D63"/>
      <c r="E63"/>
      <c r="F63"/>
      <c r="G63"/>
      <c r="H63"/>
      <c r="I63"/>
      <c r="J63"/>
      <c r="K63"/>
      <c r="L63"/>
      <c r="M63"/>
      <c r="N63"/>
    </row>
    <row r="64" spans="1:14" ht="15.75" customHeight="1">
      <c r="A64" s="1037" t="s">
        <v>43</v>
      </c>
      <c r="B64" s="1038"/>
      <c r="C64" s="606">
        <f>+I46/1000</f>
        <v>17500</v>
      </c>
      <c r="D64"/>
      <c r="E64"/>
      <c r="F64"/>
      <c r="G64"/>
      <c r="H64"/>
      <c r="I64"/>
      <c r="J64"/>
      <c r="K64"/>
      <c r="L64"/>
      <c r="M64"/>
      <c r="N64"/>
    </row>
    <row r="65" spans="1:14" ht="15.75" customHeight="1" thickBot="1">
      <c r="A65" s="1088" t="s">
        <v>139</v>
      </c>
      <c r="B65" s="1089"/>
      <c r="C65" s="931">
        <f>+I28</f>
        <v>160400</v>
      </c>
      <c r="D65"/>
      <c r="E65"/>
      <c r="F65"/>
      <c r="G65"/>
      <c r="H65"/>
      <c r="I65"/>
      <c r="J65"/>
      <c r="K65"/>
      <c r="L65"/>
      <c r="M65"/>
      <c r="N65"/>
    </row>
    <row r="66" spans="1:14" ht="15.75" customHeight="1">
      <c r="A66"/>
      <c r="B66"/>
      <c r="C66"/>
      <c r="D66"/>
      <c r="E66"/>
      <c r="F66"/>
      <c r="G66"/>
      <c r="H66"/>
      <c r="I66"/>
      <c r="J66"/>
      <c r="K66"/>
      <c r="L66"/>
      <c r="M66"/>
      <c r="N66"/>
    </row>
    <row r="67" ht="6.75" customHeight="1" thickBot="1"/>
    <row r="68" spans="1:34" ht="37.5" customHeight="1">
      <c r="A68" s="1170" t="s">
        <v>273</v>
      </c>
      <c r="B68" s="1066" t="s">
        <v>274</v>
      </c>
      <c r="C68" s="1067"/>
      <c r="D68" s="1065" t="s">
        <v>55</v>
      </c>
      <c r="E68" s="1066"/>
      <c r="F68" s="1067" t="s">
        <v>56</v>
      </c>
      <c r="G68" s="1175"/>
      <c r="H68" s="1086"/>
      <c r="I68" s="1176"/>
      <c r="J68" s="1066" t="s">
        <v>57</v>
      </c>
      <c r="K68" s="1076"/>
      <c r="L68" s="1204" t="s">
        <v>346</v>
      </c>
      <c r="M68" s="1073"/>
      <c r="N68" s="302"/>
      <c r="O68" s="276"/>
      <c r="P68" s="276"/>
      <c r="Q68" s="276"/>
      <c r="R68" s="276"/>
      <c r="S68" s="276"/>
      <c r="T68" s="276"/>
      <c r="U68" s="276"/>
      <c r="V68" s="276"/>
      <c r="W68" s="276"/>
      <c r="X68" s="276"/>
      <c r="Y68" s="276"/>
      <c r="Z68" s="276"/>
      <c r="AA68" s="276"/>
      <c r="AB68" s="276"/>
      <c r="AC68" s="276"/>
      <c r="AD68" s="276"/>
      <c r="AE68" s="276"/>
      <c r="AF68" s="276"/>
      <c r="AG68" s="276"/>
      <c r="AH68" s="276"/>
    </row>
    <row r="69" spans="1:34" ht="17.25" customHeight="1" thickBot="1">
      <c r="A69" s="1068"/>
      <c r="B69" s="1173" t="s">
        <v>275</v>
      </c>
      <c r="C69" s="1174"/>
      <c r="D69" s="1068" t="s">
        <v>58</v>
      </c>
      <c r="E69" s="1031"/>
      <c r="F69" s="1031" t="s">
        <v>59</v>
      </c>
      <c r="G69" s="1031"/>
      <c r="H69" s="1031" t="s">
        <v>276</v>
      </c>
      <c r="I69" s="1031"/>
      <c r="J69" s="1031" t="s">
        <v>60</v>
      </c>
      <c r="K69" s="1077"/>
      <c r="L69" s="1205"/>
      <c r="M69" s="1075"/>
      <c r="N69" s="302"/>
      <c r="O69" s="276"/>
      <c r="P69" s="276"/>
      <c r="Q69" s="276"/>
      <c r="R69" s="276"/>
      <c r="S69" s="276"/>
      <c r="T69" s="276"/>
      <c r="U69" s="276"/>
      <c r="V69" s="276"/>
      <c r="W69" s="276"/>
      <c r="X69" s="276"/>
      <c r="Y69" s="276"/>
      <c r="Z69" s="276"/>
      <c r="AA69" s="276"/>
      <c r="AB69" s="276"/>
      <c r="AC69" s="276"/>
      <c r="AD69" s="276"/>
      <c r="AE69" s="276"/>
      <c r="AF69" s="276"/>
      <c r="AG69" s="276"/>
      <c r="AH69" s="276"/>
    </row>
    <row r="70" spans="1:13" s="614" customFormat="1" ht="21.75" customHeight="1">
      <c r="A70" s="389" t="s">
        <v>416</v>
      </c>
      <c r="B70" s="1172"/>
      <c r="C70" s="1177"/>
      <c r="D70" s="1171">
        <v>2808000</v>
      </c>
      <c r="E70" s="1172"/>
      <c r="F70" s="1172"/>
      <c r="G70" s="1172"/>
      <c r="H70" s="1172"/>
      <c r="I70" s="1172"/>
      <c r="J70" s="1172">
        <f>+D70+F70+H70</f>
        <v>2808000</v>
      </c>
      <c r="K70" s="1166"/>
      <c r="L70" s="1165"/>
      <c r="M70" s="1166"/>
    </row>
    <row r="71" spans="1:13" s="614" customFormat="1" ht="21.75" customHeight="1">
      <c r="A71" s="691" t="s">
        <v>434</v>
      </c>
      <c r="B71" s="964"/>
      <c r="C71" s="965"/>
      <c r="D71" s="971"/>
      <c r="E71" s="964"/>
      <c r="F71" s="964"/>
      <c r="G71" s="964"/>
      <c r="H71" s="964"/>
      <c r="I71" s="964"/>
      <c r="J71" s="964"/>
      <c r="K71" s="1045"/>
      <c r="L71" s="1160">
        <v>500000</v>
      </c>
      <c r="M71" s="1045"/>
    </row>
    <row r="72" spans="1:13" s="614" customFormat="1" ht="21.75" customHeight="1">
      <c r="A72" s="390" t="s">
        <v>435</v>
      </c>
      <c r="B72" s="964"/>
      <c r="C72" s="965"/>
      <c r="D72" s="971"/>
      <c r="E72" s="964"/>
      <c r="F72" s="964"/>
      <c r="G72" s="964"/>
      <c r="H72" s="964"/>
      <c r="I72" s="964"/>
      <c r="J72" s="964"/>
      <c r="K72" s="1045"/>
      <c r="L72" s="1160">
        <v>1000000</v>
      </c>
      <c r="M72" s="1045"/>
    </row>
    <row r="73" spans="1:13" s="614" customFormat="1" ht="17.25" customHeight="1">
      <c r="A73" s="390" t="s">
        <v>436</v>
      </c>
      <c r="B73" s="964"/>
      <c r="C73" s="965"/>
      <c r="D73" s="971"/>
      <c r="E73" s="964"/>
      <c r="F73" s="964"/>
      <c r="G73" s="964"/>
      <c r="H73" s="964"/>
      <c r="I73" s="964"/>
      <c r="J73" s="964"/>
      <c r="K73" s="1045"/>
      <c r="L73" s="1160">
        <v>600000</v>
      </c>
      <c r="M73" s="1045"/>
    </row>
    <row r="74" spans="1:13" s="614" customFormat="1" ht="21.75" customHeight="1">
      <c r="A74" s="390" t="s">
        <v>437</v>
      </c>
      <c r="B74" s="964"/>
      <c r="C74" s="965"/>
      <c r="D74" s="971"/>
      <c r="E74" s="964"/>
      <c r="F74" s="964"/>
      <c r="G74" s="964"/>
      <c r="H74" s="964"/>
      <c r="I74" s="964"/>
      <c r="J74" s="964"/>
      <c r="K74" s="1045"/>
      <c r="L74" s="1160">
        <v>500000</v>
      </c>
      <c r="M74" s="1045"/>
    </row>
    <row r="75" spans="1:13" s="614" customFormat="1" ht="18" customHeight="1" thickBot="1">
      <c r="A75" s="391" t="s">
        <v>438</v>
      </c>
      <c r="B75" s="1185"/>
      <c r="C75" s="1191"/>
      <c r="D75" s="1192"/>
      <c r="E75" s="1185"/>
      <c r="F75" s="1185"/>
      <c r="G75" s="1185"/>
      <c r="H75" s="1185"/>
      <c r="I75" s="1185"/>
      <c r="J75" s="1185"/>
      <c r="K75" s="1186"/>
      <c r="L75" s="1190">
        <v>40000000</v>
      </c>
      <c r="M75" s="1186"/>
    </row>
    <row r="76" spans="1:14" ht="23.25" customHeight="1" thickBot="1">
      <c r="A76" s="683" t="s">
        <v>405</v>
      </c>
      <c r="B76" s="1041">
        <f>SUM(B70:C75)</f>
        <v>0</v>
      </c>
      <c r="C76" s="1042"/>
      <c r="D76" s="1040">
        <f>SUM(D70:E70)</f>
        <v>2808000</v>
      </c>
      <c r="E76" s="1041"/>
      <c r="F76" s="1041">
        <f>SUM(F70:G70)</f>
        <v>0</v>
      </c>
      <c r="G76" s="1041"/>
      <c r="H76" s="1041">
        <f>SUM(H70:I70)</f>
        <v>0</v>
      </c>
      <c r="I76" s="1041"/>
      <c r="J76" s="1041">
        <f>SUM(J70:K70)</f>
        <v>2808000</v>
      </c>
      <c r="K76" s="1046"/>
      <c r="L76" s="1044">
        <f>SUM(L70:M75)</f>
        <v>42600000</v>
      </c>
      <c r="M76" s="1046"/>
      <c r="N76"/>
    </row>
    <row r="77" spans="1:14" ht="3.75" customHeight="1" thickBot="1">
      <c r="A77"/>
      <c r="B77"/>
      <c r="C77"/>
      <c r="D77"/>
      <c r="E77"/>
      <c r="F77"/>
      <c r="G77"/>
      <c r="H77"/>
      <c r="I77"/>
      <c r="J77"/>
      <c r="K77"/>
      <c r="L77"/>
      <c r="M77"/>
      <c r="N77"/>
    </row>
    <row r="78" spans="1:34" ht="40.5" customHeight="1">
      <c r="A78" s="1170" t="s">
        <v>278</v>
      </c>
      <c r="B78" s="1066" t="s">
        <v>274</v>
      </c>
      <c r="C78" s="1067"/>
      <c r="D78" s="1065" t="s">
        <v>55</v>
      </c>
      <c r="E78" s="1066"/>
      <c r="F78" s="1067" t="s">
        <v>56</v>
      </c>
      <c r="G78" s="1175"/>
      <c r="H78" s="1086" t="s">
        <v>272</v>
      </c>
      <c r="I78" s="1176"/>
      <c r="J78" s="1066" t="s">
        <v>57</v>
      </c>
      <c r="K78" s="1076"/>
      <c r="L78" s="1204" t="s">
        <v>346</v>
      </c>
      <c r="M78" s="1073"/>
      <c r="N78" s="302"/>
      <c r="O78" s="276"/>
      <c r="P78" s="276"/>
      <c r="Q78" s="276"/>
      <c r="R78" s="276"/>
      <c r="S78" s="276"/>
      <c r="T78" s="276"/>
      <c r="U78" s="276"/>
      <c r="V78" s="276"/>
      <c r="W78" s="276"/>
      <c r="X78" s="276"/>
      <c r="Y78" s="276"/>
      <c r="Z78" s="276"/>
      <c r="AA78" s="276"/>
      <c r="AB78" s="276"/>
      <c r="AC78" s="276"/>
      <c r="AD78" s="276"/>
      <c r="AE78" s="276"/>
      <c r="AF78" s="276"/>
      <c r="AG78" s="276"/>
      <c r="AH78" s="276"/>
    </row>
    <row r="79" spans="1:34" ht="20.25" customHeight="1" thickBot="1">
      <c r="A79" s="1068" t="s">
        <v>279</v>
      </c>
      <c r="B79" s="1173" t="s">
        <v>275</v>
      </c>
      <c r="C79" s="1174"/>
      <c r="D79" s="1068" t="s">
        <v>58</v>
      </c>
      <c r="E79" s="1031"/>
      <c r="F79" s="1031" t="s">
        <v>59</v>
      </c>
      <c r="G79" s="1031"/>
      <c r="H79" s="1031" t="s">
        <v>276</v>
      </c>
      <c r="I79" s="1031"/>
      <c r="J79" s="1031" t="s">
        <v>60</v>
      </c>
      <c r="K79" s="1077"/>
      <c r="L79" s="1205"/>
      <c r="M79" s="1075"/>
      <c r="N79" s="302"/>
      <c r="P79" s="276"/>
      <c r="Q79" s="276"/>
      <c r="R79" s="276"/>
      <c r="S79" s="276"/>
      <c r="T79" s="276"/>
      <c r="U79" s="276"/>
      <c r="V79" s="276"/>
      <c r="W79" s="276"/>
      <c r="X79" s="276"/>
      <c r="Y79" s="276"/>
      <c r="Z79" s="276"/>
      <c r="AA79" s="276"/>
      <c r="AB79" s="276"/>
      <c r="AC79" s="276"/>
      <c r="AD79" s="276"/>
      <c r="AE79" s="276"/>
      <c r="AF79" s="276"/>
      <c r="AG79" s="276"/>
      <c r="AH79" s="276"/>
    </row>
    <row r="80" spans="1:15" s="614" customFormat="1" ht="21.75" customHeight="1">
      <c r="A80" s="390" t="s">
        <v>412</v>
      </c>
      <c r="B80" s="964">
        <v>170040</v>
      </c>
      <c r="C80" s="965"/>
      <c r="D80" s="971">
        <v>11738960</v>
      </c>
      <c r="E80" s="964"/>
      <c r="F80" s="964"/>
      <c r="G80" s="964"/>
      <c r="H80" s="964"/>
      <c r="I80" s="964"/>
      <c r="J80" s="964">
        <f>+D80+F80+H80</f>
        <v>11738960</v>
      </c>
      <c r="K80" s="1045"/>
      <c r="L80" s="1160"/>
      <c r="M80" s="1045"/>
      <c r="O80"/>
    </row>
    <row r="81" spans="1:15" s="614" customFormat="1" ht="21.75" customHeight="1">
      <c r="A81" s="390" t="s">
        <v>413</v>
      </c>
      <c r="B81" s="964"/>
      <c r="C81" s="965"/>
      <c r="D81" s="971">
        <v>124000</v>
      </c>
      <c r="E81" s="964"/>
      <c r="F81" s="964"/>
      <c r="G81" s="964"/>
      <c r="H81" s="964"/>
      <c r="I81" s="964"/>
      <c r="J81" s="964">
        <f>+D81+F81+H81</f>
        <v>124000</v>
      </c>
      <c r="K81" s="1045"/>
      <c r="L81" s="1160"/>
      <c r="M81" s="1045"/>
      <c r="O81"/>
    </row>
    <row r="82" spans="1:15" s="614" customFormat="1" ht="17.25" customHeight="1">
      <c r="A82" s="390" t="s">
        <v>414</v>
      </c>
      <c r="B82" s="964"/>
      <c r="C82" s="965"/>
      <c r="D82" s="971">
        <v>62000</v>
      </c>
      <c r="E82" s="964"/>
      <c r="F82" s="964"/>
      <c r="G82" s="964"/>
      <c r="H82" s="964"/>
      <c r="I82" s="964"/>
      <c r="J82" s="964">
        <f>+D82+F82+H82</f>
        <v>62000</v>
      </c>
      <c r="K82" s="1045"/>
      <c r="L82" s="1160"/>
      <c r="M82" s="1045"/>
      <c r="O82"/>
    </row>
    <row r="83" spans="1:15" s="614" customFormat="1" ht="17.25" customHeight="1">
      <c r="A83" s="390" t="s">
        <v>415</v>
      </c>
      <c r="B83" s="967"/>
      <c r="C83" s="1055"/>
      <c r="D83" s="1096">
        <v>2767040</v>
      </c>
      <c r="E83" s="967"/>
      <c r="F83" s="967"/>
      <c r="G83" s="967"/>
      <c r="H83" s="967"/>
      <c r="I83" s="967"/>
      <c r="J83" s="967">
        <f>+D83+F83+H83</f>
        <v>2767040</v>
      </c>
      <c r="K83" s="1097"/>
      <c r="L83" s="1179"/>
      <c r="M83" s="1097"/>
      <c r="O83"/>
    </row>
    <row r="84" spans="1:15" s="614" customFormat="1" ht="17.25" customHeight="1">
      <c r="A84" s="691" t="s">
        <v>424</v>
      </c>
      <c r="B84" s="964"/>
      <c r="C84" s="965"/>
      <c r="D84" s="971"/>
      <c r="E84" s="964"/>
      <c r="F84" s="964"/>
      <c r="G84" s="964"/>
      <c r="H84" s="964"/>
      <c r="I84" s="964"/>
      <c r="J84" s="964"/>
      <c r="K84" s="1045"/>
      <c r="L84" s="1160">
        <v>9500000</v>
      </c>
      <c r="M84" s="1045"/>
      <c r="O84"/>
    </row>
    <row r="85" spans="1:13" s="614" customFormat="1" ht="17.25" customHeight="1">
      <c r="A85" s="390" t="s">
        <v>425</v>
      </c>
      <c r="B85" s="964"/>
      <c r="C85" s="965"/>
      <c r="D85" s="971"/>
      <c r="E85" s="964"/>
      <c r="F85" s="964"/>
      <c r="G85" s="964"/>
      <c r="H85" s="964"/>
      <c r="I85" s="964"/>
      <c r="J85" s="964"/>
      <c r="K85" s="1045"/>
      <c r="L85" s="1160">
        <v>1000000</v>
      </c>
      <c r="M85" s="1045"/>
    </row>
    <row r="86" spans="1:13" s="614" customFormat="1" ht="17.25" customHeight="1">
      <c r="A86" s="390" t="s">
        <v>426</v>
      </c>
      <c r="B86" s="964"/>
      <c r="C86" s="965"/>
      <c r="D86" s="971"/>
      <c r="E86" s="964"/>
      <c r="F86" s="964"/>
      <c r="G86" s="964"/>
      <c r="H86" s="964"/>
      <c r="I86" s="964"/>
      <c r="J86" s="964"/>
      <c r="K86" s="1045"/>
      <c r="L86" s="1160">
        <v>600000</v>
      </c>
      <c r="M86" s="1045"/>
    </row>
    <row r="87" spans="1:13" s="614" customFormat="1" ht="17.25" customHeight="1">
      <c r="A87" s="390" t="s">
        <v>427</v>
      </c>
      <c r="B87" s="964"/>
      <c r="C87" s="965"/>
      <c r="D87" s="971"/>
      <c r="E87" s="964"/>
      <c r="F87" s="964"/>
      <c r="G87" s="964"/>
      <c r="H87" s="964"/>
      <c r="I87" s="964"/>
      <c r="J87" s="964"/>
      <c r="K87" s="1045"/>
      <c r="L87" s="1160">
        <v>1600000</v>
      </c>
      <c r="M87" s="1045"/>
    </row>
    <row r="88" spans="1:13" s="614" customFormat="1" ht="17.25" customHeight="1">
      <c r="A88" s="390" t="s">
        <v>428</v>
      </c>
      <c r="B88" s="964"/>
      <c r="C88" s="965"/>
      <c r="D88" s="971"/>
      <c r="E88" s="964"/>
      <c r="F88" s="964"/>
      <c r="G88" s="964"/>
      <c r="H88" s="964"/>
      <c r="I88" s="964"/>
      <c r="J88" s="964"/>
      <c r="K88" s="1045"/>
      <c r="L88" s="1160">
        <v>900000</v>
      </c>
      <c r="M88" s="1045"/>
    </row>
    <row r="89" spans="1:13" s="614" customFormat="1" ht="17.25" customHeight="1">
      <c r="A89" s="390" t="s">
        <v>429</v>
      </c>
      <c r="B89" s="964"/>
      <c r="C89" s="965"/>
      <c r="D89" s="971"/>
      <c r="E89" s="964"/>
      <c r="F89" s="964"/>
      <c r="G89" s="964"/>
      <c r="H89" s="964"/>
      <c r="I89" s="964"/>
      <c r="J89" s="964"/>
      <c r="K89" s="1045"/>
      <c r="L89" s="1160">
        <v>500000</v>
      </c>
      <c r="M89" s="1045"/>
    </row>
    <row r="90" spans="1:13" s="614" customFormat="1" ht="17.25" customHeight="1">
      <c r="A90" s="390" t="s">
        <v>430</v>
      </c>
      <c r="B90" s="964"/>
      <c r="C90" s="965"/>
      <c r="D90" s="971"/>
      <c r="E90" s="964"/>
      <c r="F90" s="964"/>
      <c r="G90" s="964"/>
      <c r="H90" s="964"/>
      <c r="I90" s="964"/>
      <c r="J90" s="964"/>
      <c r="K90" s="1045"/>
      <c r="L90" s="1160">
        <v>500000</v>
      </c>
      <c r="M90" s="1045"/>
    </row>
    <row r="91" spans="1:13" s="614" customFormat="1" ht="17.25" customHeight="1">
      <c r="A91" s="390" t="s">
        <v>431</v>
      </c>
      <c r="B91" s="964"/>
      <c r="C91" s="965"/>
      <c r="D91" s="971"/>
      <c r="E91" s="964"/>
      <c r="F91" s="964"/>
      <c r="G91" s="964"/>
      <c r="H91" s="964"/>
      <c r="I91" s="964"/>
      <c r="J91" s="964"/>
      <c r="K91" s="1045"/>
      <c r="L91" s="1160">
        <v>500000</v>
      </c>
      <c r="M91" s="1045"/>
    </row>
    <row r="92" spans="1:13" s="614" customFormat="1" ht="17.25" customHeight="1">
      <c r="A92" s="390" t="s">
        <v>432</v>
      </c>
      <c r="B92" s="964"/>
      <c r="C92" s="965"/>
      <c r="D92" s="971"/>
      <c r="E92" s="964"/>
      <c r="F92" s="964"/>
      <c r="G92" s="964"/>
      <c r="H92" s="964"/>
      <c r="I92" s="964"/>
      <c r="J92" s="964"/>
      <c r="K92" s="1045"/>
      <c r="L92" s="1160">
        <v>100000</v>
      </c>
      <c r="M92" s="1045"/>
    </row>
    <row r="93" spans="1:13" s="614" customFormat="1" ht="17.25" customHeight="1" thickBot="1">
      <c r="A93" s="690" t="s">
        <v>433</v>
      </c>
      <c r="B93" s="1148"/>
      <c r="C93" s="1109"/>
      <c r="D93" s="1194"/>
      <c r="E93" s="1148"/>
      <c r="F93" s="1148"/>
      <c r="G93" s="1148"/>
      <c r="H93" s="1148"/>
      <c r="I93" s="1148"/>
      <c r="J93" s="1148"/>
      <c r="K93" s="1149"/>
      <c r="L93" s="1178">
        <v>1500000</v>
      </c>
      <c r="M93" s="1149"/>
    </row>
    <row r="94" spans="1:13" s="412" customFormat="1" ht="27" customHeight="1" thickBot="1">
      <c r="A94" s="683" t="s">
        <v>406</v>
      </c>
      <c r="B94" s="1044">
        <f>SUM(B80:C93)</f>
        <v>170040</v>
      </c>
      <c r="C94" s="1042"/>
      <c r="D94" s="1040">
        <f>SUM(D80:E93)</f>
        <v>14692000</v>
      </c>
      <c r="E94" s="1041"/>
      <c r="F94" s="1041">
        <f>SUM(F79:F93)</f>
        <v>0</v>
      </c>
      <c r="G94" s="1041"/>
      <c r="H94" s="1041">
        <f>SUM(H79:H93)</f>
        <v>0</v>
      </c>
      <c r="I94" s="1041"/>
      <c r="J94" s="1041">
        <f>SUM(J80:K93)</f>
        <v>14692000</v>
      </c>
      <c r="K94" s="1046"/>
      <c r="L94" s="1044">
        <f>SUM(L80:M93)</f>
        <v>16700000</v>
      </c>
      <c r="M94" s="1046"/>
    </row>
    <row r="95" spans="1:14" ht="6.75" customHeight="1" thickBot="1">
      <c r="A95"/>
      <c r="B95"/>
      <c r="C95"/>
      <c r="D95"/>
      <c r="E95"/>
      <c r="F95"/>
      <c r="G95"/>
      <c r="H95"/>
      <c r="I95"/>
      <c r="J95"/>
      <c r="K95"/>
      <c r="L95"/>
      <c r="M95"/>
      <c r="N95"/>
    </row>
    <row r="96" spans="1:13" s="412" customFormat="1" ht="16.5" customHeight="1" thickBot="1">
      <c r="A96" s="433" t="s">
        <v>61</v>
      </c>
      <c r="B96" s="1041">
        <f>+B94+B76</f>
        <v>170040</v>
      </c>
      <c r="C96" s="1041"/>
      <c r="D96" s="1041">
        <f>+D94+D76</f>
        <v>17500000</v>
      </c>
      <c r="E96" s="1041"/>
      <c r="F96" s="1041">
        <f>+F94+F76</f>
        <v>0</v>
      </c>
      <c r="G96" s="1041"/>
      <c r="H96" s="1041">
        <f>+H94+H76</f>
        <v>0</v>
      </c>
      <c r="I96" s="1041"/>
      <c r="J96" s="1041">
        <f>+J94+J76</f>
        <v>17500000</v>
      </c>
      <c r="K96" s="1042"/>
      <c r="L96" s="1041">
        <f>+L76+L94</f>
        <v>59300000</v>
      </c>
      <c r="M96" s="1046"/>
    </row>
    <row r="97" spans="1:14" ht="13.5" customHeight="1" thickBot="1">
      <c r="A97"/>
      <c r="B97"/>
      <c r="C97"/>
      <c r="D97"/>
      <c r="E97"/>
      <c r="F97"/>
      <c r="G97"/>
      <c r="H97"/>
      <c r="I97"/>
      <c r="J97"/>
      <c r="K97"/>
      <c r="L97"/>
      <c r="M97"/>
      <c r="N97"/>
    </row>
    <row r="98" spans="1:14" ht="17.25" customHeight="1" thickBot="1">
      <c r="A98" s="1163" t="s">
        <v>418</v>
      </c>
      <c r="B98" s="1164"/>
      <c r="C98" s="1085"/>
      <c r="D98"/>
      <c r="E98"/>
      <c r="F98"/>
      <c r="G98"/>
      <c r="H98"/>
      <c r="I98"/>
      <c r="J98"/>
      <c r="K98"/>
      <c r="L98"/>
      <c r="M98"/>
      <c r="N98"/>
    </row>
    <row r="99" spans="1:14" ht="24.75" customHeight="1">
      <c r="A99" s="689" t="s">
        <v>419</v>
      </c>
      <c r="B99" s="1148">
        <v>3000</v>
      </c>
      <c r="C99" s="1149"/>
      <c r="D99"/>
      <c r="E99"/>
      <c r="F99"/>
      <c r="G99"/>
      <c r="H99"/>
      <c r="I99"/>
      <c r="J99"/>
      <c r="K99"/>
      <c r="L99"/>
      <c r="M99"/>
      <c r="N99"/>
    </row>
    <row r="100" spans="1:14" ht="17.25" customHeight="1">
      <c r="A100" s="686" t="s">
        <v>420</v>
      </c>
      <c r="B100" s="967">
        <v>1600</v>
      </c>
      <c r="C100" s="1097"/>
      <c r="D100"/>
      <c r="E100"/>
      <c r="F100"/>
      <c r="G100"/>
      <c r="H100"/>
      <c r="I100"/>
      <c r="J100"/>
      <c r="K100"/>
      <c r="L100"/>
      <c r="M100"/>
      <c r="N100"/>
    </row>
    <row r="101" spans="1:14" ht="17.25" customHeight="1">
      <c r="A101" s="686" t="s">
        <v>421</v>
      </c>
      <c r="B101" s="967">
        <v>900</v>
      </c>
      <c r="C101" s="1097"/>
      <c r="D101"/>
      <c r="E101"/>
      <c r="F101"/>
      <c r="G101"/>
      <c r="H101"/>
      <c r="I101"/>
      <c r="J101"/>
      <c r="K101"/>
      <c r="L101"/>
      <c r="M101"/>
      <c r="N101"/>
    </row>
    <row r="102" spans="1:14" ht="17.25" customHeight="1">
      <c r="A102" s="686" t="s">
        <v>422</v>
      </c>
      <c r="B102" s="967">
        <v>700</v>
      </c>
      <c r="C102" s="1097"/>
      <c r="D102"/>
      <c r="E102"/>
      <c r="F102"/>
      <c r="G102"/>
      <c r="H102"/>
      <c r="I102"/>
      <c r="J102"/>
      <c r="K102"/>
      <c r="L102"/>
      <c r="M102"/>
      <c r="N102"/>
    </row>
    <row r="103" spans="1:14" ht="17.25" customHeight="1" thickBot="1">
      <c r="A103" s="687" t="s">
        <v>423</v>
      </c>
      <c r="B103" s="1150">
        <v>800</v>
      </c>
      <c r="C103" s="1151"/>
      <c r="D103"/>
      <c r="E103"/>
      <c r="F103"/>
      <c r="G103"/>
      <c r="H103"/>
      <c r="I103"/>
      <c r="J103"/>
      <c r="K103"/>
      <c r="L103"/>
      <c r="M103"/>
      <c r="N103"/>
    </row>
    <row r="104" spans="1:14" ht="17.25" customHeight="1" thickBot="1">
      <c r="A104" s="688" t="s">
        <v>4</v>
      </c>
      <c r="B104" s="1041">
        <f>SUM(B99:B103)</f>
        <v>7000</v>
      </c>
      <c r="C104" s="1046"/>
      <c r="D104"/>
      <c r="E104"/>
      <c r="F104"/>
      <c r="G104"/>
      <c r="H104"/>
      <c r="I104"/>
      <c r="J104"/>
      <c r="K104"/>
      <c r="L104"/>
      <c r="M104"/>
      <c r="N104"/>
    </row>
    <row r="105" spans="1:14" ht="13.5" customHeight="1">
      <c r="A105"/>
      <c r="B105"/>
      <c r="C105"/>
      <c r="D105"/>
      <c r="E105"/>
      <c r="F105"/>
      <c r="G105"/>
      <c r="H105"/>
      <c r="I105"/>
      <c r="J105"/>
      <c r="K105"/>
      <c r="L105"/>
      <c r="M105"/>
      <c r="N105"/>
    </row>
    <row r="106" spans="1:14" ht="3" customHeight="1">
      <c r="A106"/>
      <c r="B106"/>
      <c r="C106"/>
      <c r="D106"/>
      <c r="E106"/>
      <c r="F106"/>
      <c r="G106"/>
      <c r="H106"/>
      <c r="I106"/>
      <c r="J106"/>
      <c r="K106"/>
      <c r="L106"/>
      <c r="M106"/>
      <c r="N106"/>
    </row>
    <row r="107" ht="6" customHeight="1" thickBot="1"/>
    <row r="108" spans="1:9" ht="12.75">
      <c r="A108" s="1106" t="s">
        <v>62</v>
      </c>
      <c r="B108" s="1098" t="s">
        <v>258</v>
      </c>
      <c r="C108" s="1018" t="s">
        <v>259</v>
      </c>
      <c r="D108" s="1161"/>
      <c r="E108" s="1161"/>
      <c r="F108" s="1161"/>
      <c r="G108" s="1161"/>
      <c r="H108" s="1162"/>
      <c r="I108" s="1157" t="s">
        <v>407</v>
      </c>
    </row>
    <row r="109" spans="1:9" ht="12.75">
      <c r="A109" s="1107"/>
      <c r="B109" s="1152"/>
      <c r="C109" s="1104" t="s">
        <v>45</v>
      </c>
      <c r="D109" s="1155" t="s">
        <v>63</v>
      </c>
      <c r="E109" s="1156"/>
      <c r="F109" s="1156"/>
      <c r="G109" s="1156"/>
      <c r="H109" s="1156"/>
      <c r="I109" s="1158"/>
    </row>
    <row r="110" spans="1:9" ht="13.5" thickBot="1">
      <c r="A110" s="1108"/>
      <c r="B110" s="1153"/>
      <c r="C110" s="1105"/>
      <c r="D110" s="498">
        <v>1</v>
      </c>
      <c r="E110" s="498">
        <v>2</v>
      </c>
      <c r="F110" s="498">
        <v>3</v>
      </c>
      <c r="G110" s="498">
        <v>4</v>
      </c>
      <c r="H110" s="641">
        <v>5</v>
      </c>
      <c r="I110" s="1159"/>
    </row>
    <row r="111" spans="1:9" ht="13.5" thickBot="1">
      <c r="A111" s="499">
        <v>32446</v>
      </c>
      <c r="B111" s="410">
        <v>2843</v>
      </c>
      <c r="C111" s="500">
        <f>SUM(D111:H111)</f>
        <v>1408</v>
      </c>
      <c r="D111" s="410">
        <v>671</v>
      </c>
      <c r="E111" s="410">
        <v>675</v>
      </c>
      <c r="F111" s="410">
        <v>6</v>
      </c>
      <c r="G111" s="410">
        <v>9</v>
      </c>
      <c r="H111" s="642">
        <v>47</v>
      </c>
      <c r="I111" s="411">
        <f>SUM(A111-B111-C111)</f>
        <v>28195</v>
      </c>
    </row>
    <row r="112" spans="1:9" ht="12.75">
      <c r="A112" s="600"/>
      <c r="B112" s="601"/>
      <c r="C112" s="601"/>
      <c r="D112" s="601"/>
      <c r="E112" s="601"/>
      <c r="F112" s="601"/>
      <c r="G112" s="601"/>
      <c r="H112" s="601"/>
      <c r="I112" s="601"/>
    </row>
    <row r="113" ht="5.25" customHeight="1" thickBot="1"/>
    <row r="114" spans="1:16" ht="17.25" customHeight="1">
      <c r="A114" s="978" t="s">
        <v>64</v>
      </c>
      <c r="B114" s="977" t="s">
        <v>163</v>
      </c>
      <c r="C114" s="1154" t="s">
        <v>207</v>
      </c>
      <c r="D114" s="975"/>
      <c r="E114" s="975"/>
      <c r="F114" s="972"/>
      <c r="G114" s="977" t="s">
        <v>208</v>
      </c>
      <c r="H114" s="1014" t="s">
        <v>65</v>
      </c>
      <c r="I114" s="974" t="s">
        <v>209</v>
      </c>
      <c r="J114" s="975"/>
      <c r="K114" s="975"/>
      <c r="L114" s="972"/>
      <c r="M114"/>
      <c r="N114"/>
      <c r="O114" s="276"/>
      <c r="P114" s="276"/>
    </row>
    <row r="115" spans="1:14" ht="20.25" customHeight="1" thickBot="1">
      <c r="A115" s="976"/>
      <c r="B115" s="973"/>
      <c r="C115" s="46" t="s">
        <v>228</v>
      </c>
      <c r="D115" s="46" t="s">
        <v>66</v>
      </c>
      <c r="E115" s="46" t="s">
        <v>67</v>
      </c>
      <c r="F115" s="47" t="s">
        <v>68</v>
      </c>
      <c r="G115" s="973"/>
      <c r="H115" s="973"/>
      <c r="I115" s="72" t="s">
        <v>164</v>
      </c>
      <c r="J115" s="46" t="s">
        <v>66</v>
      </c>
      <c r="K115" s="46" t="s">
        <v>67</v>
      </c>
      <c r="L115" s="47" t="s">
        <v>165</v>
      </c>
      <c r="M115"/>
      <c r="N115"/>
    </row>
    <row r="116" spans="1:12" ht="12.75">
      <c r="A116" s="360" t="s">
        <v>69</v>
      </c>
      <c r="B116" s="363">
        <f>+B117+B118+B119+B120</f>
        <v>21681.329999999998</v>
      </c>
      <c r="C116" s="806" t="s">
        <v>70</v>
      </c>
      <c r="D116" s="746" t="s">
        <v>70</v>
      </c>
      <c r="E116" s="746" t="s">
        <v>70</v>
      </c>
      <c r="F116" s="504" t="s">
        <v>70</v>
      </c>
      <c r="G116" s="363">
        <v>20985</v>
      </c>
      <c r="H116" s="364" t="s">
        <v>70</v>
      </c>
      <c r="I116" s="361" t="s">
        <v>70</v>
      </c>
      <c r="J116" s="361" t="s">
        <v>70</v>
      </c>
      <c r="K116" s="361" t="s">
        <v>70</v>
      </c>
      <c r="L116" s="362" t="s">
        <v>70</v>
      </c>
    </row>
    <row r="117" spans="1:12" ht="12.75">
      <c r="A117" s="365" t="s">
        <v>71</v>
      </c>
      <c r="B117" s="368">
        <v>1197.56</v>
      </c>
      <c r="C117" s="807">
        <v>1198</v>
      </c>
      <c r="D117" s="49">
        <v>0</v>
      </c>
      <c r="E117" s="49">
        <v>0</v>
      </c>
      <c r="F117" s="367">
        <f>+C117+D117-E117</f>
        <v>1198</v>
      </c>
      <c r="G117" s="368">
        <v>1197.56</v>
      </c>
      <c r="H117" s="369">
        <f>+G117-F117</f>
        <v>-0.44000000000005457</v>
      </c>
      <c r="I117" s="49">
        <f>+F117</f>
        <v>1198</v>
      </c>
      <c r="J117" s="49">
        <v>0</v>
      </c>
      <c r="K117" s="49">
        <v>1100</v>
      </c>
      <c r="L117" s="367">
        <f>+I117+J117-K117</f>
        <v>98</v>
      </c>
    </row>
    <row r="118" spans="1:12" ht="12.75">
      <c r="A118" s="365" t="s">
        <v>72</v>
      </c>
      <c r="B118" s="368">
        <v>1779.56</v>
      </c>
      <c r="C118" s="807">
        <f>+K124</f>
        <v>2608</v>
      </c>
      <c r="D118" s="49">
        <f>+K126</f>
        <v>644</v>
      </c>
      <c r="E118" s="49">
        <f>+K133</f>
        <v>539</v>
      </c>
      <c r="F118" s="367">
        <f>+C118+D118-E118</f>
        <v>2713</v>
      </c>
      <c r="G118" s="368">
        <v>1850.57</v>
      </c>
      <c r="H118" s="368">
        <f>+G118-F118</f>
        <v>-862.4300000000001</v>
      </c>
      <c r="I118" s="49">
        <f>+F118</f>
        <v>2713</v>
      </c>
      <c r="J118" s="49">
        <f>+L126</f>
        <v>633</v>
      </c>
      <c r="K118" s="49">
        <f>+L133</f>
        <v>2000</v>
      </c>
      <c r="L118" s="367">
        <f>+I118+J118-K118</f>
        <v>1346</v>
      </c>
    </row>
    <row r="119" spans="1:12" ht="12.75">
      <c r="A119" s="365" t="s">
        <v>73</v>
      </c>
      <c r="B119" s="368">
        <v>18704.21</v>
      </c>
      <c r="C119" s="806" t="s">
        <v>70</v>
      </c>
      <c r="D119" s="502" t="s">
        <v>70</v>
      </c>
      <c r="E119" s="502" t="s">
        <v>70</v>
      </c>
      <c r="F119" s="504" t="s">
        <v>70</v>
      </c>
      <c r="G119" s="368">
        <f>-29517.24+C138</f>
        <v>-22011.24</v>
      </c>
      <c r="H119" s="504" t="s">
        <v>70</v>
      </c>
      <c r="I119" s="805" t="s">
        <v>70</v>
      </c>
      <c r="J119" s="502" t="s">
        <v>70</v>
      </c>
      <c r="K119" s="502" t="s">
        <v>70</v>
      </c>
      <c r="L119" s="504" t="s">
        <v>70</v>
      </c>
    </row>
    <row r="120" spans="1:12" ht="12.75">
      <c r="A120" s="365" t="s">
        <v>74</v>
      </c>
      <c r="B120" s="368">
        <v>0</v>
      </c>
      <c r="C120" s="807">
        <f>+C124</f>
        <v>49953</v>
      </c>
      <c r="D120" s="49">
        <f>+C126</f>
        <v>33163</v>
      </c>
      <c r="E120" s="49">
        <f>+C133</f>
        <v>42997.7046</v>
      </c>
      <c r="F120" s="367">
        <f>+C120+D120-E120</f>
        <v>40118.2954</v>
      </c>
      <c r="G120" s="368">
        <f>47453.91-C138</f>
        <v>39947.91</v>
      </c>
      <c r="H120" s="369">
        <f>+G120-F120</f>
        <v>-170.3853999999992</v>
      </c>
      <c r="I120" s="372">
        <f>+F120</f>
        <v>40118.2954</v>
      </c>
      <c r="J120" s="372">
        <f>+D126</f>
        <v>18908</v>
      </c>
      <c r="K120" s="372">
        <f>+D133</f>
        <v>19070</v>
      </c>
      <c r="L120" s="367">
        <f>+I120+J120-K120</f>
        <v>39956.2954</v>
      </c>
    </row>
    <row r="121" spans="1:12" ht="14.25" customHeight="1" thickBot="1">
      <c r="A121" s="373" t="s">
        <v>75</v>
      </c>
      <c r="B121" s="376">
        <v>1227.49</v>
      </c>
      <c r="C121" s="808">
        <v>1957</v>
      </c>
      <c r="D121" s="273">
        <v>2926</v>
      </c>
      <c r="E121" s="273">
        <v>4196</v>
      </c>
      <c r="F121" s="375">
        <f>+C121+D121-E121</f>
        <v>687</v>
      </c>
      <c r="G121" s="376">
        <v>884.28</v>
      </c>
      <c r="H121" s="377">
        <f>+G121-F121</f>
        <v>197.27999999999997</v>
      </c>
      <c r="I121" s="273">
        <f>+F121</f>
        <v>687</v>
      </c>
      <c r="J121" s="273">
        <v>3208</v>
      </c>
      <c r="K121" s="273">
        <v>3208</v>
      </c>
      <c r="L121" s="375">
        <f>+I121+J121-K121</f>
        <v>687</v>
      </c>
    </row>
    <row r="122" spans="1:12" ht="7.5" customHeight="1" thickBot="1">
      <c r="A122" s="378"/>
      <c r="B122" s="57"/>
      <c r="C122" s="57"/>
      <c r="D122" s="57"/>
      <c r="E122" s="57"/>
      <c r="F122" s="57"/>
      <c r="G122" s="57"/>
      <c r="H122" s="57"/>
      <c r="I122" s="57"/>
      <c r="J122" s="57"/>
      <c r="K122" s="57"/>
      <c r="L122" s="57"/>
    </row>
    <row r="123" spans="1:12" s="27" customFormat="1" ht="20.25" customHeight="1" thickBot="1">
      <c r="A123" s="415" t="s">
        <v>76</v>
      </c>
      <c r="B123" s="416">
        <v>2004</v>
      </c>
      <c r="C123" s="617">
        <v>2005</v>
      </c>
      <c r="D123" s="417">
        <v>2006</v>
      </c>
      <c r="F123" s="1206" t="s">
        <v>77</v>
      </c>
      <c r="G123" s="1207"/>
      <c r="H123" s="1207"/>
      <c r="I123" s="1043"/>
      <c r="J123" s="416">
        <v>2004</v>
      </c>
      <c r="K123" s="617">
        <v>2005</v>
      </c>
      <c r="L123" s="417">
        <v>2006</v>
      </c>
    </row>
    <row r="124" spans="1:14" ht="12.75">
      <c r="A124" s="52" t="s">
        <v>78</v>
      </c>
      <c r="B124" s="53">
        <v>49540</v>
      </c>
      <c r="C124" s="209">
        <f>+B140</f>
        <v>49953</v>
      </c>
      <c r="D124" s="54">
        <f>+C140</f>
        <v>40118.2954</v>
      </c>
      <c r="F124" s="1145" t="s">
        <v>79</v>
      </c>
      <c r="G124" s="1146"/>
      <c r="H124" s="1146"/>
      <c r="I124" s="1147"/>
      <c r="J124" s="53">
        <v>2451</v>
      </c>
      <c r="K124" s="209">
        <f>+J140</f>
        <v>2608</v>
      </c>
      <c r="L124" s="54">
        <f>+K140</f>
        <v>2713</v>
      </c>
      <c r="M124"/>
      <c r="N124"/>
    </row>
    <row r="125" spans="1:14" ht="12.75">
      <c r="A125" s="52"/>
      <c r="B125" s="53"/>
      <c r="C125" s="209"/>
      <c r="D125" s="54"/>
      <c r="F125" s="1145"/>
      <c r="G125" s="1146"/>
      <c r="H125" s="1146"/>
      <c r="I125" s="1147"/>
      <c r="J125" s="53"/>
      <c r="K125" s="209"/>
      <c r="L125" s="54"/>
      <c r="M125"/>
      <c r="N125"/>
    </row>
    <row r="126" spans="1:14" ht="12.75">
      <c r="A126" s="593" t="s">
        <v>66</v>
      </c>
      <c r="B126" s="594">
        <f>+B127+B128+B130+B131+B132</f>
        <v>24826</v>
      </c>
      <c r="C126" s="595">
        <f>+C127+C128+C131</f>
        <v>33163</v>
      </c>
      <c r="D126" s="596">
        <f>SUM(D127:D132)</f>
        <v>18908</v>
      </c>
      <c r="F126" s="1201" t="s">
        <v>66</v>
      </c>
      <c r="G126" s="1202"/>
      <c r="H126" s="1202"/>
      <c r="I126" s="1203"/>
      <c r="J126" s="594">
        <f>+J127+J128</f>
        <v>1140</v>
      </c>
      <c r="K126" s="595">
        <f>+K127+K128</f>
        <v>644</v>
      </c>
      <c r="L126" s="596">
        <f>SUM(L127:L132)</f>
        <v>633</v>
      </c>
      <c r="M126"/>
      <c r="N126"/>
    </row>
    <row r="127" spans="1:14" ht="12.75">
      <c r="A127" s="55" t="s">
        <v>80</v>
      </c>
      <c r="B127" s="49">
        <v>1840</v>
      </c>
      <c r="C127" s="366">
        <v>968</v>
      </c>
      <c r="D127" s="367">
        <v>1408</v>
      </c>
      <c r="F127" s="1195" t="s">
        <v>81</v>
      </c>
      <c r="G127" s="1196"/>
      <c r="H127" s="1196"/>
      <c r="I127" s="1197"/>
      <c r="J127" s="49">
        <v>402</v>
      </c>
      <c r="K127" s="366">
        <v>71</v>
      </c>
      <c r="L127" s="367">
        <v>133</v>
      </c>
      <c r="M127"/>
      <c r="N127"/>
    </row>
    <row r="128" spans="1:14" ht="12.75">
      <c r="A128" s="55" t="s">
        <v>377</v>
      </c>
      <c r="B128" s="49">
        <v>22786</v>
      </c>
      <c r="C128" s="366">
        <v>31895</v>
      </c>
      <c r="D128" s="367">
        <v>17500</v>
      </c>
      <c r="F128" s="1195" t="s">
        <v>82</v>
      </c>
      <c r="G128" s="1196"/>
      <c r="H128" s="1196"/>
      <c r="I128" s="1197"/>
      <c r="J128" s="49">
        <v>738</v>
      </c>
      <c r="K128" s="366">
        <v>573</v>
      </c>
      <c r="L128" s="367">
        <v>500</v>
      </c>
      <c r="M128"/>
      <c r="N128"/>
    </row>
    <row r="129" spans="1:14" ht="12.75">
      <c r="A129" s="55" t="s">
        <v>378</v>
      </c>
      <c r="B129" s="49"/>
      <c r="C129" s="366"/>
      <c r="D129" s="367">
        <v>0</v>
      </c>
      <c r="F129" s="1195"/>
      <c r="G129" s="1196"/>
      <c r="H129" s="1196"/>
      <c r="I129" s="1197"/>
      <c r="J129" s="49"/>
      <c r="K129" s="366"/>
      <c r="L129" s="367"/>
      <c r="M129"/>
      <c r="N129"/>
    </row>
    <row r="130" spans="1:14" ht="12.75">
      <c r="A130" s="55" t="s">
        <v>83</v>
      </c>
      <c r="B130" s="49"/>
      <c r="C130" s="366"/>
      <c r="D130" s="367"/>
      <c r="F130" s="1195"/>
      <c r="G130" s="1196"/>
      <c r="H130" s="1196"/>
      <c r="I130" s="1197"/>
      <c r="J130" s="49"/>
      <c r="K130" s="366"/>
      <c r="L130" s="367"/>
      <c r="M130"/>
      <c r="N130"/>
    </row>
    <row r="131" spans="1:14" ht="12.75">
      <c r="A131" s="55" t="s">
        <v>82</v>
      </c>
      <c r="B131" s="49">
        <v>200</v>
      </c>
      <c r="C131" s="366">
        <v>300</v>
      </c>
      <c r="D131" s="367"/>
      <c r="F131" s="1195"/>
      <c r="G131" s="1196"/>
      <c r="H131" s="1196"/>
      <c r="I131" s="1197"/>
      <c r="J131" s="49"/>
      <c r="K131" s="366"/>
      <c r="L131" s="367"/>
      <c r="M131"/>
      <c r="N131"/>
    </row>
    <row r="132" spans="1:14" ht="12.75">
      <c r="A132" s="56" t="s">
        <v>84</v>
      </c>
      <c r="B132" s="49"/>
      <c r="C132" s="366"/>
      <c r="D132" s="367"/>
      <c r="F132" s="1195"/>
      <c r="G132" s="1196"/>
      <c r="H132" s="1196"/>
      <c r="I132" s="1197"/>
      <c r="J132" s="49"/>
      <c r="K132" s="366"/>
      <c r="L132" s="367"/>
      <c r="M132"/>
      <c r="N132"/>
    </row>
    <row r="133" spans="1:14" ht="12.75">
      <c r="A133" s="593" t="s">
        <v>67</v>
      </c>
      <c r="B133" s="594">
        <f>SUM(B135:B139)</f>
        <v>24413</v>
      </c>
      <c r="C133" s="595">
        <f>SUM(C134:C139)</f>
        <v>42997.7046</v>
      </c>
      <c r="D133" s="596">
        <f>SUM(D134:D139)</f>
        <v>19070</v>
      </c>
      <c r="F133" s="1201" t="s">
        <v>67</v>
      </c>
      <c r="G133" s="1202"/>
      <c r="H133" s="1202"/>
      <c r="I133" s="1203"/>
      <c r="J133" s="594">
        <f>+J135+J136+J137+J138+J139</f>
        <v>983</v>
      </c>
      <c r="K133" s="594">
        <f>+K135+K136+K137+K138+K139</f>
        <v>539</v>
      </c>
      <c r="L133" s="594">
        <f>+L135+L136+L137+L138+L139</f>
        <v>2000</v>
      </c>
      <c r="M133"/>
      <c r="N133"/>
    </row>
    <row r="134" spans="1:14" ht="12.75">
      <c r="A134" s="55" t="s">
        <v>236</v>
      </c>
      <c r="B134" s="49"/>
      <c r="C134" s="366">
        <v>2645</v>
      </c>
      <c r="D134" s="367">
        <v>170</v>
      </c>
      <c r="F134" s="1195"/>
      <c r="G134" s="1196"/>
      <c r="H134" s="1196"/>
      <c r="I134" s="1197"/>
      <c r="J134" s="49"/>
      <c r="K134" s="366"/>
      <c r="L134" s="367"/>
      <c r="M134"/>
      <c r="N134"/>
    </row>
    <row r="135" spans="1:14" ht="12.75">
      <c r="A135" s="55" t="s">
        <v>382</v>
      </c>
      <c r="B135" s="49">
        <v>18464</v>
      </c>
      <c r="C135" s="366">
        <f>4924.9726-169.898</f>
        <v>4755.0746</v>
      </c>
      <c r="D135" s="367">
        <v>14692</v>
      </c>
      <c r="F135" s="1195" t="s">
        <v>85</v>
      </c>
      <c r="G135" s="1196"/>
      <c r="H135" s="1196"/>
      <c r="I135" s="1197"/>
      <c r="J135" s="49">
        <v>983</v>
      </c>
      <c r="K135" s="366">
        <v>539</v>
      </c>
      <c r="L135" s="367">
        <v>500</v>
      </c>
      <c r="M135"/>
      <c r="N135"/>
    </row>
    <row r="136" spans="1:14" ht="12.75">
      <c r="A136" s="55" t="s">
        <v>379</v>
      </c>
      <c r="B136" s="49">
        <v>3843</v>
      </c>
      <c r="C136" s="366">
        <v>6970.63</v>
      </c>
      <c r="D136" s="367">
        <v>2808</v>
      </c>
      <c r="F136" s="1195"/>
      <c r="G136" s="1196"/>
      <c r="H136" s="1196"/>
      <c r="I136" s="1197"/>
      <c r="J136" s="49"/>
      <c r="K136" s="366"/>
      <c r="L136" s="367"/>
      <c r="M136"/>
      <c r="N136"/>
    </row>
    <row r="137" spans="1:14" ht="12.75">
      <c r="A137" s="55" t="s">
        <v>408</v>
      </c>
      <c r="B137" s="49">
        <v>906</v>
      </c>
      <c r="C137" s="366">
        <v>1121</v>
      </c>
      <c r="D137" s="367">
        <v>1400</v>
      </c>
      <c r="F137" s="1195"/>
      <c r="G137" s="1196"/>
      <c r="H137" s="1196"/>
      <c r="I137" s="1197"/>
      <c r="J137" s="49"/>
      <c r="K137" s="366"/>
      <c r="L137" s="367"/>
      <c r="M137"/>
      <c r="N137"/>
    </row>
    <row r="138" spans="1:14" ht="12.75">
      <c r="A138" s="55" t="s">
        <v>417</v>
      </c>
      <c r="B138" s="49">
        <v>1200</v>
      </c>
      <c r="C138" s="366">
        <v>7506</v>
      </c>
      <c r="D138" s="367"/>
      <c r="F138" s="1195" t="s">
        <v>86</v>
      </c>
      <c r="G138" s="1196"/>
      <c r="H138" s="1196"/>
      <c r="I138" s="1197"/>
      <c r="J138" s="49"/>
      <c r="K138" s="366"/>
      <c r="L138" s="367"/>
      <c r="M138"/>
      <c r="N138"/>
    </row>
    <row r="139" spans="1:14" ht="12.75">
      <c r="A139" s="55" t="s">
        <v>409</v>
      </c>
      <c r="B139" s="49"/>
      <c r="C139" s="366">
        <v>20000</v>
      </c>
      <c r="D139" s="367"/>
      <c r="F139" s="1195"/>
      <c r="G139" s="1196"/>
      <c r="H139" s="1196"/>
      <c r="I139" s="1197"/>
      <c r="J139" s="49"/>
      <c r="K139" s="366"/>
      <c r="L139" s="367">
        <v>1500</v>
      </c>
      <c r="M139"/>
      <c r="N139"/>
    </row>
    <row r="140" spans="1:14" ht="13.5" thickBot="1">
      <c r="A140" s="597" t="s">
        <v>87</v>
      </c>
      <c r="B140" s="117">
        <f>+B124+B126-B133</f>
        <v>49953</v>
      </c>
      <c r="C140" s="598">
        <f>+C124+C126-C133</f>
        <v>40118.2954</v>
      </c>
      <c r="D140" s="599">
        <f>+D124+D126-D133</f>
        <v>39956.2954</v>
      </c>
      <c r="F140" s="1198" t="s">
        <v>87</v>
      </c>
      <c r="G140" s="1199"/>
      <c r="H140" s="1199"/>
      <c r="I140" s="1200"/>
      <c r="J140" s="117">
        <f>+J124+J126-J133</f>
        <v>2608</v>
      </c>
      <c r="K140" s="598">
        <f>+K124+K126-K133</f>
        <v>2713</v>
      </c>
      <c r="L140" s="599">
        <f>+L124+L126-L133</f>
        <v>1346</v>
      </c>
      <c r="M140"/>
      <c r="N140"/>
    </row>
    <row r="141" spans="1:12" ht="12.75">
      <c r="A141" s="378"/>
      <c r="B141" s="57"/>
      <c r="C141" s="57"/>
      <c r="D141" s="57"/>
      <c r="E141" s="57"/>
      <c r="F141" s="57"/>
      <c r="G141" s="57"/>
      <c r="H141" s="57"/>
      <c r="I141" s="57"/>
      <c r="J141" s="57"/>
      <c r="K141" s="57"/>
      <c r="L141" s="57"/>
    </row>
    <row r="142" spans="1:12" ht="12.75">
      <c r="A142" s="378"/>
      <c r="B142" s="57"/>
      <c r="C142" s="57"/>
      <c r="D142" s="57"/>
      <c r="E142" s="57"/>
      <c r="F142" s="57"/>
      <c r="G142" s="57"/>
      <c r="H142" s="57"/>
      <c r="I142" s="57"/>
      <c r="J142" s="57"/>
      <c r="K142" s="57"/>
      <c r="L142" s="57"/>
    </row>
    <row r="143" ht="16.5" thickBot="1">
      <c r="A143" s="184" t="s">
        <v>313</v>
      </c>
    </row>
    <row r="144" spans="1:12" ht="12.75">
      <c r="A144" s="968" t="s">
        <v>201</v>
      </c>
      <c r="B144" s="963" t="s">
        <v>4</v>
      </c>
      <c r="C144" s="963" t="s">
        <v>261</v>
      </c>
      <c r="D144" s="959"/>
      <c r="E144" s="959"/>
      <c r="F144" s="959"/>
      <c r="G144" s="959"/>
      <c r="H144" s="960"/>
      <c r="I144" s="57"/>
      <c r="J144"/>
      <c r="K144"/>
      <c r="L144"/>
    </row>
    <row r="145" spans="1:12" ht="13.5" thickBot="1">
      <c r="A145" s="962"/>
      <c r="B145" s="958"/>
      <c r="C145" s="122" t="s">
        <v>88</v>
      </c>
      <c r="D145" s="123" t="s">
        <v>89</v>
      </c>
      <c r="E145" s="123" t="s">
        <v>90</v>
      </c>
      <c r="F145" s="123" t="s">
        <v>91</v>
      </c>
      <c r="G145" s="747" t="s">
        <v>92</v>
      </c>
      <c r="H145" s="748" t="s">
        <v>45</v>
      </c>
      <c r="I145" s="57"/>
      <c r="J145"/>
      <c r="K145"/>
      <c r="L145"/>
    </row>
    <row r="146" spans="1:12" ht="12.75">
      <c r="A146" s="814" t="s">
        <v>93</v>
      </c>
      <c r="B146" s="209">
        <v>63559</v>
      </c>
      <c r="C146" s="815">
        <v>17074</v>
      </c>
      <c r="D146" s="816">
        <v>1984</v>
      </c>
      <c r="E146" s="816">
        <v>372</v>
      </c>
      <c r="F146" s="816">
        <v>4</v>
      </c>
      <c r="G146" s="816">
        <v>700</v>
      </c>
      <c r="H146" s="817">
        <f>SUM(C146:G146)</f>
        <v>20134</v>
      </c>
      <c r="I146" s="57"/>
      <c r="J146"/>
      <c r="K146"/>
      <c r="L146"/>
    </row>
    <row r="147" spans="1:12" ht="13.5" thickBot="1">
      <c r="A147" s="645" t="s">
        <v>149</v>
      </c>
      <c r="B147" s="210">
        <v>30758</v>
      </c>
      <c r="C147" s="812">
        <v>11799</v>
      </c>
      <c r="D147" s="383">
        <v>9259</v>
      </c>
      <c r="E147" s="383"/>
      <c r="F147" s="383">
        <v>739</v>
      </c>
      <c r="G147" s="383"/>
      <c r="H147" s="813">
        <f>SUM(C147:G147)</f>
        <v>21797</v>
      </c>
      <c r="I147" s="57"/>
      <c r="J147"/>
      <c r="K147"/>
      <c r="L147"/>
    </row>
    <row r="148" spans="1:12" ht="12.75">
      <c r="A148" s="726"/>
      <c r="B148" s="57"/>
      <c r="C148" s="727"/>
      <c r="D148" s="727"/>
      <c r="E148" s="727"/>
      <c r="F148" s="727"/>
      <c r="G148" s="727"/>
      <c r="H148" s="728"/>
      <c r="I148" s="57"/>
      <c r="J148"/>
      <c r="K148"/>
      <c r="L148"/>
    </row>
    <row r="149" spans="1:14" ht="16.5" thickBot="1">
      <c r="A149" s="184" t="s">
        <v>439</v>
      </c>
      <c r="B149" s="692"/>
      <c r="C149"/>
      <c r="D149"/>
      <c r="E149"/>
      <c r="F149"/>
      <c r="G149"/>
      <c r="H149"/>
      <c r="I149"/>
      <c r="J149"/>
      <c r="K149"/>
      <c r="L149"/>
      <c r="M149"/>
      <c r="N149"/>
    </row>
    <row r="150" spans="1:12" ht="13.5" thickBot="1">
      <c r="A150" s="1111" t="s">
        <v>94</v>
      </c>
      <c r="B150" s="1112"/>
      <c r="C150" s="1115" t="s">
        <v>95</v>
      </c>
      <c r="D150" s="1084"/>
      <c r="E150" s="1084"/>
      <c r="F150" s="1084"/>
      <c r="G150" s="1084"/>
      <c r="H150" s="1116" t="s">
        <v>96</v>
      </c>
      <c r="I150" s="1084"/>
      <c r="J150" s="1084"/>
      <c r="K150" s="1084"/>
      <c r="L150" s="1085"/>
    </row>
    <row r="151" spans="1:12" ht="13.5" thickBot="1">
      <c r="A151" s="1113"/>
      <c r="B151" s="1114"/>
      <c r="C151" s="43">
        <v>2003</v>
      </c>
      <c r="D151" s="44">
        <v>2004</v>
      </c>
      <c r="E151" s="698" t="s">
        <v>7</v>
      </c>
      <c r="F151" s="699">
        <v>2005</v>
      </c>
      <c r="G151" s="700" t="s">
        <v>7</v>
      </c>
      <c r="H151" s="235">
        <v>2003</v>
      </c>
      <c r="I151" s="684">
        <v>2004</v>
      </c>
      <c r="J151" s="698" t="s">
        <v>7</v>
      </c>
      <c r="K151" s="701">
        <v>2005</v>
      </c>
      <c r="L151" s="702" t="s">
        <v>7</v>
      </c>
    </row>
    <row r="152" spans="1:12" ht="12.75">
      <c r="A152" s="1208" t="s">
        <v>97</v>
      </c>
      <c r="B152" s="1114"/>
      <c r="C152" s="703">
        <v>80</v>
      </c>
      <c r="D152" s="384">
        <v>80</v>
      </c>
      <c r="E152" s="704">
        <v>0</v>
      </c>
      <c r="F152" s="888">
        <v>80</v>
      </c>
      <c r="G152" s="705">
        <f aca="true" t="shared" si="14" ref="G152:G170">+F152-D152</f>
        <v>0</v>
      </c>
      <c r="H152" s="508">
        <v>82.2</v>
      </c>
      <c r="I152" s="385">
        <f>0.871960382513661*100</f>
        <v>87.19603825136612</v>
      </c>
      <c r="J152" s="706">
        <f>I152-H152</f>
        <v>4.996038251366116</v>
      </c>
      <c r="K152" s="707">
        <f>((6*78.63)+(74*88.03))/80</f>
        <v>87.325</v>
      </c>
      <c r="L152" s="385">
        <f aca="true" t="shared" si="15" ref="L152:L170">+K152-I152</f>
        <v>0.1289617486338841</v>
      </c>
    </row>
    <row r="153" spans="1:12" ht="12.75">
      <c r="A153" s="1208" t="s">
        <v>98</v>
      </c>
      <c r="B153" s="1114"/>
      <c r="C153" s="708"/>
      <c r="D153" s="386"/>
      <c r="E153" s="709"/>
      <c r="F153" s="889"/>
      <c r="G153" s="705">
        <f t="shared" si="14"/>
        <v>0</v>
      </c>
      <c r="H153" s="511"/>
      <c r="I153" s="710"/>
      <c r="J153" s="711"/>
      <c r="K153" s="712"/>
      <c r="L153" s="385">
        <f t="shared" si="15"/>
        <v>0</v>
      </c>
    </row>
    <row r="154" spans="1:12" ht="12.75">
      <c r="A154" s="1208" t="s">
        <v>99</v>
      </c>
      <c r="B154" s="1114"/>
      <c r="C154" s="708"/>
      <c r="D154" s="386"/>
      <c r="E154" s="709"/>
      <c r="F154" s="889"/>
      <c r="G154" s="705">
        <f t="shared" si="14"/>
        <v>0</v>
      </c>
      <c r="H154" s="511"/>
      <c r="I154" s="710"/>
      <c r="J154" s="711"/>
      <c r="K154" s="712"/>
      <c r="L154" s="385">
        <f t="shared" si="15"/>
        <v>0</v>
      </c>
    </row>
    <row r="155" spans="1:12" ht="12.75">
      <c r="A155" s="1208" t="s">
        <v>100</v>
      </c>
      <c r="B155" s="1114"/>
      <c r="C155" s="708">
        <v>24</v>
      </c>
      <c r="D155" s="386">
        <v>24</v>
      </c>
      <c r="E155" s="709">
        <v>0</v>
      </c>
      <c r="F155" s="889">
        <v>24</v>
      </c>
      <c r="G155" s="705">
        <f t="shared" si="14"/>
        <v>0</v>
      </c>
      <c r="H155" s="511">
        <v>80</v>
      </c>
      <c r="I155" s="710">
        <f>0.784153005464481*100</f>
        <v>78.41530054644808</v>
      </c>
      <c r="J155" s="711">
        <f>I155-H155</f>
        <v>-1.58469945355192</v>
      </c>
      <c r="K155" s="712">
        <f>((4*61.64)+(20*80.23))/24</f>
        <v>77.13166666666667</v>
      </c>
      <c r="L155" s="385">
        <f t="shared" si="15"/>
        <v>-1.283633879781405</v>
      </c>
    </row>
    <row r="156" spans="1:12" ht="12.75">
      <c r="A156" s="1208" t="s">
        <v>101</v>
      </c>
      <c r="B156" s="1114"/>
      <c r="C156" s="708"/>
      <c r="D156" s="386"/>
      <c r="E156" s="709"/>
      <c r="F156" s="889"/>
      <c r="G156" s="705">
        <f t="shared" si="14"/>
        <v>0</v>
      </c>
      <c r="H156" s="511"/>
      <c r="I156" s="710"/>
      <c r="J156" s="711"/>
      <c r="K156" s="712"/>
      <c r="L156" s="385">
        <f t="shared" si="15"/>
        <v>0</v>
      </c>
    </row>
    <row r="157" spans="1:12" ht="12.75">
      <c r="A157" s="1208" t="s">
        <v>102</v>
      </c>
      <c r="B157" s="1114"/>
      <c r="C157" s="708">
        <v>44</v>
      </c>
      <c r="D157" s="386">
        <v>44</v>
      </c>
      <c r="E157" s="709">
        <v>0</v>
      </c>
      <c r="F157" s="889">
        <v>44</v>
      </c>
      <c r="G157" s="705">
        <f t="shared" si="14"/>
        <v>0</v>
      </c>
      <c r="H157" s="511">
        <v>71.5</v>
      </c>
      <c r="I157" s="710">
        <f>0.532662692498758*100</f>
        <v>53.266269249875805</v>
      </c>
      <c r="J157" s="711">
        <f aca="true" t="shared" si="16" ref="J157:J162">I157-H157</f>
        <v>-18.233730750124195</v>
      </c>
      <c r="K157" s="712">
        <f>((5*66.3)+(39*54.32))/44</f>
        <v>55.681363636363635</v>
      </c>
      <c r="L157" s="385">
        <f t="shared" si="15"/>
        <v>2.41509438648783</v>
      </c>
    </row>
    <row r="158" spans="1:12" ht="12.75">
      <c r="A158" s="1208" t="s">
        <v>103</v>
      </c>
      <c r="B158" s="1114"/>
      <c r="C158" s="708">
        <v>41</v>
      </c>
      <c r="D158" s="386">
        <v>41</v>
      </c>
      <c r="E158" s="709">
        <v>0</v>
      </c>
      <c r="F158" s="889">
        <v>41</v>
      </c>
      <c r="G158" s="705">
        <f t="shared" si="14"/>
        <v>0</v>
      </c>
      <c r="H158" s="511">
        <v>71.8</v>
      </c>
      <c r="I158" s="710">
        <f>0.718979075036652*100</f>
        <v>71.89790750366521</v>
      </c>
      <c r="J158" s="711">
        <f t="shared" si="16"/>
        <v>0.09790750366521195</v>
      </c>
      <c r="K158" s="712">
        <f>((14*72.58)+(17*58.52)+(10*81.89))/41</f>
        <v>69.0209756097561</v>
      </c>
      <c r="L158" s="385">
        <f t="shared" si="15"/>
        <v>-2.876931893909102</v>
      </c>
    </row>
    <row r="159" spans="1:12" ht="12.75">
      <c r="A159" s="1208" t="s">
        <v>104</v>
      </c>
      <c r="B159" s="1114"/>
      <c r="C159" s="708">
        <v>67</v>
      </c>
      <c r="D159" s="386">
        <v>66</v>
      </c>
      <c r="E159" s="709">
        <v>-1</v>
      </c>
      <c r="F159" s="889">
        <v>66</v>
      </c>
      <c r="G159" s="705">
        <f t="shared" si="14"/>
        <v>0</v>
      </c>
      <c r="H159" s="511">
        <v>72.9</v>
      </c>
      <c r="I159" s="710">
        <f>0.715308825964564*100</f>
        <v>71.53088259645637</v>
      </c>
      <c r="J159" s="711">
        <f t="shared" si="16"/>
        <v>-1.3691174035436404</v>
      </c>
      <c r="K159" s="712">
        <f>((9*74.67)+(57*69.08))/66</f>
        <v>69.84227272727273</v>
      </c>
      <c r="L159" s="385">
        <f t="shared" si="15"/>
        <v>-1.6886098691836366</v>
      </c>
    </row>
    <row r="160" spans="1:12" ht="12.75">
      <c r="A160" s="1208" t="s">
        <v>105</v>
      </c>
      <c r="B160" s="1114"/>
      <c r="C160" s="708">
        <v>5</v>
      </c>
      <c r="D160" s="386">
        <v>5</v>
      </c>
      <c r="E160" s="709">
        <v>0</v>
      </c>
      <c r="F160" s="889">
        <v>5</v>
      </c>
      <c r="G160" s="705">
        <f t="shared" si="14"/>
        <v>0</v>
      </c>
      <c r="H160" s="511">
        <v>58</v>
      </c>
      <c r="I160" s="710">
        <f>0.734972677595628*100</f>
        <v>73.49726775956285</v>
      </c>
      <c r="J160" s="711">
        <f t="shared" si="16"/>
        <v>15.497267759562845</v>
      </c>
      <c r="K160" s="712">
        <v>74.19</v>
      </c>
      <c r="L160" s="385">
        <f t="shared" si="15"/>
        <v>0.6927322404371523</v>
      </c>
    </row>
    <row r="161" spans="1:12" ht="12.75">
      <c r="A161" s="1208" t="s">
        <v>106</v>
      </c>
      <c r="B161" s="1114"/>
      <c r="C161" s="708">
        <v>24</v>
      </c>
      <c r="D161" s="386">
        <v>24</v>
      </c>
      <c r="E161" s="709">
        <v>0</v>
      </c>
      <c r="F161" s="889">
        <v>24</v>
      </c>
      <c r="G161" s="705">
        <f t="shared" si="14"/>
        <v>0</v>
      </c>
      <c r="H161" s="511">
        <v>76.8</v>
      </c>
      <c r="I161" s="710">
        <f>0.766962659380692*100</f>
        <v>76.69626593806922</v>
      </c>
      <c r="J161" s="711">
        <f t="shared" si="16"/>
        <v>-0.10373406193077983</v>
      </c>
      <c r="K161" s="712">
        <v>77.08</v>
      </c>
      <c r="L161" s="385">
        <f t="shared" si="15"/>
        <v>0.38373406193078097</v>
      </c>
    </row>
    <row r="162" spans="1:12" ht="12.75">
      <c r="A162" s="1208" t="s">
        <v>107</v>
      </c>
      <c r="B162" s="1114"/>
      <c r="C162" s="708">
        <v>20</v>
      </c>
      <c r="D162" s="386">
        <v>20</v>
      </c>
      <c r="E162" s="709">
        <v>0</v>
      </c>
      <c r="F162" s="889">
        <v>20</v>
      </c>
      <c r="G162" s="705">
        <f t="shared" si="14"/>
        <v>0</v>
      </c>
      <c r="H162" s="511">
        <v>63.2</v>
      </c>
      <c r="I162" s="710">
        <f>0.615983606557377*100</f>
        <v>61.59836065573771</v>
      </c>
      <c r="J162" s="711">
        <f t="shared" si="16"/>
        <v>-1.6016393442622956</v>
      </c>
      <c r="K162" s="712">
        <v>57.04</v>
      </c>
      <c r="L162" s="385">
        <f t="shared" si="15"/>
        <v>-4.558360655737708</v>
      </c>
    </row>
    <row r="163" spans="1:12" ht="12.75">
      <c r="A163" s="1208" t="s">
        <v>108</v>
      </c>
      <c r="B163" s="1114"/>
      <c r="C163" s="708"/>
      <c r="D163" s="386"/>
      <c r="E163" s="709"/>
      <c r="F163" s="889"/>
      <c r="G163" s="705">
        <f t="shared" si="14"/>
        <v>0</v>
      </c>
      <c r="H163" s="511"/>
      <c r="I163" s="710"/>
      <c r="J163" s="711"/>
      <c r="K163" s="712"/>
      <c r="L163" s="385">
        <f t="shared" si="15"/>
        <v>0</v>
      </c>
    </row>
    <row r="164" spans="1:12" ht="12.75">
      <c r="A164" s="1208" t="s">
        <v>109</v>
      </c>
      <c r="B164" s="1114"/>
      <c r="C164" s="708"/>
      <c r="D164" s="386"/>
      <c r="E164" s="709"/>
      <c r="F164" s="889"/>
      <c r="G164" s="705">
        <f t="shared" si="14"/>
        <v>0</v>
      </c>
      <c r="H164" s="511"/>
      <c r="I164" s="710"/>
      <c r="J164" s="711"/>
      <c r="K164" s="712"/>
      <c r="L164" s="385">
        <f t="shared" si="15"/>
        <v>0</v>
      </c>
    </row>
    <row r="165" spans="1:12" ht="12.75">
      <c r="A165" s="1208" t="s">
        <v>110</v>
      </c>
      <c r="B165" s="1114"/>
      <c r="C165" s="708"/>
      <c r="D165" s="386"/>
      <c r="E165" s="709"/>
      <c r="F165" s="889"/>
      <c r="G165" s="705">
        <f t="shared" si="14"/>
        <v>0</v>
      </c>
      <c r="H165" s="511"/>
      <c r="I165" s="710"/>
      <c r="J165" s="711"/>
      <c r="K165" s="712"/>
      <c r="L165" s="385">
        <f t="shared" si="15"/>
        <v>0</v>
      </c>
    </row>
    <row r="166" spans="1:12" ht="12.75">
      <c r="A166" s="1208" t="s">
        <v>111</v>
      </c>
      <c r="B166" s="1114"/>
      <c r="C166" s="708"/>
      <c r="D166" s="386"/>
      <c r="E166" s="709"/>
      <c r="F166" s="889"/>
      <c r="G166" s="705">
        <f t="shared" si="14"/>
        <v>0</v>
      </c>
      <c r="H166" s="511"/>
      <c r="I166" s="710"/>
      <c r="J166" s="711"/>
      <c r="K166" s="712"/>
      <c r="L166" s="385">
        <f t="shared" si="15"/>
        <v>0</v>
      </c>
    </row>
    <row r="167" spans="1:12" ht="12.75">
      <c r="A167" s="1208" t="s">
        <v>112</v>
      </c>
      <c r="B167" s="1114"/>
      <c r="C167" s="708"/>
      <c r="D167" s="386"/>
      <c r="E167" s="709"/>
      <c r="F167" s="889"/>
      <c r="G167" s="705">
        <f t="shared" si="14"/>
        <v>0</v>
      </c>
      <c r="H167" s="511"/>
      <c r="I167" s="710"/>
      <c r="J167" s="711"/>
      <c r="K167" s="712"/>
      <c r="L167" s="385">
        <f t="shared" si="15"/>
        <v>0</v>
      </c>
    </row>
    <row r="168" spans="1:12" ht="12.75">
      <c r="A168" s="1208" t="s">
        <v>113</v>
      </c>
      <c r="B168" s="1114"/>
      <c r="C168" s="708">
        <v>46</v>
      </c>
      <c r="D168" s="386">
        <v>46</v>
      </c>
      <c r="E168" s="709">
        <v>0</v>
      </c>
      <c r="F168" s="889">
        <v>46</v>
      </c>
      <c r="G168" s="705">
        <f t="shared" si="14"/>
        <v>0</v>
      </c>
      <c r="H168" s="511">
        <v>97.3</v>
      </c>
      <c r="I168" s="710">
        <f>0.973271560940841*100</f>
        <v>97.32715609408412</v>
      </c>
      <c r="J168" s="711">
        <f>I168-H168</f>
        <v>0.027156094084119786</v>
      </c>
      <c r="K168" s="712">
        <v>96.35</v>
      </c>
      <c r="L168" s="385">
        <f t="shared" si="15"/>
        <v>-0.9771560940841226</v>
      </c>
    </row>
    <row r="169" spans="1:12" ht="13.5" thickBot="1">
      <c r="A169" s="1209" t="s">
        <v>114</v>
      </c>
      <c r="B169" s="1210"/>
      <c r="C169" s="713"/>
      <c r="D169" s="514"/>
      <c r="E169" s="714"/>
      <c r="F169" s="715"/>
      <c r="G169" s="716">
        <f t="shared" si="14"/>
        <v>0</v>
      </c>
      <c r="H169" s="516"/>
      <c r="I169" s="717"/>
      <c r="J169" s="718"/>
      <c r="K169" s="719"/>
      <c r="L169" s="385">
        <f t="shared" si="15"/>
        <v>0</v>
      </c>
    </row>
    <row r="170" spans="1:12" ht="13.5" thickBot="1">
      <c r="A170" s="1211" t="s">
        <v>4</v>
      </c>
      <c r="B170" s="1212"/>
      <c r="C170" s="73">
        <f>SUM(C152:C169)</f>
        <v>351</v>
      </c>
      <c r="D170" s="62">
        <f>SUM(D152:D169)</f>
        <v>350</v>
      </c>
      <c r="E170" s="720">
        <v>4</v>
      </c>
      <c r="F170" s="721">
        <f>SUM(F152:F169)</f>
        <v>350</v>
      </c>
      <c r="G170" s="722">
        <f t="shared" si="14"/>
        <v>0</v>
      </c>
      <c r="H170" s="723">
        <v>77.9</v>
      </c>
      <c r="I170" s="388">
        <f>98042/128100*100</f>
        <v>76.53551912568307</v>
      </c>
      <c r="J170" s="724">
        <f>I170-H170</f>
        <v>-1.3644808743169392</v>
      </c>
      <c r="K170" s="725">
        <v>75.77</v>
      </c>
      <c r="L170" s="388">
        <f t="shared" si="15"/>
        <v>-0.7655191256830705</v>
      </c>
    </row>
    <row r="171" spans="1:14" ht="12.75">
      <c r="A171"/>
      <c r="B171"/>
      <c r="C171"/>
      <c r="D171"/>
      <c r="E171"/>
      <c r="F171"/>
      <c r="G171"/>
      <c r="H171"/>
      <c r="I171"/>
      <c r="J171"/>
      <c r="K171"/>
      <c r="L171"/>
      <c r="M171"/>
      <c r="N171"/>
    </row>
    <row r="172" spans="1:14" ht="16.5" thickBot="1">
      <c r="A172" s="580" t="s">
        <v>305</v>
      </c>
      <c r="B172"/>
      <c r="C172"/>
      <c r="D172"/>
      <c r="E172"/>
      <c r="F172"/>
      <c r="G172"/>
      <c r="H172"/>
      <c r="I172"/>
      <c r="J172"/>
      <c r="K172"/>
      <c r="L172"/>
      <c r="M172"/>
      <c r="N172"/>
    </row>
    <row r="173" spans="1:12" ht="12.75">
      <c r="A173" s="957" t="s">
        <v>115</v>
      </c>
      <c r="B173" s="952" t="s">
        <v>116</v>
      </c>
      <c r="C173" s="953"/>
      <c r="D173" s="954"/>
      <c r="E173" s="1010" t="s">
        <v>115</v>
      </c>
      <c r="F173" s="1011"/>
      <c r="G173" s="953" t="s">
        <v>117</v>
      </c>
      <c r="H173" s="953"/>
      <c r="I173" s="1009"/>
      <c r="J173" s="953" t="s">
        <v>200</v>
      </c>
      <c r="K173" s="953"/>
      <c r="L173" s="1009"/>
    </row>
    <row r="174" spans="1:12" ht="27.75" thickBot="1">
      <c r="A174" s="951"/>
      <c r="B174" s="63" t="s">
        <v>119</v>
      </c>
      <c r="C174" s="64" t="s">
        <v>120</v>
      </c>
      <c r="D174" s="517" t="s">
        <v>121</v>
      </c>
      <c r="E174" s="1012"/>
      <c r="F174" s="1013"/>
      <c r="G174" s="64" t="s">
        <v>119</v>
      </c>
      <c r="H174" s="64" t="s">
        <v>120</v>
      </c>
      <c r="I174" s="48" t="s">
        <v>121</v>
      </c>
      <c r="J174" s="64" t="s">
        <v>119</v>
      </c>
      <c r="K174" s="64" t="s">
        <v>120</v>
      </c>
      <c r="L174" s="48" t="s">
        <v>121</v>
      </c>
    </row>
    <row r="175" spans="1:12" ht="21" customHeight="1">
      <c r="A175" s="518" t="s">
        <v>122</v>
      </c>
      <c r="B175" s="693">
        <v>82.5</v>
      </c>
      <c r="C175" s="694">
        <v>35817960</v>
      </c>
      <c r="D175" s="427">
        <f aca="true" t="shared" si="17" ref="D175:D181">+IF(B175&gt;0,C175/B175/12,"")</f>
        <v>36179.757575757576</v>
      </c>
      <c r="E175" s="961" t="s">
        <v>122</v>
      </c>
      <c r="F175" s="956"/>
      <c r="G175" s="582">
        <v>83.21</v>
      </c>
      <c r="H175" s="522">
        <v>35863059</v>
      </c>
      <c r="I175" s="427">
        <f aca="true" t="shared" si="18" ref="I175:I185">+IF(G175&gt;0,H175/G175/12,"")</f>
        <v>35916.214998197334</v>
      </c>
      <c r="J175" s="582">
        <v>85.82</v>
      </c>
      <c r="K175" s="522">
        <v>38595778</v>
      </c>
      <c r="L175" s="427">
        <f>+IF(J175&gt;0,K175/J175/12,"")</f>
        <v>37477.450866153966</v>
      </c>
    </row>
    <row r="176" spans="1:12" ht="21" customHeight="1">
      <c r="A176" s="518" t="s">
        <v>123</v>
      </c>
      <c r="B176" s="428">
        <v>2.48</v>
      </c>
      <c r="C176" s="695">
        <v>739392</v>
      </c>
      <c r="D176" s="423">
        <f t="shared" si="17"/>
        <v>24845.16129032258</v>
      </c>
      <c r="E176" s="961" t="s">
        <v>123</v>
      </c>
      <c r="F176" s="956"/>
      <c r="G176" s="583">
        <v>3</v>
      </c>
      <c r="H176" s="520">
        <v>806807</v>
      </c>
      <c r="I176" s="423">
        <f t="shared" si="18"/>
        <v>22411.30555555556</v>
      </c>
      <c r="J176" s="583">
        <v>4</v>
      </c>
      <c r="K176" s="520">
        <v>1121745</v>
      </c>
      <c r="L176" s="423">
        <f>+IF(J176&gt;0,K176/J176/12,"")</f>
        <v>23369.6875</v>
      </c>
    </row>
    <row r="177" spans="1:12" ht="21" customHeight="1">
      <c r="A177" s="518" t="s">
        <v>124</v>
      </c>
      <c r="B177" s="428">
        <v>5.93</v>
      </c>
      <c r="C177" s="695">
        <v>1615389</v>
      </c>
      <c r="D177" s="423">
        <f t="shared" si="17"/>
        <v>22700.801011804386</v>
      </c>
      <c r="E177" s="961" t="s">
        <v>125</v>
      </c>
      <c r="F177" s="956"/>
      <c r="G177" s="583">
        <v>268.18</v>
      </c>
      <c r="H177" s="520">
        <v>54173241</v>
      </c>
      <c r="I177" s="423">
        <f t="shared" si="18"/>
        <v>16833.607092251474</v>
      </c>
      <c r="J177" s="583">
        <v>261.1</v>
      </c>
      <c r="K177" s="520">
        <v>55836562</v>
      </c>
      <c r="L177" s="423">
        <f aca="true" t="shared" si="19" ref="L177:L184">+IF(J177&gt;0,K177/J177/12,"")</f>
        <v>17820.937699476573</v>
      </c>
    </row>
    <row r="178" spans="1:12" ht="21" customHeight="1">
      <c r="A178" s="518" t="s">
        <v>126</v>
      </c>
      <c r="B178" s="428">
        <v>5.25</v>
      </c>
      <c r="C178" s="695">
        <v>911957</v>
      </c>
      <c r="D178" s="423">
        <f t="shared" si="17"/>
        <v>14475.507936507936</v>
      </c>
      <c r="E178" s="961" t="s">
        <v>127</v>
      </c>
      <c r="F178" s="956"/>
      <c r="G178" s="583">
        <v>55.06</v>
      </c>
      <c r="H178" s="520">
        <v>12397766</v>
      </c>
      <c r="I178" s="423">
        <f t="shared" si="18"/>
        <v>18764.024094926746</v>
      </c>
      <c r="J178" s="583">
        <v>44.25</v>
      </c>
      <c r="K178" s="520">
        <v>10567422</v>
      </c>
      <c r="L178" s="423">
        <f t="shared" si="19"/>
        <v>19900.98305084746</v>
      </c>
    </row>
    <row r="179" spans="1:12" ht="21" customHeight="1">
      <c r="A179" s="518" t="s">
        <v>128</v>
      </c>
      <c r="B179" s="428">
        <v>332.35</v>
      </c>
      <c r="C179" s="695">
        <v>70517703</v>
      </c>
      <c r="D179" s="423">
        <f t="shared" si="17"/>
        <v>17681.586429968407</v>
      </c>
      <c r="E179" s="961" t="s">
        <v>129</v>
      </c>
      <c r="F179" s="956"/>
      <c r="G179" s="583">
        <v>12.52</v>
      </c>
      <c r="H179" s="520">
        <v>1916373</v>
      </c>
      <c r="I179" s="423">
        <f t="shared" si="18"/>
        <v>12755.411341853034</v>
      </c>
      <c r="J179" s="583">
        <v>10.79</v>
      </c>
      <c r="K179" s="520">
        <v>1743537</v>
      </c>
      <c r="L179" s="423">
        <f t="shared" si="19"/>
        <v>13465.685820203893</v>
      </c>
    </row>
    <row r="180" spans="1:12" ht="21" customHeight="1">
      <c r="A180" s="518" t="s">
        <v>130</v>
      </c>
      <c r="B180" s="428">
        <v>10</v>
      </c>
      <c r="C180" s="695">
        <v>2407919</v>
      </c>
      <c r="D180" s="423">
        <f t="shared" si="17"/>
        <v>20065.991666666665</v>
      </c>
      <c r="E180" s="961" t="s">
        <v>131</v>
      </c>
      <c r="F180" s="956"/>
      <c r="G180" s="583">
        <v>71.78</v>
      </c>
      <c r="H180" s="520">
        <v>11592868</v>
      </c>
      <c r="I180" s="423">
        <f t="shared" si="18"/>
        <v>13458.795393331477</v>
      </c>
      <c r="J180" s="583">
        <v>80.03</v>
      </c>
      <c r="K180" s="520">
        <v>13274258</v>
      </c>
      <c r="L180" s="423">
        <f t="shared" si="19"/>
        <v>13822.168770044567</v>
      </c>
    </row>
    <row r="181" spans="1:12" ht="21" customHeight="1">
      <c r="A181" s="518" t="s">
        <v>132</v>
      </c>
      <c r="B181" s="428">
        <v>82.77</v>
      </c>
      <c r="C181" s="695">
        <v>11396880</v>
      </c>
      <c r="D181" s="423">
        <f t="shared" si="17"/>
        <v>11474.44726350127</v>
      </c>
      <c r="E181" s="961" t="s">
        <v>133</v>
      </c>
      <c r="F181" s="956"/>
      <c r="G181" s="583">
        <v>0</v>
      </c>
      <c r="H181" s="520">
        <v>0</v>
      </c>
      <c r="I181" s="423">
        <f t="shared" si="18"/>
      </c>
      <c r="J181" s="583">
        <v>11.31</v>
      </c>
      <c r="K181" s="520">
        <v>2726230</v>
      </c>
      <c r="L181" s="423">
        <f t="shared" si="19"/>
        <v>20087.164750957854</v>
      </c>
    </row>
    <row r="182" spans="1:12" ht="21" customHeight="1">
      <c r="A182" s="518"/>
      <c r="B182" s="428"/>
      <c r="C182" s="695"/>
      <c r="D182" s="423"/>
      <c r="E182" s="961" t="s">
        <v>134</v>
      </c>
      <c r="F182" s="956"/>
      <c r="G182" s="583">
        <v>0</v>
      </c>
      <c r="H182" s="520">
        <v>0</v>
      </c>
      <c r="I182" s="423">
        <f t="shared" si="18"/>
      </c>
      <c r="J182" s="583"/>
      <c r="K182" s="520">
        <v>0</v>
      </c>
      <c r="L182" s="423">
        <f t="shared" si="19"/>
      </c>
    </row>
    <row r="183" spans="1:12" ht="21" customHeight="1">
      <c r="A183" s="518" t="s">
        <v>135</v>
      </c>
      <c r="B183" s="428">
        <v>59.36</v>
      </c>
      <c r="C183" s="695">
        <v>10515348</v>
      </c>
      <c r="D183" s="423">
        <f>+IF(B183&gt;0,C183/B183/12,"")</f>
        <v>14762.112533692722</v>
      </c>
      <c r="E183" s="961" t="s">
        <v>135</v>
      </c>
      <c r="F183" s="956"/>
      <c r="G183" s="584">
        <v>57.24</v>
      </c>
      <c r="H183" s="422">
        <v>10540682</v>
      </c>
      <c r="I183" s="423">
        <f t="shared" si="18"/>
        <v>15345.740158397391</v>
      </c>
      <c r="J183" s="584">
        <v>56.02</v>
      </c>
      <c r="K183" s="422">
        <v>10928507</v>
      </c>
      <c r="L183" s="423">
        <f t="shared" si="19"/>
        <v>16256.853207187909</v>
      </c>
    </row>
    <row r="184" spans="1:12" ht="21" customHeight="1" thickBot="1">
      <c r="A184" s="696" t="s">
        <v>136</v>
      </c>
      <c r="B184" s="428">
        <v>81.14</v>
      </c>
      <c r="C184" s="695">
        <v>11259120</v>
      </c>
      <c r="D184" s="423">
        <f>+IF(B184&gt;0,C184/B184/12,"")</f>
        <v>11563.470544737489</v>
      </c>
      <c r="E184" s="950" t="s">
        <v>137</v>
      </c>
      <c r="F184" s="946"/>
      <c r="G184" s="582">
        <v>78.04</v>
      </c>
      <c r="H184" s="522">
        <v>10562287</v>
      </c>
      <c r="I184" s="427">
        <f t="shared" si="18"/>
        <v>11278.710703912524</v>
      </c>
      <c r="J184" s="582">
        <v>80.17</v>
      </c>
      <c r="K184" s="522">
        <v>11205557</v>
      </c>
      <c r="L184" s="423">
        <f t="shared" si="19"/>
        <v>11647.703837678266</v>
      </c>
    </row>
    <row r="185" spans="1:12" ht="21" customHeight="1" thickBot="1">
      <c r="A185" s="244" t="s">
        <v>4</v>
      </c>
      <c r="B185" s="245">
        <f>SUM(B175:B184)</f>
        <v>661.78</v>
      </c>
      <c r="C185" s="697">
        <f>SUM(C175:C184)</f>
        <v>145181668</v>
      </c>
      <c r="D185" s="241">
        <f>+IF(B185&gt;0,C185/B185/12,"")</f>
        <v>18281.713459659302</v>
      </c>
      <c r="E185" s="942" t="s">
        <v>4</v>
      </c>
      <c r="F185" s="943"/>
      <c r="G185" s="585">
        <f>SUM(G175:G184)</f>
        <v>629.03</v>
      </c>
      <c r="H185" s="240">
        <f>SUM(H175:H184)</f>
        <v>137853083</v>
      </c>
      <c r="I185" s="241">
        <f t="shared" si="18"/>
        <v>18262.65347704667</v>
      </c>
      <c r="J185" s="585">
        <f>SUM(J175:J184)</f>
        <v>633.49</v>
      </c>
      <c r="K185" s="240">
        <f>SUM(K175:K184)</f>
        <v>145999596</v>
      </c>
      <c r="L185" s="241">
        <f>+IF(J185&gt;0,K185/J185/12,"")</f>
        <v>19205.722268701953</v>
      </c>
    </row>
  </sheetData>
  <mergeCells count="273">
    <mergeCell ref="A169:B169"/>
    <mergeCell ref="A170:B170"/>
    <mergeCell ref="A165:B165"/>
    <mergeCell ref="A166:B166"/>
    <mergeCell ref="A167:B167"/>
    <mergeCell ref="A168:B168"/>
    <mergeCell ref="A161:B161"/>
    <mergeCell ref="A162:B162"/>
    <mergeCell ref="A163:B163"/>
    <mergeCell ref="A164:B164"/>
    <mergeCell ref="A157:B157"/>
    <mergeCell ref="A158:B158"/>
    <mergeCell ref="A159:B159"/>
    <mergeCell ref="A160:B160"/>
    <mergeCell ref="A153:B153"/>
    <mergeCell ref="A154:B154"/>
    <mergeCell ref="A155:B155"/>
    <mergeCell ref="A156:B156"/>
    <mergeCell ref="E182:F182"/>
    <mergeCell ref="E183:F183"/>
    <mergeCell ref="E184:F184"/>
    <mergeCell ref="E185:F185"/>
    <mergeCell ref="E178:F178"/>
    <mergeCell ref="E179:F179"/>
    <mergeCell ref="E180:F180"/>
    <mergeCell ref="E181:F181"/>
    <mergeCell ref="J173:L173"/>
    <mergeCell ref="E175:F175"/>
    <mergeCell ref="E176:F176"/>
    <mergeCell ref="E177:F177"/>
    <mergeCell ref="A173:A174"/>
    <mergeCell ref="B173:D173"/>
    <mergeCell ref="E173:F174"/>
    <mergeCell ref="G173:I173"/>
    <mergeCell ref="A150:B151"/>
    <mergeCell ref="C150:G150"/>
    <mergeCell ref="H150:L150"/>
    <mergeCell ref="A152:B152"/>
    <mergeCell ref="A63:B63"/>
    <mergeCell ref="A64:B64"/>
    <mergeCell ref="A65:B65"/>
    <mergeCell ref="F68:I68"/>
    <mergeCell ref="A68:A69"/>
    <mergeCell ref="L68:M69"/>
    <mergeCell ref="L78:M79"/>
    <mergeCell ref="F124:I124"/>
    <mergeCell ref="F123:I123"/>
    <mergeCell ref="F84:G84"/>
    <mergeCell ref="H84:I84"/>
    <mergeCell ref="J84:K84"/>
    <mergeCell ref="L84:M84"/>
    <mergeCell ref="F85:G85"/>
    <mergeCell ref="H85:I85"/>
    <mergeCell ref="F126:I126"/>
    <mergeCell ref="F127:I127"/>
    <mergeCell ref="F128:I128"/>
    <mergeCell ref="F130:I130"/>
    <mergeCell ref="F129:I129"/>
    <mergeCell ref="F131:I131"/>
    <mergeCell ref="F132:I132"/>
    <mergeCell ref="F133:I133"/>
    <mergeCell ref="F135:I135"/>
    <mergeCell ref="F134:I134"/>
    <mergeCell ref="F138:I138"/>
    <mergeCell ref="F139:I139"/>
    <mergeCell ref="F140:I140"/>
    <mergeCell ref="F136:I136"/>
    <mergeCell ref="F137:I137"/>
    <mergeCell ref="B84:C84"/>
    <mergeCell ref="D84:E84"/>
    <mergeCell ref="B85:C85"/>
    <mergeCell ref="D85:E85"/>
    <mergeCell ref="B86:C86"/>
    <mergeCell ref="D86:E86"/>
    <mergeCell ref="J85:K85"/>
    <mergeCell ref="L85:M85"/>
    <mergeCell ref="F86:G86"/>
    <mergeCell ref="H86:I86"/>
    <mergeCell ref="J86:K86"/>
    <mergeCell ref="L86:M86"/>
    <mergeCell ref="B87:C87"/>
    <mergeCell ref="D87:E87"/>
    <mergeCell ref="F87:G87"/>
    <mergeCell ref="H87:I87"/>
    <mergeCell ref="B88:C88"/>
    <mergeCell ref="D88:E88"/>
    <mergeCell ref="F88:G88"/>
    <mergeCell ref="H88:I88"/>
    <mergeCell ref="L87:M87"/>
    <mergeCell ref="J88:K88"/>
    <mergeCell ref="L88:M88"/>
    <mergeCell ref="J89:K89"/>
    <mergeCell ref="L89:M89"/>
    <mergeCell ref="L90:M90"/>
    <mergeCell ref="B89:C89"/>
    <mergeCell ref="D89:E89"/>
    <mergeCell ref="B90:C90"/>
    <mergeCell ref="D90:E90"/>
    <mergeCell ref="F90:G90"/>
    <mergeCell ref="H90:I90"/>
    <mergeCell ref="F89:G89"/>
    <mergeCell ref="H89:I89"/>
    <mergeCell ref="L92:M92"/>
    <mergeCell ref="B91:C91"/>
    <mergeCell ref="D91:E91"/>
    <mergeCell ref="F91:G91"/>
    <mergeCell ref="L71:M71"/>
    <mergeCell ref="B93:C93"/>
    <mergeCell ref="D93:E93"/>
    <mergeCell ref="F93:G93"/>
    <mergeCell ref="L91:M91"/>
    <mergeCell ref="B92:C92"/>
    <mergeCell ref="D92:E92"/>
    <mergeCell ref="F92:G92"/>
    <mergeCell ref="H92:I92"/>
    <mergeCell ref="J92:K92"/>
    <mergeCell ref="D71:E71"/>
    <mergeCell ref="F71:G71"/>
    <mergeCell ref="H71:I71"/>
    <mergeCell ref="J71:K71"/>
    <mergeCell ref="B76:C76"/>
    <mergeCell ref="D76:E76"/>
    <mergeCell ref="F76:G76"/>
    <mergeCell ref="B72:C72"/>
    <mergeCell ref="D72:E72"/>
    <mergeCell ref="F72:G72"/>
    <mergeCell ref="F73:G73"/>
    <mergeCell ref="D73:E73"/>
    <mergeCell ref="B43:F43"/>
    <mergeCell ref="G43:K43"/>
    <mergeCell ref="J72:K72"/>
    <mergeCell ref="H72:I72"/>
    <mergeCell ref="D68:E68"/>
    <mergeCell ref="H69:I69"/>
    <mergeCell ref="B59:C59"/>
    <mergeCell ref="D59:E59"/>
    <mergeCell ref="F59:G59"/>
    <mergeCell ref="B71:C71"/>
    <mergeCell ref="H93:I93"/>
    <mergeCell ref="J91:K91"/>
    <mergeCell ref="H91:I91"/>
    <mergeCell ref="H73:I73"/>
    <mergeCell ref="J73:K73"/>
    <mergeCell ref="J90:K90"/>
    <mergeCell ref="J87:K87"/>
    <mergeCell ref="J79:K79"/>
    <mergeCell ref="H76:I76"/>
    <mergeCell ref="J76:K76"/>
    <mergeCell ref="B58:C58"/>
    <mergeCell ref="D58:E58"/>
    <mergeCell ref="F58:G58"/>
    <mergeCell ref="L75:M75"/>
    <mergeCell ref="B75:C75"/>
    <mergeCell ref="D75:E75"/>
    <mergeCell ref="F75:G75"/>
    <mergeCell ref="H75:I75"/>
    <mergeCell ref="L73:M73"/>
    <mergeCell ref="B74:C74"/>
    <mergeCell ref="B3:M3"/>
    <mergeCell ref="D38:F38"/>
    <mergeCell ref="A55:A56"/>
    <mergeCell ref="B55:G55"/>
    <mergeCell ref="H55:K55"/>
    <mergeCell ref="B56:C56"/>
    <mergeCell ref="D56:E56"/>
    <mergeCell ref="F56:G56"/>
    <mergeCell ref="B4:B6"/>
    <mergeCell ref="C4:C6"/>
    <mergeCell ref="H96:I96"/>
    <mergeCell ref="A144:A145"/>
    <mergeCell ref="B144:B145"/>
    <mergeCell ref="K5:K6"/>
    <mergeCell ref="F5:F6"/>
    <mergeCell ref="H82:I82"/>
    <mergeCell ref="J75:K75"/>
    <mergeCell ref="J96:K96"/>
    <mergeCell ref="A42:K42"/>
    <mergeCell ref="F57:G57"/>
    <mergeCell ref="D83:E83"/>
    <mergeCell ref="J83:K83"/>
    <mergeCell ref="L83:M83"/>
    <mergeCell ref="D4:F4"/>
    <mergeCell ref="I4:K4"/>
    <mergeCell ref="D74:E74"/>
    <mergeCell ref="F74:G74"/>
    <mergeCell ref="H74:I74"/>
    <mergeCell ref="J74:K74"/>
    <mergeCell ref="L74:M74"/>
    <mergeCell ref="L96:M96"/>
    <mergeCell ref="J94:K94"/>
    <mergeCell ref="L94:M94"/>
    <mergeCell ref="J70:K70"/>
    <mergeCell ref="L80:M80"/>
    <mergeCell ref="J81:K81"/>
    <mergeCell ref="L82:M82"/>
    <mergeCell ref="J93:K93"/>
    <mergeCell ref="L72:M72"/>
    <mergeCell ref="L93:M93"/>
    <mergeCell ref="F78:I78"/>
    <mergeCell ref="H70:I70"/>
    <mergeCell ref="F96:G96"/>
    <mergeCell ref="B96:C96"/>
    <mergeCell ref="D96:E96"/>
    <mergeCell ref="B94:C94"/>
    <mergeCell ref="D94:E94"/>
    <mergeCell ref="B70:C70"/>
    <mergeCell ref="F83:G83"/>
    <mergeCell ref="H79:I79"/>
    <mergeCell ref="F94:G94"/>
    <mergeCell ref="D69:E69"/>
    <mergeCell ref="F69:G69"/>
    <mergeCell ref="B81:C81"/>
    <mergeCell ref="D81:E81"/>
    <mergeCell ref="F81:G81"/>
    <mergeCell ref="B79:C79"/>
    <mergeCell ref="B69:C69"/>
    <mergeCell ref="F70:G70"/>
    <mergeCell ref="B73:C73"/>
    <mergeCell ref="A3:A6"/>
    <mergeCell ref="A78:A79"/>
    <mergeCell ref="B78:C78"/>
    <mergeCell ref="D78:E78"/>
    <mergeCell ref="D79:E79"/>
    <mergeCell ref="D70:E70"/>
    <mergeCell ref="B57:C57"/>
    <mergeCell ref="D57:E57"/>
    <mergeCell ref="A43:A44"/>
    <mergeCell ref="B68:C68"/>
    <mergeCell ref="L4:M4"/>
    <mergeCell ref="G4:H4"/>
    <mergeCell ref="F80:G80"/>
    <mergeCell ref="H80:I80"/>
    <mergeCell ref="F79:G79"/>
    <mergeCell ref="J68:K68"/>
    <mergeCell ref="J69:K69"/>
    <mergeCell ref="J78:K78"/>
    <mergeCell ref="L76:M76"/>
    <mergeCell ref="L70:M70"/>
    <mergeCell ref="I108:I110"/>
    <mergeCell ref="I114:L114"/>
    <mergeCell ref="L81:M81"/>
    <mergeCell ref="J82:K82"/>
    <mergeCell ref="H83:I83"/>
    <mergeCell ref="H81:I81"/>
    <mergeCell ref="C108:H108"/>
    <mergeCell ref="H114:H115"/>
    <mergeCell ref="A98:C98"/>
    <mergeCell ref="A114:A115"/>
    <mergeCell ref="J80:K80"/>
    <mergeCell ref="B80:C80"/>
    <mergeCell ref="B82:C82"/>
    <mergeCell ref="D82:E82"/>
    <mergeCell ref="D80:E80"/>
    <mergeCell ref="B114:B115"/>
    <mergeCell ref="B108:B110"/>
    <mergeCell ref="C144:H144"/>
    <mergeCell ref="F82:G82"/>
    <mergeCell ref="C114:F114"/>
    <mergeCell ref="G114:G115"/>
    <mergeCell ref="C109:C110"/>
    <mergeCell ref="D109:H109"/>
    <mergeCell ref="H94:I94"/>
    <mergeCell ref="B83:C83"/>
    <mergeCell ref="D39:F39"/>
    <mergeCell ref="D40:F40"/>
    <mergeCell ref="A108:A110"/>
    <mergeCell ref="F125:I125"/>
    <mergeCell ref="B99:C99"/>
    <mergeCell ref="B100:C100"/>
    <mergeCell ref="B101:C101"/>
    <mergeCell ref="B102:C102"/>
    <mergeCell ref="B103:C103"/>
    <mergeCell ref="B104:C104"/>
  </mergeCells>
  <printOptions horizontalCentered="1"/>
  <pageMargins left="0.2362204724409449" right="0.2755905511811024" top="0.32" bottom="0.2" header="0.2362204724409449" footer="0.23"/>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A2:S212"/>
  <sheetViews>
    <sheetView zoomScale="85" zoomScaleNormal="85" workbookViewId="0" topLeftCell="A40">
      <selection activeCell="G62" sqref="G62"/>
    </sheetView>
  </sheetViews>
  <sheetFormatPr defaultColWidth="9.00390625" defaultRowHeight="12.75"/>
  <cols>
    <col min="1" max="1" width="29.75390625" style="139" customWidth="1"/>
    <col min="2" max="2" width="9.75390625" style="140" customWidth="1"/>
    <col min="3" max="3" width="10.00390625" style="140" customWidth="1"/>
    <col min="4" max="4" width="9.25390625" style="140" customWidth="1"/>
    <col min="5" max="5" width="9.375" style="140" customWidth="1"/>
    <col min="6" max="9" width="8.75390625" style="140" customWidth="1"/>
    <col min="10" max="10" width="9.375" style="140" customWidth="1"/>
    <col min="11" max="11" width="8.75390625" style="139" customWidth="1"/>
    <col min="12" max="12" width="9.75390625" style="139" customWidth="1"/>
    <col min="13" max="13" width="8.75390625" style="139" customWidth="1"/>
    <col min="14" max="14" width="10.00390625" style="138" customWidth="1"/>
    <col min="15" max="16384" width="9.125" style="138" customWidth="1"/>
  </cols>
  <sheetData>
    <row r="1" ht="21.75" customHeight="1"/>
    <row r="2" spans="1:10" ht="17.25" customHeight="1" thickBot="1">
      <c r="A2" s="142" t="s">
        <v>155</v>
      </c>
      <c r="B2" s="143"/>
      <c r="C2" s="143"/>
      <c r="D2" s="143"/>
      <c r="E2" s="143"/>
      <c r="F2" s="143"/>
      <c r="G2" s="143"/>
      <c r="H2" s="143"/>
      <c r="I2" s="143"/>
      <c r="J2" s="143"/>
    </row>
    <row r="3" spans="1:13" ht="13.5" customHeight="1" thickBot="1">
      <c r="A3" s="1078" t="s">
        <v>0</v>
      </c>
      <c r="B3" s="1083" t="s">
        <v>140</v>
      </c>
      <c r="C3" s="1143"/>
      <c r="D3" s="1143"/>
      <c r="E3" s="1143"/>
      <c r="F3" s="1143"/>
      <c r="G3" s="1143"/>
      <c r="H3" s="1143"/>
      <c r="I3" s="1143"/>
      <c r="J3" s="1143"/>
      <c r="K3" s="1143"/>
      <c r="L3" s="1143"/>
      <c r="M3" s="1144"/>
    </row>
    <row r="4" spans="1:13" ht="10.5" customHeight="1">
      <c r="A4" s="1314"/>
      <c r="B4" s="1014" t="s">
        <v>289</v>
      </c>
      <c r="C4" s="1014" t="s">
        <v>288</v>
      </c>
      <c r="D4" s="4" t="s">
        <v>168</v>
      </c>
      <c r="E4" s="2"/>
      <c r="F4" s="3"/>
      <c r="G4" s="1090" t="s">
        <v>246</v>
      </c>
      <c r="H4" s="972"/>
      <c r="I4" s="2" t="s">
        <v>169</v>
      </c>
      <c r="J4" s="5"/>
      <c r="K4" s="6"/>
      <c r="L4" s="81" t="s">
        <v>170</v>
      </c>
      <c r="M4" s="82"/>
    </row>
    <row r="5" spans="1:13" ht="13.5" customHeight="1">
      <c r="A5" s="1314"/>
      <c r="B5" s="1060"/>
      <c r="C5" s="1060"/>
      <c r="D5" s="9" t="s">
        <v>2</v>
      </c>
      <c r="E5" s="7" t="s">
        <v>3</v>
      </c>
      <c r="F5" s="8" t="s">
        <v>4</v>
      </c>
      <c r="G5" s="10" t="s">
        <v>4</v>
      </c>
      <c r="H5" s="10" t="s">
        <v>5</v>
      </c>
      <c r="I5" s="11" t="s">
        <v>2</v>
      </c>
      <c r="J5" s="7" t="s">
        <v>3</v>
      </c>
      <c r="K5" s="8" t="s">
        <v>4</v>
      </c>
      <c r="L5" s="76" t="s">
        <v>4</v>
      </c>
      <c r="M5" s="8" t="s">
        <v>5</v>
      </c>
    </row>
    <row r="6" spans="1:13" ht="12" customHeight="1" thickBot="1">
      <c r="A6" s="1315"/>
      <c r="B6" s="1061"/>
      <c r="C6" s="1061"/>
      <c r="D6" s="14" t="s">
        <v>6</v>
      </c>
      <c r="E6" s="12" t="s">
        <v>6</v>
      </c>
      <c r="F6" s="13"/>
      <c r="G6" s="15" t="s">
        <v>7</v>
      </c>
      <c r="H6" s="16" t="s">
        <v>8</v>
      </c>
      <c r="I6" s="17" t="s">
        <v>6</v>
      </c>
      <c r="J6" s="12" t="s">
        <v>6</v>
      </c>
      <c r="K6" s="13"/>
      <c r="L6" s="77" t="s">
        <v>7</v>
      </c>
      <c r="M6" s="13" t="s">
        <v>8</v>
      </c>
    </row>
    <row r="7" spans="1:13" s="140" customFormat="1" ht="15.75" customHeight="1">
      <c r="A7" s="144" t="s">
        <v>9</v>
      </c>
      <c r="B7" s="256"/>
      <c r="C7" s="146"/>
      <c r="D7" s="147"/>
      <c r="E7" s="145"/>
      <c r="F7" s="146"/>
      <c r="G7" s="91">
        <v>0</v>
      </c>
      <c r="H7" s="98">
        <v>0</v>
      </c>
      <c r="I7" s="928">
        <v>0</v>
      </c>
      <c r="J7" s="145">
        <v>0</v>
      </c>
      <c r="K7" s="929">
        <v>0</v>
      </c>
      <c r="L7" s="127">
        <v>0</v>
      </c>
      <c r="M7" s="134">
        <v>0</v>
      </c>
    </row>
    <row r="8" spans="1:13" s="140" customFormat="1" ht="15.75" customHeight="1">
      <c r="A8" s="148" t="s">
        <v>10</v>
      </c>
      <c r="B8" s="257">
        <v>486897</v>
      </c>
      <c r="C8" s="150">
        <v>540192.48</v>
      </c>
      <c r="D8" s="151">
        <v>611394</v>
      </c>
      <c r="E8" s="149">
        <v>892</v>
      </c>
      <c r="F8" s="150">
        <v>612286</v>
      </c>
      <c r="G8" s="92">
        <v>72093.52</v>
      </c>
      <c r="H8" s="93">
        <v>1.1334589478180075</v>
      </c>
      <c r="I8" s="930">
        <v>619746</v>
      </c>
      <c r="J8" s="149">
        <v>904</v>
      </c>
      <c r="K8" s="150">
        <f>SUM(I8:J8)</f>
        <v>620650</v>
      </c>
      <c r="L8" s="128">
        <v>2764</v>
      </c>
      <c r="M8" s="129">
        <v>1.0045142302780072</v>
      </c>
    </row>
    <row r="9" spans="1:13" s="140" customFormat="1" ht="15.75" customHeight="1">
      <c r="A9" s="148" t="s">
        <v>11</v>
      </c>
      <c r="B9" s="257">
        <v>76403</v>
      </c>
      <c r="C9" s="150">
        <v>86508.1</v>
      </c>
      <c r="D9" s="151">
        <v>0</v>
      </c>
      <c r="E9" s="149">
        <v>99498</v>
      </c>
      <c r="F9" s="150">
        <v>99498</v>
      </c>
      <c r="G9" s="92">
        <v>12989.9</v>
      </c>
      <c r="H9" s="93">
        <v>1.1501581932790108</v>
      </c>
      <c r="I9" s="930">
        <v>0</v>
      </c>
      <c r="J9" s="149">
        <v>99766</v>
      </c>
      <c r="K9" s="150">
        <f aca="true" t="shared" si="0" ref="K9:K15">SUM(I9:J9)</f>
        <v>99766</v>
      </c>
      <c r="L9" s="128">
        <v>268</v>
      </c>
      <c r="M9" s="129">
        <v>1.0026935214778185</v>
      </c>
    </row>
    <row r="10" spans="1:13" s="140" customFormat="1" ht="15.75" customHeight="1">
      <c r="A10" s="148" t="s">
        <v>12</v>
      </c>
      <c r="B10" s="257">
        <v>4082</v>
      </c>
      <c r="C10" s="150">
        <v>8095.41</v>
      </c>
      <c r="D10" s="151">
        <v>7890</v>
      </c>
      <c r="E10" s="149">
        <v>10</v>
      </c>
      <c r="F10" s="150">
        <v>7900</v>
      </c>
      <c r="G10" s="92">
        <v>-195.41</v>
      </c>
      <c r="H10" s="93">
        <v>0.9758616302324403</v>
      </c>
      <c r="I10" s="930">
        <v>8089.7468354430375</v>
      </c>
      <c r="J10" s="149">
        <v>10.253164556962025</v>
      </c>
      <c r="K10" s="150">
        <f t="shared" si="0"/>
        <v>8100</v>
      </c>
      <c r="L10" s="128">
        <v>200</v>
      </c>
      <c r="M10" s="129">
        <v>1.0253164556962024</v>
      </c>
    </row>
    <row r="11" spans="1:13" s="140" customFormat="1" ht="15.75" customHeight="1">
      <c r="A11" s="148" t="s">
        <v>13</v>
      </c>
      <c r="B11" s="257">
        <v>3905</v>
      </c>
      <c r="C11" s="150">
        <v>23538.34</v>
      </c>
      <c r="D11" s="151">
        <v>16862</v>
      </c>
      <c r="E11" s="149">
        <v>689</v>
      </c>
      <c r="F11" s="150">
        <v>17551</v>
      </c>
      <c r="G11" s="92">
        <v>-5987.34</v>
      </c>
      <c r="H11" s="93">
        <v>0.7456345689628072</v>
      </c>
      <c r="I11" s="930">
        <v>8214.35245854937</v>
      </c>
      <c r="J11" s="149">
        <v>335.6475414506296</v>
      </c>
      <c r="K11" s="150">
        <f t="shared" si="0"/>
        <v>8550</v>
      </c>
      <c r="L11" s="128">
        <v>-9001</v>
      </c>
      <c r="M11" s="129">
        <v>0.4871517292461968</v>
      </c>
    </row>
    <row r="12" spans="1:13" s="140" customFormat="1" ht="15.75" customHeight="1">
      <c r="A12" s="148" t="s">
        <v>14</v>
      </c>
      <c r="B12" s="257">
        <v>1690</v>
      </c>
      <c r="C12" s="150">
        <v>1665.61</v>
      </c>
      <c r="D12" s="151">
        <v>7747</v>
      </c>
      <c r="E12" s="149">
        <v>0</v>
      </c>
      <c r="F12" s="150">
        <v>7747</v>
      </c>
      <c r="G12" s="92">
        <v>6081.39</v>
      </c>
      <c r="H12" s="93">
        <v>4.6511488283571785</v>
      </c>
      <c r="I12" s="930">
        <v>6000</v>
      </c>
      <c r="J12" s="149">
        <v>0</v>
      </c>
      <c r="K12" s="150">
        <f t="shared" si="0"/>
        <v>6000</v>
      </c>
      <c r="L12" s="128">
        <v>-1747</v>
      </c>
      <c r="M12" s="129">
        <v>0.7744933522653931</v>
      </c>
    </row>
    <row r="13" spans="1:13" s="140" customFormat="1" ht="15.75" customHeight="1">
      <c r="A13" s="148" t="s">
        <v>15</v>
      </c>
      <c r="B13" s="257">
        <v>5176</v>
      </c>
      <c r="C13" s="150">
        <v>10050.76</v>
      </c>
      <c r="D13" s="151">
        <v>9224</v>
      </c>
      <c r="E13" s="149">
        <v>0</v>
      </c>
      <c r="F13" s="150">
        <v>9224</v>
      </c>
      <c r="G13" s="92">
        <v>-826.76</v>
      </c>
      <c r="H13" s="93">
        <v>0.9177415439230466</v>
      </c>
      <c r="I13" s="930">
        <v>9570</v>
      </c>
      <c r="J13" s="149">
        <v>0</v>
      </c>
      <c r="K13" s="150">
        <f t="shared" si="0"/>
        <v>9570</v>
      </c>
      <c r="L13" s="128">
        <v>346</v>
      </c>
      <c r="M13" s="129">
        <v>1.037510841283608</v>
      </c>
    </row>
    <row r="14" spans="1:13" s="140" customFormat="1" ht="21.75" customHeight="1">
      <c r="A14" s="148" t="s">
        <v>16</v>
      </c>
      <c r="B14" s="257">
        <v>0</v>
      </c>
      <c r="C14" s="150">
        <v>0</v>
      </c>
      <c r="D14" s="151">
        <v>51</v>
      </c>
      <c r="E14" s="149">
        <v>0</v>
      </c>
      <c r="F14" s="150">
        <v>51</v>
      </c>
      <c r="G14" s="92">
        <v>51</v>
      </c>
      <c r="H14" s="93">
        <v>0</v>
      </c>
      <c r="I14" s="930">
        <v>0</v>
      </c>
      <c r="J14" s="149">
        <v>0</v>
      </c>
      <c r="K14" s="150">
        <f t="shared" si="0"/>
        <v>0</v>
      </c>
      <c r="L14" s="128">
        <v>-51</v>
      </c>
      <c r="M14" s="129">
        <v>0</v>
      </c>
    </row>
    <row r="15" spans="1:13" s="140" customFormat="1" ht="15.75" customHeight="1" thickBot="1">
      <c r="A15" s="152" t="s">
        <v>17</v>
      </c>
      <c r="B15" s="258">
        <v>10549</v>
      </c>
      <c r="C15" s="154">
        <v>29327.8</v>
      </c>
      <c r="D15" s="155">
        <v>58134</v>
      </c>
      <c r="E15" s="153">
        <v>0</v>
      </c>
      <c r="F15" s="154">
        <v>58134</v>
      </c>
      <c r="G15" s="94">
        <v>28806.2</v>
      </c>
      <c r="H15" s="95">
        <v>1.9822148268877993</v>
      </c>
      <c r="I15" s="930">
        <f>47355.2985-50+82.911</f>
        <v>47388.2095</v>
      </c>
      <c r="J15" s="149">
        <v>0</v>
      </c>
      <c r="K15" s="150">
        <f t="shared" si="0"/>
        <v>47388.2095</v>
      </c>
      <c r="L15" s="130">
        <v>-10778.701500000003</v>
      </c>
      <c r="M15" s="131">
        <v>0.8145886830426257</v>
      </c>
    </row>
    <row r="16" spans="1:13" s="275" customFormat="1" ht="12.75" customHeight="1" thickBot="1">
      <c r="A16" s="19" t="s">
        <v>18</v>
      </c>
      <c r="B16" s="259">
        <v>587012</v>
      </c>
      <c r="C16" s="21">
        <v>697712.89</v>
      </c>
      <c r="D16" s="65">
        <v>703504</v>
      </c>
      <c r="E16" s="21">
        <v>101089</v>
      </c>
      <c r="F16" s="21">
        <v>804593</v>
      </c>
      <c r="G16" s="96">
        <v>106880.11</v>
      </c>
      <c r="H16" s="97">
        <v>1.1531863772790552</v>
      </c>
      <c r="I16" s="65">
        <f>+I8+I10+I11+I13+I15+I9</f>
        <v>693008.3087939924</v>
      </c>
      <c r="J16" s="40">
        <f>+J8+J10+J11+J13+J15+J9</f>
        <v>101015.9007060076</v>
      </c>
      <c r="K16" s="65">
        <f>+K8+K10+K11+K13+K15+K9</f>
        <v>794024.2095</v>
      </c>
      <c r="L16" s="132">
        <v>-16201.701499999966</v>
      </c>
      <c r="M16" s="133">
        <v>0.9798634819094872</v>
      </c>
    </row>
    <row r="17" spans="1:13" s="140" customFormat="1" ht="15.75" customHeight="1">
      <c r="A17" s="144" t="s">
        <v>19</v>
      </c>
      <c r="B17" s="256">
        <v>201137</v>
      </c>
      <c r="C17" s="146">
        <v>171150.8</v>
      </c>
      <c r="D17" s="156">
        <v>179913</v>
      </c>
      <c r="E17" s="157">
        <v>278</v>
      </c>
      <c r="F17" s="146">
        <v>180191</v>
      </c>
      <c r="G17" s="91">
        <v>9040.199999999983</v>
      </c>
      <c r="H17" s="98">
        <v>1.0528200861462522</v>
      </c>
      <c r="I17" s="930">
        <v>169038.80271489697</v>
      </c>
      <c r="J17" s="149">
        <v>261.19728510302957</v>
      </c>
      <c r="K17" s="146">
        <v>169300</v>
      </c>
      <c r="L17" s="127">
        <f>+K17-F17</f>
        <v>-10891</v>
      </c>
      <c r="M17" s="134">
        <f>+K17/F17</f>
        <v>0.9395585795073006</v>
      </c>
    </row>
    <row r="18" spans="1:13" s="140" customFormat="1" ht="22.5" customHeight="1">
      <c r="A18" s="148" t="s">
        <v>20</v>
      </c>
      <c r="B18" s="257">
        <v>35281</v>
      </c>
      <c r="C18" s="150">
        <v>-1046</v>
      </c>
      <c r="D18" s="158">
        <v>1852</v>
      </c>
      <c r="E18" s="145">
        <v>5</v>
      </c>
      <c r="F18" s="150">
        <v>1857</v>
      </c>
      <c r="G18" s="92">
        <v>2903</v>
      </c>
      <c r="H18" s="93">
        <v>0</v>
      </c>
      <c r="I18" s="930">
        <v>947.4421109316103</v>
      </c>
      <c r="J18" s="149">
        <v>2.5578890683898763</v>
      </c>
      <c r="K18" s="146">
        <v>950</v>
      </c>
      <c r="L18" s="127">
        <f aca="true" t="shared" si="1" ref="L18:L33">+K18-F18</f>
        <v>-907</v>
      </c>
      <c r="M18" s="134">
        <f aca="true" t="shared" si="2" ref="M18:M34">+K18/F18</f>
        <v>0.5115778136779753</v>
      </c>
    </row>
    <row r="19" spans="1:13" s="140" customFormat="1" ht="15.75" customHeight="1">
      <c r="A19" s="148" t="s">
        <v>21</v>
      </c>
      <c r="B19" s="257">
        <v>29937</v>
      </c>
      <c r="C19" s="150">
        <v>27092.08</v>
      </c>
      <c r="D19" s="159">
        <v>29971</v>
      </c>
      <c r="E19" s="149">
        <v>600</v>
      </c>
      <c r="F19" s="150">
        <v>30570</v>
      </c>
      <c r="G19" s="92">
        <v>3477.92</v>
      </c>
      <c r="H19" s="93">
        <v>1.1283740487995015</v>
      </c>
      <c r="I19" s="930">
        <v>31863.182859012108</v>
      </c>
      <c r="J19" s="149">
        <v>637.8802747791954</v>
      </c>
      <c r="K19" s="146">
        <v>32500</v>
      </c>
      <c r="L19" s="127">
        <f t="shared" si="1"/>
        <v>1930</v>
      </c>
      <c r="M19" s="134">
        <f t="shared" si="2"/>
        <v>1.063133791298659</v>
      </c>
    </row>
    <row r="20" spans="1:13" s="140" customFormat="1" ht="21" customHeight="1">
      <c r="A20" s="148" t="s">
        <v>22</v>
      </c>
      <c r="B20" s="257">
        <v>408</v>
      </c>
      <c r="C20" s="150">
        <v>361.91</v>
      </c>
      <c r="D20" s="151">
        <v>346</v>
      </c>
      <c r="E20" s="149">
        <v>0</v>
      </c>
      <c r="F20" s="150">
        <v>346</v>
      </c>
      <c r="G20" s="92">
        <v>-15.91</v>
      </c>
      <c r="H20" s="93">
        <v>0.9560387941753474</v>
      </c>
      <c r="I20" s="930">
        <v>350</v>
      </c>
      <c r="J20" s="149">
        <v>0</v>
      </c>
      <c r="K20" s="146">
        <v>350</v>
      </c>
      <c r="L20" s="127">
        <f t="shared" si="1"/>
        <v>4</v>
      </c>
      <c r="M20" s="134">
        <f t="shared" si="2"/>
        <v>1.0115606936416186</v>
      </c>
    </row>
    <row r="21" spans="1:13" s="140" customFormat="1" ht="15.75" customHeight="1">
      <c r="A21" s="148" t="s">
        <v>23</v>
      </c>
      <c r="B21" s="257">
        <v>62142</v>
      </c>
      <c r="C21" s="150">
        <v>71176.06</v>
      </c>
      <c r="D21" s="151">
        <v>0</v>
      </c>
      <c r="E21" s="149">
        <v>82847</v>
      </c>
      <c r="F21" s="150">
        <v>82847</v>
      </c>
      <c r="G21" s="92">
        <v>11670.94</v>
      </c>
      <c r="H21" s="93">
        <v>1.1639728301903758</v>
      </c>
      <c r="I21" s="930">
        <v>0</v>
      </c>
      <c r="J21" s="149">
        <v>80522</v>
      </c>
      <c r="K21" s="146">
        <v>80522</v>
      </c>
      <c r="L21" s="127">
        <f t="shared" si="1"/>
        <v>-2325</v>
      </c>
      <c r="M21" s="134">
        <f t="shared" si="2"/>
        <v>0.9719362197786281</v>
      </c>
    </row>
    <row r="22" spans="1:13" s="140" customFormat="1" ht="15.75" customHeight="1">
      <c r="A22" s="148" t="s">
        <v>24</v>
      </c>
      <c r="B22" s="257">
        <v>66931</v>
      </c>
      <c r="C22" s="150">
        <v>95142.77</v>
      </c>
      <c r="D22" s="151">
        <v>116350</v>
      </c>
      <c r="E22" s="149">
        <v>179</v>
      </c>
      <c r="F22" s="150">
        <v>116529</v>
      </c>
      <c r="G22" s="92">
        <v>21386.23</v>
      </c>
      <c r="H22" s="93">
        <v>1.2247804010751422</v>
      </c>
      <c r="I22" s="930">
        <v>125825.5821812596</v>
      </c>
      <c r="J22" s="149">
        <v>193.57781874039938</v>
      </c>
      <c r="K22" s="146">
        <v>126019.16</v>
      </c>
      <c r="L22" s="127">
        <f t="shared" si="1"/>
        <v>9490.160000000003</v>
      </c>
      <c r="M22" s="134">
        <f t="shared" si="2"/>
        <v>1.0814403281586558</v>
      </c>
    </row>
    <row r="23" spans="1:13" s="140" customFormat="1" ht="26.25" customHeight="1">
      <c r="A23" s="148" t="s">
        <v>25</v>
      </c>
      <c r="B23" s="257">
        <v>8967</v>
      </c>
      <c r="C23" s="150">
        <v>15050.7</v>
      </c>
      <c r="D23" s="151">
        <v>15098</v>
      </c>
      <c r="E23" s="149">
        <v>20</v>
      </c>
      <c r="F23" s="150">
        <v>15118</v>
      </c>
      <c r="G23" s="92">
        <v>67.30000000000109</v>
      </c>
      <c r="H23" s="93">
        <v>1.0044715528181414</v>
      </c>
      <c r="I23" s="930">
        <v>13981.479031617939</v>
      </c>
      <c r="J23" s="149">
        <v>18.520968382061117</v>
      </c>
      <c r="K23" s="146">
        <v>14000</v>
      </c>
      <c r="L23" s="127">
        <f t="shared" si="1"/>
        <v>-1118</v>
      </c>
      <c r="M23" s="134">
        <f t="shared" si="2"/>
        <v>0.9260484191030559</v>
      </c>
    </row>
    <row r="24" spans="1:13" s="140" customFormat="1" ht="15.75" customHeight="1">
      <c r="A24" s="148" t="s">
        <v>26</v>
      </c>
      <c r="B24" s="257">
        <v>56796</v>
      </c>
      <c r="C24" s="150">
        <v>79403.28</v>
      </c>
      <c r="D24" s="151">
        <v>100618</v>
      </c>
      <c r="E24" s="149">
        <v>157</v>
      </c>
      <c r="F24" s="150">
        <v>100775</v>
      </c>
      <c r="G24" s="92">
        <v>21371.72</v>
      </c>
      <c r="H24" s="93">
        <v>1.2691541205854469</v>
      </c>
      <c r="I24" s="930">
        <v>111125.76413674027</v>
      </c>
      <c r="J24" s="149">
        <v>173.39586325973704</v>
      </c>
      <c r="K24" s="146">
        <v>111299.16</v>
      </c>
      <c r="L24" s="127">
        <f t="shared" si="1"/>
        <v>10524.160000000003</v>
      </c>
      <c r="M24" s="134">
        <f t="shared" si="2"/>
        <v>1.1044322500620194</v>
      </c>
    </row>
    <row r="25" spans="1:13" s="140" customFormat="1" ht="15.75" customHeight="1">
      <c r="A25" s="160" t="s">
        <v>27</v>
      </c>
      <c r="B25" s="257">
        <v>357514</v>
      </c>
      <c r="C25" s="150">
        <v>316162.78</v>
      </c>
      <c r="D25" s="159">
        <v>340333</v>
      </c>
      <c r="E25" s="149">
        <v>4260</v>
      </c>
      <c r="F25" s="150">
        <v>344593</v>
      </c>
      <c r="G25" s="92">
        <v>28430.22000000009</v>
      </c>
      <c r="H25" s="93">
        <v>1.0899227290448297</v>
      </c>
      <c r="I25" s="930">
        <v>387856.0220938179</v>
      </c>
      <c r="J25" s="149">
        <v>4854.8529061820755</v>
      </c>
      <c r="K25" s="146">
        <v>392710.875</v>
      </c>
      <c r="L25" s="127">
        <f t="shared" si="1"/>
        <v>48117.875</v>
      </c>
      <c r="M25" s="134">
        <f t="shared" si="2"/>
        <v>1.139636832437107</v>
      </c>
    </row>
    <row r="26" spans="1:13" s="140" customFormat="1" ht="15.75" customHeight="1">
      <c r="A26" s="148" t="s">
        <v>28</v>
      </c>
      <c r="B26" s="257">
        <v>261428</v>
      </c>
      <c r="C26" s="150">
        <v>230829.78</v>
      </c>
      <c r="D26" s="159">
        <v>248500</v>
      </c>
      <c r="E26" s="149">
        <v>3115</v>
      </c>
      <c r="F26" s="150">
        <v>251615</v>
      </c>
      <c r="G26" s="92">
        <v>20785.22</v>
      </c>
      <c r="H26" s="93">
        <v>1.0900456604862683</v>
      </c>
      <c r="I26" s="930">
        <v>283164.47350118234</v>
      </c>
      <c r="J26" s="149">
        <v>3549.526498817638</v>
      </c>
      <c r="K26" s="146">
        <v>286714</v>
      </c>
      <c r="L26" s="127">
        <f t="shared" si="1"/>
        <v>35099</v>
      </c>
      <c r="M26" s="134">
        <f t="shared" si="2"/>
        <v>1.1394948631838324</v>
      </c>
    </row>
    <row r="27" spans="1:13" s="140" customFormat="1" ht="15.75" customHeight="1">
      <c r="A27" s="160" t="s">
        <v>29</v>
      </c>
      <c r="B27" s="257">
        <v>256077</v>
      </c>
      <c r="C27" s="150">
        <v>0</v>
      </c>
      <c r="D27" s="159">
        <v>244331</v>
      </c>
      <c r="E27" s="149">
        <v>3089</v>
      </c>
      <c r="F27" s="150">
        <v>247420</v>
      </c>
      <c r="G27" s="92">
        <v>247420</v>
      </c>
      <c r="H27" s="93">
        <v>0</v>
      </c>
      <c r="I27" s="930">
        <v>279006.60720232804</v>
      </c>
      <c r="J27" s="149">
        <v>3527.3927976719747</v>
      </c>
      <c r="K27" s="146">
        <v>282534</v>
      </c>
      <c r="L27" s="127">
        <f t="shared" si="1"/>
        <v>35114</v>
      </c>
      <c r="M27" s="134">
        <f t="shared" si="2"/>
        <v>1.1419206208067254</v>
      </c>
    </row>
    <row r="28" spans="1:13" s="140" customFormat="1" ht="15.75" customHeight="1">
      <c r="A28" s="148" t="s">
        <v>30</v>
      </c>
      <c r="B28" s="257">
        <v>5272</v>
      </c>
      <c r="C28" s="150">
        <v>0</v>
      </c>
      <c r="D28" s="159">
        <v>4169</v>
      </c>
      <c r="E28" s="149">
        <v>26</v>
      </c>
      <c r="F28" s="150">
        <v>4195</v>
      </c>
      <c r="G28" s="92">
        <v>4195</v>
      </c>
      <c r="H28" s="93">
        <v>0</v>
      </c>
      <c r="I28" s="930">
        <v>4154.092967818832</v>
      </c>
      <c r="J28" s="149">
        <v>25.907032181168056</v>
      </c>
      <c r="K28" s="146">
        <v>4180</v>
      </c>
      <c r="L28" s="127">
        <f t="shared" si="1"/>
        <v>-15</v>
      </c>
      <c r="M28" s="134">
        <f t="shared" si="2"/>
        <v>0.9964243146603099</v>
      </c>
    </row>
    <row r="29" spans="1:13" s="140" customFormat="1" ht="15.75" customHeight="1">
      <c r="A29" s="148" t="s">
        <v>31</v>
      </c>
      <c r="B29" s="257">
        <v>96084</v>
      </c>
      <c r="C29" s="150">
        <v>85333</v>
      </c>
      <c r="D29" s="159">
        <v>91833</v>
      </c>
      <c r="E29" s="149">
        <v>1145</v>
      </c>
      <c r="F29" s="150">
        <v>92978</v>
      </c>
      <c r="G29" s="92">
        <v>7645</v>
      </c>
      <c r="H29" s="93">
        <v>1.089590193711694</v>
      </c>
      <c r="I29" s="930">
        <v>104692</v>
      </c>
      <c r="J29" s="149">
        <v>1305.3240753188927</v>
      </c>
      <c r="K29" s="146">
        <v>105996.875</v>
      </c>
      <c r="L29" s="127">
        <f t="shared" si="1"/>
        <v>13018.875</v>
      </c>
      <c r="M29" s="134">
        <f t="shared" si="2"/>
        <v>1.1400210264793822</v>
      </c>
    </row>
    <row r="30" spans="1:13" s="140" customFormat="1" ht="15.75" customHeight="1">
      <c r="A30" s="160" t="s">
        <v>32</v>
      </c>
      <c r="B30" s="257">
        <v>0</v>
      </c>
      <c r="C30" s="150">
        <v>0</v>
      </c>
      <c r="D30" s="151">
        <v>0</v>
      </c>
      <c r="E30" s="149">
        <v>0</v>
      </c>
      <c r="F30" s="150">
        <v>0</v>
      </c>
      <c r="G30" s="92">
        <v>0</v>
      </c>
      <c r="H30" s="93">
        <v>0</v>
      </c>
      <c r="I30" s="930">
        <v>0</v>
      </c>
      <c r="J30" s="149">
        <v>0</v>
      </c>
      <c r="K30" s="146">
        <v>0</v>
      </c>
      <c r="L30" s="127">
        <f t="shared" si="1"/>
        <v>0</v>
      </c>
      <c r="M30" s="134"/>
    </row>
    <row r="31" spans="1:13" s="140" customFormat="1" ht="15.75" customHeight="1">
      <c r="A31" s="160" t="s">
        <v>33</v>
      </c>
      <c r="B31" s="257">
        <v>6027</v>
      </c>
      <c r="C31" s="150">
        <v>9096.4</v>
      </c>
      <c r="D31" s="151">
        <v>8536</v>
      </c>
      <c r="E31" s="149">
        <v>1180</v>
      </c>
      <c r="F31" s="150">
        <v>9716</v>
      </c>
      <c r="G31" s="92">
        <v>619.6000000000022</v>
      </c>
      <c r="H31" s="93">
        <v>1.0681148586253906</v>
      </c>
      <c r="I31" s="930">
        <v>3399.991766158913</v>
      </c>
      <c r="J31" s="149">
        <v>470.00823384108685</v>
      </c>
      <c r="K31" s="146">
        <v>3870</v>
      </c>
      <c r="L31" s="127">
        <f t="shared" si="1"/>
        <v>-5846</v>
      </c>
      <c r="M31" s="134">
        <f t="shared" si="2"/>
        <v>0.39831206257719226</v>
      </c>
    </row>
    <row r="32" spans="1:13" s="140" customFormat="1" ht="15.75" customHeight="1">
      <c r="A32" s="148" t="s">
        <v>34</v>
      </c>
      <c r="B32" s="257">
        <v>6190</v>
      </c>
      <c r="C32" s="150">
        <v>12120.13</v>
      </c>
      <c r="D32" s="151">
        <v>10835</v>
      </c>
      <c r="E32" s="149">
        <v>5</v>
      </c>
      <c r="F32" s="150">
        <v>10840</v>
      </c>
      <c r="G32" s="92">
        <v>-1280.13</v>
      </c>
      <c r="H32" s="93">
        <v>0.8943798457607304</v>
      </c>
      <c r="I32" s="930">
        <v>11614.640221402215</v>
      </c>
      <c r="J32" s="149">
        <v>5.3597785977859775</v>
      </c>
      <c r="K32" s="146">
        <v>11620</v>
      </c>
      <c r="L32" s="127">
        <f t="shared" si="1"/>
        <v>780</v>
      </c>
      <c r="M32" s="134">
        <f t="shared" si="2"/>
        <v>1.0719557195571956</v>
      </c>
    </row>
    <row r="33" spans="1:13" s="140" customFormat="1" ht="25.5" customHeight="1">
      <c r="A33" s="148" t="s">
        <v>35</v>
      </c>
      <c r="B33" s="257">
        <v>1010</v>
      </c>
      <c r="C33" s="150">
        <v>2135.3</v>
      </c>
      <c r="D33" s="151">
        <v>1758</v>
      </c>
      <c r="E33" s="149">
        <v>0</v>
      </c>
      <c r="F33" s="150">
        <v>1758</v>
      </c>
      <c r="G33" s="92">
        <v>-377.3</v>
      </c>
      <c r="H33" s="93">
        <v>0.8233035170702009</v>
      </c>
      <c r="I33" s="930">
        <v>2200</v>
      </c>
      <c r="J33" s="149">
        <v>0</v>
      </c>
      <c r="K33" s="146">
        <v>2200</v>
      </c>
      <c r="L33" s="127">
        <f t="shared" si="1"/>
        <v>442</v>
      </c>
      <c r="M33" s="134">
        <f t="shared" si="2"/>
        <v>1.2514220705346986</v>
      </c>
    </row>
    <row r="34" spans="1:13" s="140" customFormat="1" ht="15.75" customHeight="1" thickBot="1">
      <c r="A34" s="161" t="s">
        <v>36</v>
      </c>
      <c r="B34" s="257">
        <v>0</v>
      </c>
      <c r="C34" s="150">
        <v>0</v>
      </c>
      <c r="D34" s="162">
        <v>2972</v>
      </c>
      <c r="E34" s="153">
        <v>0</v>
      </c>
      <c r="F34" s="150">
        <v>2972</v>
      </c>
      <c r="G34" s="94">
        <v>2972</v>
      </c>
      <c r="H34" s="95">
        <v>0</v>
      </c>
      <c r="I34" s="930">
        <v>1206.14</v>
      </c>
      <c r="J34" s="149">
        <v>0</v>
      </c>
      <c r="K34" s="146">
        <v>1206.14</v>
      </c>
      <c r="L34" s="127">
        <f>+K34-F34</f>
        <v>-1765.86</v>
      </c>
      <c r="M34" s="134">
        <f t="shared" si="2"/>
        <v>0.40583445491251685</v>
      </c>
    </row>
    <row r="35" spans="1:13" s="140" customFormat="1" ht="15.75" customHeight="1" thickBot="1">
      <c r="A35" s="19" t="s">
        <v>37</v>
      </c>
      <c r="B35" s="259">
        <v>730286</v>
      </c>
      <c r="C35" s="259">
        <v>702302.93</v>
      </c>
      <c r="D35" s="39">
        <v>689256</v>
      </c>
      <c r="E35" s="21">
        <v>89349</v>
      </c>
      <c r="F35" s="21">
        <v>778604</v>
      </c>
      <c r="G35" s="96">
        <v>76301.07000000007</v>
      </c>
      <c r="H35" s="97">
        <v>1.1086441003457013</v>
      </c>
      <c r="I35" s="65">
        <v>731154.3618365477</v>
      </c>
      <c r="J35" s="21">
        <v>86944.87629724357</v>
      </c>
      <c r="K35" s="21">
        <v>818098.175</v>
      </c>
      <c r="L35" s="132">
        <v>39494.17500000005</v>
      </c>
      <c r="M35" s="133">
        <v>1.0507243412569163</v>
      </c>
    </row>
    <row r="36" spans="1:13" s="140" customFormat="1" ht="18.75" customHeight="1" thickBot="1">
      <c r="A36" s="19" t="s">
        <v>38</v>
      </c>
      <c r="B36" s="260">
        <v>-143274</v>
      </c>
      <c r="C36" s="234">
        <v>-4590.039999999921</v>
      </c>
      <c r="D36" s="1069">
        <v>25989</v>
      </c>
      <c r="E36" s="1290"/>
      <c r="F36" s="1291"/>
      <c r="G36" s="99"/>
      <c r="H36" s="100"/>
      <c r="I36" s="1069">
        <f>+K16-K35</f>
        <v>-24073.96550000005</v>
      </c>
      <c r="J36" s="1288"/>
      <c r="K36" s="1289"/>
      <c r="L36" s="135">
        <v>0</v>
      </c>
      <c r="M36" s="136"/>
    </row>
    <row r="37" spans="1:13" s="140" customFormat="1" ht="22.5" customHeight="1" thickBot="1">
      <c r="A37" s="19" t="s">
        <v>39</v>
      </c>
      <c r="B37" s="260">
        <v>-104522.55</v>
      </c>
      <c r="C37" s="234">
        <v>-224395</v>
      </c>
      <c r="D37" s="1069">
        <v>-119330</v>
      </c>
      <c r="E37" s="1290"/>
      <c r="F37" s="1291"/>
      <c r="G37" s="141"/>
      <c r="I37" s="1318" t="s">
        <v>150</v>
      </c>
      <c r="J37" s="1319"/>
      <c r="K37" s="1319"/>
      <c r="L37" s="1319"/>
      <c r="M37" s="1319"/>
    </row>
    <row r="38" spans="1:13" ht="21" customHeight="1" thickBot="1">
      <c r="A38" s="26" t="s">
        <v>40</v>
      </c>
      <c r="B38" s="260">
        <v>-247796.55</v>
      </c>
      <c r="C38" s="234">
        <v>-228985.04</v>
      </c>
      <c r="D38" s="1069">
        <f>+D36+D37</f>
        <v>-93341</v>
      </c>
      <c r="E38" s="1070"/>
      <c r="F38" s="1071"/>
      <c r="G38" s="141"/>
      <c r="H38" s="138"/>
      <c r="I38" s="1320"/>
      <c r="J38" s="1320"/>
      <c r="K38" s="1320"/>
      <c r="L38" s="1320"/>
      <c r="M38" s="1320"/>
    </row>
    <row r="39" spans="1:13" ht="3" customHeight="1">
      <c r="A39" s="138"/>
      <c r="B39" s="138"/>
      <c r="C39" s="138"/>
      <c r="D39" s="138"/>
      <c r="E39" s="138"/>
      <c r="F39" s="138"/>
      <c r="G39" s="138"/>
      <c r="H39" s="138"/>
      <c r="I39" s="138"/>
      <c r="J39" s="138"/>
      <c r="K39" s="138"/>
      <c r="L39" s="138"/>
      <c r="M39" s="138"/>
    </row>
    <row r="40" ht="7.5" customHeight="1" thickBot="1">
      <c r="A40" s="140"/>
    </row>
    <row r="41" spans="1:12" ht="17.25" customHeight="1" thickBot="1">
      <c r="A41" s="1116" t="s">
        <v>171</v>
      </c>
      <c r="B41" s="1316"/>
      <c r="C41" s="1316"/>
      <c r="D41" s="1316"/>
      <c r="E41" s="1316"/>
      <c r="F41" s="1316"/>
      <c r="G41" s="1316"/>
      <c r="H41" s="1316"/>
      <c r="I41" s="1316"/>
      <c r="J41" s="1316"/>
      <c r="K41" s="1317"/>
      <c r="L41" s="163"/>
    </row>
    <row r="42" spans="1:11" s="166" customFormat="1" ht="17.25" customHeight="1">
      <c r="A42" s="1321" t="s">
        <v>42</v>
      </c>
      <c r="B42" s="1322" t="s">
        <v>157</v>
      </c>
      <c r="C42" s="1322"/>
      <c r="D42" s="1322"/>
      <c r="E42" s="1322"/>
      <c r="F42" s="1022"/>
      <c r="G42" s="1020" t="s">
        <v>158</v>
      </c>
      <c r="H42" s="1322"/>
      <c r="I42" s="1322"/>
      <c r="J42" s="1322"/>
      <c r="K42" s="1022"/>
    </row>
    <row r="43" spans="1:12" ht="18" customHeight="1" thickBot="1">
      <c r="A43" s="1082"/>
      <c r="B43" s="31">
        <v>2004</v>
      </c>
      <c r="C43" s="28">
        <v>2005</v>
      </c>
      <c r="D43" s="28">
        <v>2006</v>
      </c>
      <c r="E43" s="29" t="s">
        <v>7</v>
      </c>
      <c r="F43" s="30" t="s">
        <v>48</v>
      </c>
      <c r="G43" s="31">
        <v>2004</v>
      </c>
      <c r="H43" s="28">
        <v>2005</v>
      </c>
      <c r="I43" s="28">
        <v>2006</v>
      </c>
      <c r="J43" s="29" t="s">
        <v>7</v>
      </c>
      <c r="K43" s="30" t="s">
        <v>48</v>
      </c>
      <c r="L43" s="163"/>
    </row>
    <row r="44" spans="1:14" s="166" customFormat="1" ht="22.5" customHeight="1">
      <c r="A44" s="261" t="s">
        <v>151</v>
      </c>
      <c r="B44" s="66">
        <v>1374000</v>
      </c>
      <c r="C44" s="32">
        <v>1418760</v>
      </c>
      <c r="D44" s="32">
        <v>1274000</v>
      </c>
      <c r="E44" s="24">
        <f>+D44-C44</f>
        <v>-144760</v>
      </c>
      <c r="F44" s="33">
        <f>+D44/C44</f>
        <v>0.8979672389974344</v>
      </c>
      <c r="G44" s="34"/>
      <c r="H44" s="35"/>
      <c r="I44" s="32"/>
      <c r="J44" s="24">
        <v>0</v>
      </c>
      <c r="K44" s="33"/>
      <c r="N44"/>
    </row>
    <row r="45" spans="1:14" s="166" customFormat="1" ht="22.5" customHeight="1">
      <c r="A45" s="262" t="s">
        <v>152</v>
      </c>
      <c r="B45" s="34">
        <v>14845000</v>
      </c>
      <c r="C45" s="32">
        <v>15497400</v>
      </c>
      <c r="D45" s="32">
        <v>39000000</v>
      </c>
      <c r="E45" s="36">
        <f>+D45-C45</f>
        <v>23502600</v>
      </c>
      <c r="F45" s="33">
        <f aca="true" t="shared" si="3" ref="F45:F51">+D45/C45</f>
        <v>2.516551163420961</v>
      </c>
      <c r="G45" s="34">
        <v>20055000</v>
      </c>
      <c r="H45" s="35">
        <v>31702600</v>
      </c>
      <c r="I45" s="35">
        <v>13800000</v>
      </c>
      <c r="J45" s="36">
        <f>+I45-H45</f>
        <v>-17902600</v>
      </c>
      <c r="K45" s="37">
        <f>+I45/H45</f>
        <v>0.435295527811599</v>
      </c>
      <c r="L45" s="167"/>
      <c r="N45"/>
    </row>
    <row r="46" spans="1:19" s="166" customFormat="1" ht="22.5" customHeight="1">
      <c r="A46" s="262" t="s">
        <v>153</v>
      </c>
      <c r="B46" s="34">
        <v>1525570</v>
      </c>
      <c r="C46" s="32"/>
      <c r="D46" s="32">
        <v>865195.5</v>
      </c>
      <c r="E46" s="36">
        <f aca="true" t="shared" si="4" ref="E46:E52">+D46-C46</f>
        <v>865195.5</v>
      </c>
      <c r="F46" s="33"/>
      <c r="G46" s="34">
        <v>710000</v>
      </c>
      <c r="H46" s="35">
        <v>587015</v>
      </c>
      <c r="I46" s="35">
        <v>0</v>
      </c>
      <c r="J46" s="36">
        <f aca="true" t="shared" si="5" ref="J46:J52">+I46-H46</f>
        <v>-587015</v>
      </c>
      <c r="K46" s="37">
        <f aca="true" t="shared" si="6" ref="K46:K52">+I46/H46</f>
        <v>0</v>
      </c>
      <c r="N46"/>
      <c r="O46"/>
      <c r="P46"/>
      <c r="Q46"/>
      <c r="R46"/>
      <c r="S46"/>
    </row>
    <row r="47" spans="1:19" s="166" customFormat="1" ht="22.5" customHeight="1">
      <c r="A47" s="262" t="s">
        <v>154</v>
      </c>
      <c r="B47" s="34">
        <v>311233</v>
      </c>
      <c r="C47" s="32">
        <v>104361.5</v>
      </c>
      <c r="D47" s="32"/>
      <c r="E47" s="36">
        <f t="shared" si="4"/>
        <v>-104361.5</v>
      </c>
      <c r="F47" s="33">
        <f t="shared" si="3"/>
        <v>0</v>
      </c>
      <c r="G47" s="34"/>
      <c r="H47" s="35"/>
      <c r="I47" s="35"/>
      <c r="J47" s="36">
        <f t="shared" si="5"/>
        <v>0</v>
      </c>
      <c r="K47" s="37"/>
      <c r="L47" s="138"/>
      <c r="N47"/>
      <c r="O47"/>
      <c r="P47"/>
      <c r="Q47"/>
      <c r="R47"/>
      <c r="S47"/>
    </row>
    <row r="48" spans="1:19" s="166" customFormat="1" ht="22.5" customHeight="1">
      <c r="A48" s="263" t="s">
        <v>49</v>
      </c>
      <c r="B48" s="38">
        <v>10750000</v>
      </c>
      <c r="C48" s="32">
        <v>16761000</v>
      </c>
      <c r="D48" s="32"/>
      <c r="E48" s="36">
        <f t="shared" si="4"/>
        <v>-16761000</v>
      </c>
      <c r="F48" s="33">
        <f t="shared" si="3"/>
        <v>0</v>
      </c>
      <c r="G48" s="38">
        <v>8921000</v>
      </c>
      <c r="H48" s="80"/>
      <c r="I48" s="35"/>
      <c r="J48" s="36">
        <f t="shared" si="5"/>
        <v>0</v>
      </c>
      <c r="K48" s="37"/>
      <c r="L48" s="138"/>
      <c r="N48"/>
      <c r="O48"/>
      <c r="P48"/>
      <c r="Q48"/>
      <c r="R48"/>
      <c r="S48"/>
    </row>
    <row r="49" spans="1:19" s="166" customFormat="1" ht="22.5" customHeight="1">
      <c r="A49" s="264" t="s">
        <v>539</v>
      </c>
      <c r="B49" s="34">
        <v>522000</v>
      </c>
      <c r="C49" s="32">
        <v>1040381</v>
      </c>
      <c r="D49" s="32">
        <v>0</v>
      </c>
      <c r="E49" s="36">
        <f t="shared" si="4"/>
        <v>-1040381</v>
      </c>
      <c r="F49" s="33">
        <f t="shared" si="3"/>
        <v>0</v>
      </c>
      <c r="G49" s="34"/>
      <c r="H49" s="35">
        <v>893620</v>
      </c>
      <c r="I49" s="346"/>
      <c r="J49" s="36">
        <f t="shared" si="5"/>
        <v>-893620</v>
      </c>
      <c r="K49" s="37">
        <f t="shared" si="6"/>
        <v>0</v>
      </c>
      <c r="L49" s="168"/>
      <c r="N49"/>
      <c r="O49"/>
      <c r="P49"/>
      <c r="Q49"/>
      <c r="R49"/>
      <c r="S49"/>
    </row>
    <row r="50" spans="1:19" s="166" customFormat="1" ht="22.5" customHeight="1">
      <c r="A50" s="264" t="s">
        <v>205</v>
      </c>
      <c r="B50" s="34"/>
      <c r="C50" s="32">
        <v>17049000</v>
      </c>
      <c r="D50" s="32"/>
      <c r="E50" s="36">
        <f t="shared" si="4"/>
        <v>-17049000</v>
      </c>
      <c r="F50" s="33">
        <f t="shared" si="3"/>
        <v>0</v>
      </c>
      <c r="G50" s="34"/>
      <c r="H50" s="35">
        <v>500000</v>
      </c>
      <c r="I50" s="35"/>
      <c r="J50" s="36">
        <f t="shared" si="5"/>
        <v>-500000</v>
      </c>
      <c r="K50" s="37">
        <f t="shared" si="6"/>
        <v>0</v>
      </c>
      <c r="L50" s="168"/>
      <c r="N50"/>
      <c r="O50"/>
      <c r="P50"/>
      <c r="Q50"/>
      <c r="R50"/>
      <c r="S50"/>
    </row>
    <row r="51" spans="1:19" s="166" customFormat="1" ht="22.5" customHeight="1">
      <c r="A51" s="264" t="s">
        <v>538</v>
      </c>
      <c r="B51" s="34"/>
      <c r="C51" s="32">
        <v>93313</v>
      </c>
      <c r="D51" s="32"/>
      <c r="E51" s="36">
        <f t="shared" si="4"/>
        <v>-93313</v>
      </c>
      <c r="F51" s="33">
        <f t="shared" si="3"/>
        <v>0</v>
      </c>
      <c r="G51" s="34"/>
      <c r="H51" s="35"/>
      <c r="I51" s="35"/>
      <c r="J51" s="36">
        <f t="shared" si="5"/>
        <v>0</v>
      </c>
      <c r="K51" s="37"/>
      <c r="L51" s="168"/>
      <c r="N51"/>
      <c r="O51"/>
      <c r="P51"/>
      <c r="Q51"/>
      <c r="R51"/>
      <c r="S51"/>
    </row>
    <row r="52" spans="1:19" s="166" customFormat="1" ht="22.5" customHeight="1" thickBot="1">
      <c r="A52" s="264" t="s">
        <v>554</v>
      </c>
      <c r="B52" s="34"/>
      <c r="C52" s="32"/>
      <c r="D52" s="32">
        <v>82911</v>
      </c>
      <c r="E52" s="36">
        <f t="shared" si="4"/>
        <v>82911</v>
      </c>
      <c r="F52" s="33"/>
      <c r="G52" s="34"/>
      <c r="H52" s="35">
        <f>1564989+44589.5</f>
        <v>1609578.5</v>
      </c>
      <c r="I52" s="35"/>
      <c r="J52" s="36">
        <f t="shared" si="5"/>
        <v>-1609578.5</v>
      </c>
      <c r="K52" s="37">
        <f t="shared" si="6"/>
        <v>0</v>
      </c>
      <c r="L52" s="169"/>
      <c r="N52"/>
      <c r="O52"/>
      <c r="P52"/>
      <c r="Q52"/>
      <c r="R52"/>
      <c r="S52"/>
    </row>
    <row r="53" spans="1:19" s="166" customFormat="1" ht="22.5" customHeight="1" thickBot="1">
      <c r="A53" s="69" t="s">
        <v>54</v>
      </c>
      <c r="B53" s="23">
        <v>29327803</v>
      </c>
      <c r="C53" s="40">
        <f>+C44+C45+C47+C48+C49+C50+C51</f>
        <v>51964215.5</v>
      </c>
      <c r="D53" s="40">
        <f>SUM(D44:D52)</f>
        <v>41222106.5</v>
      </c>
      <c r="E53" s="41">
        <f>+D53-C53</f>
        <v>-10742109</v>
      </c>
      <c r="F53" s="42">
        <f>+D53/C53</f>
        <v>0.7932787227394975</v>
      </c>
      <c r="G53" s="23">
        <v>29686000</v>
      </c>
      <c r="H53" s="40">
        <f>SUM(H44:H52)</f>
        <v>35292813.5</v>
      </c>
      <c r="I53" s="40">
        <v>13800000</v>
      </c>
      <c r="J53" s="41">
        <f>+I53-H53</f>
        <v>-21492813.5</v>
      </c>
      <c r="K53" s="42">
        <v>0.378960029328211</v>
      </c>
      <c r="N53"/>
      <c r="O53"/>
      <c r="P53"/>
      <c r="Q53"/>
      <c r="R53"/>
      <c r="S53"/>
    </row>
    <row r="54" ht="9" customHeight="1" thickBot="1"/>
    <row r="55" spans="1:11" s="276" customFormat="1" ht="18" customHeight="1">
      <c r="A55" s="1273" t="s">
        <v>44</v>
      </c>
      <c r="B55" s="1047" t="s">
        <v>248</v>
      </c>
      <c r="C55" s="1323"/>
      <c r="D55" s="1323"/>
      <c r="E55" s="1323"/>
      <c r="F55" s="1323"/>
      <c r="G55" s="1324"/>
      <c r="H55" s="1047" t="s">
        <v>156</v>
      </c>
      <c r="I55" s="1286"/>
      <c r="J55" s="1286"/>
      <c r="K55" s="1287"/>
    </row>
    <row r="56" spans="1:13" s="276" customFormat="1" ht="31.5" customHeight="1" thickBot="1">
      <c r="A56" s="1343"/>
      <c r="B56" s="1121" t="s">
        <v>45</v>
      </c>
      <c r="C56" s="1024"/>
      <c r="D56" s="1023" t="s">
        <v>46</v>
      </c>
      <c r="E56" s="1024"/>
      <c r="F56" s="1023" t="s">
        <v>47</v>
      </c>
      <c r="G56" s="1131"/>
      <c r="H56" s="298" t="s">
        <v>50</v>
      </c>
      <c r="I56" s="296" t="s">
        <v>52</v>
      </c>
      <c r="J56" s="297" t="s">
        <v>51</v>
      </c>
      <c r="K56" s="239" t="s">
        <v>53</v>
      </c>
      <c r="M56" s="468"/>
    </row>
    <row r="57" spans="1:11" s="276" customFormat="1" ht="22.5" customHeight="1">
      <c r="A57" s="299">
        <v>2004</v>
      </c>
      <c r="B57" s="1348">
        <v>34900000</v>
      </c>
      <c r="C57" s="1030"/>
      <c r="D57" s="1029">
        <v>26200000</v>
      </c>
      <c r="E57" s="1030"/>
      <c r="F57" s="1029">
        <v>8700000</v>
      </c>
      <c r="G57" s="1311"/>
      <c r="H57" s="293">
        <v>0.5746418338108883</v>
      </c>
      <c r="I57" s="294">
        <v>0.29530885472779367</v>
      </c>
      <c r="J57" s="294">
        <v>0.27933297908309457</v>
      </c>
      <c r="K57" s="295">
        <v>0.42535816618911176</v>
      </c>
    </row>
    <row r="58" spans="1:11" s="276" customFormat="1" ht="22.5" customHeight="1">
      <c r="A58" s="300">
        <v>2005</v>
      </c>
      <c r="B58" s="1349">
        <v>47200000</v>
      </c>
      <c r="C58" s="1052"/>
      <c r="D58" s="1051">
        <v>38300000</v>
      </c>
      <c r="E58" s="1052"/>
      <c r="F58" s="1051">
        <v>8900000</v>
      </c>
      <c r="G58" s="1312"/>
      <c r="H58" s="277">
        <v>0.6716652542372882</v>
      </c>
      <c r="I58" s="278">
        <f>5058743/B58</f>
        <v>0.10717675847457628</v>
      </c>
      <c r="J58" s="278">
        <f>26643857/B58</f>
        <v>0.5644884957627119</v>
      </c>
      <c r="K58" s="279">
        <v>0.3283347457627119</v>
      </c>
    </row>
    <row r="59" spans="1:11" s="276" customFormat="1" ht="22.5" customHeight="1" thickBot="1">
      <c r="A59" s="301">
        <v>2006</v>
      </c>
      <c r="B59" s="1350">
        <v>52800000</v>
      </c>
      <c r="C59" s="1054"/>
      <c r="D59" s="1053">
        <v>43900000</v>
      </c>
      <c r="E59" s="1054"/>
      <c r="F59" s="1053">
        <v>8900000</v>
      </c>
      <c r="G59" s="1292"/>
      <c r="H59" s="290">
        <v>0.26136363636363635</v>
      </c>
      <c r="I59" s="291">
        <f>+E73/B59</f>
        <v>0.0016594318181818181</v>
      </c>
      <c r="J59" s="291">
        <f>+E114/B59</f>
        <v>0.25970420454545456</v>
      </c>
      <c r="K59" s="292">
        <v>0.7386363636363636</v>
      </c>
    </row>
    <row r="60" ht="7.5" customHeight="1"/>
    <row r="61" ht="22.5" customHeight="1" thickBot="1">
      <c r="A61" s="184" t="s">
        <v>249</v>
      </c>
    </row>
    <row r="62" spans="1:3" ht="22.5" customHeight="1" thickBot="1">
      <c r="A62" s="126" t="s">
        <v>162</v>
      </c>
      <c r="B62" s="115"/>
      <c r="C62" s="116"/>
    </row>
    <row r="63" spans="1:4" ht="22.5" customHeight="1">
      <c r="A63" s="1035" t="s">
        <v>138</v>
      </c>
      <c r="B63" s="1036"/>
      <c r="C63" s="605">
        <v>41139.1955</v>
      </c>
      <c r="D63" s="140"/>
    </row>
    <row r="64" spans="1:4" ht="22.5" customHeight="1">
      <c r="A64" s="1037" t="s">
        <v>43</v>
      </c>
      <c r="B64" s="1038"/>
      <c r="C64" s="606">
        <f>+E116/1000</f>
        <v>13800</v>
      </c>
      <c r="D64" s="140"/>
    </row>
    <row r="65" spans="1:4" ht="22.5" customHeight="1" thickBot="1">
      <c r="A65" s="1088" t="s">
        <v>139</v>
      </c>
      <c r="B65" s="1089"/>
      <c r="C65" s="931">
        <f>+I27</f>
        <v>279006.60720232804</v>
      </c>
      <c r="D65" s="140"/>
    </row>
    <row r="66" ht="6.75" customHeight="1"/>
    <row r="67" spans="1:13" ht="15.75" customHeight="1" thickBot="1">
      <c r="A67" s="184" t="s">
        <v>311</v>
      </c>
      <c r="B67" s="138"/>
      <c r="C67" s="138"/>
      <c r="D67" s="138"/>
      <c r="E67" s="138"/>
      <c r="F67" s="138"/>
      <c r="G67" s="138"/>
      <c r="H67" s="138"/>
      <c r="I67" s="138"/>
      <c r="J67" s="138"/>
      <c r="K67" s="138"/>
      <c r="L67" s="138"/>
      <c r="M67" s="138"/>
    </row>
    <row r="68" spans="1:13" ht="37.5" customHeight="1">
      <c r="A68" s="1235" t="s">
        <v>251</v>
      </c>
      <c r="B68" s="1241"/>
      <c r="C68" s="1066" t="s">
        <v>141</v>
      </c>
      <c r="D68" s="1066"/>
      <c r="E68" s="1066" t="s">
        <v>55</v>
      </c>
      <c r="F68" s="1066"/>
      <c r="G68" s="1067" t="s">
        <v>56</v>
      </c>
      <c r="H68" s="1238"/>
      <c r="I68" s="1066" t="s">
        <v>250</v>
      </c>
      <c r="J68" s="1076"/>
      <c r="K68" s="1072" t="s">
        <v>346</v>
      </c>
      <c r="L68" s="1073"/>
      <c r="M68" s="138"/>
    </row>
    <row r="69" spans="1:13" ht="14.25" customHeight="1" thickBot="1">
      <c r="A69" s="70" t="s">
        <v>142</v>
      </c>
      <c r="B69" s="90" t="s">
        <v>143</v>
      </c>
      <c r="C69" s="1239" t="s">
        <v>227</v>
      </c>
      <c r="D69" s="1240"/>
      <c r="E69" s="1283" t="s">
        <v>58</v>
      </c>
      <c r="F69" s="1283"/>
      <c r="G69" s="1239" t="s">
        <v>59</v>
      </c>
      <c r="H69" s="1240"/>
      <c r="I69" s="1283" t="s">
        <v>60</v>
      </c>
      <c r="J69" s="1284"/>
      <c r="K69" s="1074"/>
      <c r="L69" s="1075"/>
      <c r="M69" s="138"/>
    </row>
    <row r="70" spans="1:12" s="139" customFormat="1" ht="21.75" customHeight="1">
      <c r="A70" s="170" t="s">
        <v>144</v>
      </c>
      <c r="B70" s="265"/>
      <c r="C70" s="1215">
        <v>600000</v>
      </c>
      <c r="D70" s="1215"/>
      <c r="E70" s="1215"/>
      <c r="F70" s="1215"/>
      <c r="G70" s="1281"/>
      <c r="H70" s="1282"/>
      <c r="I70" s="1215">
        <f>+E70+G70</f>
        <v>0</v>
      </c>
      <c r="J70" s="1214"/>
      <c r="K70" s="1213"/>
      <c r="L70" s="1214"/>
    </row>
    <row r="71" spans="1:12" s="139" customFormat="1" ht="21.75" customHeight="1">
      <c r="A71" s="170" t="s">
        <v>231</v>
      </c>
      <c r="B71" s="265" t="s">
        <v>229</v>
      </c>
      <c r="C71" s="282"/>
      <c r="D71" s="282"/>
      <c r="E71" s="1216">
        <v>40877</v>
      </c>
      <c r="F71" s="1217"/>
      <c r="G71" s="1216"/>
      <c r="H71" s="1217"/>
      <c r="I71" s="1215">
        <f>+E71+G71</f>
        <v>40877</v>
      </c>
      <c r="J71" s="1214"/>
      <c r="K71" s="1213"/>
      <c r="L71" s="1214"/>
    </row>
    <row r="72" spans="1:12" s="164" customFormat="1" ht="25.5" customHeight="1" thickBot="1">
      <c r="A72" s="170" t="s">
        <v>232</v>
      </c>
      <c r="B72" s="171"/>
      <c r="C72" s="1325"/>
      <c r="D72" s="1326"/>
      <c r="E72" s="1219">
        <v>46741</v>
      </c>
      <c r="F72" s="1313"/>
      <c r="G72" s="1216"/>
      <c r="H72" s="1217"/>
      <c r="I72" s="1215">
        <f>+E72+G72</f>
        <v>46741</v>
      </c>
      <c r="J72" s="1214"/>
      <c r="K72" s="1213"/>
      <c r="L72" s="1214"/>
    </row>
    <row r="73" spans="1:13" ht="20.25" customHeight="1" thickBot="1">
      <c r="A73" s="1125" t="s">
        <v>159</v>
      </c>
      <c r="B73" s="1237"/>
      <c r="C73" s="1226">
        <v>600000</v>
      </c>
      <c r="D73" s="1234"/>
      <c r="E73" s="1041">
        <v>87618</v>
      </c>
      <c r="F73" s="1041"/>
      <c r="G73" s="1226">
        <v>0</v>
      </c>
      <c r="H73" s="1234"/>
      <c r="I73" s="1041">
        <f>SUM(I70:J72)</f>
        <v>87618</v>
      </c>
      <c r="J73" s="1046"/>
      <c r="K73" s="1040">
        <v>0</v>
      </c>
      <c r="L73" s="1046"/>
      <c r="M73" s="138"/>
    </row>
    <row r="74" spans="1:13" ht="4.5" customHeight="1" thickBot="1">
      <c r="A74" s="283"/>
      <c r="B74" s="284"/>
      <c r="C74" s="284"/>
      <c r="D74" s="284"/>
      <c r="E74" s="284"/>
      <c r="F74" s="284"/>
      <c r="G74" s="284"/>
      <c r="H74" s="284"/>
      <c r="I74" s="284"/>
      <c r="J74" s="285"/>
      <c r="K74" s="283"/>
      <c r="L74" s="285"/>
      <c r="M74" s="138"/>
    </row>
    <row r="75" spans="1:13" ht="33.75" customHeight="1">
      <c r="A75" s="1235" t="s">
        <v>252</v>
      </c>
      <c r="B75" s="1236"/>
      <c r="C75" s="1067" t="s">
        <v>141</v>
      </c>
      <c r="D75" s="1238"/>
      <c r="E75" s="1066" t="s">
        <v>55</v>
      </c>
      <c r="F75" s="1066"/>
      <c r="G75" s="1067" t="s">
        <v>56</v>
      </c>
      <c r="H75" s="1238"/>
      <c r="I75" s="1066" t="s">
        <v>57</v>
      </c>
      <c r="J75" s="1067"/>
      <c r="K75" s="1072" t="s">
        <v>346</v>
      </c>
      <c r="L75" s="1073"/>
      <c r="M75" s="138"/>
    </row>
    <row r="76" spans="1:13" ht="21.75" customHeight="1" thickBot="1">
      <c r="A76" s="70" t="s">
        <v>142</v>
      </c>
      <c r="B76" s="75" t="s">
        <v>143</v>
      </c>
      <c r="C76" s="1239" t="s">
        <v>227</v>
      </c>
      <c r="D76" s="1240"/>
      <c r="E76" s="1031" t="s">
        <v>58</v>
      </c>
      <c r="F76" s="1031"/>
      <c r="G76" s="1239" t="s">
        <v>59</v>
      </c>
      <c r="H76" s="1240"/>
      <c r="I76" s="1031" t="s">
        <v>60</v>
      </c>
      <c r="J76" s="1032"/>
      <c r="K76" s="1074"/>
      <c r="L76" s="1075"/>
      <c r="M76" s="138"/>
    </row>
    <row r="77" spans="1:13" ht="18" customHeight="1">
      <c r="A77" s="170" t="s">
        <v>183</v>
      </c>
      <c r="B77" s="171"/>
      <c r="C77" s="1215">
        <v>800000</v>
      </c>
      <c r="D77" s="1215"/>
      <c r="E77" s="1215"/>
      <c r="F77" s="1215"/>
      <c r="G77" s="1352"/>
      <c r="H77" s="1353"/>
      <c r="I77" s="1215">
        <f>+E77+G77</f>
        <v>0</v>
      </c>
      <c r="J77" s="1280"/>
      <c r="K77" s="1213"/>
      <c r="L77" s="1214"/>
      <c r="M77" s="138"/>
    </row>
    <row r="78" spans="1:13" ht="18" customHeight="1">
      <c r="A78" s="170" t="s">
        <v>199</v>
      </c>
      <c r="B78" s="233" t="s">
        <v>233</v>
      </c>
      <c r="C78" s="1215">
        <v>5920000</v>
      </c>
      <c r="D78" s="1215"/>
      <c r="E78" s="1215"/>
      <c r="F78" s="1215"/>
      <c r="G78" s="1216"/>
      <c r="H78" s="1217"/>
      <c r="I78" s="1218">
        <f aca="true" t="shared" si="7" ref="I78:I113">+E78+G78</f>
        <v>0</v>
      </c>
      <c r="J78" s="1219"/>
      <c r="K78" s="1213"/>
      <c r="L78" s="1214"/>
      <c r="M78" s="138"/>
    </row>
    <row r="79" spans="1:13" ht="18" customHeight="1">
      <c r="A79" s="170" t="s">
        <v>184</v>
      </c>
      <c r="B79" s="173"/>
      <c r="C79" s="1215">
        <v>125000</v>
      </c>
      <c r="D79" s="1215"/>
      <c r="E79" s="1215"/>
      <c r="F79" s="1215"/>
      <c r="G79" s="1216"/>
      <c r="H79" s="1217"/>
      <c r="I79" s="1218">
        <f t="shared" si="7"/>
        <v>0</v>
      </c>
      <c r="J79" s="1219"/>
      <c r="K79" s="1213"/>
      <c r="L79" s="1214"/>
      <c r="M79" s="138"/>
    </row>
    <row r="80" spans="1:13" ht="18" customHeight="1">
      <c r="A80" s="170" t="s">
        <v>220</v>
      </c>
      <c r="B80" s="173"/>
      <c r="C80" s="1215">
        <v>800000</v>
      </c>
      <c r="D80" s="1215"/>
      <c r="E80" s="1215"/>
      <c r="F80" s="1215"/>
      <c r="G80" s="1216"/>
      <c r="H80" s="1217"/>
      <c r="I80" s="1218">
        <f t="shared" si="7"/>
        <v>0</v>
      </c>
      <c r="J80" s="1219"/>
      <c r="K80" s="1213"/>
      <c r="L80" s="1214"/>
      <c r="M80" s="138"/>
    </row>
    <row r="81" spans="1:12" s="139" customFormat="1" ht="18" customHeight="1">
      <c r="A81" s="170" t="s">
        <v>221</v>
      </c>
      <c r="B81" s="173"/>
      <c r="C81" s="1215">
        <v>400000</v>
      </c>
      <c r="D81" s="1215"/>
      <c r="E81" s="1215"/>
      <c r="F81" s="1215"/>
      <c r="G81" s="1216"/>
      <c r="H81" s="1217"/>
      <c r="I81" s="1218">
        <f t="shared" si="7"/>
        <v>0</v>
      </c>
      <c r="J81" s="1219"/>
      <c r="K81" s="1213"/>
      <c r="L81" s="1214"/>
    </row>
    <row r="82" spans="1:12" s="139" customFormat="1" ht="18" customHeight="1">
      <c r="A82" s="170" t="s">
        <v>185</v>
      </c>
      <c r="B82" s="173"/>
      <c r="C82" s="1215">
        <v>1000000</v>
      </c>
      <c r="D82" s="1215"/>
      <c r="E82" s="1215"/>
      <c r="F82" s="1215"/>
      <c r="G82" s="1216"/>
      <c r="H82" s="1217"/>
      <c r="I82" s="1218">
        <f t="shared" si="7"/>
        <v>0</v>
      </c>
      <c r="J82" s="1219"/>
      <c r="K82" s="1213"/>
      <c r="L82" s="1214"/>
    </row>
    <row r="83" spans="1:12" s="139" customFormat="1" ht="18" customHeight="1">
      <c r="A83" s="170" t="s">
        <v>186</v>
      </c>
      <c r="B83" s="233" t="s">
        <v>230</v>
      </c>
      <c r="C83" s="1215">
        <v>714000</v>
      </c>
      <c r="D83" s="1215"/>
      <c r="E83" s="1215"/>
      <c r="F83" s="1215"/>
      <c r="G83" s="1216"/>
      <c r="H83" s="1217"/>
      <c r="I83" s="1218">
        <f t="shared" si="7"/>
        <v>0</v>
      </c>
      <c r="J83" s="1219"/>
      <c r="K83" s="1213"/>
      <c r="L83" s="1214"/>
    </row>
    <row r="84" spans="1:13" ht="18" customHeight="1">
      <c r="A84" s="170" t="s">
        <v>192</v>
      </c>
      <c r="B84" s="173"/>
      <c r="C84" s="1216"/>
      <c r="D84" s="1217"/>
      <c r="E84" s="1215">
        <v>1416000</v>
      </c>
      <c r="F84" s="1215"/>
      <c r="G84" s="1216"/>
      <c r="H84" s="1217"/>
      <c r="I84" s="1218">
        <f t="shared" si="7"/>
        <v>1416000</v>
      </c>
      <c r="J84" s="1219"/>
      <c r="K84" s="1213"/>
      <c r="L84" s="1214"/>
      <c r="M84" s="138"/>
    </row>
    <row r="85" spans="1:13" ht="18" customHeight="1">
      <c r="A85" s="170" t="s">
        <v>193</v>
      </c>
      <c r="B85" s="173"/>
      <c r="C85" s="1216"/>
      <c r="D85" s="1217"/>
      <c r="E85" s="1215">
        <v>4450000</v>
      </c>
      <c r="F85" s="1215"/>
      <c r="G85" s="1216"/>
      <c r="H85" s="1217"/>
      <c r="I85" s="1218">
        <f t="shared" si="7"/>
        <v>4450000</v>
      </c>
      <c r="J85" s="1219"/>
      <c r="K85" s="1213"/>
      <c r="L85" s="1214"/>
      <c r="M85" s="138"/>
    </row>
    <row r="86" spans="1:12" s="139" customFormat="1" ht="18" customHeight="1">
      <c r="A86" s="170" t="s">
        <v>191</v>
      </c>
      <c r="B86" s="173"/>
      <c r="C86" s="1215">
        <v>300000</v>
      </c>
      <c r="D86" s="1215"/>
      <c r="E86" s="1215"/>
      <c r="F86" s="1215"/>
      <c r="G86" s="1216"/>
      <c r="H86" s="1217"/>
      <c r="I86" s="1218">
        <f t="shared" si="7"/>
        <v>0</v>
      </c>
      <c r="J86" s="1219"/>
      <c r="K86" s="1213"/>
      <c r="L86" s="1214"/>
    </row>
    <row r="87" spans="1:12" s="139" customFormat="1" ht="18" customHeight="1">
      <c r="A87" s="170" t="s">
        <v>222</v>
      </c>
      <c r="B87" s="173"/>
      <c r="C87" s="1216">
        <v>80000</v>
      </c>
      <c r="D87" s="1217"/>
      <c r="E87" s="1216"/>
      <c r="F87" s="1217"/>
      <c r="G87" s="1216"/>
      <c r="H87" s="1217"/>
      <c r="I87" s="1218">
        <f t="shared" si="7"/>
        <v>0</v>
      </c>
      <c r="J87" s="1219"/>
      <c r="K87" s="1213"/>
      <c r="L87" s="1214"/>
    </row>
    <row r="88" spans="1:12" s="139" customFormat="1" ht="18" customHeight="1">
      <c r="A88" s="170" t="s">
        <v>190</v>
      </c>
      <c r="B88" s="173"/>
      <c r="C88" s="1215">
        <v>80000</v>
      </c>
      <c r="D88" s="1215"/>
      <c r="E88" s="1215"/>
      <c r="F88" s="1215"/>
      <c r="G88" s="1216"/>
      <c r="H88" s="1217"/>
      <c r="I88" s="1218">
        <f t="shared" si="7"/>
        <v>0</v>
      </c>
      <c r="J88" s="1219"/>
      <c r="K88" s="1213"/>
      <c r="L88" s="1214"/>
    </row>
    <row r="89" spans="1:12" s="139" customFormat="1" ht="21.75" customHeight="1">
      <c r="A89" s="170" t="s">
        <v>223</v>
      </c>
      <c r="B89" s="173"/>
      <c r="C89" s="1215">
        <v>200000</v>
      </c>
      <c r="D89" s="1215"/>
      <c r="E89" s="1215"/>
      <c r="F89" s="1215"/>
      <c r="G89" s="1216"/>
      <c r="H89" s="1217"/>
      <c r="I89" s="1218">
        <f t="shared" si="7"/>
        <v>0</v>
      </c>
      <c r="J89" s="1219"/>
      <c r="K89" s="1213"/>
      <c r="L89" s="1214"/>
    </row>
    <row r="90" spans="1:12" s="139" customFormat="1" ht="18" customHeight="1">
      <c r="A90" s="170" t="s">
        <v>224</v>
      </c>
      <c r="B90" s="173"/>
      <c r="C90" s="1215">
        <v>100000</v>
      </c>
      <c r="D90" s="1215"/>
      <c r="E90" s="1215"/>
      <c r="F90" s="1215"/>
      <c r="G90" s="1216"/>
      <c r="H90" s="1217"/>
      <c r="I90" s="1218">
        <f t="shared" si="7"/>
        <v>0</v>
      </c>
      <c r="J90" s="1219"/>
      <c r="K90" s="1213"/>
      <c r="L90" s="1214"/>
    </row>
    <row r="91" spans="1:13" ht="18" customHeight="1">
      <c r="A91" s="170" t="s">
        <v>243</v>
      </c>
      <c r="B91" s="173"/>
      <c r="C91" s="1216"/>
      <c r="D91" s="1217"/>
      <c r="E91" s="1215">
        <v>0</v>
      </c>
      <c r="F91" s="1215"/>
      <c r="G91" s="1216"/>
      <c r="H91" s="1217"/>
      <c r="I91" s="1218">
        <f t="shared" si="7"/>
        <v>0</v>
      </c>
      <c r="J91" s="1219"/>
      <c r="K91" s="1213">
        <v>40000000</v>
      </c>
      <c r="L91" s="1214"/>
      <c r="M91" s="138"/>
    </row>
    <row r="92" spans="1:12" s="139" customFormat="1" ht="18" customHeight="1">
      <c r="A92" s="170" t="s">
        <v>194</v>
      </c>
      <c r="B92" s="173"/>
      <c r="C92" s="1216"/>
      <c r="D92" s="1217"/>
      <c r="E92" s="1215">
        <v>1500000</v>
      </c>
      <c r="F92" s="1215"/>
      <c r="G92" s="1216"/>
      <c r="H92" s="1217"/>
      <c r="I92" s="1218">
        <f t="shared" si="7"/>
        <v>1500000</v>
      </c>
      <c r="J92" s="1219"/>
      <c r="K92" s="1213"/>
      <c r="L92" s="1214"/>
    </row>
    <row r="93" spans="1:12" s="139" customFormat="1" ht="18" customHeight="1">
      <c r="A93" s="170" t="s">
        <v>198</v>
      </c>
      <c r="B93" s="173"/>
      <c r="C93" s="1216"/>
      <c r="D93" s="1217"/>
      <c r="E93" s="1215">
        <v>150000</v>
      </c>
      <c r="F93" s="1215"/>
      <c r="G93" s="1216"/>
      <c r="H93" s="1217"/>
      <c r="I93" s="1218">
        <f t="shared" si="7"/>
        <v>150000</v>
      </c>
      <c r="J93" s="1219"/>
      <c r="K93" s="1213"/>
      <c r="L93" s="1214"/>
    </row>
    <row r="94" spans="1:12" s="139" customFormat="1" ht="18" customHeight="1">
      <c r="A94" s="170" t="s">
        <v>173</v>
      </c>
      <c r="B94" s="173"/>
      <c r="C94" s="1216"/>
      <c r="D94" s="1217"/>
      <c r="E94" s="1215">
        <v>900000</v>
      </c>
      <c r="F94" s="1215"/>
      <c r="G94" s="1216"/>
      <c r="H94" s="1217"/>
      <c r="I94" s="1218">
        <f t="shared" si="7"/>
        <v>900000</v>
      </c>
      <c r="J94" s="1219"/>
      <c r="K94" s="1213"/>
      <c r="L94" s="1214"/>
    </row>
    <row r="95" spans="1:12" s="172" customFormat="1" ht="18" customHeight="1">
      <c r="A95" s="170" t="s">
        <v>172</v>
      </c>
      <c r="B95" s="173"/>
      <c r="C95" s="1216"/>
      <c r="D95" s="1217"/>
      <c r="E95" s="1215">
        <v>380000</v>
      </c>
      <c r="F95" s="1215"/>
      <c r="G95" s="1216"/>
      <c r="H95" s="1217"/>
      <c r="I95" s="1218">
        <f t="shared" si="7"/>
        <v>380000</v>
      </c>
      <c r="J95" s="1219"/>
      <c r="K95" s="1213"/>
      <c r="L95" s="1214"/>
    </row>
    <row r="96" spans="1:12" s="172" customFormat="1" ht="18" customHeight="1">
      <c r="A96" s="170" t="s">
        <v>175</v>
      </c>
      <c r="B96" s="173"/>
      <c r="C96" s="1216"/>
      <c r="D96" s="1217"/>
      <c r="E96" s="1215">
        <v>500000</v>
      </c>
      <c r="F96" s="1215"/>
      <c r="G96" s="1216"/>
      <c r="H96" s="1217"/>
      <c r="I96" s="1218">
        <f t="shared" si="7"/>
        <v>500000</v>
      </c>
      <c r="J96" s="1219"/>
      <c r="K96" s="1213"/>
      <c r="L96" s="1214"/>
    </row>
    <row r="97" spans="1:12" s="174" customFormat="1" ht="18" customHeight="1">
      <c r="A97" s="170" t="s">
        <v>174</v>
      </c>
      <c r="B97" s="173"/>
      <c r="C97" s="1216"/>
      <c r="D97" s="1217"/>
      <c r="E97" s="1215">
        <v>250000</v>
      </c>
      <c r="F97" s="1215"/>
      <c r="G97" s="1216"/>
      <c r="H97" s="1217"/>
      <c r="I97" s="1218">
        <f t="shared" si="7"/>
        <v>250000</v>
      </c>
      <c r="J97" s="1219"/>
      <c r="K97" s="1213"/>
      <c r="L97" s="1214"/>
    </row>
    <row r="98" spans="1:12" s="174" customFormat="1" ht="18" customHeight="1">
      <c r="A98" s="170" t="s">
        <v>176</v>
      </c>
      <c r="B98" s="173"/>
      <c r="C98" s="1216"/>
      <c r="D98" s="1217"/>
      <c r="E98" s="1215">
        <v>75000</v>
      </c>
      <c r="F98" s="1215"/>
      <c r="G98" s="1216"/>
      <c r="H98" s="1217"/>
      <c r="I98" s="1218">
        <f t="shared" si="7"/>
        <v>75000</v>
      </c>
      <c r="J98" s="1219"/>
      <c r="K98" s="1213"/>
      <c r="L98" s="1214"/>
    </row>
    <row r="99" spans="1:12" s="174" customFormat="1" ht="18" customHeight="1">
      <c r="A99" s="170" t="s">
        <v>177</v>
      </c>
      <c r="B99" s="173"/>
      <c r="C99" s="1216"/>
      <c r="D99" s="1217"/>
      <c r="E99" s="1215">
        <v>100000</v>
      </c>
      <c r="F99" s="1215"/>
      <c r="G99" s="1216"/>
      <c r="H99" s="1217"/>
      <c r="I99" s="1218">
        <f t="shared" si="7"/>
        <v>100000</v>
      </c>
      <c r="J99" s="1219"/>
      <c r="K99" s="1213"/>
      <c r="L99" s="1214"/>
    </row>
    <row r="100" spans="1:12" s="174" customFormat="1" ht="18" customHeight="1">
      <c r="A100" s="170" t="s">
        <v>178</v>
      </c>
      <c r="B100" s="173"/>
      <c r="C100" s="1216"/>
      <c r="D100" s="1217"/>
      <c r="E100" s="1215">
        <v>75000</v>
      </c>
      <c r="F100" s="1215"/>
      <c r="G100" s="1216"/>
      <c r="H100" s="1217"/>
      <c r="I100" s="1218">
        <f t="shared" si="7"/>
        <v>75000</v>
      </c>
      <c r="J100" s="1219"/>
      <c r="K100" s="1213"/>
      <c r="L100" s="1214"/>
    </row>
    <row r="101" spans="1:12" s="174" customFormat="1" ht="18" customHeight="1">
      <c r="A101" s="170" t="s">
        <v>179</v>
      </c>
      <c r="B101" s="173"/>
      <c r="C101" s="1216"/>
      <c r="D101" s="1217"/>
      <c r="E101" s="1215">
        <v>300000</v>
      </c>
      <c r="F101" s="1215"/>
      <c r="G101" s="1216"/>
      <c r="H101" s="1217"/>
      <c r="I101" s="1218">
        <f t="shared" si="7"/>
        <v>300000</v>
      </c>
      <c r="J101" s="1219"/>
      <c r="K101" s="1213"/>
      <c r="L101" s="1214"/>
    </row>
    <row r="102" spans="1:12" s="174" customFormat="1" ht="18" customHeight="1">
      <c r="A102" s="170" t="s">
        <v>180</v>
      </c>
      <c r="B102" s="173"/>
      <c r="C102" s="1216">
        <v>7714108</v>
      </c>
      <c r="D102" s="1217"/>
      <c r="E102" s="1215"/>
      <c r="F102" s="1215"/>
      <c r="G102" s="1216"/>
      <c r="H102" s="1217"/>
      <c r="I102" s="1218">
        <f t="shared" si="7"/>
        <v>0</v>
      </c>
      <c r="J102" s="1219"/>
      <c r="K102" s="1213"/>
      <c r="L102" s="1214"/>
    </row>
    <row r="103" spans="1:12" s="174" customFormat="1" ht="18" customHeight="1">
      <c r="A103" s="170" t="s">
        <v>181</v>
      </c>
      <c r="B103" s="173"/>
      <c r="C103" s="1216"/>
      <c r="D103" s="1217"/>
      <c r="E103" s="1219">
        <v>500000</v>
      </c>
      <c r="F103" s="1313"/>
      <c r="G103" s="1216"/>
      <c r="H103" s="1217"/>
      <c r="I103" s="1218">
        <f t="shared" si="7"/>
        <v>500000</v>
      </c>
      <c r="J103" s="1219"/>
      <c r="K103" s="1242"/>
      <c r="L103" s="1243"/>
    </row>
    <row r="104" spans="1:12" ht="18" customHeight="1">
      <c r="A104" s="170" t="s">
        <v>182</v>
      </c>
      <c r="B104" s="173"/>
      <c r="C104" s="1216"/>
      <c r="D104" s="1217"/>
      <c r="E104" s="1215">
        <v>175000</v>
      </c>
      <c r="F104" s="1215"/>
      <c r="G104" s="1216"/>
      <c r="H104" s="1217"/>
      <c r="I104" s="1218">
        <f t="shared" si="7"/>
        <v>175000</v>
      </c>
      <c r="J104" s="1219"/>
      <c r="K104" s="1213"/>
      <c r="L104" s="1214"/>
    </row>
    <row r="105" spans="1:12" ht="18" customHeight="1">
      <c r="A105" s="170" t="s">
        <v>522</v>
      </c>
      <c r="B105" s="173"/>
      <c r="C105" s="1216"/>
      <c r="D105" s="1217"/>
      <c r="E105" s="1215">
        <v>1550000</v>
      </c>
      <c r="F105" s="1215"/>
      <c r="G105" s="1216"/>
      <c r="H105" s="1217"/>
      <c r="I105" s="1218">
        <f t="shared" si="7"/>
        <v>1550000</v>
      </c>
      <c r="J105" s="1219"/>
      <c r="K105" s="1213"/>
      <c r="L105" s="1214"/>
    </row>
    <row r="106" spans="1:12" ht="18" customHeight="1">
      <c r="A106" s="170" t="s">
        <v>187</v>
      </c>
      <c r="B106" s="173"/>
      <c r="C106" s="1216"/>
      <c r="D106" s="1217"/>
      <c r="E106" s="1215">
        <v>122000</v>
      </c>
      <c r="F106" s="1215"/>
      <c r="G106" s="1216"/>
      <c r="H106" s="1217"/>
      <c r="I106" s="1218">
        <f t="shared" si="7"/>
        <v>122000</v>
      </c>
      <c r="J106" s="1219"/>
      <c r="K106" s="1213"/>
      <c r="L106" s="1214"/>
    </row>
    <row r="107" spans="1:12" ht="18" customHeight="1">
      <c r="A107" s="170" t="s">
        <v>188</v>
      </c>
      <c r="B107" s="173"/>
      <c r="C107" s="1216"/>
      <c r="D107" s="1217"/>
      <c r="E107" s="1215">
        <v>450000</v>
      </c>
      <c r="F107" s="1215"/>
      <c r="G107" s="1216"/>
      <c r="H107" s="1217"/>
      <c r="I107" s="1218">
        <f t="shared" si="7"/>
        <v>450000</v>
      </c>
      <c r="J107" s="1219"/>
      <c r="K107" s="1213"/>
      <c r="L107" s="1214"/>
    </row>
    <row r="108" spans="1:12" ht="21.75" customHeight="1">
      <c r="A108" s="170" t="s">
        <v>189</v>
      </c>
      <c r="B108" s="173"/>
      <c r="C108" s="1216"/>
      <c r="D108" s="1217"/>
      <c r="E108" s="1215">
        <v>480000</v>
      </c>
      <c r="F108" s="1215"/>
      <c r="G108" s="1216"/>
      <c r="H108" s="1217"/>
      <c r="I108" s="1218">
        <f t="shared" si="7"/>
        <v>480000</v>
      </c>
      <c r="J108" s="1219"/>
      <c r="K108" s="1213"/>
      <c r="L108" s="1214"/>
    </row>
    <row r="109" spans="1:12" s="174" customFormat="1" ht="18" customHeight="1">
      <c r="A109" s="170" t="s">
        <v>195</v>
      </c>
      <c r="B109" s="173"/>
      <c r="C109" s="1215">
        <v>100000</v>
      </c>
      <c r="D109" s="1215"/>
      <c r="E109" s="1215"/>
      <c r="F109" s="1215"/>
      <c r="G109" s="1216"/>
      <c r="H109" s="1217"/>
      <c r="I109" s="1218">
        <f t="shared" si="7"/>
        <v>0</v>
      </c>
      <c r="J109" s="1219"/>
      <c r="K109" s="1213"/>
      <c r="L109" s="1214"/>
    </row>
    <row r="110" spans="1:12" ht="18" customHeight="1">
      <c r="A110" s="170" t="s">
        <v>196</v>
      </c>
      <c r="B110" s="173"/>
      <c r="C110" s="1215">
        <v>400000</v>
      </c>
      <c r="D110" s="1215"/>
      <c r="E110" s="1215"/>
      <c r="F110" s="1215"/>
      <c r="G110" s="1216"/>
      <c r="H110" s="1217"/>
      <c r="I110" s="1218">
        <f t="shared" si="7"/>
        <v>0</v>
      </c>
      <c r="J110" s="1219"/>
      <c r="K110" s="1213"/>
      <c r="L110" s="1214"/>
    </row>
    <row r="111" spans="1:12" ht="18" customHeight="1">
      <c r="A111" s="170" t="s">
        <v>197</v>
      </c>
      <c r="B111" s="173"/>
      <c r="C111" s="1215">
        <v>100000</v>
      </c>
      <c r="D111" s="1215"/>
      <c r="E111" s="1215"/>
      <c r="F111" s="1215"/>
      <c r="G111" s="1216"/>
      <c r="H111" s="1217"/>
      <c r="I111" s="1218">
        <f t="shared" si="7"/>
        <v>0</v>
      </c>
      <c r="J111" s="1219"/>
      <c r="K111" s="1213"/>
      <c r="L111" s="1214"/>
    </row>
    <row r="112" spans="1:12" ht="15" customHeight="1">
      <c r="A112" s="170" t="s">
        <v>543</v>
      </c>
      <c r="B112" s="173"/>
      <c r="C112" s="1215">
        <v>349825</v>
      </c>
      <c r="D112" s="1215"/>
      <c r="E112" s="1215"/>
      <c r="F112" s="1215"/>
      <c r="G112" s="1216"/>
      <c r="H112" s="1217"/>
      <c r="I112" s="1218"/>
      <c r="J112" s="1219"/>
      <c r="K112" s="1213"/>
      <c r="L112" s="1214"/>
    </row>
    <row r="113" spans="1:13" ht="18" customHeight="1" thickBot="1">
      <c r="A113" s="288" t="s">
        <v>161</v>
      </c>
      <c r="B113" s="289"/>
      <c r="C113" s="1278"/>
      <c r="D113" s="1279"/>
      <c r="E113" s="1231">
        <v>339382</v>
      </c>
      <c r="F113" s="1231"/>
      <c r="G113" s="1278"/>
      <c r="H113" s="1279"/>
      <c r="I113" s="1229">
        <f t="shared" si="7"/>
        <v>339382</v>
      </c>
      <c r="J113" s="1230"/>
      <c r="K113" s="1232"/>
      <c r="L113" s="1233"/>
      <c r="M113" s="138"/>
    </row>
    <row r="114" spans="1:13" ht="18.75" customHeight="1" thickBot="1">
      <c r="A114" s="1125" t="s">
        <v>160</v>
      </c>
      <c r="B114" s="1237"/>
      <c r="C114" s="1226">
        <f>SUM(C77:D113)</f>
        <v>19182933</v>
      </c>
      <c r="D114" s="1234"/>
      <c r="E114" s="1041">
        <f>SUM(E77:F113)</f>
        <v>13712382</v>
      </c>
      <c r="F114" s="1041"/>
      <c r="G114" s="1226">
        <v>0</v>
      </c>
      <c r="H114" s="1234"/>
      <c r="I114" s="1041">
        <f>SUM(I77:J113)</f>
        <v>13712382</v>
      </c>
      <c r="J114" s="1042"/>
      <c r="K114" s="1040">
        <v>40000000</v>
      </c>
      <c r="L114" s="1046"/>
      <c r="M114" s="138"/>
    </row>
    <row r="115" spans="2:4" s="284" customFormat="1" ht="4.5" customHeight="1" thickBot="1">
      <c r="B115" s="286"/>
      <c r="C115" s="287"/>
      <c r="D115" s="287"/>
    </row>
    <row r="116" spans="1:13" ht="18.75" customHeight="1" thickBot="1">
      <c r="A116" s="1125" t="s">
        <v>61</v>
      </c>
      <c r="B116" s="1237"/>
      <c r="C116" s="1226">
        <f>+C114+C73</f>
        <v>19782933</v>
      </c>
      <c r="D116" s="1234"/>
      <c r="E116" s="1225">
        <f>+E114+E73</f>
        <v>13800000</v>
      </c>
      <c r="F116" s="1225"/>
      <c r="G116" s="1226">
        <v>0</v>
      </c>
      <c r="H116" s="1234"/>
      <c r="I116" s="1225">
        <f>+I114+I73</f>
        <v>13800000</v>
      </c>
      <c r="J116" s="1226"/>
      <c r="K116" s="1247">
        <v>40000000</v>
      </c>
      <c r="L116" s="1248"/>
      <c r="M116" s="138"/>
    </row>
    <row r="117" spans="1:13" ht="3" customHeight="1">
      <c r="A117" s="1277"/>
      <c r="B117" s="1277"/>
      <c r="C117" s="1277"/>
      <c r="D117" s="1277"/>
      <c r="E117" s="1277"/>
      <c r="F117" s="175"/>
      <c r="G117" s="175"/>
      <c r="H117" s="175"/>
      <c r="I117" s="175"/>
      <c r="J117" s="175"/>
      <c r="K117" s="175"/>
      <c r="L117" s="175"/>
      <c r="M117" s="175"/>
    </row>
    <row r="118" spans="1:10" ht="3" customHeight="1" thickBot="1">
      <c r="A118" s="176"/>
      <c r="B118" s="139"/>
      <c r="C118" s="139"/>
      <c r="D118" s="139"/>
      <c r="E118" s="139"/>
      <c r="F118" s="139"/>
      <c r="G118" s="139"/>
      <c r="H118" s="139"/>
      <c r="I118" s="139"/>
      <c r="J118" s="139"/>
    </row>
    <row r="119" spans="1:13" ht="12.75" customHeight="1">
      <c r="A119" s="1296" t="s">
        <v>166</v>
      </c>
      <c r="B119" s="1297"/>
      <c r="C119" s="1297"/>
      <c r="D119" s="1227" t="s">
        <v>46</v>
      </c>
      <c r="E119"/>
      <c r="F119" s="1249" t="s">
        <v>167</v>
      </c>
      <c r="G119" s="1250"/>
      <c r="H119" s="1250"/>
      <c r="I119" s="1250"/>
      <c r="J119" s="1250"/>
      <c r="K119" s="1251"/>
      <c r="L119" s="1227" t="s">
        <v>47</v>
      </c>
      <c r="M119" s="138"/>
    </row>
    <row r="120" spans="1:13" ht="13.5" thickBot="1">
      <c r="A120" s="1298"/>
      <c r="B120" s="1299"/>
      <c r="C120" s="1299"/>
      <c r="D120" s="1228"/>
      <c r="E120" s="138"/>
      <c r="F120" s="1062"/>
      <c r="G120" s="1252"/>
      <c r="H120" s="1252"/>
      <c r="I120" s="1252"/>
      <c r="J120" s="1252"/>
      <c r="K120" s="1253"/>
      <c r="L120" s="1228"/>
      <c r="M120" s="138"/>
    </row>
    <row r="121" spans="1:13" ht="12.75">
      <c r="A121" s="1222" t="s">
        <v>147</v>
      </c>
      <c r="B121" s="1300"/>
      <c r="C121" s="1300"/>
      <c r="D121" s="177">
        <v>6600</v>
      </c>
      <c r="E121" s="138"/>
      <c r="F121" s="1244" t="s">
        <v>145</v>
      </c>
      <c r="G121" s="1245"/>
      <c r="H121" s="1245"/>
      <c r="I121" s="1245"/>
      <c r="J121" s="1246"/>
      <c r="K121" s="1246"/>
      <c r="L121" s="177">
        <v>1740</v>
      </c>
      <c r="M121" s="138"/>
    </row>
    <row r="122" spans="1:12" s="139" customFormat="1" ht="12.75">
      <c r="A122" s="1220" t="s">
        <v>210</v>
      </c>
      <c r="B122" s="1221"/>
      <c r="C122" s="1221"/>
      <c r="D122" s="266">
        <v>750</v>
      </c>
      <c r="F122" s="1222" t="s">
        <v>213</v>
      </c>
      <c r="G122" s="1223"/>
      <c r="H122" s="1223"/>
      <c r="I122" s="1223"/>
      <c r="J122" s="1223"/>
      <c r="K122" s="1224"/>
      <c r="L122" s="177">
        <v>200</v>
      </c>
    </row>
    <row r="123" spans="1:12" s="139" customFormat="1" ht="12.75">
      <c r="A123" s="1220" t="s">
        <v>216</v>
      </c>
      <c r="B123" s="1221"/>
      <c r="C123" s="1221"/>
      <c r="D123" s="266">
        <v>300</v>
      </c>
      <c r="F123" s="1222" t="s">
        <v>214</v>
      </c>
      <c r="G123" s="1223"/>
      <c r="H123" s="1223"/>
      <c r="I123" s="1223"/>
      <c r="J123" s="1223"/>
      <c r="K123" s="1224"/>
      <c r="L123" s="177">
        <v>80</v>
      </c>
    </row>
    <row r="124" spans="1:12" s="139" customFormat="1" ht="12.75">
      <c r="A124" s="1222" t="s">
        <v>146</v>
      </c>
      <c r="B124" s="1300"/>
      <c r="C124" s="1300"/>
      <c r="D124" s="178">
        <v>2500</v>
      </c>
      <c r="F124" s="1222" t="s">
        <v>215</v>
      </c>
      <c r="G124" s="1223"/>
      <c r="H124" s="1223"/>
      <c r="I124" s="1223"/>
      <c r="J124" s="1223"/>
      <c r="K124" s="1224"/>
      <c r="L124" s="177">
        <v>200</v>
      </c>
    </row>
    <row r="125" spans="1:12" s="139" customFormat="1" ht="12.75">
      <c r="A125" s="1220"/>
      <c r="B125" s="1221"/>
      <c r="C125" s="1221"/>
      <c r="D125" s="266"/>
      <c r="F125" s="1222" t="s">
        <v>217</v>
      </c>
      <c r="G125" s="1223"/>
      <c r="H125" s="1223"/>
      <c r="I125" s="1223"/>
      <c r="J125" s="1223"/>
      <c r="K125" s="1224"/>
      <c r="L125" s="177">
        <v>400</v>
      </c>
    </row>
    <row r="126" spans="1:12" s="139" customFormat="1" ht="12.75">
      <c r="A126" s="1220"/>
      <c r="B126" s="1221"/>
      <c r="C126" s="1221"/>
      <c r="D126" s="266"/>
      <c r="F126" s="1222" t="s">
        <v>218</v>
      </c>
      <c r="G126" s="1223"/>
      <c r="H126" s="1223"/>
      <c r="I126" s="1223"/>
      <c r="J126" s="1223"/>
      <c r="K126" s="1224"/>
      <c r="L126" s="177">
        <v>70</v>
      </c>
    </row>
    <row r="127" spans="1:12" s="139" customFormat="1" ht="12.75">
      <c r="A127" s="1220"/>
      <c r="B127" s="1221"/>
      <c r="C127" s="1221"/>
      <c r="D127" s="266"/>
      <c r="F127" s="1222" t="s">
        <v>219</v>
      </c>
      <c r="G127" s="1223"/>
      <c r="H127" s="1223"/>
      <c r="I127" s="1223"/>
      <c r="J127" s="1223"/>
      <c r="K127" s="1224"/>
      <c r="L127" s="177">
        <v>30</v>
      </c>
    </row>
    <row r="128" spans="1:12" s="139" customFormat="1" ht="12.75">
      <c r="A128" s="1220"/>
      <c r="B128" s="1221"/>
      <c r="C128" s="1221"/>
      <c r="D128" s="266"/>
      <c r="F128" s="1222" t="s">
        <v>211</v>
      </c>
      <c r="G128" s="1223"/>
      <c r="H128" s="1223"/>
      <c r="I128" s="1223"/>
      <c r="J128" s="1223"/>
      <c r="K128" s="1224"/>
      <c r="L128" s="177">
        <v>1000</v>
      </c>
    </row>
    <row r="129" spans="1:12" s="139" customFormat="1" ht="13.5" thickBot="1">
      <c r="A129" s="1220"/>
      <c r="B129" s="1221"/>
      <c r="C129" s="1221"/>
      <c r="D129" s="266"/>
      <c r="F129" s="1222" t="s">
        <v>212</v>
      </c>
      <c r="G129" s="1223"/>
      <c r="H129" s="1223"/>
      <c r="I129" s="1223"/>
      <c r="J129" s="1223"/>
      <c r="K129" s="1224"/>
      <c r="L129" s="177">
        <v>130</v>
      </c>
    </row>
    <row r="130" spans="1:12" s="139" customFormat="1" ht="13.5" thickBot="1">
      <c r="A130" s="1265" t="s">
        <v>4</v>
      </c>
      <c r="B130" s="1301"/>
      <c r="C130" s="1301"/>
      <c r="D130" s="71">
        <v>10150</v>
      </c>
      <c r="F130" s="1265" t="s">
        <v>4</v>
      </c>
      <c r="G130" s="1266"/>
      <c r="H130" s="1266"/>
      <c r="I130" s="1266"/>
      <c r="J130" s="1266"/>
      <c r="K130" s="1266"/>
      <c r="L130" s="71">
        <v>3850</v>
      </c>
    </row>
    <row r="131" spans="10:13" ht="13.5" thickBot="1">
      <c r="J131" s="139"/>
      <c r="M131" s="138"/>
    </row>
    <row r="132" spans="1:9" ht="14.25" customHeight="1">
      <c r="A132" s="1106" t="s">
        <v>62</v>
      </c>
      <c r="B132" s="1098" t="s">
        <v>226</v>
      </c>
      <c r="C132" s="1018" t="s">
        <v>206</v>
      </c>
      <c r="D132" s="975"/>
      <c r="E132" s="975"/>
      <c r="F132" s="975"/>
      <c r="G132" s="975"/>
      <c r="H132" s="1019"/>
      <c r="I132" s="1101" t="s">
        <v>247</v>
      </c>
    </row>
    <row r="133" spans="1:13" ht="12.75" customHeight="1">
      <c r="A133" s="1107"/>
      <c r="B133" s="1099"/>
      <c r="C133" s="1309" t="s">
        <v>45</v>
      </c>
      <c r="D133" s="1155" t="s">
        <v>63</v>
      </c>
      <c r="E133" s="1346"/>
      <c r="F133" s="1346"/>
      <c r="G133" s="1346"/>
      <c r="H133" s="1347"/>
      <c r="I133" s="1258"/>
      <c r="J133" s="139"/>
      <c r="M133" s="141"/>
    </row>
    <row r="134" spans="1:13" ht="12.75">
      <c r="A134" s="1107"/>
      <c r="B134" s="1099"/>
      <c r="C134" s="1310"/>
      <c r="D134" s="227">
        <v>1</v>
      </c>
      <c r="E134" s="227">
        <v>2</v>
      </c>
      <c r="F134" s="227">
        <v>3</v>
      </c>
      <c r="G134" s="227">
        <v>4</v>
      </c>
      <c r="H134" s="228">
        <v>5</v>
      </c>
      <c r="I134" s="1259"/>
      <c r="J134" s="139"/>
      <c r="M134" s="141"/>
    </row>
    <row r="135" spans="1:13" s="139" customFormat="1" ht="18" customHeight="1" thickBot="1">
      <c r="A135" s="842">
        <v>33448</v>
      </c>
      <c r="B135" s="843">
        <v>976</v>
      </c>
      <c r="C135" s="844">
        <v>2200</v>
      </c>
      <c r="D135" s="843">
        <v>900</v>
      </c>
      <c r="E135" s="843">
        <v>1022</v>
      </c>
      <c r="F135" s="843">
        <v>200</v>
      </c>
      <c r="G135" s="843">
        <v>0</v>
      </c>
      <c r="H135" s="843">
        <v>78</v>
      </c>
      <c r="I135" s="845">
        <v>30272</v>
      </c>
      <c r="J135" s="846"/>
      <c r="K135" s="846"/>
      <c r="M135" s="141"/>
    </row>
    <row r="136" spans="10:13" ht="12.75">
      <c r="J136" s="139"/>
      <c r="M136" s="141"/>
    </row>
    <row r="137" spans="1:13" ht="16.5" thickBot="1">
      <c r="A137" s="184" t="s">
        <v>312</v>
      </c>
      <c r="J137" s="139"/>
      <c r="M137" s="141"/>
    </row>
    <row r="138" spans="1:12" ht="27" customHeight="1">
      <c r="A138" s="978" t="s">
        <v>64</v>
      </c>
      <c r="B138" s="1117" t="s">
        <v>163</v>
      </c>
      <c r="C138" s="974" t="s">
        <v>207</v>
      </c>
      <c r="D138" s="975"/>
      <c r="E138" s="975"/>
      <c r="F138" s="972"/>
      <c r="G138" s="977" t="s">
        <v>208</v>
      </c>
      <c r="H138" s="977" t="s">
        <v>65</v>
      </c>
      <c r="I138" s="974" t="s">
        <v>209</v>
      </c>
      <c r="J138" s="975"/>
      <c r="K138" s="975"/>
      <c r="L138" s="972"/>
    </row>
    <row r="139" spans="1:13" ht="21.75" customHeight="1" thickBot="1">
      <c r="A139" s="976"/>
      <c r="B139" s="1074"/>
      <c r="C139" s="45" t="s">
        <v>228</v>
      </c>
      <c r="D139" s="46" t="s">
        <v>66</v>
      </c>
      <c r="E139" s="46" t="s">
        <v>67</v>
      </c>
      <c r="F139" s="47" t="s">
        <v>68</v>
      </c>
      <c r="G139" s="973"/>
      <c r="H139" s="973"/>
      <c r="I139" s="72" t="s">
        <v>164</v>
      </c>
      <c r="J139" s="46" t="s">
        <v>66</v>
      </c>
      <c r="K139" s="46" t="s">
        <v>67</v>
      </c>
      <c r="L139" s="47" t="s">
        <v>165</v>
      </c>
      <c r="M139" s="141"/>
    </row>
    <row r="140" spans="1:13" s="139" customFormat="1" ht="12.75">
      <c r="A140" s="179" t="s">
        <v>69</v>
      </c>
      <c r="B140" s="213">
        <v>12340</v>
      </c>
      <c r="C140" s="214">
        <v>12340</v>
      </c>
      <c r="D140" s="215">
        <v>3747</v>
      </c>
      <c r="E140" s="215">
        <v>3735</v>
      </c>
      <c r="F140" s="216">
        <v>24293</v>
      </c>
      <c r="G140" s="217">
        <v>24293</v>
      </c>
      <c r="H140" s="229" t="s">
        <v>70</v>
      </c>
      <c r="I140" s="215" t="s">
        <v>70</v>
      </c>
      <c r="J140" s="215" t="s">
        <v>70</v>
      </c>
      <c r="K140" s="215" t="s">
        <v>70</v>
      </c>
      <c r="L140" s="847" t="s">
        <v>70</v>
      </c>
      <c r="M140" s="141"/>
    </row>
    <row r="141" spans="1:13" s="139" customFormat="1" ht="12.75">
      <c r="A141" s="180" t="s">
        <v>71</v>
      </c>
      <c r="B141" s="218">
        <v>0</v>
      </c>
      <c r="C141" s="219">
        <v>129</v>
      </c>
      <c r="D141" s="220">
        <v>0</v>
      </c>
      <c r="E141" s="220">
        <v>0</v>
      </c>
      <c r="F141" s="178">
        <v>129</v>
      </c>
      <c r="G141" s="221">
        <v>0</v>
      </c>
      <c r="H141" s="230">
        <v>-129</v>
      </c>
      <c r="I141" s="220">
        <v>129</v>
      </c>
      <c r="J141" s="926">
        <v>0</v>
      </c>
      <c r="K141" s="220">
        <v>0</v>
      </c>
      <c r="L141" s="927">
        <f>+I141+J141-K141</f>
        <v>129</v>
      </c>
      <c r="M141" s="141"/>
    </row>
    <row r="142" spans="1:13" s="139" customFormat="1" ht="12.75">
      <c r="A142" s="180" t="s">
        <v>72</v>
      </c>
      <c r="B142" s="218">
        <v>1930</v>
      </c>
      <c r="C142" s="219">
        <v>1930</v>
      </c>
      <c r="D142" s="220">
        <v>1595</v>
      </c>
      <c r="E142" s="220">
        <v>2352</v>
      </c>
      <c r="F142" s="178">
        <v>1173</v>
      </c>
      <c r="G142" s="221">
        <v>574</v>
      </c>
      <c r="H142" s="221">
        <v>-599</v>
      </c>
      <c r="I142" s="220">
        <v>1173</v>
      </c>
      <c r="J142" s="220">
        <v>2000</v>
      </c>
      <c r="K142" s="220">
        <v>2000</v>
      </c>
      <c r="L142" s="178">
        <v>1173</v>
      </c>
      <c r="M142" s="141"/>
    </row>
    <row r="143" spans="1:13" s="139" customFormat="1" ht="12.75">
      <c r="A143" s="180" t="s">
        <v>73</v>
      </c>
      <c r="B143" s="218">
        <v>10410</v>
      </c>
      <c r="C143" s="214">
        <v>10411</v>
      </c>
      <c r="D143" s="215">
        <v>3839</v>
      </c>
      <c r="E143" s="215">
        <v>3733</v>
      </c>
      <c r="F143" s="216">
        <v>23718</v>
      </c>
      <c r="G143" s="221">
        <v>23719</v>
      </c>
      <c r="H143" s="231" t="s">
        <v>70</v>
      </c>
      <c r="I143" s="215" t="s">
        <v>70</v>
      </c>
      <c r="J143" s="215" t="s">
        <v>70</v>
      </c>
      <c r="K143" s="215" t="s">
        <v>70</v>
      </c>
      <c r="L143" s="847" t="s">
        <v>70</v>
      </c>
      <c r="M143" s="141"/>
    </row>
    <row r="144" spans="1:13" s="139" customFormat="1" ht="12.75">
      <c r="A144" s="180" t="s">
        <v>74</v>
      </c>
      <c r="B144" s="218">
        <v>14</v>
      </c>
      <c r="C144" s="219">
        <v>112027</v>
      </c>
      <c r="D144" s="220">
        <v>39061</v>
      </c>
      <c r="E144" s="220">
        <v>135343</v>
      </c>
      <c r="F144" s="178">
        <v>15745</v>
      </c>
      <c r="G144" s="221">
        <v>587</v>
      </c>
      <c r="H144" s="230">
        <v>-15158</v>
      </c>
      <c r="I144" s="215">
        <v>15745</v>
      </c>
      <c r="J144" s="215">
        <f>+E151</f>
        <v>21338</v>
      </c>
      <c r="K144" s="215">
        <f>+E159</f>
        <v>37083.108</v>
      </c>
      <c r="L144" s="178">
        <f>+I144+J144-K144</f>
        <v>-0.10800000000017462</v>
      </c>
      <c r="M144" s="141"/>
    </row>
    <row r="145" spans="1:13" s="139" customFormat="1" ht="13.5" thickBot="1">
      <c r="A145" s="181" t="s">
        <v>75</v>
      </c>
      <c r="B145" s="222">
        <v>734</v>
      </c>
      <c r="C145" s="223">
        <v>3076</v>
      </c>
      <c r="D145" s="224">
        <v>4957</v>
      </c>
      <c r="E145" s="224">
        <v>4890</v>
      </c>
      <c r="F145" s="225">
        <v>3143</v>
      </c>
      <c r="G145" s="226">
        <v>2720</v>
      </c>
      <c r="H145" s="232">
        <v>-423</v>
      </c>
      <c r="I145" s="224">
        <f>+F145</f>
        <v>3143</v>
      </c>
      <c r="J145" s="224">
        <v>5005</v>
      </c>
      <c r="K145" s="224">
        <v>6860</v>
      </c>
      <c r="L145" s="225">
        <v>1345</v>
      </c>
      <c r="M145" s="141"/>
    </row>
    <row r="146" spans="1:13" s="139" customFormat="1" ht="13.5" thickBot="1">
      <c r="A146" s="182"/>
      <c r="B146" s="183"/>
      <c r="C146" s="183"/>
      <c r="D146" s="183"/>
      <c r="E146" s="140"/>
      <c r="F146" s="140"/>
      <c r="G146" s="140"/>
      <c r="H146" s="140"/>
      <c r="I146" s="140"/>
      <c r="J146" s="140"/>
      <c r="M146" s="141"/>
    </row>
    <row r="147" spans="1:12" ht="12.75" customHeight="1" thickBot="1">
      <c r="A147" s="1265" t="s">
        <v>76</v>
      </c>
      <c r="B147" s="1293"/>
      <c r="C147" s="267">
        <v>2004</v>
      </c>
      <c r="D147" s="50">
        <v>2005</v>
      </c>
      <c r="E147" s="51">
        <v>2006</v>
      </c>
      <c r="G147" s="111" t="s">
        <v>77</v>
      </c>
      <c r="H147" s="112"/>
      <c r="I147" s="112"/>
      <c r="J147" s="108">
        <v>2004</v>
      </c>
      <c r="K147" s="50">
        <v>2005</v>
      </c>
      <c r="L147" s="51">
        <v>2006</v>
      </c>
    </row>
    <row r="148" spans="1:12" ht="12.75" customHeight="1">
      <c r="A148" s="1267" t="s">
        <v>78</v>
      </c>
      <c r="B148" s="1268"/>
      <c r="C148" s="268">
        <v>109913</v>
      </c>
      <c r="D148" s="53">
        <v>112027</v>
      </c>
      <c r="E148" s="54">
        <v>15745</v>
      </c>
      <c r="G148" s="113" t="s">
        <v>79</v>
      </c>
      <c r="H148" s="109"/>
      <c r="I148" s="110"/>
      <c r="J148" s="104">
        <v>1664</v>
      </c>
      <c r="K148" s="84">
        <v>1930</v>
      </c>
      <c r="L148" s="54">
        <v>1173</v>
      </c>
    </row>
    <row r="149" spans="1:12" ht="12.75" customHeight="1">
      <c r="A149" s="1254" t="s">
        <v>244</v>
      </c>
      <c r="B149" s="1255"/>
      <c r="C149" s="268"/>
      <c r="D149" s="53"/>
      <c r="E149" s="54">
        <v>19433</v>
      </c>
      <c r="G149" s="114" t="s">
        <v>66</v>
      </c>
      <c r="H149" s="106"/>
      <c r="I149" s="107"/>
      <c r="J149" s="105">
        <v>406</v>
      </c>
      <c r="K149" s="83">
        <v>1595</v>
      </c>
      <c r="L149" s="54">
        <v>2000</v>
      </c>
    </row>
    <row r="150" spans="1:12" ht="12.75">
      <c r="A150" s="1254" t="s">
        <v>245</v>
      </c>
      <c r="B150" s="1255"/>
      <c r="C150" s="269"/>
      <c r="D150" s="49"/>
      <c r="E150" s="367">
        <v>4425</v>
      </c>
      <c r="G150" s="114" t="s">
        <v>81</v>
      </c>
      <c r="H150" s="106"/>
      <c r="I150" s="107"/>
      <c r="J150" s="105"/>
      <c r="K150" s="83">
        <v>0</v>
      </c>
      <c r="L150" s="54">
        <v>0</v>
      </c>
    </row>
    <row r="151" spans="1:12" ht="12.75">
      <c r="A151" s="1201" t="s">
        <v>66</v>
      </c>
      <c r="B151" s="1264"/>
      <c r="C151" s="839">
        <v>31864</v>
      </c>
      <c r="D151" s="594">
        <v>39061</v>
      </c>
      <c r="E151" s="596">
        <v>21338</v>
      </c>
      <c r="G151" s="114" t="s">
        <v>82</v>
      </c>
      <c r="H151" s="106"/>
      <c r="I151" s="107"/>
      <c r="J151" s="105">
        <v>406</v>
      </c>
      <c r="K151" s="83">
        <v>1595</v>
      </c>
      <c r="L151" s="54">
        <v>2000</v>
      </c>
    </row>
    <row r="152" spans="1:12" ht="12.75">
      <c r="A152" s="1254" t="s">
        <v>80</v>
      </c>
      <c r="B152" s="1255"/>
      <c r="C152" s="269">
        <v>2137</v>
      </c>
      <c r="D152" s="49">
        <v>1758</v>
      </c>
      <c r="E152" s="367">
        <v>2200</v>
      </c>
      <c r="G152" s="114" t="s">
        <v>67</v>
      </c>
      <c r="H152" s="106"/>
      <c r="I152" s="107"/>
      <c r="J152" s="105">
        <v>140</v>
      </c>
      <c r="K152" s="83">
        <v>2352</v>
      </c>
      <c r="L152" s="54">
        <v>2000</v>
      </c>
    </row>
    <row r="153" spans="1:12" ht="12.75">
      <c r="A153" s="1254" t="s">
        <v>242</v>
      </c>
      <c r="B153" s="1255"/>
      <c r="C153" s="269">
        <v>20765</v>
      </c>
      <c r="D153" s="49">
        <v>35293</v>
      </c>
      <c r="E153" s="367">
        <v>13800</v>
      </c>
      <c r="G153" s="114" t="s">
        <v>85</v>
      </c>
      <c r="H153" s="106"/>
      <c r="I153" s="107"/>
      <c r="J153" s="105">
        <v>140</v>
      </c>
      <c r="K153" s="83">
        <v>2352</v>
      </c>
      <c r="L153" s="54">
        <v>2000</v>
      </c>
    </row>
    <row r="154" spans="1:12" ht="12.75">
      <c r="A154" s="1254" t="s">
        <v>241</v>
      </c>
      <c r="B154" s="1255"/>
      <c r="C154" s="269"/>
      <c r="D154" s="49"/>
      <c r="E154" s="367">
        <v>0</v>
      </c>
      <c r="G154" s="114" t="s">
        <v>86</v>
      </c>
      <c r="H154" s="106"/>
      <c r="I154" s="107"/>
      <c r="J154" s="105"/>
      <c r="K154" s="83"/>
      <c r="L154" s="54">
        <v>0</v>
      </c>
    </row>
    <row r="155" spans="1:12" ht="13.5" thickBot="1">
      <c r="A155" s="1254" t="s">
        <v>83</v>
      </c>
      <c r="B155" s="1255"/>
      <c r="C155" s="269">
        <v>8921</v>
      </c>
      <c r="D155" s="49">
        <v>1940</v>
      </c>
      <c r="E155" s="367">
        <v>0</v>
      </c>
      <c r="G155" s="118" t="s">
        <v>87</v>
      </c>
      <c r="H155" s="119"/>
      <c r="I155" s="120"/>
      <c r="J155" s="121">
        <v>1930</v>
      </c>
      <c r="K155" s="117">
        <v>1173</v>
      </c>
      <c r="L155" s="599">
        <v>1173</v>
      </c>
    </row>
    <row r="156" spans="1:10" ht="12.75">
      <c r="A156" s="1254" t="s">
        <v>234</v>
      </c>
      <c r="B156" s="1255"/>
      <c r="C156" s="269"/>
      <c r="D156" s="49"/>
      <c r="E156" s="367">
        <v>0</v>
      </c>
      <c r="F156" s="139"/>
      <c r="G156" s="139"/>
      <c r="H156" s="139"/>
      <c r="I156" s="139"/>
      <c r="J156" s="139"/>
    </row>
    <row r="157" spans="1:10" ht="12.75">
      <c r="A157" s="1254" t="s">
        <v>82</v>
      </c>
      <c r="B157" s="1255"/>
      <c r="C157" s="269">
        <v>41</v>
      </c>
      <c r="D157" s="49">
        <v>70</v>
      </c>
      <c r="E157" s="367">
        <v>5338</v>
      </c>
      <c r="F157" s="139"/>
      <c r="G157" s="139"/>
      <c r="H157" s="139"/>
      <c r="I157" s="139"/>
      <c r="J157" s="139"/>
    </row>
    <row r="158" spans="1:10" ht="12.75">
      <c r="A158" s="1254" t="s">
        <v>84</v>
      </c>
      <c r="B158" s="1255"/>
      <c r="C158" s="269"/>
      <c r="D158" s="49"/>
      <c r="E158" s="367"/>
      <c r="F158" s="139"/>
      <c r="G158" s="139"/>
      <c r="H158" s="139"/>
      <c r="I158" s="139"/>
      <c r="J158" s="139"/>
    </row>
    <row r="159" spans="1:10" ht="12.75">
      <c r="A159" s="1201" t="s">
        <v>67</v>
      </c>
      <c r="B159" s="1264"/>
      <c r="C159" s="839">
        <v>29750</v>
      </c>
      <c r="D159" s="594">
        <v>135343</v>
      </c>
      <c r="E159" s="596">
        <v>37083.108</v>
      </c>
      <c r="F159" s="139"/>
      <c r="G159" s="139"/>
      <c r="H159" s="139"/>
      <c r="I159" s="139"/>
      <c r="J159" s="139"/>
    </row>
    <row r="160" spans="1:10" ht="12.75">
      <c r="A160" s="1254" t="s">
        <v>236</v>
      </c>
      <c r="B160" s="1255"/>
      <c r="C160" s="269">
        <v>16412</v>
      </c>
      <c r="D160" s="49">
        <f>+D159-D161-D166-D167-D168-D164</f>
        <v>5530.469999999992</v>
      </c>
      <c r="E160" s="367">
        <f>18833.108+349.825</f>
        <v>19182.933</v>
      </c>
      <c r="F160" s="139"/>
      <c r="G160" s="139"/>
      <c r="H160" s="139"/>
      <c r="I160" s="139"/>
      <c r="J160" s="139"/>
    </row>
    <row r="161" spans="1:10" ht="12.75">
      <c r="A161" s="1254" t="s">
        <v>237</v>
      </c>
      <c r="B161" s="1255"/>
      <c r="C161" s="269">
        <v>13338</v>
      </c>
      <c r="D161" s="49">
        <v>7210.75</v>
      </c>
      <c r="E161" s="367">
        <v>13712.382</v>
      </c>
      <c r="F161" s="139"/>
      <c r="G161" s="139"/>
      <c r="H161" s="139"/>
      <c r="I161" s="139"/>
      <c r="J161" s="139"/>
    </row>
    <row r="162" spans="1:10" ht="12.75">
      <c r="A162" s="1254" t="s">
        <v>238</v>
      </c>
      <c r="B162" s="1255"/>
      <c r="C162" s="269"/>
      <c r="D162" s="49"/>
      <c r="E162" s="367">
        <v>0</v>
      </c>
      <c r="F162" s="139"/>
      <c r="G162" s="139"/>
      <c r="H162" s="139"/>
      <c r="I162" s="139"/>
      <c r="J162" s="139"/>
    </row>
    <row r="163" spans="1:7" s="139" customFormat="1" ht="12.75">
      <c r="A163" s="1254" t="s">
        <v>235</v>
      </c>
      <c r="B163" s="1255"/>
      <c r="C163" s="269"/>
      <c r="D163" s="49"/>
      <c r="E163" s="367">
        <v>600</v>
      </c>
      <c r="G163" s="933"/>
    </row>
    <row r="164" spans="1:5" s="139" customFormat="1" ht="12.75">
      <c r="A164" s="1254" t="s">
        <v>239</v>
      </c>
      <c r="B164" s="1255"/>
      <c r="C164" s="269"/>
      <c r="D164" s="49">
        <v>5058.74</v>
      </c>
      <c r="E164" s="367">
        <v>87.618</v>
      </c>
    </row>
    <row r="165" spans="1:5" s="139" customFormat="1" ht="12.75">
      <c r="A165" s="1254" t="s">
        <v>240</v>
      </c>
      <c r="B165" s="1255"/>
      <c r="C165" s="269"/>
      <c r="D165" s="49"/>
      <c r="E165" s="367">
        <v>0</v>
      </c>
    </row>
    <row r="166" spans="1:5" s="139" customFormat="1" ht="12.75">
      <c r="A166" s="1254" t="s">
        <v>148</v>
      </c>
      <c r="B166" s="1255"/>
      <c r="C166" s="269"/>
      <c r="D166" s="49">
        <v>3463</v>
      </c>
      <c r="E166" s="367">
        <v>3850</v>
      </c>
    </row>
    <row r="167" spans="1:5" s="139" customFormat="1" ht="12.75">
      <c r="A167" s="1254" t="s">
        <v>537</v>
      </c>
      <c r="B167" s="1255"/>
      <c r="C167" s="269"/>
      <c r="D167" s="49">
        <v>4425</v>
      </c>
      <c r="E167" s="367"/>
    </row>
    <row r="168" spans="1:5" s="139" customFormat="1" ht="13.5" thickBot="1">
      <c r="A168" s="835" t="s">
        <v>308</v>
      </c>
      <c r="B168" s="849"/>
      <c r="C168" s="932"/>
      <c r="D168" s="211">
        <f>+D37-C38</f>
        <v>109655.04000000001</v>
      </c>
      <c r="E168" s="212"/>
    </row>
    <row r="169" spans="1:8" s="139" customFormat="1" ht="13.5" thickBot="1">
      <c r="A169" s="1344" t="s">
        <v>87</v>
      </c>
      <c r="B169" s="1345"/>
      <c r="C169" s="270">
        <v>112027</v>
      </c>
      <c r="D169" s="271">
        <v>15745</v>
      </c>
      <c r="E169" s="850">
        <f>+E148+E151-E159</f>
        <v>-0.10800000000017462</v>
      </c>
      <c r="F169" s="140"/>
      <c r="G169" s="140"/>
      <c r="H169" s="140"/>
    </row>
    <row r="170" spans="1:4" ht="12.75">
      <c r="A170" s="182"/>
      <c r="B170" s="183"/>
      <c r="C170" s="183"/>
      <c r="D170" s="183"/>
    </row>
    <row r="171" spans="5:13" ht="12.75">
      <c r="E171" s="183"/>
      <c r="F171" s="183"/>
      <c r="G171" s="183"/>
      <c r="H171" s="183"/>
      <c r="I171" s="183"/>
      <c r="J171" s="183"/>
      <c r="K171" s="183"/>
      <c r="L171" s="183"/>
      <c r="M171" s="183"/>
    </row>
    <row r="172" ht="16.5" thickBot="1">
      <c r="A172" s="184" t="s">
        <v>313</v>
      </c>
    </row>
    <row r="173" spans="1:8" ht="12.75">
      <c r="A173" s="1304" t="s">
        <v>201</v>
      </c>
      <c r="B173" s="78" t="s">
        <v>202</v>
      </c>
      <c r="C173" s="1351" t="s">
        <v>204</v>
      </c>
      <c r="D173" s="975"/>
      <c r="E173" s="975"/>
      <c r="F173" s="975"/>
      <c r="G173" s="1019"/>
      <c r="H173" s="124"/>
    </row>
    <row r="174" spans="1:13" ht="13.5" thickBot="1">
      <c r="A174" s="1305"/>
      <c r="B174" s="851" t="s">
        <v>203</v>
      </c>
      <c r="C174" s="122" t="s">
        <v>88</v>
      </c>
      <c r="D174" s="123" t="s">
        <v>89</v>
      </c>
      <c r="E174" s="123" t="s">
        <v>90</v>
      </c>
      <c r="F174" s="123" t="s">
        <v>91</v>
      </c>
      <c r="G174" s="123" t="s">
        <v>92</v>
      </c>
      <c r="H174" s="125" t="s">
        <v>45</v>
      </c>
      <c r="I174" s="183"/>
      <c r="J174" s="138"/>
      <c r="K174" s="138"/>
      <c r="L174" s="138"/>
      <c r="M174" s="141"/>
    </row>
    <row r="175" spans="1:13" ht="12.75">
      <c r="A175" s="280" t="s">
        <v>93</v>
      </c>
      <c r="B175" s="209">
        <v>63335</v>
      </c>
      <c r="C175" s="53">
        <v>31449</v>
      </c>
      <c r="D175" s="53">
        <v>29326</v>
      </c>
      <c r="E175" s="53">
        <v>151</v>
      </c>
      <c r="F175" s="53">
        <v>124</v>
      </c>
      <c r="G175" s="209">
        <v>2285</v>
      </c>
      <c r="H175" s="54">
        <v>125821</v>
      </c>
      <c r="I175" s="183"/>
      <c r="J175" s="138"/>
      <c r="K175" s="138"/>
      <c r="L175" s="138"/>
      <c r="M175" s="141"/>
    </row>
    <row r="176" spans="1:13" ht="14.25" customHeight="1" thickBot="1">
      <c r="A176" s="281" t="s">
        <v>540</v>
      </c>
      <c r="B176" s="210">
        <v>133075</v>
      </c>
      <c r="C176" s="211">
        <v>26140</v>
      </c>
      <c r="D176" s="211">
        <v>29832</v>
      </c>
      <c r="E176" s="211">
        <v>30462</v>
      </c>
      <c r="F176" s="211">
        <v>46554</v>
      </c>
      <c r="G176" s="210">
        <v>87</v>
      </c>
      <c r="H176" s="212">
        <v>188840</v>
      </c>
      <c r="I176" s="183"/>
      <c r="J176" s="138"/>
      <c r="K176" s="138"/>
      <c r="L176" s="138"/>
      <c r="M176" s="141"/>
    </row>
    <row r="177" spans="9:13" ht="14.25" customHeight="1" thickBot="1">
      <c r="I177" s="183"/>
      <c r="J177" s="138"/>
      <c r="K177" s="138"/>
      <c r="L177" s="138"/>
      <c r="M177" s="141"/>
    </row>
    <row r="178" spans="1:13" ht="13.5" thickBot="1">
      <c r="A178" s="1111" t="s">
        <v>94</v>
      </c>
      <c r="B178" s="1306"/>
      <c r="C178" s="1116" t="s">
        <v>95</v>
      </c>
      <c r="D178" s="1327"/>
      <c r="E178" s="1327"/>
      <c r="F178" s="1327"/>
      <c r="G178" s="1327"/>
      <c r="H178" s="1116" t="s">
        <v>96</v>
      </c>
      <c r="I178" s="1327"/>
      <c r="J178" s="1327" t="s">
        <v>96</v>
      </c>
      <c r="K178" s="1327"/>
      <c r="L178" s="1328"/>
      <c r="M178"/>
    </row>
    <row r="179" spans="1:13" ht="13.5" thickBot="1">
      <c r="A179" s="1307"/>
      <c r="B179" s="1308"/>
      <c r="C179" s="58">
        <v>2002</v>
      </c>
      <c r="D179" s="43">
        <v>2003</v>
      </c>
      <c r="E179" s="44">
        <v>2004</v>
      </c>
      <c r="F179" s="44">
        <v>2005</v>
      </c>
      <c r="G179" s="59" t="s">
        <v>7</v>
      </c>
      <c r="H179" s="85">
        <v>2002</v>
      </c>
      <c r="I179" s="86">
        <v>2003</v>
      </c>
      <c r="J179" s="86">
        <v>2004</v>
      </c>
      <c r="K179" s="86">
        <v>2005</v>
      </c>
      <c r="L179" s="60" t="s">
        <v>7</v>
      </c>
      <c r="M179" s="138"/>
    </row>
    <row r="180" spans="1:13" ht="12.75">
      <c r="A180" s="1302" t="s">
        <v>97</v>
      </c>
      <c r="B180" s="1303"/>
      <c r="C180" s="185">
        <v>124</v>
      </c>
      <c r="D180" s="186">
        <v>124</v>
      </c>
      <c r="E180" s="188">
        <v>124</v>
      </c>
      <c r="F180" s="188">
        <v>124</v>
      </c>
      <c r="G180" s="187">
        <v>0</v>
      </c>
      <c r="H180" s="189">
        <v>83.31951545299617</v>
      </c>
      <c r="I180" s="190">
        <v>79.9</v>
      </c>
      <c r="J180" s="190">
        <v>82.34</v>
      </c>
      <c r="K180" s="206">
        <v>73.98854238648269</v>
      </c>
      <c r="L180" s="191">
        <v>-8.351457613517312</v>
      </c>
      <c r="M180" s="138"/>
    </row>
    <row r="181" spans="1:13" ht="12.75">
      <c r="A181" s="1262" t="s">
        <v>98</v>
      </c>
      <c r="B181" s="1263"/>
      <c r="C181" s="192">
        <v>40</v>
      </c>
      <c r="D181" s="193">
        <v>40</v>
      </c>
      <c r="E181" s="194">
        <v>40</v>
      </c>
      <c r="F181" s="194">
        <v>40</v>
      </c>
      <c r="G181" s="187">
        <v>0</v>
      </c>
      <c r="H181" s="195">
        <v>82.24159402241594</v>
      </c>
      <c r="I181" s="196">
        <v>79.1</v>
      </c>
      <c r="J181" s="196">
        <v>70.56</v>
      </c>
      <c r="K181" s="207">
        <v>62.690677966101696</v>
      </c>
      <c r="L181" s="197">
        <v>-7.869322033898307</v>
      </c>
      <c r="M181" s="138"/>
    </row>
    <row r="182" spans="1:13" ht="12.75">
      <c r="A182" s="1262" t="s">
        <v>99</v>
      </c>
      <c r="B182" s="1263"/>
      <c r="C182" s="192">
        <v>30</v>
      </c>
      <c r="D182" s="193">
        <v>30</v>
      </c>
      <c r="E182" s="194">
        <v>30</v>
      </c>
      <c r="F182" s="194">
        <v>30</v>
      </c>
      <c r="G182" s="187">
        <v>0</v>
      </c>
      <c r="H182" s="195">
        <v>78.62324316155357</v>
      </c>
      <c r="I182" s="196">
        <v>77.4</v>
      </c>
      <c r="J182" s="196">
        <v>85.97</v>
      </c>
      <c r="K182" s="207">
        <v>69.00469483568075</v>
      </c>
      <c r="L182" s="197">
        <v>-16.965305164319247</v>
      </c>
      <c r="M182" s="138"/>
    </row>
    <row r="183" spans="1:13" ht="12.75">
      <c r="A183" s="1262" t="s">
        <v>100</v>
      </c>
      <c r="B183" s="1263"/>
      <c r="C183" s="192">
        <v>47</v>
      </c>
      <c r="D183" s="193">
        <v>47</v>
      </c>
      <c r="E183" s="194">
        <v>50</v>
      </c>
      <c r="F183" s="194">
        <v>50</v>
      </c>
      <c r="G183" s="187">
        <v>0</v>
      </c>
      <c r="H183" s="195">
        <v>83.63470319634703</v>
      </c>
      <c r="I183" s="196">
        <v>85.7</v>
      </c>
      <c r="J183" s="196">
        <v>99.45</v>
      </c>
      <c r="K183" s="207">
        <v>97.21103742302226</v>
      </c>
      <c r="L183" s="197">
        <v>-2.238962576977741</v>
      </c>
      <c r="M183" s="138"/>
    </row>
    <row r="184" spans="1:13" ht="12.75">
      <c r="A184" s="1262" t="s">
        <v>101</v>
      </c>
      <c r="B184" s="1263"/>
      <c r="C184" s="192"/>
      <c r="D184" s="198"/>
      <c r="E184" s="194"/>
      <c r="F184" s="194"/>
      <c r="G184" s="187">
        <v>0</v>
      </c>
      <c r="H184" s="195"/>
      <c r="I184" s="196"/>
      <c r="J184" s="196"/>
      <c r="K184" s="207"/>
      <c r="L184" s="197">
        <v>0</v>
      </c>
      <c r="M184" s="138"/>
    </row>
    <row r="185" spans="1:13" ht="12.75">
      <c r="A185" s="1262" t="s">
        <v>102</v>
      </c>
      <c r="B185" s="1263"/>
      <c r="C185" s="192">
        <v>66</v>
      </c>
      <c r="D185" s="193">
        <v>66</v>
      </c>
      <c r="E185" s="194">
        <v>66</v>
      </c>
      <c r="F185" s="194">
        <v>66</v>
      </c>
      <c r="G185" s="187">
        <v>0</v>
      </c>
      <c r="H185" s="195">
        <v>82.34401447498979</v>
      </c>
      <c r="I185" s="196">
        <v>86.5</v>
      </c>
      <c r="J185" s="196">
        <v>94</v>
      </c>
      <c r="K185" s="207">
        <v>98.4274898078043</v>
      </c>
      <c r="L185" s="197">
        <v>4.427489807804307</v>
      </c>
      <c r="M185" s="138"/>
    </row>
    <row r="186" spans="1:13" ht="12.75">
      <c r="A186" s="1262" t="s">
        <v>103</v>
      </c>
      <c r="B186" s="1263"/>
      <c r="C186" s="192">
        <v>65</v>
      </c>
      <c r="D186" s="193">
        <v>54</v>
      </c>
      <c r="E186" s="194">
        <v>60</v>
      </c>
      <c r="F186" s="194">
        <v>60</v>
      </c>
      <c r="G186" s="187">
        <v>0</v>
      </c>
      <c r="H186" s="195">
        <v>75.23038605230387</v>
      </c>
      <c r="I186" s="196">
        <v>66.1</v>
      </c>
      <c r="J186" s="196">
        <v>71.43</v>
      </c>
      <c r="K186" s="207">
        <v>78.95365504061157</v>
      </c>
      <c r="L186" s="197">
        <v>7.523655040611558</v>
      </c>
      <c r="M186" s="138"/>
    </row>
    <row r="187" spans="1:13" ht="12.75">
      <c r="A187" s="1262" t="s">
        <v>104</v>
      </c>
      <c r="B187" s="1263"/>
      <c r="C187" s="192">
        <v>100</v>
      </c>
      <c r="D187" s="193">
        <v>107</v>
      </c>
      <c r="E187" s="194">
        <v>107</v>
      </c>
      <c r="F187" s="194">
        <v>107</v>
      </c>
      <c r="G187" s="187">
        <v>0</v>
      </c>
      <c r="H187" s="195">
        <v>56.52707739530805</v>
      </c>
      <c r="I187" s="196">
        <v>84.8</v>
      </c>
      <c r="J187" s="196">
        <v>86.17</v>
      </c>
      <c r="K187" s="207">
        <v>84.56567580436705</v>
      </c>
      <c r="L187" s="197">
        <v>-1.6043241956329553</v>
      </c>
      <c r="M187" s="138"/>
    </row>
    <row r="188" spans="1:13" ht="12.75">
      <c r="A188" s="1262" t="s">
        <v>105</v>
      </c>
      <c r="B188" s="1263"/>
      <c r="C188" s="192">
        <v>4</v>
      </c>
      <c r="D188" s="193">
        <v>5</v>
      </c>
      <c r="E188" s="194">
        <v>5</v>
      </c>
      <c r="F188" s="194">
        <v>5</v>
      </c>
      <c r="G188" s="187">
        <v>0</v>
      </c>
      <c r="H188" s="195">
        <v>91.12747875354108</v>
      </c>
      <c r="I188" s="196">
        <v>83.3</v>
      </c>
      <c r="J188" s="196">
        <v>88.03</v>
      </c>
      <c r="K188" s="207">
        <v>88.76712328767124</v>
      </c>
      <c r="L188" s="197">
        <v>0.7371232876712384</v>
      </c>
      <c r="M188" s="138"/>
    </row>
    <row r="189" spans="1:13" ht="12.75">
      <c r="A189" s="1262" t="s">
        <v>106</v>
      </c>
      <c r="B189" s="1263"/>
      <c r="C189" s="192">
        <v>20</v>
      </c>
      <c r="D189" s="193">
        <v>20</v>
      </c>
      <c r="E189" s="194">
        <v>26</v>
      </c>
      <c r="F189" s="194">
        <v>26</v>
      </c>
      <c r="G189" s="187">
        <v>0</v>
      </c>
      <c r="H189" s="195">
        <v>77.87671232876713</v>
      </c>
      <c r="I189" s="196">
        <v>100</v>
      </c>
      <c r="J189" s="196">
        <v>106.73</v>
      </c>
      <c r="K189" s="207">
        <v>106.8169014084507</v>
      </c>
      <c r="L189" s="197">
        <v>0.08690140845070005</v>
      </c>
      <c r="M189" s="138"/>
    </row>
    <row r="190" spans="1:13" ht="12.75">
      <c r="A190" s="1262" t="s">
        <v>107</v>
      </c>
      <c r="B190" s="1263"/>
      <c r="C190" s="192">
        <v>20</v>
      </c>
      <c r="D190" s="193">
        <v>17</v>
      </c>
      <c r="E190" s="194">
        <v>20</v>
      </c>
      <c r="F190" s="194">
        <v>20</v>
      </c>
      <c r="G190" s="187">
        <v>0</v>
      </c>
      <c r="H190" s="195">
        <v>97.6923076923077</v>
      </c>
      <c r="I190" s="196">
        <v>76.7</v>
      </c>
      <c r="J190" s="196">
        <v>74.24</v>
      </c>
      <c r="K190" s="207">
        <v>74.80337078651685</v>
      </c>
      <c r="L190" s="197">
        <v>0.563370786516856</v>
      </c>
      <c r="M190" s="138"/>
    </row>
    <row r="191" spans="1:13" ht="12.75">
      <c r="A191" s="1262" t="s">
        <v>108</v>
      </c>
      <c r="B191" s="1263"/>
      <c r="C191" s="192">
        <v>30</v>
      </c>
      <c r="D191" s="193">
        <v>30</v>
      </c>
      <c r="E191" s="194">
        <v>30</v>
      </c>
      <c r="F191" s="194">
        <v>30</v>
      </c>
      <c r="G191" s="187">
        <v>0</v>
      </c>
      <c r="H191" s="195">
        <v>76.58904109589041</v>
      </c>
      <c r="I191" s="196">
        <v>86.6</v>
      </c>
      <c r="J191" s="196">
        <v>79.36</v>
      </c>
      <c r="K191" s="207">
        <v>73.1324200913242</v>
      </c>
      <c r="L191" s="197">
        <v>-6.227579908675793</v>
      </c>
      <c r="M191" s="138"/>
    </row>
    <row r="192" spans="1:13" ht="12.75">
      <c r="A192" s="1262" t="s">
        <v>109</v>
      </c>
      <c r="B192" s="1263"/>
      <c r="C192" s="192">
        <v>20</v>
      </c>
      <c r="D192" s="193">
        <v>20</v>
      </c>
      <c r="E192" s="194">
        <v>20</v>
      </c>
      <c r="F192" s="194">
        <v>20</v>
      </c>
      <c r="G192" s="187">
        <v>0</v>
      </c>
      <c r="H192" s="195">
        <v>88.34703196347033</v>
      </c>
      <c r="I192" s="196">
        <v>76.5</v>
      </c>
      <c r="J192" s="196">
        <v>82.21</v>
      </c>
      <c r="K192" s="207">
        <v>85.50964187327824</v>
      </c>
      <c r="L192" s="197">
        <v>3.2996418732782473</v>
      </c>
      <c r="M192" s="138"/>
    </row>
    <row r="193" spans="1:13" ht="12.75">
      <c r="A193" s="1262" t="s">
        <v>110</v>
      </c>
      <c r="B193" s="1263"/>
      <c r="C193" s="192">
        <v>20</v>
      </c>
      <c r="D193" s="193">
        <v>20</v>
      </c>
      <c r="E193" s="194">
        <v>20</v>
      </c>
      <c r="F193" s="194">
        <v>20</v>
      </c>
      <c r="G193" s="187">
        <v>0</v>
      </c>
      <c r="H193" s="195">
        <v>81.71787709497207</v>
      </c>
      <c r="I193" s="196">
        <v>77.6</v>
      </c>
      <c r="J193" s="196">
        <v>77.98</v>
      </c>
      <c r="K193" s="207">
        <v>74.92937853107344</v>
      </c>
      <c r="L193" s="197">
        <v>-3.0506214689265647</v>
      </c>
      <c r="M193" s="138"/>
    </row>
    <row r="194" spans="1:13" ht="12.75">
      <c r="A194" s="1262" t="s">
        <v>111</v>
      </c>
      <c r="B194" s="1263"/>
      <c r="C194" s="192">
        <v>52</v>
      </c>
      <c r="D194" s="193">
        <v>52</v>
      </c>
      <c r="E194" s="194">
        <v>52</v>
      </c>
      <c r="F194" s="194">
        <v>52</v>
      </c>
      <c r="G194" s="187">
        <v>0</v>
      </c>
      <c r="H194" s="195">
        <v>84.1501416430595</v>
      </c>
      <c r="I194" s="196">
        <v>73.8</v>
      </c>
      <c r="J194" s="196">
        <v>83.05</v>
      </c>
      <c r="K194" s="207">
        <v>79.5857356395473</v>
      </c>
      <c r="L194" s="197">
        <v>-3.4642643604527024</v>
      </c>
      <c r="M194" s="138"/>
    </row>
    <row r="195" spans="1:13" ht="12.75">
      <c r="A195" s="1262" t="s">
        <v>112</v>
      </c>
      <c r="B195" s="1263"/>
      <c r="C195" s="192">
        <v>20</v>
      </c>
      <c r="D195" s="193">
        <v>20</v>
      </c>
      <c r="E195" s="194">
        <v>20</v>
      </c>
      <c r="F195" s="194">
        <v>20</v>
      </c>
      <c r="G195" s="187">
        <v>0</v>
      </c>
      <c r="H195" s="195">
        <v>83.64075067024129</v>
      </c>
      <c r="I195" s="196">
        <v>85</v>
      </c>
      <c r="J195" s="196">
        <v>88.48</v>
      </c>
      <c r="K195" s="207">
        <v>86.0923076923077</v>
      </c>
      <c r="L195" s="197">
        <v>-2.387692307692305</v>
      </c>
      <c r="M195" s="138"/>
    </row>
    <row r="196" spans="1:13" ht="12.75">
      <c r="A196" s="1262" t="s">
        <v>113</v>
      </c>
      <c r="B196" s="1263"/>
      <c r="C196" s="192">
        <v>88</v>
      </c>
      <c r="D196" s="193">
        <v>88</v>
      </c>
      <c r="E196" s="194">
        <v>88</v>
      </c>
      <c r="F196" s="194">
        <v>88</v>
      </c>
      <c r="G196" s="187">
        <v>0</v>
      </c>
      <c r="H196" s="195">
        <v>90.84569732937685</v>
      </c>
      <c r="I196" s="196">
        <v>84.3</v>
      </c>
      <c r="J196" s="196">
        <v>85.64</v>
      </c>
      <c r="K196" s="207">
        <v>80.971919476856</v>
      </c>
      <c r="L196" s="197">
        <v>-4.668080523143999</v>
      </c>
      <c r="M196" s="138"/>
    </row>
    <row r="197" spans="1:13" ht="13.5" thickBot="1">
      <c r="A197" s="1271" t="s">
        <v>114</v>
      </c>
      <c r="B197" s="1272"/>
      <c r="C197" s="199"/>
      <c r="D197" s="200"/>
      <c r="E197" s="201"/>
      <c r="F197" s="201"/>
      <c r="G197" s="202">
        <v>0</v>
      </c>
      <c r="H197" s="203"/>
      <c r="I197" s="204"/>
      <c r="J197" s="204"/>
      <c r="K197" s="208"/>
      <c r="L197" s="205">
        <v>0</v>
      </c>
      <c r="M197" s="138"/>
    </row>
    <row r="198" spans="1:13" ht="13.5" thickBot="1">
      <c r="A198" s="1211" t="s">
        <v>4</v>
      </c>
      <c r="B198" s="1212"/>
      <c r="C198" s="73">
        <v>746</v>
      </c>
      <c r="D198" s="74">
        <v>740</v>
      </c>
      <c r="E198" s="62">
        <v>758</v>
      </c>
      <c r="F198" s="62">
        <v>758</v>
      </c>
      <c r="G198" s="61">
        <v>0</v>
      </c>
      <c r="H198" s="87">
        <v>81.4720754802294</v>
      </c>
      <c r="I198" s="88">
        <v>81.3</v>
      </c>
      <c r="J198" s="137">
        <v>84.57</v>
      </c>
      <c r="K198" s="137">
        <v>81.01</v>
      </c>
      <c r="L198" s="89">
        <v>-3.559999999999988</v>
      </c>
      <c r="M198"/>
    </row>
    <row r="199" ht="13.5" thickBot="1"/>
    <row r="200" spans="1:12" s="176" customFormat="1" ht="18.75" customHeight="1">
      <c r="A200" s="1273" t="s">
        <v>115</v>
      </c>
      <c r="B200" s="1274"/>
      <c r="C200" s="1025" t="s">
        <v>117</v>
      </c>
      <c r="D200" s="1329"/>
      <c r="E200" s="1329"/>
      <c r="F200" s="1329"/>
      <c r="G200" s="1025" t="s">
        <v>200</v>
      </c>
      <c r="H200" s="1329"/>
      <c r="I200" s="1329"/>
      <c r="J200" s="1330"/>
      <c r="K200" s="1025" t="s">
        <v>118</v>
      </c>
      <c r="L200" s="1331"/>
    </row>
    <row r="201" spans="1:12" s="176" customFormat="1" ht="39.75" customHeight="1" thickBot="1">
      <c r="A201" s="1275"/>
      <c r="B201" s="1276"/>
      <c r="C201" s="236" t="s">
        <v>119</v>
      </c>
      <c r="D201" s="1023" t="s">
        <v>120</v>
      </c>
      <c r="E201" s="1332"/>
      <c r="F201" s="236" t="s">
        <v>121</v>
      </c>
      <c r="G201" s="238" t="s">
        <v>119</v>
      </c>
      <c r="H201" s="1023" t="s">
        <v>120</v>
      </c>
      <c r="I201" s="1332"/>
      <c r="J201" s="237" t="s">
        <v>121</v>
      </c>
      <c r="K201" s="1332"/>
      <c r="L201" s="1333"/>
    </row>
    <row r="202" spans="1:12" s="255" customFormat="1" ht="22.5" customHeight="1">
      <c r="A202" s="1260" t="s">
        <v>122</v>
      </c>
      <c r="B202" s="1261"/>
      <c r="C202" s="246">
        <v>137.71</v>
      </c>
      <c r="D202" s="1334">
        <v>55432808</v>
      </c>
      <c r="E202" s="1335"/>
      <c r="F202" s="247">
        <v>33544.40974995764</v>
      </c>
      <c r="G202" s="246">
        <v>140.62</v>
      </c>
      <c r="H202" s="1334">
        <v>65135778</v>
      </c>
      <c r="I202" s="1335"/>
      <c r="J202" s="248">
        <v>38600.352012516</v>
      </c>
      <c r="K202" s="1334">
        <f aca="true" t="shared" si="8" ref="K202:K208">+J202-F202</f>
        <v>5055.942262558361</v>
      </c>
      <c r="L202" s="1339"/>
    </row>
    <row r="203" spans="1:12" s="255" customFormat="1" ht="22.5" customHeight="1">
      <c r="A203" s="1256" t="s">
        <v>123</v>
      </c>
      <c r="B203" s="1257"/>
      <c r="C203" s="243">
        <v>5.84</v>
      </c>
      <c r="D203" s="1269">
        <v>1655725</v>
      </c>
      <c r="E203" s="1270"/>
      <c r="F203" s="165">
        <v>23626.212899543378</v>
      </c>
      <c r="G203" s="243">
        <v>6</v>
      </c>
      <c r="H203" s="1269">
        <v>2088938</v>
      </c>
      <c r="I203" s="1270"/>
      <c r="J203" s="242">
        <v>29013.027777777777</v>
      </c>
      <c r="K203" s="1269">
        <f t="shared" si="8"/>
        <v>5386.8148782344</v>
      </c>
      <c r="L203" s="1340"/>
    </row>
    <row r="204" spans="1:12" s="255" customFormat="1" ht="22.5" customHeight="1">
      <c r="A204" s="1256" t="s">
        <v>125</v>
      </c>
      <c r="B204" s="1257"/>
      <c r="C204" s="243">
        <v>527.76</v>
      </c>
      <c r="D204" s="1269">
        <v>102641455</v>
      </c>
      <c r="E204" s="1270"/>
      <c r="F204" s="165">
        <v>16207.09144939619</v>
      </c>
      <c r="G204" s="243">
        <v>532.91</v>
      </c>
      <c r="H204" s="1269">
        <v>108727090</v>
      </c>
      <c r="I204" s="1270"/>
      <c r="J204" s="242">
        <v>17002.103231940353</v>
      </c>
      <c r="K204" s="1269">
        <f t="shared" si="8"/>
        <v>795.011782544163</v>
      </c>
      <c r="L204" s="1340"/>
    </row>
    <row r="205" spans="1:12" s="255" customFormat="1" ht="22.5" customHeight="1">
      <c r="A205" s="1256" t="s">
        <v>127</v>
      </c>
      <c r="B205" s="1257"/>
      <c r="C205" s="243">
        <v>71.25</v>
      </c>
      <c r="D205" s="1269">
        <v>14839822</v>
      </c>
      <c r="E205" s="1270"/>
      <c r="F205" s="165">
        <v>17356.516959064327</v>
      </c>
      <c r="G205" s="243">
        <v>77.36</v>
      </c>
      <c r="H205" s="1269">
        <v>16975261</v>
      </c>
      <c r="I205" s="1270"/>
      <c r="J205" s="242">
        <v>18286.001594277837</v>
      </c>
      <c r="K205" s="1269">
        <f t="shared" si="8"/>
        <v>929.48463521351</v>
      </c>
      <c r="L205" s="1340"/>
    </row>
    <row r="206" spans="1:12" s="255" customFormat="1" ht="22.5" customHeight="1">
      <c r="A206" s="1256" t="s">
        <v>129</v>
      </c>
      <c r="B206" s="1257"/>
      <c r="C206" s="243">
        <v>23.8</v>
      </c>
      <c r="D206" s="1269">
        <v>4019358</v>
      </c>
      <c r="E206" s="1270"/>
      <c r="F206" s="165">
        <v>14073.382352941177</v>
      </c>
      <c r="G206" s="243">
        <v>22.31</v>
      </c>
      <c r="H206" s="1269">
        <v>4134381</v>
      </c>
      <c r="I206" s="1270"/>
      <c r="J206" s="242">
        <v>15442.929179740027</v>
      </c>
      <c r="K206" s="1269">
        <f t="shared" si="8"/>
        <v>1369.5468267988508</v>
      </c>
      <c r="L206" s="1340"/>
    </row>
    <row r="207" spans="1:12" s="255" customFormat="1" ht="22.5" customHeight="1">
      <c r="A207" s="1256" t="s">
        <v>131</v>
      </c>
      <c r="B207" s="1257"/>
      <c r="C207" s="243">
        <v>145.79</v>
      </c>
      <c r="D207" s="1269">
        <v>18031838</v>
      </c>
      <c r="E207" s="1270"/>
      <c r="F207" s="165">
        <v>10306.970071106844</v>
      </c>
      <c r="G207" s="243">
        <v>149.9</v>
      </c>
      <c r="H207" s="1269">
        <v>20504240</v>
      </c>
      <c r="I207" s="1270"/>
      <c r="J207" s="242">
        <v>11398.84367356015</v>
      </c>
      <c r="K207" s="1269">
        <f t="shared" si="8"/>
        <v>1091.8736024533064</v>
      </c>
      <c r="L207" s="1340"/>
    </row>
    <row r="208" spans="1:12" s="255" customFormat="1" ht="22.5" customHeight="1">
      <c r="A208" s="1256" t="s">
        <v>133</v>
      </c>
      <c r="B208" s="1257"/>
      <c r="C208" s="243">
        <v>1</v>
      </c>
      <c r="D208" s="1269">
        <v>241122</v>
      </c>
      <c r="E208" s="1270"/>
      <c r="F208" s="165">
        <v>20093.5</v>
      </c>
      <c r="G208" s="243">
        <v>0.9</v>
      </c>
      <c r="H208" s="1269">
        <v>236755</v>
      </c>
      <c r="I208" s="1270"/>
      <c r="J208" s="242">
        <v>21921.75925925926</v>
      </c>
      <c r="K208" s="1269">
        <f t="shared" si="8"/>
        <v>1828.2592592592591</v>
      </c>
      <c r="L208" s="1340"/>
    </row>
    <row r="209" spans="1:12" s="255" customFormat="1" ht="22.5" customHeight="1">
      <c r="A209" s="1256" t="s">
        <v>134</v>
      </c>
      <c r="B209" s="1257"/>
      <c r="C209" s="243">
        <v>0</v>
      </c>
      <c r="D209" s="1269">
        <v>0</v>
      </c>
      <c r="E209" s="1270"/>
      <c r="F209" s="165" t="s">
        <v>225</v>
      </c>
      <c r="G209" s="243"/>
      <c r="H209" s="1269"/>
      <c r="I209" s="1270"/>
      <c r="J209" s="242" t="s">
        <v>225</v>
      </c>
      <c r="K209" s="1269"/>
      <c r="L209" s="1340"/>
    </row>
    <row r="210" spans="1:12" s="255" customFormat="1" ht="22.5" customHeight="1">
      <c r="A210" s="1256" t="s">
        <v>135</v>
      </c>
      <c r="B210" s="1257"/>
      <c r="C210" s="243">
        <v>79.05</v>
      </c>
      <c r="D210" s="1269">
        <v>13933044</v>
      </c>
      <c r="E210" s="1270"/>
      <c r="F210" s="165">
        <v>14688.00759013283</v>
      </c>
      <c r="G210" s="243">
        <v>75.71</v>
      </c>
      <c r="H210" s="1269">
        <v>14598747</v>
      </c>
      <c r="I210" s="1270"/>
      <c r="J210" s="242">
        <v>16068.712851670849</v>
      </c>
      <c r="K210" s="1269">
        <f>+J210-F210</f>
        <v>1380.7052615380198</v>
      </c>
      <c r="L210" s="1340"/>
    </row>
    <row r="211" spans="1:12" s="255" customFormat="1" ht="22.5" customHeight="1" thickBot="1">
      <c r="A211" s="1294" t="s">
        <v>137</v>
      </c>
      <c r="B211" s="1295"/>
      <c r="C211" s="249">
        <v>137.07</v>
      </c>
      <c r="D211" s="1336">
        <v>15735439</v>
      </c>
      <c r="E211" s="1337"/>
      <c r="F211" s="250">
        <v>9566.546898178547</v>
      </c>
      <c r="G211" s="249">
        <v>124.78</v>
      </c>
      <c r="H211" s="1336">
        <v>15019135</v>
      </c>
      <c r="I211" s="1337"/>
      <c r="J211" s="251">
        <v>10030.4101885986</v>
      </c>
      <c r="K211" s="1336">
        <f>+J211-F211</f>
        <v>463.8632904200531</v>
      </c>
      <c r="L211" s="1341"/>
    </row>
    <row r="212" spans="1:12" s="255" customFormat="1" ht="20.25" customHeight="1" thickBot="1">
      <c r="A212" s="1163" t="s">
        <v>4</v>
      </c>
      <c r="B212" s="1285"/>
      <c r="C212" s="252">
        <v>1129.27</v>
      </c>
      <c r="D212" s="1041">
        <v>226530611</v>
      </c>
      <c r="E212" s="1338"/>
      <c r="F212" s="240">
        <v>16716.596488587027</v>
      </c>
      <c r="G212" s="253">
        <v>1130.49</v>
      </c>
      <c r="H212" s="1041">
        <v>247420325</v>
      </c>
      <c r="I212" s="1338"/>
      <c r="J212" s="254">
        <v>18238.4279530705</v>
      </c>
      <c r="K212" s="1041">
        <f>+J212-F212</f>
        <v>1521.8314644834718</v>
      </c>
      <c r="L212" s="1342"/>
    </row>
  </sheetData>
  <sheetProtection/>
  <mergeCells count="402">
    <mergeCell ref="C173:G173"/>
    <mergeCell ref="K75:L76"/>
    <mergeCell ref="A163:B163"/>
    <mergeCell ref="A164:B164"/>
    <mergeCell ref="A165:B165"/>
    <mergeCell ref="I138:L138"/>
    <mergeCell ref="C138:F138"/>
    <mergeCell ref="K78:L78"/>
    <mergeCell ref="G76:H76"/>
    <mergeCell ref="G77:H77"/>
    <mergeCell ref="D56:E56"/>
    <mergeCell ref="D57:E57"/>
    <mergeCell ref="A55:A56"/>
    <mergeCell ref="A169:B169"/>
    <mergeCell ref="D133:H133"/>
    <mergeCell ref="A166:B166"/>
    <mergeCell ref="B56:C56"/>
    <mergeCell ref="B57:C57"/>
    <mergeCell ref="B58:C58"/>
    <mergeCell ref="B59:C59"/>
    <mergeCell ref="K209:L209"/>
    <mergeCell ref="K210:L210"/>
    <mergeCell ref="K211:L211"/>
    <mergeCell ref="K212:L212"/>
    <mergeCell ref="H210:I210"/>
    <mergeCell ref="H211:I211"/>
    <mergeCell ref="H212:I212"/>
    <mergeCell ref="K202:L202"/>
    <mergeCell ref="K203:L203"/>
    <mergeCell ref="K204:L204"/>
    <mergeCell ref="K205:L205"/>
    <mergeCell ref="K206:L206"/>
    <mergeCell ref="K207:L207"/>
    <mergeCell ref="K208:L208"/>
    <mergeCell ref="H206:I206"/>
    <mergeCell ref="H207:I207"/>
    <mergeCell ref="H208:I208"/>
    <mergeCell ref="H209:I209"/>
    <mergeCell ref="H202:I202"/>
    <mergeCell ref="H203:I203"/>
    <mergeCell ref="H204:I204"/>
    <mergeCell ref="H205:I205"/>
    <mergeCell ref="D209:E209"/>
    <mergeCell ref="D210:E210"/>
    <mergeCell ref="D211:E211"/>
    <mergeCell ref="D212:E212"/>
    <mergeCell ref="D202:E202"/>
    <mergeCell ref="D203:E203"/>
    <mergeCell ref="D204:E204"/>
    <mergeCell ref="D208:E208"/>
    <mergeCell ref="D207:E207"/>
    <mergeCell ref="C178:G178"/>
    <mergeCell ref="H178:L178"/>
    <mergeCell ref="G200:J200"/>
    <mergeCell ref="K200:L201"/>
    <mergeCell ref="D201:E201"/>
    <mergeCell ref="C200:F200"/>
    <mergeCell ref="H201:I201"/>
    <mergeCell ref="E71:F71"/>
    <mergeCell ref="G72:H72"/>
    <mergeCell ref="C72:D72"/>
    <mergeCell ref="E76:F76"/>
    <mergeCell ref="E78:F78"/>
    <mergeCell ref="C88:D88"/>
    <mergeCell ref="E84:F84"/>
    <mergeCell ref="C84:D84"/>
    <mergeCell ref="E86:F86"/>
    <mergeCell ref="E87:F87"/>
    <mergeCell ref="C85:D85"/>
    <mergeCell ref="E79:F79"/>
    <mergeCell ref="E82:F82"/>
    <mergeCell ref="E81:F81"/>
    <mergeCell ref="C77:D77"/>
    <mergeCell ref="C78:D78"/>
    <mergeCell ref="C79:D79"/>
    <mergeCell ref="C80:D80"/>
    <mergeCell ref="E100:F100"/>
    <mergeCell ref="K72:L72"/>
    <mergeCell ref="E73:F73"/>
    <mergeCell ref="K73:L73"/>
    <mergeCell ref="E75:F75"/>
    <mergeCell ref="G73:H73"/>
    <mergeCell ref="G75:H75"/>
    <mergeCell ref="I75:J75"/>
    <mergeCell ref="G78:H78"/>
    <mergeCell ref="G91:H91"/>
    <mergeCell ref="A42:A43"/>
    <mergeCell ref="B42:F42"/>
    <mergeCell ref="G42:K42"/>
    <mergeCell ref="K100:L100"/>
    <mergeCell ref="I98:J98"/>
    <mergeCell ref="K99:L99"/>
    <mergeCell ref="I100:J100"/>
    <mergeCell ref="D58:E58"/>
    <mergeCell ref="D59:E59"/>
    <mergeCell ref="B55:G55"/>
    <mergeCell ref="A3:A6"/>
    <mergeCell ref="A41:K41"/>
    <mergeCell ref="D36:F36"/>
    <mergeCell ref="B4:B6"/>
    <mergeCell ref="B3:M3"/>
    <mergeCell ref="C4:C6"/>
    <mergeCell ref="G4:H4"/>
    <mergeCell ref="I37:M38"/>
    <mergeCell ref="A181:B181"/>
    <mergeCell ref="G68:H68"/>
    <mergeCell ref="E72:F72"/>
    <mergeCell ref="G71:H71"/>
    <mergeCell ref="E108:F108"/>
    <mergeCell ref="E103:F103"/>
    <mergeCell ref="E69:F69"/>
    <mergeCell ref="F126:K126"/>
    <mergeCell ref="F127:K127"/>
    <mergeCell ref="F129:K129"/>
    <mergeCell ref="F56:G56"/>
    <mergeCell ref="F57:G57"/>
    <mergeCell ref="F58:G58"/>
    <mergeCell ref="C95:D95"/>
    <mergeCell ref="E88:F88"/>
    <mergeCell ref="E89:F89"/>
    <mergeCell ref="E93:F93"/>
    <mergeCell ref="E92:F92"/>
    <mergeCell ref="C92:D92"/>
    <mergeCell ref="G82:H82"/>
    <mergeCell ref="A185:B185"/>
    <mergeCell ref="E80:F80"/>
    <mergeCell ref="C81:D81"/>
    <mergeCell ref="A125:C125"/>
    <mergeCell ref="A126:C126"/>
    <mergeCell ref="A127:C127"/>
    <mergeCell ref="A128:C128"/>
    <mergeCell ref="A129:C129"/>
    <mergeCell ref="E116:F116"/>
    <mergeCell ref="E85:F85"/>
    <mergeCell ref="A183:B183"/>
    <mergeCell ref="A173:A174"/>
    <mergeCell ref="E83:F83"/>
    <mergeCell ref="A178:B179"/>
    <mergeCell ref="A138:A139"/>
    <mergeCell ref="A124:C124"/>
    <mergeCell ref="C133:C134"/>
    <mergeCell ref="D119:D120"/>
    <mergeCell ref="C107:D107"/>
    <mergeCell ref="C94:D94"/>
    <mergeCell ref="A184:B184"/>
    <mergeCell ref="A182:B182"/>
    <mergeCell ref="A119:C120"/>
    <mergeCell ref="A121:C121"/>
    <mergeCell ref="A130:C130"/>
    <mergeCell ref="A122:C122"/>
    <mergeCell ref="A180:B180"/>
    <mergeCell ref="B138:B139"/>
    <mergeCell ref="A132:A134"/>
    <mergeCell ref="B132:B134"/>
    <mergeCell ref="A152:B152"/>
    <mergeCell ref="A155:B155"/>
    <mergeCell ref="A156:B156"/>
    <mergeCell ref="A157:B157"/>
    <mergeCell ref="A153:B153"/>
    <mergeCell ref="A154:B154"/>
    <mergeCell ref="A186:B186"/>
    <mergeCell ref="A190:B190"/>
    <mergeCell ref="A191:B191"/>
    <mergeCell ref="A187:B187"/>
    <mergeCell ref="A188:B188"/>
    <mergeCell ref="A193:B193"/>
    <mergeCell ref="A194:B194"/>
    <mergeCell ref="A195:B195"/>
    <mergeCell ref="A189:B189"/>
    <mergeCell ref="A208:B208"/>
    <mergeCell ref="A209:B209"/>
    <mergeCell ref="A210:B210"/>
    <mergeCell ref="A211:B211"/>
    <mergeCell ref="A212:B212"/>
    <mergeCell ref="H55:K55"/>
    <mergeCell ref="D38:F38"/>
    <mergeCell ref="I36:K36"/>
    <mergeCell ref="D37:F37"/>
    <mergeCell ref="A65:B65"/>
    <mergeCell ref="A63:B63"/>
    <mergeCell ref="A64:B64"/>
    <mergeCell ref="F59:G59"/>
    <mergeCell ref="A147:B147"/>
    <mergeCell ref="K70:L70"/>
    <mergeCell ref="E68:F68"/>
    <mergeCell ref="G69:H69"/>
    <mergeCell ref="G70:H70"/>
    <mergeCell ref="E70:F70"/>
    <mergeCell ref="I68:J68"/>
    <mergeCell ref="I69:J69"/>
    <mergeCell ref="I70:J70"/>
    <mergeCell ref="K68:L69"/>
    <mergeCell ref="G86:H86"/>
    <mergeCell ref="G87:H87"/>
    <mergeCell ref="I84:J84"/>
    <mergeCell ref="I81:J81"/>
    <mergeCell ref="I82:J82"/>
    <mergeCell ref="I83:J83"/>
    <mergeCell ref="I86:J86"/>
    <mergeCell ref="G85:H85"/>
    <mergeCell ref="G83:H83"/>
    <mergeCell ref="G84:H84"/>
    <mergeCell ref="K85:L85"/>
    <mergeCell ref="I85:J85"/>
    <mergeCell ref="K84:L84"/>
    <mergeCell ref="I71:J71"/>
    <mergeCell ref="I73:J73"/>
    <mergeCell ref="I72:J72"/>
    <mergeCell ref="I80:J80"/>
    <mergeCell ref="I76:J76"/>
    <mergeCell ref="I78:J78"/>
    <mergeCell ref="I77:J77"/>
    <mergeCell ref="A117:E117"/>
    <mergeCell ref="G110:H110"/>
    <mergeCell ref="E110:F110"/>
    <mergeCell ref="A116:B116"/>
    <mergeCell ref="C110:D110"/>
    <mergeCell ref="C114:D114"/>
    <mergeCell ref="C116:D116"/>
    <mergeCell ref="C113:D113"/>
    <mergeCell ref="C111:D111"/>
    <mergeCell ref="G113:H113"/>
    <mergeCell ref="A207:B207"/>
    <mergeCell ref="A204:B204"/>
    <mergeCell ref="A162:B162"/>
    <mergeCell ref="D205:E205"/>
    <mergeCell ref="D206:E206"/>
    <mergeCell ref="A205:B205"/>
    <mergeCell ref="A196:B196"/>
    <mergeCell ref="A197:B197"/>
    <mergeCell ref="A203:B203"/>
    <mergeCell ref="A200:B201"/>
    <mergeCell ref="F124:K124"/>
    <mergeCell ref="F125:K125"/>
    <mergeCell ref="A158:B158"/>
    <mergeCell ref="A159:B159"/>
    <mergeCell ref="F130:K130"/>
    <mergeCell ref="F128:K128"/>
    <mergeCell ref="A148:B148"/>
    <mergeCell ref="A149:B149"/>
    <mergeCell ref="A150:B150"/>
    <mergeCell ref="A151:B151"/>
    <mergeCell ref="A160:B160"/>
    <mergeCell ref="A161:B161"/>
    <mergeCell ref="A206:B206"/>
    <mergeCell ref="I132:I134"/>
    <mergeCell ref="G138:G139"/>
    <mergeCell ref="H138:H139"/>
    <mergeCell ref="A167:B167"/>
    <mergeCell ref="A198:B198"/>
    <mergeCell ref="A202:B202"/>
    <mergeCell ref="A192:B192"/>
    <mergeCell ref="F122:K122"/>
    <mergeCell ref="C132:H132"/>
    <mergeCell ref="G96:H96"/>
    <mergeCell ref="K110:L110"/>
    <mergeCell ref="F121:K121"/>
    <mergeCell ref="I114:J114"/>
    <mergeCell ref="G111:H111"/>
    <mergeCell ref="K116:L116"/>
    <mergeCell ref="F119:K120"/>
    <mergeCell ref="G116:H116"/>
    <mergeCell ref="G97:H97"/>
    <mergeCell ref="G101:H101"/>
    <mergeCell ref="G98:H98"/>
    <mergeCell ref="K98:L98"/>
    <mergeCell ref="G100:H100"/>
    <mergeCell ref="K104:L104"/>
    <mergeCell ref="G103:H103"/>
    <mergeCell ref="G104:H104"/>
    <mergeCell ref="I101:J101"/>
    <mergeCell ref="K102:L102"/>
    <mergeCell ref="K101:L101"/>
    <mergeCell ref="I102:J102"/>
    <mergeCell ref="K87:L87"/>
    <mergeCell ref="K93:L93"/>
    <mergeCell ref="I92:J92"/>
    <mergeCell ref="K90:L90"/>
    <mergeCell ref="I88:J88"/>
    <mergeCell ref="I87:J87"/>
    <mergeCell ref="I90:J90"/>
    <mergeCell ref="K95:L95"/>
    <mergeCell ref="K89:L89"/>
    <mergeCell ref="I95:J95"/>
    <mergeCell ref="K91:L91"/>
    <mergeCell ref="K105:L105"/>
    <mergeCell ref="I96:J96"/>
    <mergeCell ref="I97:J97"/>
    <mergeCell ref="I104:J104"/>
    <mergeCell ref="I105:J105"/>
    <mergeCell ref="K103:L103"/>
    <mergeCell ref="I103:J103"/>
    <mergeCell ref="K96:L96"/>
    <mergeCell ref="I99:J99"/>
    <mergeCell ref="K97:L97"/>
    <mergeCell ref="A68:B68"/>
    <mergeCell ref="A73:B73"/>
    <mergeCell ref="C68:D68"/>
    <mergeCell ref="C69:D69"/>
    <mergeCell ref="C70:D70"/>
    <mergeCell ref="C73:D73"/>
    <mergeCell ref="K71:L71"/>
    <mergeCell ref="A75:B75"/>
    <mergeCell ref="A114:B114"/>
    <mergeCell ref="C104:D104"/>
    <mergeCell ref="C105:D105"/>
    <mergeCell ref="C106:D106"/>
    <mergeCell ref="C109:D109"/>
    <mergeCell ref="C75:D75"/>
    <mergeCell ref="E77:F77"/>
    <mergeCell ref="C76:D76"/>
    <mergeCell ref="C99:D99"/>
    <mergeCell ref="E96:F96"/>
    <mergeCell ref="C97:D97"/>
    <mergeCell ref="C98:D98"/>
    <mergeCell ref="E98:F98"/>
    <mergeCell ref="E99:F99"/>
    <mergeCell ref="C86:D86"/>
    <mergeCell ref="C82:D82"/>
    <mergeCell ref="C83:D83"/>
    <mergeCell ref="C96:D96"/>
    <mergeCell ref="C87:D87"/>
    <mergeCell ref="C93:D93"/>
    <mergeCell ref="G95:H95"/>
    <mergeCell ref="G88:H88"/>
    <mergeCell ref="C91:D91"/>
    <mergeCell ref="E91:F91"/>
    <mergeCell ref="G90:H90"/>
    <mergeCell ref="C89:D89"/>
    <mergeCell ref="C90:D90"/>
    <mergeCell ref="G89:H89"/>
    <mergeCell ref="E90:F90"/>
    <mergeCell ref="K106:L106"/>
    <mergeCell ref="I106:J106"/>
    <mergeCell ref="K79:L79"/>
    <mergeCell ref="K81:L81"/>
    <mergeCell ref="K82:L82"/>
    <mergeCell ref="K80:L80"/>
    <mergeCell ref="K86:L86"/>
    <mergeCell ref="K88:L88"/>
    <mergeCell ref="I93:J93"/>
    <mergeCell ref="I91:J91"/>
    <mergeCell ref="E101:F101"/>
    <mergeCell ref="G106:H106"/>
    <mergeCell ref="G80:H80"/>
    <mergeCell ref="G81:H81"/>
    <mergeCell ref="E94:F94"/>
    <mergeCell ref="E95:F95"/>
    <mergeCell ref="G94:H94"/>
    <mergeCell ref="E97:F97"/>
    <mergeCell ref="G102:H102"/>
    <mergeCell ref="G99:H99"/>
    <mergeCell ref="K77:L77"/>
    <mergeCell ref="K83:L83"/>
    <mergeCell ref="K94:L94"/>
    <mergeCell ref="G93:H93"/>
    <mergeCell ref="K92:L92"/>
    <mergeCell ref="G92:H92"/>
    <mergeCell ref="G79:H79"/>
    <mergeCell ref="I79:J79"/>
    <mergeCell ref="I94:J94"/>
    <mergeCell ref="I89:J89"/>
    <mergeCell ref="K107:L107"/>
    <mergeCell ref="I107:J107"/>
    <mergeCell ref="I109:J109"/>
    <mergeCell ref="E109:F109"/>
    <mergeCell ref="G109:H109"/>
    <mergeCell ref="K114:L114"/>
    <mergeCell ref="G114:H114"/>
    <mergeCell ref="C100:D100"/>
    <mergeCell ref="C101:D101"/>
    <mergeCell ref="C102:D102"/>
    <mergeCell ref="K109:L109"/>
    <mergeCell ref="G105:H105"/>
    <mergeCell ref="I108:J108"/>
    <mergeCell ref="K108:L108"/>
    <mergeCell ref="I110:J110"/>
    <mergeCell ref="E111:F111"/>
    <mergeCell ref="G108:H108"/>
    <mergeCell ref="E102:F102"/>
    <mergeCell ref="C103:D103"/>
    <mergeCell ref="C108:D108"/>
    <mergeCell ref="E104:F104"/>
    <mergeCell ref="G107:H107"/>
    <mergeCell ref="E107:F107"/>
    <mergeCell ref="E106:F106"/>
    <mergeCell ref="E105:F105"/>
    <mergeCell ref="A123:C123"/>
    <mergeCell ref="F123:K123"/>
    <mergeCell ref="K111:L111"/>
    <mergeCell ref="I116:J116"/>
    <mergeCell ref="L119:L120"/>
    <mergeCell ref="I113:J113"/>
    <mergeCell ref="E113:F113"/>
    <mergeCell ref="I111:J111"/>
    <mergeCell ref="K113:L113"/>
    <mergeCell ref="E114:F114"/>
    <mergeCell ref="K112:L112"/>
    <mergeCell ref="C112:D112"/>
    <mergeCell ref="E112:F112"/>
    <mergeCell ref="G112:H112"/>
    <mergeCell ref="I112:J112"/>
  </mergeCells>
  <printOptions horizontalCentered="1"/>
  <pageMargins left="0.17" right="0.2" top="0.35433070866141736" bottom="0.2362204724409449" header="0.2362204724409449" footer="0.1968503937007874"/>
  <pageSetup horizontalDpi="600" verticalDpi="600" orientation="portrait" paperSize="9" scale="70" r:id="rId3"/>
  <legacyDrawing r:id="rId2"/>
</worksheet>
</file>

<file path=xl/worksheets/sheet6.xml><?xml version="1.0" encoding="utf-8"?>
<worksheet xmlns="http://schemas.openxmlformats.org/spreadsheetml/2006/main" xmlns:r="http://schemas.openxmlformats.org/officeDocument/2006/relationships">
  <dimension ref="A1:AH232"/>
  <sheetViews>
    <sheetView workbookViewId="0" topLeftCell="A1">
      <selection activeCell="A1" sqref="A1"/>
    </sheetView>
  </sheetViews>
  <sheetFormatPr defaultColWidth="9.00390625" defaultRowHeight="12.75"/>
  <cols>
    <col min="1" max="1" width="31.00390625" style="276" customWidth="1"/>
    <col min="2" max="4" width="8.875" style="302" customWidth="1"/>
    <col min="5" max="5" width="9.375" style="302" customWidth="1"/>
    <col min="6" max="7" width="8.875" style="302" customWidth="1"/>
    <col min="8" max="8" width="9.375" style="302" customWidth="1"/>
    <col min="9" max="9" width="8.875" style="302" customWidth="1"/>
    <col min="10" max="10" width="9.375" style="302" customWidth="1"/>
    <col min="11" max="11" width="9.875" style="302" customWidth="1"/>
    <col min="12" max="12" width="8.875" style="302" customWidth="1"/>
    <col min="13" max="14" width="8.125" style="302" customWidth="1"/>
    <col min="15" max="34" width="9.125" style="276" customWidth="1"/>
  </cols>
  <sheetData>
    <row r="1" spans="12:14" ht="15.75">
      <c r="L1" s="303"/>
      <c r="N1" s="304"/>
    </row>
    <row r="2" spans="1:14" ht="15.75" customHeight="1">
      <c r="A2" s="305"/>
      <c r="B2" s="306"/>
      <c r="C2" s="306"/>
      <c r="D2" s="306"/>
      <c r="E2" s="306"/>
      <c r="F2" s="306"/>
      <c r="G2" s="306"/>
      <c r="H2" s="306"/>
      <c r="L2" s="303"/>
      <c r="N2" s="304"/>
    </row>
    <row r="3" spans="1:14" ht="15.75" customHeight="1" thickBot="1">
      <c r="A3" s="307" t="s">
        <v>253</v>
      </c>
      <c r="B3" s="306"/>
      <c r="C3" s="306"/>
      <c r="D3" s="306"/>
      <c r="E3" s="306"/>
      <c r="F3" s="306"/>
      <c r="G3" s="306"/>
      <c r="H3" s="306"/>
      <c r="L3" s="303"/>
      <c r="N3" s="304"/>
    </row>
    <row r="4" spans="1:14" ht="21.75" customHeight="1" thickBot="1">
      <c r="A4" s="1167" t="s">
        <v>0</v>
      </c>
      <c r="B4" s="1424" t="s">
        <v>254</v>
      </c>
      <c r="C4" s="1293"/>
      <c r="D4" s="1293"/>
      <c r="E4" s="1293"/>
      <c r="F4" s="1293"/>
      <c r="G4" s="1293"/>
      <c r="H4" s="1293"/>
      <c r="I4" s="1293"/>
      <c r="J4" s="1293"/>
      <c r="K4" s="1293"/>
      <c r="L4" s="1293"/>
      <c r="M4" s="1293"/>
      <c r="N4" s="1425"/>
    </row>
    <row r="5" spans="1:14" ht="10.5" customHeight="1">
      <c r="A5" s="1168"/>
      <c r="B5" s="1" t="s">
        <v>1</v>
      </c>
      <c r="C5" s="2"/>
      <c r="D5" s="3"/>
      <c r="E5" s="1" t="s">
        <v>168</v>
      </c>
      <c r="F5" s="2"/>
      <c r="G5" s="3"/>
      <c r="H5" s="1090" t="s">
        <v>246</v>
      </c>
      <c r="I5" s="1091"/>
      <c r="J5" s="2" t="s">
        <v>169</v>
      </c>
      <c r="K5" s="5"/>
      <c r="L5" s="6"/>
      <c r="M5" s="1090" t="s">
        <v>170</v>
      </c>
      <c r="N5" s="1091"/>
    </row>
    <row r="6" spans="1:14" s="302" customFormat="1" ht="9.75">
      <c r="A6" s="1168"/>
      <c r="B6" s="308" t="s">
        <v>255</v>
      </c>
      <c r="C6" s="309" t="s">
        <v>3</v>
      </c>
      <c r="D6" s="310" t="s">
        <v>4</v>
      </c>
      <c r="E6" s="308" t="s">
        <v>255</v>
      </c>
      <c r="F6" s="309" t="s">
        <v>3</v>
      </c>
      <c r="G6" s="310" t="s">
        <v>4</v>
      </c>
      <c r="H6" s="308" t="s">
        <v>4</v>
      </c>
      <c r="I6" s="310" t="s">
        <v>5</v>
      </c>
      <c r="J6" s="311" t="s">
        <v>255</v>
      </c>
      <c r="K6" s="309" t="s">
        <v>3</v>
      </c>
      <c r="L6" s="1421" t="s">
        <v>4</v>
      </c>
      <c r="M6" s="308" t="s">
        <v>4</v>
      </c>
      <c r="N6" s="310" t="s">
        <v>5</v>
      </c>
    </row>
    <row r="7" spans="1:14" s="302" customFormat="1" ht="10.5" customHeight="1" thickBot="1">
      <c r="A7" s="1423"/>
      <c r="B7" s="312" t="s">
        <v>6</v>
      </c>
      <c r="C7" s="313" t="s">
        <v>6</v>
      </c>
      <c r="D7" s="314"/>
      <c r="E7" s="312" t="s">
        <v>6</v>
      </c>
      <c r="F7" s="313" t="s">
        <v>6</v>
      </c>
      <c r="G7" s="314"/>
      <c r="H7" s="315" t="s">
        <v>7</v>
      </c>
      <c r="I7" s="314" t="s">
        <v>8</v>
      </c>
      <c r="J7" s="316" t="s">
        <v>6</v>
      </c>
      <c r="K7" s="313" t="s">
        <v>6</v>
      </c>
      <c r="L7" s="1422"/>
      <c r="M7" s="315" t="s">
        <v>7</v>
      </c>
      <c r="N7" s="314" t="s">
        <v>8</v>
      </c>
    </row>
    <row r="8" spans="1:14" ht="17.25" customHeight="1" thickTop="1">
      <c r="A8" s="317" t="s">
        <v>9</v>
      </c>
      <c r="B8" s="392">
        <v>986</v>
      </c>
      <c r="C8" s="24">
        <v>0</v>
      </c>
      <c r="D8" s="393">
        <f aca="true" t="shared" si="0" ref="D8:D16">SUM(B8:C8)</f>
        <v>986</v>
      </c>
      <c r="E8" s="318">
        <v>854.17</v>
      </c>
      <c r="F8" s="319"/>
      <c r="G8" s="320">
        <f aca="true" t="shared" si="1" ref="G8:G16">E8+F8</f>
        <v>854.17</v>
      </c>
      <c r="H8" s="321"/>
      <c r="I8" s="322"/>
      <c r="J8" s="318">
        <v>862</v>
      </c>
      <c r="K8" s="319">
        <v>0</v>
      </c>
      <c r="L8" s="320">
        <f aca="true" t="shared" si="2" ref="L8:L16">J8+K8</f>
        <v>862</v>
      </c>
      <c r="M8" s="321"/>
      <c r="N8" s="322"/>
    </row>
    <row r="9" spans="1:14" ht="17.25" customHeight="1">
      <c r="A9" s="323" t="s">
        <v>10</v>
      </c>
      <c r="B9" s="394">
        <v>457589</v>
      </c>
      <c r="C9" s="18">
        <v>992</v>
      </c>
      <c r="D9" s="395">
        <f t="shared" si="0"/>
        <v>458581</v>
      </c>
      <c r="E9" s="324">
        <v>479406.85</v>
      </c>
      <c r="F9" s="325">
        <v>973.76</v>
      </c>
      <c r="G9" s="326">
        <f t="shared" si="1"/>
        <v>480380.61</v>
      </c>
      <c r="H9" s="327">
        <f aca="true" t="shared" si="3" ref="H9:H36">+G9-D9</f>
        <v>21799.609999999986</v>
      </c>
      <c r="I9" s="328">
        <f>+G9/D9</f>
        <v>1.047537098135335</v>
      </c>
      <c r="J9" s="324">
        <v>490692</v>
      </c>
      <c r="K9" s="325">
        <v>970</v>
      </c>
      <c r="L9" s="326">
        <f t="shared" si="2"/>
        <v>491662</v>
      </c>
      <c r="M9" s="327">
        <f aca="true" t="shared" si="4" ref="M9:M36">+L9-G9</f>
        <v>11281.390000000014</v>
      </c>
      <c r="N9" s="328">
        <f>+L9/G9</f>
        <v>1.023484274271603</v>
      </c>
    </row>
    <row r="10" spans="1:14" ht="17.25" customHeight="1">
      <c r="A10" s="323" t="s">
        <v>11</v>
      </c>
      <c r="B10" s="394">
        <v>33913</v>
      </c>
      <c r="C10" s="18">
        <v>3400</v>
      </c>
      <c r="D10" s="395">
        <f t="shared" si="0"/>
        <v>37313</v>
      </c>
      <c r="E10" s="324">
        <v>39224.24</v>
      </c>
      <c r="F10" s="325">
        <v>72.85</v>
      </c>
      <c r="G10" s="326">
        <f t="shared" si="1"/>
        <v>39297.09</v>
      </c>
      <c r="H10" s="327">
        <f t="shared" si="3"/>
        <v>1984.0899999999965</v>
      </c>
      <c r="I10" s="328">
        <f>+G10/D10</f>
        <v>1.0531742288210542</v>
      </c>
      <c r="J10" s="324">
        <v>39000</v>
      </c>
      <c r="K10" s="325">
        <v>100</v>
      </c>
      <c r="L10" s="326">
        <f t="shared" si="2"/>
        <v>39100</v>
      </c>
      <c r="M10" s="327">
        <f t="shared" si="4"/>
        <v>-197.0899999999965</v>
      </c>
      <c r="N10" s="328">
        <f>+L10/G10</f>
        <v>0.9949846159092188</v>
      </c>
    </row>
    <row r="11" spans="1:14" ht="17.25" customHeight="1">
      <c r="A11" s="323" t="s">
        <v>12</v>
      </c>
      <c r="B11" s="394">
        <v>129.93</v>
      </c>
      <c r="C11" s="18"/>
      <c r="D11" s="395">
        <f t="shared" si="0"/>
        <v>129.93</v>
      </c>
      <c r="E11" s="324">
        <v>141.37</v>
      </c>
      <c r="F11" s="325">
        <v>9.96</v>
      </c>
      <c r="G11" s="326">
        <f t="shared" si="1"/>
        <v>151.33</v>
      </c>
      <c r="H11" s="327">
        <f t="shared" si="3"/>
        <v>21.400000000000006</v>
      </c>
      <c r="I11" s="328">
        <f>+G11/D11</f>
        <v>1.164704071423074</v>
      </c>
      <c r="J11" s="324">
        <v>145</v>
      </c>
      <c r="K11" s="325">
        <v>8</v>
      </c>
      <c r="L11" s="326">
        <f t="shared" si="2"/>
        <v>153</v>
      </c>
      <c r="M11" s="327">
        <f t="shared" si="4"/>
        <v>1.6699999999999875</v>
      </c>
      <c r="N11" s="328">
        <f>+L11/G11</f>
        <v>1.0110354853631136</v>
      </c>
    </row>
    <row r="12" spans="1:14" ht="17.25" customHeight="1">
      <c r="A12" s="323" t="s">
        <v>13</v>
      </c>
      <c r="B12" s="394">
        <f>71.72+209.23+558.74+635.18</f>
        <v>1474.87</v>
      </c>
      <c r="C12" s="18">
        <v>0</v>
      </c>
      <c r="D12" s="395">
        <f t="shared" si="0"/>
        <v>1474.87</v>
      </c>
      <c r="E12" s="324">
        <f>2246.66+179.45+525.79+650.89</f>
        <v>3602.7899999999995</v>
      </c>
      <c r="F12" s="325"/>
      <c r="G12" s="326">
        <f t="shared" si="1"/>
        <v>3602.7899999999995</v>
      </c>
      <c r="H12" s="327">
        <f t="shared" si="3"/>
        <v>2127.9199999999996</v>
      </c>
      <c r="I12" s="328">
        <f>+G12/D12</f>
        <v>2.442784787811807</v>
      </c>
      <c r="J12" s="324">
        <v>3500</v>
      </c>
      <c r="K12" s="325">
        <v>0</v>
      </c>
      <c r="L12" s="326">
        <f t="shared" si="2"/>
        <v>3500</v>
      </c>
      <c r="M12" s="327">
        <f t="shared" si="4"/>
        <v>-102.78999999999951</v>
      </c>
      <c r="N12" s="328">
        <f>+L12/G12</f>
        <v>0.9714693334887685</v>
      </c>
    </row>
    <row r="13" spans="1:14" ht="17.25" customHeight="1">
      <c r="A13" s="323" t="s">
        <v>14</v>
      </c>
      <c r="B13" s="394">
        <v>559</v>
      </c>
      <c r="C13" s="18">
        <v>0</v>
      </c>
      <c r="D13" s="395">
        <f t="shared" si="0"/>
        <v>559</v>
      </c>
      <c r="E13" s="324">
        <v>525.79</v>
      </c>
      <c r="F13" s="325"/>
      <c r="G13" s="326">
        <f t="shared" si="1"/>
        <v>525.79</v>
      </c>
      <c r="H13" s="327">
        <f t="shared" si="3"/>
        <v>-33.210000000000036</v>
      </c>
      <c r="I13" s="328">
        <f>+G13/D13</f>
        <v>0.9405903398926654</v>
      </c>
      <c r="J13" s="324">
        <v>500</v>
      </c>
      <c r="K13" s="325">
        <v>0</v>
      </c>
      <c r="L13" s="326">
        <f t="shared" si="2"/>
        <v>500</v>
      </c>
      <c r="M13" s="327">
        <f t="shared" si="4"/>
        <v>-25.789999999999964</v>
      </c>
      <c r="N13" s="328">
        <f>+L13/G13</f>
        <v>0.9509499990490501</v>
      </c>
    </row>
    <row r="14" spans="1:14" ht="17.25" customHeight="1">
      <c r="A14" s="323" t="s">
        <v>15</v>
      </c>
      <c r="B14" s="394">
        <v>0</v>
      </c>
      <c r="C14" s="18"/>
      <c r="D14" s="395">
        <f t="shared" si="0"/>
        <v>0</v>
      </c>
      <c r="E14" s="324">
        <v>0</v>
      </c>
      <c r="F14" s="325"/>
      <c r="G14" s="326">
        <f t="shared" si="1"/>
        <v>0</v>
      </c>
      <c r="H14" s="327">
        <f t="shared" si="3"/>
        <v>0</v>
      </c>
      <c r="I14" s="328"/>
      <c r="J14" s="324">
        <v>0</v>
      </c>
      <c r="K14" s="325">
        <v>0</v>
      </c>
      <c r="L14" s="326">
        <f t="shared" si="2"/>
        <v>0</v>
      </c>
      <c r="M14" s="327">
        <f t="shared" si="4"/>
        <v>0</v>
      </c>
      <c r="N14" s="328"/>
    </row>
    <row r="15" spans="1:14" ht="21" customHeight="1">
      <c r="A15" s="323" t="s">
        <v>16</v>
      </c>
      <c r="B15" s="394">
        <v>0</v>
      </c>
      <c r="C15" s="18"/>
      <c r="D15" s="395">
        <f t="shared" si="0"/>
        <v>0</v>
      </c>
      <c r="E15" s="324">
        <v>0</v>
      </c>
      <c r="F15" s="325"/>
      <c r="G15" s="326">
        <f t="shared" si="1"/>
        <v>0</v>
      </c>
      <c r="H15" s="327">
        <f t="shared" si="3"/>
        <v>0</v>
      </c>
      <c r="I15" s="328"/>
      <c r="J15" s="324">
        <v>0</v>
      </c>
      <c r="K15" s="325">
        <v>0</v>
      </c>
      <c r="L15" s="326">
        <f t="shared" si="2"/>
        <v>0</v>
      </c>
      <c r="M15" s="327">
        <f t="shared" si="4"/>
        <v>0</v>
      </c>
      <c r="N15" s="328"/>
    </row>
    <row r="16" spans="1:14" ht="18.75" customHeight="1" thickBot="1">
      <c r="A16" s="329" t="s">
        <v>17</v>
      </c>
      <c r="B16" s="396">
        <v>3786</v>
      </c>
      <c r="C16" s="397">
        <v>0</v>
      </c>
      <c r="D16" s="398">
        <f t="shared" si="0"/>
        <v>3786</v>
      </c>
      <c r="E16" s="330">
        <v>1722.86</v>
      </c>
      <c r="F16" s="331"/>
      <c r="G16" s="332">
        <f t="shared" si="1"/>
        <v>1722.86</v>
      </c>
      <c r="H16" s="333">
        <f t="shared" si="3"/>
        <v>-2063.1400000000003</v>
      </c>
      <c r="I16" s="334">
        <f>+G16/D16</f>
        <v>0.4550607501320655</v>
      </c>
      <c r="J16" s="330">
        <v>1457</v>
      </c>
      <c r="K16" s="331">
        <v>0</v>
      </c>
      <c r="L16" s="332">
        <f t="shared" si="2"/>
        <v>1457</v>
      </c>
      <c r="M16" s="333">
        <f t="shared" si="4"/>
        <v>-265.8599999999999</v>
      </c>
      <c r="N16" s="334">
        <f>+L16/G16</f>
        <v>0.8456868230732619</v>
      </c>
    </row>
    <row r="17" spans="1:14" ht="14.25" customHeight="1" thickBot="1">
      <c r="A17" s="335" t="s">
        <v>18</v>
      </c>
      <c r="B17" s="20">
        <f aca="true" t="shared" si="5" ref="B17:G17">SUM(B8+B9+B10+B11+B12+B14+B16)</f>
        <v>497878.8</v>
      </c>
      <c r="C17" s="40">
        <f t="shared" si="5"/>
        <v>4392</v>
      </c>
      <c r="D17" s="399">
        <f t="shared" si="5"/>
        <v>502270.8</v>
      </c>
      <c r="E17" s="338">
        <f t="shared" si="5"/>
        <v>524952.2799999999</v>
      </c>
      <c r="F17" s="339">
        <f t="shared" si="5"/>
        <v>1056.57</v>
      </c>
      <c r="G17" s="340">
        <f t="shared" si="5"/>
        <v>526008.85</v>
      </c>
      <c r="H17" s="341">
        <f t="shared" si="3"/>
        <v>23738.04999999999</v>
      </c>
      <c r="I17" s="342">
        <f>+G17/D17</f>
        <v>1.0472614573652301</v>
      </c>
      <c r="J17" s="338">
        <f>SUM(J8+J9+J10+J11+J12+J14+J16)</f>
        <v>535656</v>
      </c>
      <c r="K17" s="339">
        <f>SUM(K8+K9+K10+K11+K12+K14+K16)</f>
        <v>1078</v>
      </c>
      <c r="L17" s="340">
        <f>SUM(L8+L9+L10+L11+L12+L14+L16)</f>
        <v>536734</v>
      </c>
      <c r="M17" s="341">
        <f t="shared" si="4"/>
        <v>10725.150000000023</v>
      </c>
      <c r="N17" s="342">
        <f>+L17/G17</f>
        <v>1.0203896759531708</v>
      </c>
    </row>
    <row r="18" spans="1:34" s="27" customFormat="1" ht="18.75" customHeight="1">
      <c r="A18" s="317" t="s">
        <v>19</v>
      </c>
      <c r="B18" s="400">
        <v>108885.82</v>
      </c>
      <c r="C18" s="401">
        <v>92.8</v>
      </c>
      <c r="D18" s="393">
        <f aca="true" t="shared" si="6" ref="D18:D35">SUM(B18:C18)</f>
        <v>108978.62000000001</v>
      </c>
      <c r="E18" s="343">
        <v>117213.03</v>
      </c>
      <c r="F18" s="344">
        <v>116.15</v>
      </c>
      <c r="G18" s="320">
        <f aca="true" t="shared" si="7" ref="G18:G35">E18+F18</f>
        <v>117329.18</v>
      </c>
      <c r="H18" s="321">
        <f t="shared" si="3"/>
        <v>8350.559999999983</v>
      </c>
      <c r="I18" s="345">
        <f>+G18/D18</f>
        <v>1.0766256720813678</v>
      </c>
      <c r="J18" s="343">
        <v>110000</v>
      </c>
      <c r="K18" s="344">
        <v>100</v>
      </c>
      <c r="L18" s="320">
        <f aca="true" t="shared" si="8" ref="L18:L35">J18+K18</f>
        <v>110100</v>
      </c>
      <c r="M18" s="321">
        <f t="shared" si="4"/>
        <v>-7229.179999999993</v>
      </c>
      <c r="N18" s="345">
        <f>+L18/G18</f>
        <v>0.9383854894409047</v>
      </c>
      <c r="O18" s="346"/>
      <c r="P18" s="346"/>
      <c r="Q18" s="346"/>
      <c r="R18" s="346"/>
      <c r="S18" s="346"/>
      <c r="T18" s="346"/>
      <c r="U18" s="346"/>
      <c r="V18" s="346"/>
      <c r="W18" s="346"/>
      <c r="X18" s="346"/>
      <c r="Y18" s="346"/>
      <c r="Z18" s="346"/>
      <c r="AA18" s="346"/>
      <c r="AB18" s="346"/>
      <c r="AC18" s="346"/>
      <c r="AD18" s="346"/>
      <c r="AE18" s="346"/>
      <c r="AF18" s="346"/>
      <c r="AG18" s="346"/>
      <c r="AH18" s="346"/>
    </row>
    <row r="19" spans="1:14" ht="18.75" customHeight="1">
      <c r="A19" s="323" t="s">
        <v>20</v>
      </c>
      <c r="B19" s="394">
        <v>3509</v>
      </c>
      <c r="C19" s="18">
        <v>4</v>
      </c>
      <c r="D19" s="393">
        <f t="shared" si="6"/>
        <v>3513</v>
      </c>
      <c r="E19" s="324">
        <v>9679</v>
      </c>
      <c r="F19" s="325">
        <v>37</v>
      </c>
      <c r="G19" s="320">
        <f t="shared" si="7"/>
        <v>9716</v>
      </c>
      <c r="H19" s="327">
        <f t="shared" si="3"/>
        <v>6203</v>
      </c>
      <c r="I19" s="328">
        <f>+G19/D19</f>
        <v>2.7657272986051806</v>
      </c>
      <c r="J19" s="324">
        <v>4500</v>
      </c>
      <c r="K19" s="325">
        <v>45</v>
      </c>
      <c r="L19" s="320">
        <f t="shared" si="8"/>
        <v>4545</v>
      </c>
      <c r="M19" s="321">
        <f t="shared" si="4"/>
        <v>-5171</v>
      </c>
      <c r="N19" s="345"/>
    </row>
    <row r="20" spans="1:14" ht="18.75" customHeight="1">
      <c r="A20" s="323" t="s">
        <v>21</v>
      </c>
      <c r="B20" s="394">
        <v>18584.04</v>
      </c>
      <c r="C20" s="18">
        <v>9.98</v>
      </c>
      <c r="D20" s="393">
        <f t="shared" si="6"/>
        <v>18594.02</v>
      </c>
      <c r="E20" s="324">
        <v>19319.53</v>
      </c>
      <c r="F20" s="325">
        <v>17.35</v>
      </c>
      <c r="G20" s="320">
        <f t="shared" si="7"/>
        <v>19336.879999999997</v>
      </c>
      <c r="H20" s="327">
        <f t="shared" si="3"/>
        <v>742.859999999997</v>
      </c>
      <c r="I20" s="328">
        <f>+G20/D20</f>
        <v>1.0399515543169253</v>
      </c>
      <c r="J20" s="324">
        <v>22500</v>
      </c>
      <c r="K20" s="325">
        <v>20</v>
      </c>
      <c r="L20" s="320">
        <f t="shared" si="8"/>
        <v>22520</v>
      </c>
      <c r="M20" s="321">
        <f t="shared" si="4"/>
        <v>3183.1200000000026</v>
      </c>
      <c r="N20" s="345">
        <f>+L20/G20</f>
        <v>1.1646139397875976</v>
      </c>
    </row>
    <row r="21" spans="1:14" ht="18.75" customHeight="1">
      <c r="A21" s="323" t="s">
        <v>22</v>
      </c>
      <c r="B21" s="394">
        <v>0</v>
      </c>
      <c r="C21" s="18">
        <v>0</v>
      </c>
      <c r="D21" s="393">
        <f t="shared" si="6"/>
        <v>0</v>
      </c>
      <c r="E21" s="324">
        <v>0</v>
      </c>
      <c r="F21" s="325">
        <v>0</v>
      </c>
      <c r="G21" s="320">
        <f t="shared" si="7"/>
        <v>0</v>
      </c>
      <c r="H21" s="327">
        <f t="shared" si="3"/>
        <v>0</v>
      </c>
      <c r="I21" s="328"/>
      <c r="J21" s="324">
        <v>0</v>
      </c>
      <c r="K21" s="325">
        <v>0</v>
      </c>
      <c r="L21" s="320">
        <f t="shared" si="8"/>
        <v>0</v>
      </c>
      <c r="M21" s="321">
        <f t="shared" si="4"/>
        <v>0</v>
      </c>
      <c r="N21" s="345"/>
    </row>
    <row r="22" spans="1:14" ht="18.75" customHeight="1">
      <c r="A22" s="323" t="s">
        <v>23</v>
      </c>
      <c r="B22" s="394">
        <v>28223.25</v>
      </c>
      <c r="C22" s="18">
        <v>2842.12</v>
      </c>
      <c r="D22" s="393">
        <f t="shared" si="6"/>
        <v>31065.37</v>
      </c>
      <c r="E22" s="324">
        <v>32998.41</v>
      </c>
      <c r="F22" s="325">
        <v>66.84</v>
      </c>
      <c r="G22" s="320">
        <f t="shared" si="7"/>
        <v>33065.25</v>
      </c>
      <c r="H22" s="327">
        <f t="shared" si="3"/>
        <v>1999.880000000001</v>
      </c>
      <c r="I22" s="328">
        <f aca="true" t="shared" si="9" ref="I22:I36">+G22/D22</f>
        <v>1.0643765067018356</v>
      </c>
      <c r="J22" s="324">
        <v>33000</v>
      </c>
      <c r="K22" s="325">
        <v>92</v>
      </c>
      <c r="L22" s="320">
        <f t="shared" si="8"/>
        <v>33092</v>
      </c>
      <c r="M22" s="321">
        <f t="shared" si="4"/>
        <v>26.75</v>
      </c>
      <c r="N22" s="345">
        <f aca="true" t="shared" si="10" ref="N22:N36">+L22/G22</f>
        <v>1.0008090064342474</v>
      </c>
    </row>
    <row r="23" spans="1:14" ht="18.75" customHeight="1">
      <c r="A23" s="323" t="s">
        <v>24</v>
      </c>
      <c r="B23" s="394">
        <f>11840.14+476.51+66.52+59215.32</f>
        <v>71598.49</v>
      </c>
      <c r="C23" s="18">
        <f>145.92+14.89</f>
        <v>160.81</v>
      </c>
      <c r="D23" s="393">
        <f t="shared" si="6"/>
        <v>71759.3</v>
      </c>
      <c r="E23" s="324">
        <f>12048.67+489.34+29.77+66109.21</f>
        <v>78676.99</v>
      </c>
      <c r="F23" s="325">
        <f>11.56+79.2</f>
        <v>90.76</v>
      </c>
      <c r="G23" s="320">
        <f t="shared" si="7"/>
        <v>78767.75</v>
      </c>
      <c r="H23" s="327">
        <f t="shared" si="3"/>
        <v>7008.449999999997</v>
      </c>
      <c r="I23" s="328">
        <f t="shared" si="9"/>
        <v>1.0976660864863508</v>
      </c>
      <c r="J23" s="324">
        <v>78820</v>
      </c>
      <c r="K23" s="325">
        <v>80</v>
      </c>
      <c r="L23" s="320">
        <f t="shared" si="8"/>
        <v>78900</v>
      </c>
      <c r="M23" s="321">
        <f t="shared" si="4"/>
        <v>132.25</v>
      </c>
      <c r="N23" s="345">
        <f t="shared" si="10"/>
        <v>1.0016789866411062</v>
      </c>
    </row>
    <row r="24" spans="1:14" ht="18.75" customHeight="1">
      <c r="A24" s="323" t="s">
        <v>25</v>
      </c>
      <c r="B24" s="402">
        <v>11840</v>
      </c>
      <c r="C24" s="18">
        <v>15</v>
      </c>
      <c r="D24" s="393">
        <f t="shared" si="6"/>
        <v>11855</v>
      </c>
      <c r="E24" s="347">
        <v>12048.67</v>
      </c>
      <c r="F24" s="325">
        <v>11.56</v>
      </c>
      <c r="G24" s="320">
        <f t="shared" si="7"/>
        <v>12060.23</v>
      </c>
      <c r="H24" s="327">
        <f t="shared" si="3"/>
        <v>205.22999999999956</v>
      </c>
      <c r="I24" s="328">
        <f t="shared" si="9"/>
        <v>1.0173116828342472</v>
      </c>
      <c r="J24" s="347">
        <v>12100</v>
      </c>
      <c r="K24" s="325">
        <v>0</v>
      </c>
      <c r="L24" s="320">
        <f t="shared" si="8"/>
        <v>12100</v>
      </c>
      <c r="M24" s="321">
        <f t="shared" si="4"/>
        <v>39.77000000000044</v>
      </c>
      <c r="N24" s="345">
        <f t="shared" si="10"/>
        <v>1.0032976153854445</v>
      </c>
    </row>
    <row r="25" spans="1:14" ht="18.75" customHeight="1">
      <c r="A25" s="323" t="s">
        <v>26</v>
      </c>
      <c r="B25" s="402">
        <v>59215</v>
      </c>
      <c r="C25" s="18">
        <v>146</v>
      </c>
      <c r="D25" s="393">
        <f t="shared" si="6"/>
        <v>59361</v>
      </c>
      <c r="E25" s="347">
        <v>66109.21</v>
      </c>
      <c r="F25" s="325">
        <v>79.2</v>
      </c>
      <c r="G25" s="320">
        <f t="shared" si="7"/>
        <v>66188.41</v>
      </c>
      <c r="H25" s="327">
        <f t="shared" si="3"/>
        <v>6827.4100000000035</v>
      </c>
      <c r="I25" s="328">
        <f t="shared" si="9"/>
        <v>1.1150150772392649</v>
      </c>
      <c r="J25" s="347">
        <v>66200</v>
      </c>
      <c r="K25" s="325">
        <v>80</v>
      </c>
      <c r="L25" s="320">
        <f t="shared" si="8"/>
        <v>66280</v>
      </c>
      <c r="M25" s="321">
        <f t="shared" si="4"/>
        <v>91.58999999999651</v>
      </c>
      <c r="N25" s="345">
        <f t="shared" si="10"/>
        <v>1.0013837770086937</v>
      </c>
    </row>
    <row r="26" spans="1:14" ht="18.75" customHeight="1">
      <c r="A26" s="348" t="s">
        <v>27</v>
      </c>
      <c r="B26" s="394">
        <f>191157.96+66850.57+3804.31+22.33</f>
        <v>261835.16999999998</v>
      </c>
      <c r="C26" s="18">
        <f>93.52+32.89+1.88</f>
        <v>128.29</v>
      </c>
      <c r="D26" s="393">
        <f t="shared" si="6"/>
        <v>261963.46</v>
      </c>
      <c r="E26" s="324">
        <f>198539.36+69438.55+4307.11+16.22</f>
        <v>272301.23999999993</v>
      </c>
      <c r="F26" s="325">
        <f>84.66+29.63+1.69</f>
        <v>115.97999999999999</v>
      </c>
      <c r="G26" s="320">
        <f t="shared" si="7"/>
        <v>272417.2199999999</v>
      </c>
      <c r="H26" s="327">
        <f t="shared" si="3"/>
        <v>10453.759999999922</v>
      </c>
      <c r="I26" s="328">
        <f t="shared" si="9"/>
        <v>1.0399054127625278</v>
      </c>
      <c r="J26" s="324">
        <v>302168.99337</v>
      </c>
      <c r="K26" s="325">
        <v>137.56363636363636</v>
      </c>
      <c r="L26" s="320">
        <f t="shared" si="8"/>
        <v>302306.55700636364</v>
      </c>
      <c r="M26" s="321">
        <f t="shared" si="4"/>
        <v>29889.337006363727</v>
      </c>
      <c r="N26" s="345">
        <f t="shared" si="10"/>
        <v>1.109718970799143</v>
      </c>
    </row>
    <row r="27" spans="1:14" ht="18.75" customHeight="1">
      <c r="A27" s="323" t="s">
        <v>28</v>
      </c>
      <c r="B27" s="402">
        <v>191158</v>
      </c>
      <c r="C27" s="403">
        <v>94</v>
      </c>
      <c r="D27" s="393">
        <f t="shared" si="6"/>
        <v>191252</v>
      </c>
      <c r="E27" s="347">
        <v>198539.36</v>
      </c>
      <c r="F27" s="349">
        <v>84.66</v>
      </c>
      <c r="G27" s="320">
        <f t="shared" si="7"/>
        <v>198624.02</v>
      </c>
      <c r="H27" s="327">
        <f t="shared" si="3"/>
        <v>7372.0199999999895</v>
      </c>
      <c r="I27" s="328">
        <f t="shared" si="9"/>
        <v>1.0385461067073807</v>
      </c>
      <c r="J27" s="347">
        <v>219923.66</v>
      </c>
      <c r="K27" s="349">
        <v>100.35927272727272</v>
      </c>
      <c r="L27" s="320">
        <f t="shared" si="8"/>
        <v>220024.01927272728</v>
      </c>
      <c r="M27" s="321">
        <f t="shared" si="4"/>
        <v>21399.99927272729</v>
      </c>
      <c r="N27" s="345">
        <f t="shared" si="10"/>
        <v>1.1077412453575721</v>
      </c>
    </row>
    <row r="28" spans="1:14" ht="18.75" customHeight="1">
      <c r="A28" s="348" t="s">
        <v>29</v>
      </c>
      <c r="B28" s="394">
        <v>189780</v>
      </c>
      <c r="C28" s="18"/>
      <c r="D28" s="393">
        <f t="shared" si="6"/>
        <v>189780</v>
      </c>
      <c r="E28" s="324">
        <v>197208.452</v>
      </c>
      <c r="F28" s="325">
        <v>84.659</v>
      </c>
      <c r="G28" s="320">
        <v>197293.111</v>
      </c>
      <c r="H28" s="327">
        <f t="shared" si="3"/>
        <v>7513.111000000004</v>
      </c>
      <c r="I28" s="328">
        <f t="shared" si="9"/>
        <v>1.0395885288228475</v>
      </c>
      <c r="J28" s="324">
        <v>218368.23799999998</v>
      </c>
      <c r="K28" s="325">
        <v>100.35927272727272</v>
      </c>
      <c r="L28" s="320">
        <f t="shared" si="8"/>
        <v>218468.59727272726</v>
      </c>
      <c r="M28" s="321">
        <f t="shared" si="4"/>
        <v>21175.486272727256</v>
      </c>
      <c r="N28" s="345">
        <f t="shared" si="10"/>
        <v>1.107330084488998</v>
      </c>
    </row>
    <row r="29" spans="1:14" ht="18.75" customHeight="1">
      <c r="A29" s="323" t="s">
        <v>30</v>
      </c>
      <c r="B29" s="394">
        <v>1378</v>
      </c>
      <c r="C29" s="18"/>
      <c r="D29" s="393">
        <f t="shared" si="6"/>
        <v>1378</v>
      </c>
      <c r="E29" s="324">
        <v>1330.5480000000098</v>
      </c>
      <c r="F29" s="325">
        <v>0</v>
      </c>
      <c r="G29" s="320">
        <v>1330.5480000000098</v>
      </c>
      <c r="H29" s="327">
        <f t="shared" si="3"/>
        <v>-47.45199999999022</v>
      </c>
      <c r="I29" s="328">
        <f t="shared" si="9"/>
        <v>0.9655645863570462</v>
      </c>
      <c r="J29" s="324">
        <v>1555.422</v>
      </c>
      <c r="K29" s="325">
        <v>0</v>
      </c>
      <c r="L29" s="320">
        <f t="shared" si="8"/>
        <v>1555.422</v>
      </c>
      <c r="M29" s="321">
        <f t="shared" si="4"/>
        <v>224.87399999999025</v>
      </c>
      <c r="N29" s="345">
        <f t="shared" si="10"/>
        <v>1.1690085588794907</v>
      </c>
    </row>
    <row r="30" spans="1:14" ht="18.75" customHeight="1">
      <c r="A30" s="323" t="s">
        <v>31</v>
      </c>
      <c r="B30" s="394">
        <f>66850.57+3804.31+22.33</f>
        <v>70677.21</v>
      </c>
      <c r="C30" s="18">
        <f>32.89+1.88</f>
        <v>34.77</v>
      </c>
      <c r="D30" s="393">
        <f t="shared" si="6"/>
        <v>70711.98000000001</v>
      </c>
      <c r="E30" s="324">
        <v>73761.88</v>
      </c>
      <c r="F30" s="325">
        <v>31</v>
      </c>
      <c r="G30" s="320">
        <v>73792.88</v>
      </c>
      <c r="H30" s="327">
        <f t="shared" si="3"/>
        <v>3080.899999999994</v>
      </c>
      <c r="I30" s="328">
        <f t="shared" si="9"/>
        <v>1.0435697034646745</v>
      </c>
      <c r="J30" s="324">
        <v>82245.33337000001</v>
      </c>
      <c r="K30" s="325">
        <v>37.20436363636364</v>
      </c>
      <c r="L30" s="320">
        <f t="shared" si="8"/>
        <v>82282.53773363637</v>
      </c>
      <c r="M30" s="321">
        <f t="shared" si="4"/>
        <v>8489.65773363637</v>
      </c>
      <c r="N30" s="345">
        <f t="shared" si="10"/>
        <v>1.115047112047075</v>
      </c>
    </row>
    <row r="31" spans="1:14" ht="18.75" customHeight="1">
      <c r="A31" s="348" t="s">
        <v>32</v>
      </c>
      <c r="B31" s="394">
        <v>0.89</v>
      </c>
      <c r="C31" s="18">
        <v>0</v>
      </c>
      <c r="D31" s="393">
        <f t="shared" si="6"/>
        <v>0.89</v>
      </c>
      <c r="E31" s="324">
        <v>0.77</v>
      </c>
      <c r="F31" s="325"/>
      <c r="G31" s="320">
        <f t="shared" si="7"/>
        <v>0.77</v>
      </c>
      <c r="H31" s="327">
        <f t="shared" si="3"/>
        <v>-0.12</v>
      </c>
      <c r="I31" s="328">
        <f t="shared" si="9"/>
        <v>0.8651685393258427</v>
      </c>
      <c r="J31" s="324">
        <v>1</v>
      </c>
      <c r="K31" s="325">
        <v>0</v>
      </c>
      <c r="L31" s="320">
        <f t="shared" si="8"/>
        <v>1</v>
      </c>
      <c r="M31" s="321">
        <f t="shared" si="4"/>
        <v>0.22999999999999998</v>
      </c>
      <c r="N31" s="345">
        <f t="shared" si="10"/>
        <v>1.2987012987012987</v>
      </c>
    </row>
    <row r="32" spans="1:14" ht="18.75" customHeight="1">
      <c r="A32" s="348" t="s">
        <v>33</v>
      </c>
      <c r="B32" s="394">
        <f>45.66+1.46+200.05+937.76+3847.41</f>
        <v>5032.34</v>
      </c>
      <c r="C32" s="18">
        <v>6</v>
      </c>
      <c r="D32" s="393">
        <f t="shared" si="6"/>
        <v>5038.34</v>
      </c>
      <c r="E32" s="324">
        <f>37.11+96.99+21.03+98.23+2018.87</f>
        <v>2272.23</v>
      </c>
      <c r="F32" s="325">
        <f>0.8+0.25</f>
        <v>1.05</v>
      </c>
      <c r="G32" s="320">
        <f t="shared" si="7"/>
        <v>2273.28</v>
      </c>
      <c r="H32" s="327">
        <f t="shared" si="3"/>
        <v>-2765.06</v>
      </c>
      <c r="I32" s="328">
        <f t="shared" si="9"/>
        <v>0.45119622732884246</v>
      </c>
      <c r="J32" s="324">
        <v>2100</v>
      </c>
      <c r="K32" s="325">
        <v>0.6</v>
      </c>
      <c r="L32" s="320">
        <f t="shared" si="8"/>
        <v>2100.6</v>
      </c>
      <c r="M32" s="321">
        <f t="shared" si="4"/>
        <v>-172.6800000000003</v>
      </c>
      <c r="N32" s="345">
        <f t="shared" si="10"/>
        <v>0.9240392736486486</v>
      </c>
    </row>
    <row r="33" spans="1:14" ht="18.75" customHeight="1">
      <c r="A33" s="323" t="s">
        <v>34</v>
      </c>
      <c r="B33" s="402">
        <v>3359.6</v>
      </c>
      <c r="C33" s="18"/>
      <c r="D33" s="393">
        <f t="shared" si="6"/>
        <v>3359.6</v>
      </c>
      <c r="E33" s="347">
        <v>2303.56</v>
      </c>
      <c r="F33" s="325"/>
      <c r="G33" s="320">
        <f t="shared" si="7"/>
        <v>2303.56</v>
      </c>
      <c r="H33" s="327">
        <f t="shared" si="3"/>
        <v>-1056.04</v>
      </c>
      <c r="I33" s="328">
        <f t="shared" si="9"/>
        <v>0.6856649601142993</v>
      </c>
      <c r="J33" s="347">
        <v>5213.525</v>
      </c>
      <c r="K33" s="325">
        <v>0</v>
      </c>
      <c r="L33" s="320">
        <f t="shared" si="8"/>
        <v>5213.525</v>
      </c>
      <c r="M33" s="321">
        <f t="shared" si="4"/>
        <v>2909.9649999999997</v>
      </c>
      <c r="N33" s="345">
        <f t="shared" si="10"/>
        <v>2.263246887426418</v>
      </c>
    </row>
    <row r="34" spans="1:14" ht="18.75" customHeight="1">
      <c r="A34" s="323" t="s">
        <v>35</v>
      </c>
      <c r="B34" s="402">
        <v>3360</v>
      </c>
      <c r="C34" s="18">
        <v>0</v>
      </c>
      <c r="D34" s="393">
        <f t="shared" si="6"/>
        <v>3360</v>
      </c>
      <c r="E34" s="347">
        <v>2303.56</v>
      </c>
      <c r="F34" s="325"/>
      <c r="G34" s="320">
        <f t="shared" si="7"/>
        <v>2303.56</v>
      </c>
      <c r="H34" s="327">
        <f t="shared" si="3"/>
        <v>-1056.44</v>
      </c>
      <c r="I34" s="328">
        <f t="shared" si="9"/>
        <v>0.6855833333333333</v>
      </c>
      <c r="J34" s="347">
        <v>5213.525</v>
      </c>
      <c r="K34" s="325">
        <v>0</v>
      </c>
      <c r="L34" s="320">
        <f t="shared" si="8"/>
        <v>5213.525</v>
      </c>
      <c r="M34" s="321">
        <f t="shared" si="4"/>
        <v>2909.9649999999997</v>
      </c>
      <c r="N34" s="345">
        <f t="shared" si="10"/>
        <v>2.263246887426418</v>
      </c>
    </row>
    <row r="35" spans="1:14" ht="18.75" customHeight="1" thickBot="1">
      <c r="A35" s="350" t="s">
        <v>36</v>
      </c>
      <c r="B35" s="404">
        <f>1304.4-62.32</f>
        <v>1242.0800000000002</v>
      </c>
      <c r="C35" s="397">
        <v>0</v>
      </c>
      <c r="D35" s="405">
        <f t="shared" si="6"/>
        <v>1242.0800000000002</v>
      </c>
      <c r="E35" s="351">
        <f>500+10.82</f>
        <v>510.82</v>
      </c>
      <c r="F35" s="331"/>
      <c r="G35" s="352">
        <f t="shared" si="7"/>
        <v>510.82</v>
      </c>
      <c r="H35" s="333">
        <f t="shared" si="3"/>
        <v>-731.2600000000002</v>
      </c>
      <c r="I35" s="334">
        <f t="shared" si="9"/>
        <v>0.41126175447636215</v>
      </c>
      <c r="J35" s="351">
        <v>0</v>
      </c>
      <c r="K35" s="331">
        <v>0</v>
      </c>
      <c r="L35" s="352">
        <f t="shared" si="8"/>
        <v>0</v>
      </c>
      <c r="M35" s="321">
        <f t="shared" si="4"/>
        <v>-510.82</v>
      </c>
      <c r="N35" s="345">
        <f t="shared" si="10"/>
        <v>0</v>
      </c>
    </row>
    <row r="36" spans="1:14" ht="20.25" customHeight="1" thickBot="1">
      <c r="A36" s="335" t="s">
        <v>37</v>
      </c>
      <c r="B36" s="23">
        <f aca="true" t="shared" si="11" ref="B36:G36">SUM(B18+B20+B21+B22+B23+B26+B31+B32+B33+B35)</f>
        <v>498761.68000000005</v>
      </c>
      <c r="C36" s="21">
        <f t="shared" si="11"/>
        <v>3240</v>
      </c>
      <c r="D36" s="22">
        <f t="shared" si="11"/>
        <v>502001.68000000005</v>
      </c>
      <c r="E36" s="336">
        <f t="shared" si="11"/>
        <v>525596.58</v>
      </c>
      <c r="F36" s="337">
        <f t="shared" si="11"/>
        <v>408.13000000000005</v>
      </c>
      <c r="G36" s="353">
        <f t="shared" si="11"/>
        <v>526004.71</v>
      </c>
      <c r="H36" s="341">
        <f t="shared" si="3"/>
        <v>24003.02999999991</v>
      </c>
      <c r="I36" s="342">
        <f t="shared" si="9"/>
        <v>1.047814640779688</v>
      </c>
      <c r="J36" s="336">
        <f>SUM(J18+J20+J21+J22+J23+J26+J31+J32+J33+J35)</f>
        <v>553803.5183700001</v>
      </c>
      <c r="K36" s="337">
        <f>SUM(K18+K20+K21+K22+K23+K26+K31+K32+K33+K35)</f>
        <v>430.1636363636364</v>
      </c>
      <c r="L36" s="353">
        <f>SUM(L18+L20+L21+L22+L23+L26+L31+L32+L33+L35)</f>
        <v>554233.6820063636</v>
      </c>
      <c r="M36" s="341">
        <f t="shared" si="4"/>
        <v>28228.972006363678</v>
      </c>
      <c r="N36" s="342">
        <f t="shared" si="10"/>
        <v>1.0536667666081616</v>
      </c>
    </row>
    <row r="37" spans="1:14" ht="14.25" customHeight="1" thickBot="1">
      <c r="A37" s="335" t="s">
        <v>38</v>
      </c>
      <c r="B37" s="1069">
        <f>+D17-D36</f>
        <v>269.11999999993714</v>
      </c>
      <c r="C37" s="1290"/>
      <c r="D37" s="1291"/>
      <c r="E37" s="1069">
        <f>+G17-G36</f>
        <v>4.14000000001397</v>
      </c>
      <c r="F37" s="1290">
        <f>SUM(F17-F36)</f>
        <v>648.4399999999998</v>
      </c>
      <c r="G37" s="1291">
        <f>SUM(G17-G36)</f>
        <v>4.14000000001397</v>
      </c>
      <c r="H37" s="354"/>
      <c r="I37" s="355"/>
      <c r="J37" s="1069">
        <f>+L17-L36</f>
        <v>-17499.68200636364</v>
      </c>
      <c r="K37" s="1290">
        <v>647.8363636363636</v>
      </c>
      <c r="L37" s="1291">
        <v>-9900.402006363729</v>
      </c>
      <c r="M37" s="354"/>
      <c r="N37" s="355"/>
    </row>
    <row r="38" spans="1:34" ht="19.5" customHeight="1" thickBot="1">
      <c r="A38" s="25" t="s">
        <v>39</v>
      </c>
      <c r="B38" s="1069">
        <v>-52907.81</v>
      </c>
      <c r="C38" s="1419"/>
      <c r="D38" s="1420"/>
      <c r="E38" s="1069">
        <v>-18880.2</v>
      </c>
      <c r="F38" s="1419"/>
      <c r="G38" s="1420"/>
      <c r="H38"/>
      <c r="I38"/>
      <c r="J38" s="692"/>
      <c r="K38"/>
      <c r="L38"/>
      <c r="M38"/>
      <c r="N38"/>
      <c r="O38"/>
      <c r="P38"/>
      <c r="Q38"/>
      <c r="R38"/>
      <c r="S38"/>
      <c r="T38"/>
      <c r="U38"/>
      <c r="V38"/>
      <c r="W38"/>
      <c r="X38"/>
      <c r="Y38"/>
      <c r="Z38"/>
      <c r="AA38"/>
      <c r="AB38"/>
      <c r="AC38"/>
      <c r="AD38"/>
      <c r="AE38"/>
      <c r="AF38"/>
      <c r="AG38"/>
      <c r="AH38"/>
    </row>
    <row r="39" spans="1:34" ht="13.5" customHeight="1" thickBot="1">
      <c r="A39" s="26" t="s">
        <v>40</v>
      </c>
      <c r="B39" s="1062">
        <f>SUM(B37:D38)</f>
        <v>-52638.69000000006</v>
      </c>
      <c r="C39" s="1205"/>
      <c r="D39" s="1075"/>
      <c r="E39" s="1062">
        <f>+E37+E38</f>
        <v>-18876.059999999987</v>
      </c>
      <c r="F39" s="1205"/>
      <c r="G39" s="1075"/>
      <c r="H39"/>
      <c r="I39"/>
      <c r="J39"/>
      <c r="K39"/>
      <c r="L39"/>
      <c r="M39"/>
      <c r="N39"/>
      <c r="O39"/>
      <c r="P39"/>
      <c r="Q39"/>
      <c r="R39"/>
      <c r="S39"/>
      <c r="T39"/>
      <c r="U39"/>
      <c r="V39"/>
      <c r="W39"/>
      <c r="X39"/>
      <c r="Y39"/>
      <c r="Z39"/>
      <c r="AA39"/>
      <c r="AB39"/>
      <c r="AC39"/>
      <c r="AD39"/>
      <c r="AE39"/>
      <c r="AF39"/>
      <c r="AG39"/>
      <c r="AH39"/>
    </row>
    <row r="40" ht="7.5" customHeight="1" thickBot="1">
      <c r="A40" s="356"/>
    </row>
    <row r="41" spans="1:14" ht="17.25" customHeight="1" thickBot="1">
      <c r="A41" s="1452" t="s">
        <v>171</v>
      </c>
      <c r="B41" s="1084"/>
      <c r="C41" s="1084"/>
      <c r="D41" s="1084"/>
      <c r="E41" s="1084"/>
      <c r="F41" s="1084"/>
      <c r="G41" s="1084"/>
      <c r="H41" s="1084"/>
      <c r="I41" s="1084"/>
      <c r="J41" s="1084"/>
      <c r="K41" s="1085"/>
      <c r="L41"/>
      <c r="M41"/>
      <c r="N41"/>
    </row>
    <row r="42" spans="1:32" s="27" customFormat="1" ht="22.5" customHeight="1">
      <c r="A42" s="1081" t="s">
        <v>42</v>
      </c>
      <c r="B42" s="1453" t="s">
        <v>157</v>
      </c>
      <c r="C42" s="1175"/>
      <c r="D42" s="1175"/>
      <c r="E42" s="1048"/>
      <c r="F42" s="997"/>
      <c r="G42" s="1453" t="s">
        <v>158</v>
      </c>
      <c r="H42" s="1048"/>
      <c r="I42" s="1048"/>
      <c r="J42" s="1048"/>
      <c r="K42" s="997"/>
      <c r="L42"/>
      <c r="M42" s="346"/>
      <c r="N42" s="346"/>
      <c r="O42" s="346"/>
      <c r="P42" s="346"/>
      <c r="Q42" s="346"/>
      <c r="R42" s="346"/>
      <c r="S42" s="346"/>
      <c r="T42" s="346"/>
      <c r="U42" s="346"/>
      <c r="V42" s="346"/>
      <c r="W42" s="346"/>
      <c r="X42" s="346"/>
      <c r="Y42" s="346"/>
      <c r="Z42" s="346"/>
      <c r="AA42" s="346"/>
      <c r="AB42" s="346"/>
      <c r="AC42" s="346"/>
      <c r="AD42" s="346"/>
      <c r="AE42" s="346"/>
      <c r="AF42" s="346"/>
    </row>
    <row r="43" spans="1:34" ht="13.5" thickBot="1">
      <c r="A43" s="1082"/>
      <c r="B43" s="31">
        <v>2004</v>
      </c>
      <c r="C43" s="28">
        <v>2005</v>
      </c>
      <c r="D43" s="28">
        <v>2006</v>
      </c>
      <c r="E43" s="29" t="s">
        <v>7</v>
      </c>
      <c r="F43" s="30" t="s">
        <v>48</v>
      </c>
      <c r="G43" s="31">
        <v>2004</v>
      </c>
      <c r="H43" s="28">
        <v>2005</v>
      </c>
      <c r="I43" s="28">
        <v>2006</v>
      </c>
      <c r="J43" s="29" t="s">
        <v>7</v>
      </c>
      <c r="K43" s="30" t="s">
        <v>48</v>
      </c>
      <c r="L43" s="276"/>
      <c r="M43" s="276"/>
      <c r="N43" s="276"/>
      <c r="AE43"/>
      <c r="AF43"/>
      <c r="AG43"/>
      <c r="AH43"/>
    </row>
    <row r="44" spans="1:30" s="27" customFormat="1" ht="25.5" customHeight="1">
      <c r="A44" s="406" t="s">
        <v>151</v>
      </c>
      <c r="B44" s="66">
        <v>1657000</v>
      </c>
      <c r="C44" s="32">
        <v>1680000</v>
      </c>
      <c r="D44" s="32">
        <v>1457000</v>
      </c>
      <c r="E44" s="24">
        <f>+D44-C44</f>
        <v>-223000</v>
      </c>
      <c r="F44" s="33">
        <f>+D44/C44</f>
        <v>0.8672619047619048</v>
      </c>
      <c r="G44" s="34">
        <v>0</v>
      </c>
      <c r="H44" s="35">
        <v>0</v>
      </c>
      <c r="I44" s="35">
        <v>0</v>
      </c>
      <c r="J44" s="24">
        <f>+I44-H44</f>
        <v>0</v>
      </c>
      <c r="K44" s="33"/>
      <c r="L44" s="346"/>
      <c r="M44" s="346"/>
      <c r="N44" s="346"/>
      <c r="O44" s="346"/>
      <c r="P44" s="346"/>
      <c r="Q44" s="346"/>
      <c r="R44" s="346"/>
      <c r="S44" s="346"/>
      <c r="T44" s="346"/>
      <c r="U44" s="346"/>
      <c r="V44" s="346"/>
      <c r="W44" s="346"/>
      <c r="X44" s="346"/>
      <c r="Y44" s="346"/>
      <c r="Z44" s="346"/>
      <c r="AA44" s="346"/>
      <c r="AB44" s="346"/>
      <c r="AC44" s="346"/>
      <c r="AD44" s="346"/>
    </row>
    <row r="45" spans="1:30" s="27" customFormat="1" ht="21" customHeight="1">
      <c r="A45" s="407" t="s">
        <v>152</v>
      </c>
      <c r="B45" s="34">
        <v>1232000</v>
      </c>
      <c r="C45" s="32">
        <v>0</v>
      </c>
      <c r="D45" s="32">
        <v>0</v>
      </c>
      <c r="E45" s="24">
        <f aca="true" t="shared" si="12" ref="E45:E51">+D45-C45</f>
        <v>0</v>
      </c>
      <c r="F45" s="33"/>
      <c r="G45" s="34">
        <v>21068000</v>
      </c>
      <c r="H45" s="35">
        <v>24400000</v>
      </c>
      <c r="I45" s="35">
        <f>+B58</f>
        <v>24400000</v>
      </c>
      <c r="J45" s="24">
        <f aca="true" t="shared" si="13" ref="J45:J52">+I45-H45</f>
        <v>0</v>
      </c>
      <c r="K45" s="33">
        <f>+I45/H45</f>
        <v>1</v>
      </c>
      <c r="L45" s="346"/>
      <c r="M45" s="346"/>
      <c r="N45" s="346"/>
      <c r="O45" s="346"/>
      <c r="P45" s="346"/>
      <c r="Q45" s="346"/>
      <c r="R45" s="346"/>
      <c r="S45" s="346"/>
      <c r="T45" s="346"/>
      <c r="U45" s="346"/>
      <c r="V45" s="346"/>
      <c r="W45" s="346"/>
      <c r="X45" s="346"/>
      <c r="Y45" s="346"/>
      <c r="Z45" s="346"/>
      <c r="AA45" s="346"/>
      <c r="AB45" s="346"/>
      <c r="AC45" s="346"/>
      <c r="AD45" s="346"/>
    </row>
    <row r="46" spans="1:30" s="27" customFormat="1" ht="21" customHeight="1">
      <c r="A46" s="408" t="s">
        <v>153</v>
      </c>
      <c r="B46" s="34">
        <v>775240.42</v>
      </c>
      <c r="C46" s="32">
        <v>0</v>
      </c>
      <c r="D46" s="32">
        <v>0</v>
      </c>
      <c r="E46" s="24">
        <f t="shared" si="12"/>
        <v>0</v>
      </c>
      <c r="F46" s="33"/>
      <c r="G46" s="34">
        <v>1690747.04</v>
      </c>
      <c r="H46" s="35">
        <v>1564896.93</v>
      </c>
      <c r="I46" s="35">
        <f>+G127</f>
        <v>160297.58</v>
      </c>
      <c r="J46" s="24">
        <f t="shared" si="13"/>
        <v>-1404599.3499999999</v>
      </c>
      <c r="K46" s="33"/>
      <c r="L46" s="346"/>
      <c r="M46" s="346"/>
      <c r="N46" s="346"/>
      <c r="O46" s="346"/>
      <c r="P46" s="346"/>
      <c r="Q46" s="346"/>
      <c r="R46" s="346"/>
      <c r="S46" s="346"/>
      <c r="T46" s="346"/>
      <c r="U46" s="346"/>
      <c r="V46" s="346"/>
      <c r="W46" s="346"/>
      <c r="X46" s="346"/>
      <c r="Y46" s="346"/>
      <c r="Z46" s="346"/>
      <c r="AA46" s="346"/>
      <c r="AB46" s="346"/>
      <c r="AC46" s="346"/>
      <c r="AD46" s="346"/>
    </row>
    <row r="47" spans="1:30" s="27" customFormat="1" ht="21" customHeight="1">
      <c r="A47" s="408" t="s">
        <v>154</v>
      </c>
      <c r="B47" s="34">
        <v>68651</v>
      </c>
      <c r="C47" s="32"/>
      <c r="D47" s="32">
        <v>0</v>
      </c>
      <c r="E47" s="24">
        <f t="shared" si="12"/>
        <v>0</v>
      </c>
      <c r="F47" s="33"/>
      <c r="G47" s="34">
        <v>83322</v>
      </c>
      <c r="H47" s="35">
        <v>124412.1</v>
      </c>
      <c r="I47" s="35">
        <v>0</v>
      </c>
      <c r="J47" s="24">
        <f t="shared" si="13"/>
        <v>-124412.1</v>
      </c>
      <c r="K47" s="33"/>
      <c r="L47" s="346"/>
      <c r="M47" s="346"/>
      <c r="N47" s="346"/>
      <c r="O47" s="346"/>
      <c r="P47" s="346"/>
      <c r="Q47" s="346"/>
      <c r="R47" s="346"/>
      <c r="S47" s="346"/>
      <c r="T47" s="346"/>
      <c r="U47" s="346"/>
      <c r="V47" s="346"/>
      <c r="W47" s="346"/>
      <c r="X47" s="346"/>
      <c r="Y47" s="346"/>
      <c r="Z47" s="346"/>
      <c r="AA47" s="346"/>
      <c r="AB47" s="346"/>
      <c r="AC47" s="346"/>
      <c r="AD47" s="346"/>
    </row>
    <row r="48" spans="1:30" s="27" customFormat="1" ht="21" customHeight="1">
      <c r="A48" s="68" t="s">
        <v>49</v>
      </c>
      <c r="B48" s="38"/>
      <c r="C48" s="32">
        <v>0</v>
      </c>
      <c r="D48" s="32">
        <v>0</v>
      </c>
      <c r="E48" s="24">
        <f t="shared" si="12"/>
        <v>0</v>
      </c>
      <c r="F48" s="33"/>
      <c r="G48" s="38">
        <v>1575000</v>
      </c>
      <c r="H48" s="409"/>
      <c r="I48" s="409">
        <v>0</v>
      </c>
      <c r="J48" s="24">
        <f t="shared" si="13"/>
        <v>0</v>
      </c>
      <c r="K48" s="33"/>
      <c r="L48" s="346"/>
      <c r="M48" s="346"/>
      <c r="N48" s="346"/>
      <c r="O48" s="346"/>
      <c r="P48" s="346"/>
      <c r="Q48" s="346"/>
      <c r="R48" s="346"/>
      <c r="S48" s="346"/>
      <c r="T48" s="346"/>
      <c r="U48" s="346"/>
      <c r="V48" s="346"/>
      <c r="W48" s="346"/>
      <c r="X48" s="346"/>
      <c r="Y48" s="346"/>
      <c r="Z48" s="346"/>
      <c r="AA48" s="346"/>
      <c r="AB48" s="346"/>
      <c r="AC48" s="346"/>
      <c r="AD48" s="346"/>
    </row>
    <row r="49" spans="1:30" s="27" customFormat="1" ht="21" customHeight="1">
      <c r="A49" s="67" t="s">
        <v>256</v>
      </c>
      <c r="B49" s="34"/>
      <c r="C49" s="32"/>
      <c r="D49" s="32">
        <v>0</v>
      </c>
      <c r="E49" s="24">
        <f t="shared" si="12"/>
        <v>0</v>
      </c>
      <c r="F49" s="33"/>
      <c r="G49" s="34"/>
      <c r="H49" s="35">
        <v>7743000</v>
      </c>
      <c r="I49" s="35">
        <v>0</v>
      </c>
      <c r="J49" s="24">
        <f t="shared" si="13"/>
        <v>-7743000</v>
      </c>
      <c r="K49" s="33"/>
      <c r="L49" s="346"/>
      <c r="M49" s="346"/>
      <c r="N49" s="346"/>
      <c r="O49" s="346"/>
      <c r="P49" s="346"/>
      <c r="Q49" s="346"/>
      <c r="R49" s="346"/>
      <c r="S49" s="346"/>
      <c r="T49" s="346"/>
      <c r="U49" s="346"/>
      <c r="V49" s="346"/>
      <c r="W49" s="346"/>
      <c r="X49" s="346"/>
      <c r="Y49" s="346"/>
      <c r="Z49" s="346"/>
      <c r="AA49" s="346"/>
      <c r="AB49" s="346"/>
      <c r="AC49" s="346"/>
      <c r="AD49" s="346"/>
    </row>
    <row r="50" spans="1:30" s="27" customFormat="1" ht="21" customHeight="1">
      <c r="A50" s="390" t="s">
        <v>262</v>
      </c>
      <c r="B50" s="34"/>
      <c r="C50" s="32">
        <v>0</v>
      </c>
      <c r="D50" s="32">
        <v>0</v>
      </c>
      <c r="E50" s="24">
        <f t="shared" si="12"/>
        <v>0</v>
      </c>
      <c r="F50" s="33"/>
      <c r="G50" s="34"/>
      <c r="H50" s="35">
        <v>38425000</v>
      </c>
      <c r="I50" s="35">
        <v>0</v>
      </c>
      <c r="J50" s="24">
        <f t="shared" si="13"/>
        <v>-38425000</v>
      </c>
      <c r="K50" s="33"/>
      <c r="L50" s="346"/>
      <c r="M50" s="346"/>
      <c r="N50" s="346"/>
      <c r="O50" s="346"/>
      <c r="P50" s="346"/>
      <c r="Q50" s="346"/>
      <c r="R50" s="346"/>
      <c r="S50" s="346"/>
      <c r="T50" s="346"/>
      <c r="U50" s="346"/>
      <c r="V50" s="346"/>
      <c r="W50" s="346"/>
      <c r="X50" s="346"/>
      <c r="Y50" s="346"/>
      <c r="Z50" s="346"/>
      <c r="AA50" s="346"/>
      <c r="AB50" s="346"/>
      <c r="AC50" s="346"/>
      <c r="AD50" s="346"/>
    </row>
    <row r="51" spans="1:30" s="27" customFormat="1" ht="21" customHeight="1" thickBot="1">
      <c r="A51" s="429" t="s">
        <v>257</v>
      </c>
      <c r="B51" s="38">
        <v>53143</v>
      </c>
      <c r="C51" s="430">
        <v>42857</v>
      </c>
      <c r="D51" s="430">
        <v>0</v>
      </c>
      <c r="E51" s="24">
        <f t="shared" si="12"/>
        <v>-42857</v>
      </c>
      <c r="F51" s="431"/>
      <c r="G51" s="38"/>
      <c r="H51" s="409"/>
      <c r="I51" s="409"/>
      <c r="J51" s="24">
        <f t="shared" si="13"/>
        <v>0</v>
      </c>
      <c r="K51" s="431"/>
      <c r="L51" s="346"/>
      <c r="M51" s="346"/>
      <c r="N51" s="346"/>
      <c r="O51" s="346"/>
      <c r="P51" s="346"/>
      <c r="Q51" s="346"/>
      <c r="R51" s="346"/>
      <c r="S51" s="346"/>
      <c r="T51" s="346"/>
      <c r="U51" s="346"/>
      <c r="V51" s="346"/>
      <c r="W51" s="346"/>
      <c r="X51" s="346"/>
      <c r="Y51" s="346"/>
      <c r="Z51" s="346"/>
      <c r="AA51" s="346"/>
      <c r="AB51" s="346"/>
      <c r="AC51" s="346"/>
      <c r="AD51" s="346"/>
    </row>
    <row r="52" spans="1:30" s="27" customFormat="1" ht="18.75" customHeight="1" thickBot="1">
      <c r="A52" s="69" t="s">
        <v>54</v>
      </c>
      <c r="B52" s="23">
        <f>SUM(B44:B51)</f>
        <v>3786034.42</v>
      </c>
      <c r="C52" s="40">
        <f>SUM(C44:C51)</f>
        <v>1722857</v>
      </c>
      <c r="D52" s="40">
        <f>SUM(D44:D51)</f>
        <v>1457000</v>
      </c>
      <c r="E52" s="40">
        <f>+D52-C52</f>
        <v>-265857</v>
      </c>
      <c r="F52" s="432">
        <f>+D52/C52</f>
        <v>0.8456882956623795</v>
      </c>
      <c r="G52" s="23">
        <f>SUM(G44:G51)</f>
        <v>24417069.04</v>
      </c>
      <c r="H52" s="40">
        <f>SUM(H44:H51)</f>
        <v>72257309.03</v>
      </c>
      <c r="I52" s="40">
        <f>SUM(I44:I51)</f>
        <v>24560297.58</v>
      </c>
      <c r="J52" s="40">
        <f t="shared" si="13"/>
        <v>-47697011.45</v>
      </c>
      <c r="K52" s="432">
        <f>+I52/H52</f>
        <v>0.339900529229548</v>
      </c>
      <c r="L52" s="346"/>
      <c r="M52" s="346"/>
      <c r="N52" s="346"/>
      <c r="O52" s="346"/>
      <c r="P52" s="346"/>
      <c r="Q52" s="346"/>
      <c r="R52" s="346"/>
      <c r="S52" s="346"/>
      <c r="T52" s="346"/>
      <c r="U52" s="346"/>
      <c r="V52" s="346"/>
      <c r="W52" s="346"/>
      <c r="X52" s="346"/>
      <c r="Y52" s="346"/>
      <c r="Z52" s="346"/>
      <c r="AA52" s="346"/>
      <c r="AB52" s="346"/>
      <c r="AC52" s="346"/>
      <c r="AD52" s="346"/>
    </row>
    <row r="53" spans="1:34" ht="10.5" customHeight="1">
      <c r="A53"/>
      <c r="B53"/>
      <c r="C53"/>
      <c r="D53"/>
      <c r="E53"/>
      <c r="F53"/>
      <c r="G53"/>
      <c r="H53"/>
      <c r="I53"/>
      <c r="J53"/>
      <c r="K53"/>
      <c r="L53"/>
      <c r="M53"/>
      <c r="N53"/>
      <c r="O53"/>
      <c r="P53"/>
      <c r="Q53"/>
      <c r="R53"/>
      <c r="S53"/>
      <c r="T53"/>
      <c r="U53"/>
      <c r="V53"/>
      <c r="W53"/>
      <c r="X53"/>
      <c r="Y53"/>
      <c r="Z53"/>
      <c r="AA53"/>
      <c r="AB53"/>
      <c r="AC53"/>
      <c r="AD53"/>
      <c r="AE53"/>
      <c r="AF53"/>
      <c r="AG53"/>
      <c r="AH53"/>
    </row>
    <row r="54" spans="1:34" ht="13.5" thickBot="1">
      <c r="A54"/>
      <c r="B54"/>
      <c r="C54"/>
      <c r="D54"/>
      <c r="E54"/>
      <c r="F54"/>
      <c r="G54"/>
      <c r="H54"/>
      <c r="I54"/>
      <c r="J54"/>
      <c r="K54"/>
      <c r="L54"/>
      <c r="M54"/>
      <c r="N54"/>
      <c r="O54"/>
      <c r="P54"/>
      <c r="Q54"/>
      <c r="R54"/>
      <c r="S54"/>
      <c r="T54"/>
      <c r="U54"/>
      <c r="V54"/>
      <c r="W54"/>
      <c r="X54"/>
      <c r="Y54"/>
      <c r="Z54"/>
      <c r="AA54"/>
      <c r="AB54"/>
      <c r="AC54"/>
      <c r="AD54"/>
      <c r="AE54"/>
      <c r="AF54"/>
      <c r="AG54"/>
      <c r="AH54"/>
    </row>
    <row r="55" spans="1:11" s="276" customFormat="1" ht="18" customHeight="1">
      <c r="A55" s="1273" t="s">
        <v>44</v>
      </c>
      <c r="B55" s="1047" t="s">
        <v>41</v>
      </c>
      <c r="C55" s="1323"/>
      <c r="D55" s="1323"/>
      <c r="E55" s="1323"/>
      <c r="F55" s="1323"/>
      <c r="G55" s="1324"/>
      <c r="H55" s="1047" t="s">
        <v>156</v>
      </c>
      <c r="I55" s="1286"/>
      <c r="J55" s="1286"/>
      <c r="K55" s="1287"/>
    </row>
    <row r="56" spans="1:11" s="276" customFormat="1" ht="31.5" customHeight="1" thickBot="1">
      <c r="A56" s="1343"/>
      <c r="B56" s="1121" t="s">
        <v>45</v>
      </c>
      <c r="C56" s="1024"/>
      <c r="D56" s="1023" t="s">
        <v>46</v>
      </c>
      <c r="E56" s="1024"/>
      <c r="F56" s="1023" t="s">
        <v>47</v>
      </c>
      <c r="G56" s="1131"/>
      <c r="H56" s="298" t="s">
        <v>50</v>
      </c>
      <c r="I56" s="296" t="s">
        <v>52</v>
      </c>
      <c r="J56" s="297" t="s">
        <v>51</v>
      </c>
      <c r="K56" s="239" t="s">
        <v>53</v>
      </c>
    </row>
    <row r="57" spans="1:11" s="276" customFormat="1" ht="22.5" customHeight="1">
      <c r="A57" s="299">
        <v>2004</v>
      </c>
      <c r="B57" s="1348">
        <f>SUM(D57:G57)</f>
        <v>22300000</v>
      </c>
      <c r="C57" s="1030"/>
      <c r="D57" s="1029">
        <v>15000000</v>
      </c>
      <c r="E57" s="1030"/>
      <c r="F57" s="1029">
        <v>7300000</v>
      </c>
      <c r="G57" s="1311"/>
      <c r="H57" s="293">
        <f>+G45/B57</f>
        <v>0.9447533632286995</v>
      </c>
      <c r="I57" s="294">
        <v>0.2238</v>
      </c>
      <c r="J57" s="294">
        <v>0.7209</v>
      </c>
      <c r="K57" s="295">
        <f>+B45/B57</f>
        <v>0.05524663677130045</v>
      </c>
    </row>
    <row r="58" spans="1:11" s="276" customFormat="1" ht="22.5" customHeight="1">
      <c r="A58" s="300">
        <v>2005</v>
      </c>
      <c r="B58" s="1349">
        <f>SUM(D58:G58)</f>
        <v>24400000</v>
      </c>
      <c r="C58" s="1052"/>
      <c r="D58" s="1051">
        <v>17000000</v>
      </c>
      <c r="E58" s="1052"/>
      <c r="F58" s="1051">
        <v>7400000</v>
      </c>
      <c r="G58" s="1312"/>
      <c r="H58" s="277">
        <f>+H45/B58</f>
        <v>1</v>
      </c>
      <c r="I58" s="278">
        <f>11966957.59/B58</f>
        <v>0.49044908155737704</v>
      </c>
      <c r="J58" s="278">
        <f>12433042.41/B58</f>
        <v>0.5095509184426229</v>
      </c>
      <c r="K58" s="279">
        <v>0</v>
      </c>
    </row>
    <row r="59" spans="1:11" s="276" customFormat="1" ht="22.5" customHeight="1" thickBot="1">
      <c r="A59" s="301">
        <v>2006</v>
      </c>
      <c r="B59" s="1350">
        <f>SUM(D59:G59)</f>
        <v>24400000</v>
      </c>
      <c r="C59" s="1054"/>
      <c r="D59" s="1053">
        <v>17000000</v>
      </c>
      <c r="E59" s="1054"/>
      <c r="F59" s="1053">
        <v>7400000</v>
      </c>
      <c r="G59" s="1292"/>
      <c r="H59" s="290">
        <f>+E127/B59</f>
        <v>1</v>
      </c>
      <c r="I59" s="291">
        <f>+E82/B59</f>
        <v>0.42649770901639344</v>
      </c>
      <c r="J59" s="291">
        <f>+E105/B59</f>
        <v>0.5735022909836065</v>
      </c>
      <c r="K59" s="292">
        <v>0</v>
      </c>
    </row>
    <row r="60" spans="1:34" ht="12.75">
      <c r="A60"/>
      <c r="B60"/>
      <c r="C60"/>
      <c r="D60"/>
      <c r="E60"/>
      <c r="F60"/>
      <c r="G60"/>
      <c r="H60"/>
      <c r="I60"/>
      <c r="J60"/>
      <c r="K60"/>
      <c r="L60"/>
      <c r="M60"/>
      <c r="N60"/>
      <c r="O60"/>
      <c r="P60"/>
      <c r="Q60"/>
      <c r="R60"/>
      <c r="S60"/>
      <c r="T60"/>
      <c r="U60"/>
      <c r="V60"/>
      <c r="W60"/>
      <c r="X60"/>
      <c r="Y60"/>
      <c r="Z60"/>
      <c r="AA60"/>
      <c r="AB60"/>
      <c r="AC60"/>
      <c r="AD60"/>
      <c r="AE60"/>
      <c r="AF60"/>
      <c r="AG60"/>
      <c r="AH60"/>
    </row>
    <row r="61" spans="1:34" ht="16.5" thickBot="1">
      <c r="A61" s="184" t="s">
        <v>249</v>
      </c>
      <c r="B61" s="140"/>
      <c r="C61" s="140"/>
      <c r="D61"/>
      <c r="E61"/>
      <c r="F61"/>
      <c r="G61"/>
      <c r="H61"/>
      <c r="I61"/>
      <c r="J61"/>
      <c r="K61"/>
      <c r="L61"/>
      <c r="M61"/>
      <c r="N61"/>
      <c r="O61"/>
      <c r="P61"/>
      <c r="Q61"/>
      <c r="R61"/>
      <c r="S61"/>
      <c r="T61"/>
      <c r="U61"/>
      <c r="V61"/>
      <c r="W61"/>
      <c r="X61"/>
      <c r="Y61"/>
      <c r="Z61"/>
      <c r="AA61"/>
      <c r="AB61"/>
      <c r="AC61"/>
      <c r="AD61"/>
      <c r="AE61"/>
      <c r="AF61"/>
      <c r="AG61"/>
      <c r="AH61"/>
    </row>
    <row r="62" spans="1:34" ht="13.5" thickBot="1">
      <c r="A62" s="126" t="s">
        <v>162</v>
      </c>
      <c r="B62" s="115"/>
      <c r="C62" s="116"/>
      <c r="D62"/>
      <c r="E62"/>
      <c r="F62"/>
      <c r="G62"/>
      <c r="H62"/>
      <c r="I62"/>
      <c r="J62"/>
      <c r="K62"/>
      <c r="L62"/>
      <c r="M62"/>
      <c r="N62"/>
      <c r="O62"/>
      <c r="P62"/>
      <c r="Q62"/>
      <c r="R62"/>
      <c r="S62"/>
      <c r="T62"/>
      <c r="U62"/>
      <c r="V62"/>
      <c r="W62"/>
      <c r="X62"/>
      <c r="Y62"/>
      <c r="Z62"/>
      <c r="AA62"/>
      <c r="AB62"/>
      <c r="AC62"/>
      <c r="AD62"/>
      <c r="AE62"/>
      <c r="AF62"/>
      <c r="AG62"/>
      <c r="AH62"/>
    </row>
    <row r="63" spans="1:34" ht="18" customHeight="1">
      <c r="A63" s="1035" t="s">
        <v>138</v>
      </c>
      <c r="B63" s="1036"/>
      <c r="C63" s="609">
        <f>+D52/1000</f>
        <v>1457</v>
      </c>
      <c r="D63"/>
      <c r="E63"/>
      <c r="F63"/>
      <c r="G63"/>
      <c r="H63"/>
      <c r="I63"/>
      <c r="J63"/>
      <c r="K63"/>
      <c r="L63"/>
      <c r="M63"/>
      <c r="N63"/>
      <c r="O63"/>
      <c r="P63"/>
      <c r="Q63"/>
      <c r="R63"/>
      <c r="S63"/>
      <c r="T63"/>
      <c r="U63"/>
      <c r="V63"/>
      <c r="W63"/>
      <c r="X63"/>
      <c r="Y63"/>
      <c r="Z63"/>
      <c r="AA63"/>
      <c r="AB63"/>
      <c r="AC63"/>
      <c r="AD63"/>
      <c r="AE63"/>
      <c r="AF63"/>
      <c r="AG63"/>
      <c r="AH63"/>
    </row>
    <row r="64" spans="1:34" ht="18" customHeight="1">
      <c r="A64" s="1037" t="s">
        <v>43</v>
      </c>
      <c r="B64" s="1038"/>
      <c r="C64" s="610">
        <f>+I52/1000</f>
        <v>24560.29758</v>
      </c>
      <c r="D64"/>
      <c r="E64"/>
      <c r="F64"/>
      <c r="G64"/>
      <c r="H64"/>
      <c r="I64"/>
      <c r="J64"/>
      <c r="K64"/>
      <c r="L64"/>
      <c r="M64"/>
      <c r="N64"/>
      <c r="O64"/>
      <c r="P64"/>
      <c r="Q64"/>
      <c r="R64"/>
      <c r="S64"/>
      <c r="T64"/>
      <c r="U64"/>
      <c r="V64"/>
      <c r="W64"/>
      <c r="X64"/>
      <c r="Y64"/>
      <c r="Z64"/>
      <c r="AA64"/>
      <c r="AB64"/>
      <c r="AC64"/>
      <c r="AD64"/>
      <c r="AE64"/>
      <c r="AF64"/>
      <c r="AG64"/>
      <c r="AH64"/>
    </row>
    <row r="65" spans="1:34" ht="18" customHeight="1" thickBot="1">
      <c r="A65" s="1088" t="s">
        <v>139</v>
      </c>
      <c r="B65" s="1089"/>
      <c r="C65" s="611">
        <f>+J28</f>
        <v>218368.23799999998</v>
      </c>
      <c r="D65"/>
      <c r="E65"/>
      <c r="F65"/>
      <c r="G65"/>
      <c r="H65"/>
      <c r="I65"/>
      <c r="J65"/>
      <c r="K65"/>
      <c r="L65"/>
      <c r="M65"/>
      <c r="N65"/>
      <c r="O65"/>
      <c r="P65"/>
      <c r="Q65"/>
      <c r="R65"/>
      <c r="S65"/>
      <c r="T65"/>
      <c r="U65"/>
      <c r="V65"/>
      <c r="W65"/>
      <c r="X65"/>
      <c r="Y65"/>
      <c r="Z65"/>
      <c r="AA65"/>
      <c r="AB65"/>
      <c r="AC65"/>
      <c r="AD65"/>
      <c r="AE65"/>
      <c r="AF65"/>
      <c r="AG65"/>
      <c r="AH65"/>
    </row>
    <row r="67" spans="1:34" ht="14.25" customHeight="1" thickBot="1">
      <c r="A67" s="184" t="s">
        <v>311</v>
      </c>
      <c r="B67"/>
      <c r="C67"/>
      <c r="D67"/>
      <c r="E67"/>
      <c r="F67" s="480"/>
      <c r="G67"/>
      <c r="H67"/>
      <c r="I67"/>
      <c r="J67"/>
      <c r="K67"/>
      <c r="L67"/>
      <c r="M67"/>
      <c r="N67"/>
      <c r="O67"/>
      <c r="P67"/>
      <c r="Q67"/>
      <c r="R67"/>
      <c r="S67"/>
      <c r="T67"/>
      <c r="U67"/>
      <c r="V67"/>
      <c r="W67"/>
      <c r="X67"/>
      <c r="Y67"/>
      <c r="Z67"/>
      <c r="AA67"/>
      <c r="AB67"/>
      <c r="AC67"/>
      <c r="AD67"/>
      <c r="AE67"/>
      <c r="AF67"/>
      <c r="AG67"/>
      <c r="AH67"/>
    </row>
    <row r="68" spans="1:34" ht="33.75" customHeight="1">
      <c r="A68" s="1049" t="s">
        <v>273</v>
      </c>
      <c r="B68" s="1130"/>
      <c r="C68" s="1072" t="s">
        <v>345</v>
      </c>
      <c r="D68" s="1204"/>
      <c r="E68" s="1066" t="s">
        <v>55</v>
      </c>
      <c r="F68" s="1067"/>
      <c r="G68" s="1067" t="s">
        <v>56</v>
      </c>
      <c r="H68" s="1086"/>
      <c r="I68" s="1086"/>
      <c r="J68" s="1065" t="s">
        <v>250</v>
      </c>
      <c r="K68" s="1076"/>
      <c r="L68" s="1204" t="s">
        <v>346</v>
      </c>
      <c r="M68" s="1073"/>
      <c r="N68"/>
      <c r="O68"/>
      <c r="P68"/>
      <c r="Q68"/>
      <c r="R68"/>
      <c r="S68"/>
      <c r="T68"/>
      <c r="U68"/>
      <c r="V68"/>
      <c r="W68"/>
      <c r="X68"/>
      <c r="Y68"/>
      <c r="Z68"/>
      <c r="AA68"/>
      <c r="AB68"/>
      <c r="AC68"/>
      <c r="AD68"/>
      <c r="AE68"/>
      <c r="AF68"/>
      <c r="AG68"/>
      <c r="AH68"/>
    </row>
    <row r="69" spans="1:34" ht="23.25" customHeight="1" thickBot="1">
      <c r="A69" s="1121"/>
      <c r="B69" s="1131"/>
      <c r="C69" s="1068" t="s">
        <v>275</v>
      </c>
      <c r="D69" s="1032"/>
      <c r="E69" s="1031" t="s">
        <v>58</v>
      </c>
      <c r="F69" s="1032"/>
      <c r="G69" s="1031" t="s">
        <v>59</v>
      </c>
      <c r="H69" s="1032"/>
      <c r="I69" s="44" t="s">
        <v>276</v>
      </c>
      <c r="J69" s="1068" t="s">
        <v>60</v>
      </c>
      <c r="K69" s="1077"/>
      <c r="L69" s="1205"/>
      <c r="M69" s="1075"/>
      <c r="N69" s="276"/>
      <c r="V69"/>
      <c r="W69"/>
      <c r="X69"/>
      <c r="Y69"/>
      <c r="Z69"/>
      <c r="AA69"/>
      <c r="AB69"/>
      <c r="AC69"/>
      <c r="AD69"/>
      <c r="AE69"/>
      <c r="AF69"/>
      <c r="AG69"/>
      <c r="AH69"/>
    </row>
    <row r="70" spans="1:34" ht="16.5" customHeight="1">
      <c r="A70" s="1396" t="s">
        <v>314</v>
      </c>
      <c r="B70" s="1400"/>
      <c r="C70" s="1415">
        <v>101031</v>
      </c>
      <c r="D70" s="1416"/>
      <c r="E70" s="1416"/>
      <c r="F70" s="1416"/>
      <c r="G70" s="1416"/>
      <c r="H70" s="1416"/>
      <c r="I70" s="625"/>
      <c r="J70" s="1417">
        <f>+E70+G70+I70</f>
        <v>0</v>
      </c>
      <c r="K70" s="1418"/>
      <c r="L70" s="1413"/>
      <c r="M70" s="1414"/>
      <c r="N70" s="276"/>
      <c r="V70"/>
      <c r="W70"/>
      <c r="X70"/>
      <c r="Y70"/>
      <c r="Z70"/>
      <c r="AA70"/>
      <c r="AB70"/>
      <c r="AC70"/>
      <c r="AD70"/>
      <c r="AE70"/>
      <c r="AF70"/>
      <c r="AG70"/>
      <c r="AH70"/>
    </row>
    <row r="71" spans="1:13" s="412" customFormat="1" ht="16.5" customHeight="1">
      <c r="A71" s="1376" t="s">
        <v>315</v>
      </c>
      <c r="B71" s="1392"/>
      <c r="C71" s="1409"/>
      <c r="D71" s="1408"/>
      <c r="E71" s="1408">
        <v>2324233.1</v>
      </c>
      <c r="F71" s="1408"/>
      <c r="G71" s="1408"/>
      <c r="H71" s="1408"/>
      <c r="I71" s="623"/>
      <c r="J71" s="1406">
        <f aca="true" t="shared" si="14" ref="J71:J81">+E71+G71+I71</f>
        <v>2324233.1</v>
      </c>
      <c r="K71" s="1407"/>
      <c r="L71" s="1403"/>
      <c r="M71" s="1404"/>
    </row>
    <row r="72" spans="1:13" s="412" customFormat="1" ht="16.5" customHeight="1">
      <c r="A72" s="1376" t="s">
        <v>316</v>
      </c>
      <c r="B72" s="1392"/>
      <c r="C72" s="1409"/>
      <c r="D72" s="1408"/>
      <c r="E72" s="1408">
        <v>52500</v>
      </c>
      <c r="F72" s="1408"/>
      <c r="G72" s="1408"/>
      <c r="H72" s="1408"/>
      <c r="I72" s="623"/>
      <c r="J72" s="1406">
        <f t="shared" si="14"/>
        <v>52500</v>
      </c>
      <c r="K72" s="1407"/>
      <c r="L72" s="1403"/>
      <c r="M72" s="1404"/>
    </row>
    <row r="73" spans="1:13" s="412" customFormat="1" ht="16.5" customHeight="1">
      <c r="A73" s="1376" t="s">
        <v>317</v>
      </c>
      <c r="B73" s="1392"/>
      <c r="C73" s="1409"/>
      <c r="D73" s="1408"/>
      <c r="E73" s="1408">
        <v>2366918</v>
      </c>
      <c r="F73" s="1408"/>
      <c r="G73" s="1408"/>
      <c r="H73" s="1408"/>
      <c r="I73" s="623"/>
      <c r="J73" s="1406">
        <f t="shared" si="14"/>
        <v>2366918</v>
      </c>
      <c r="K73" s="1407"/>
      <c r="L73" s="1403"/>
      <c r="M73" s="1404"/>
    </row>
    <row r="74" spans="1:13" s="412" customFormat="1" ht="16.5" customHeight="1">
      <c r="A74" s="1376" t="s">
        <v>318</v>
      </c>
      <c r="B74" s="1392"/>
      <c r="C74" s="1409"/>
      <c r="D74" s="1408"/>
      <c r="E74" s="1408">
        <v>80000</v>
      </c>
      <c r="F74" s="1408"/>
      <c r="G74" s="1408"/>
      <c r="H74" s="1408"/>
      <c r="I74" s="623"/>
      <c r="J74" s="1406">
        <f t="shared" si="14"/>
        <v>80000</v>
      </c>
      <c r="K74" s="1407"/>
      <c r="L74" s="1403"/>
      <c r="M74" s="1404"/>
    </row>
    <row r="75" spans="1:13" s="412" customFormat="1" ht="16.5" customHeight="1">
      <c r="A75" s="1376" t="s">
        <v>319</v>
      </c>
      <c r="B75" s="1392"/>
      <c r="C75" s="1409"/>
      <c r="D75" s="1408"/>
      <c r="E75" s="1408">
        <f>1900000*1.19</f>
        <v>2261000</v>
      </c>
      <c r="F75" s="1408"/>
      <c r="G75" s="1408"/>
      <c r="H75" s="1408"/>
      <c r="I75" s="623"/>
      <c r="J75" s="1406">
        <f t="shared" si="14"/>
        <v>2261000</v>
      </c>
      <c r="K75" s="1407"/>
      <c r="L75" s="1403"/>
      <c r="M75" s="1404"/>
    </row>
    <row r="76" spans="1:13" s="412" customFormat="1" ht="16.5" customHeight="1">
      <c r="A76" s="1376" t="s">
        <v>320</v>
      </c>
      <c r="B76" s="1392"/>
      <c r="C76" s="1409"/>
      <c r="D76" s="1408"/>
      <c r="E76" s="1408">
        <v>1558900</v>
      </c>
      <c r="F76" s="1408"/>
      <c r="G76" s="1408"/>
      <c r="H76" s="1408"/>
      <c r="I76" s="623"/>
      <c r="J76" s="1406">
        <f t="shared" si="14"/>
        <v>1558900</v>
      </c>
      <c r="K76" s="1407"/>
      <c r="L76" s="1403"/>
      <c r="M76" s="1404"/>
    </row>
    <row r="77" spans="1:13" s="412" customFormat="1" ht="16.5" customHeight="1">
      <c r="A77" s="1376" t="s">
        <v>321</v>
      </c>
      <c r="B77" s="1392"/>
      <c r="C77" s="1409"/>
      <c r="D77" s="1408"/>
      <c r="E77" s="1408">
        <v>1000000</v>
      </c>
      <c r="F77" s="1408"/>
      <c r="G77" s="1408"/>
      <c r="H77" s="1408"/>
      <c r="I77" s="623"/>
      <c r="J77" s="1406">
        <f t="shared" si="14"/>
        <v>1000000</v>
      </c>
      <c r="K77" s="1407"/>
      <c r="L77" s="1403"/>
      <c r="M77" s="1404"/>
    </row>
    <row r="78" spans="1:13" s="412" customFormat="1" ht="16.5" customHeight="1">
      <c r="A78" s="1376" t="s">
        <v>322</v>
      </c>
      <c r="B78" s="1392"/>
      <c r="C78" s="1409"/>
      <c r="D78" s="1408"/>
      <c r="E78" s="1408">
        <v>50000</v>
      </c>
      <c r="F78" s="1408"/>
      <c r="G78" s="1408"/>
      <c r="H78" s="1408"/>
      <c r="I78" s="623"/>
      <c r="J78" s="1406">
        <f t="shared" si="14"/>
        <v>50000</v>
      </c>
      <c r="K78" s="1407"/>
      <c r="L78" s="1403"/>
      <c r="M78" s="1404"/>
    </row>
    <row r="79" spans="1:13" s="412" customFormat="1" ht="16.5" customHeight="1">
      <c r="A79" s="1376" t="s">
        <v>323</v>
      </c>
      <c r="B79" s="1392"/>
      <c r="C79" s="1409"/>
      <c r="D79" s="1408"/>
      <c r="E79" s="1408">
        <v>100000</v>
      </c>
      <c r="F79" s="1408"/>
      <c r="G79" s="1408"/>
      <c r="H79" s="1408"/>
      <c r="I79" s="623"/>
      <c r="J79" s="1406">
        <f t="shared" si="14"/>
        <v>100000</v>
      </c>
      <c r="K79" s="1407"/>
      <c r="L79" s="1403"/>
      <c r="M79" s="1404"/>
    </row>
    <row r="80" spans="1:13" s="412" customFormat="1" ht="16.5" customHeight="1">
      <c r="A80" s="1376" t="s">
        <v>324</v>
      </c>
      <c r="B80" s="1393"/>
      <c r="C80" s="1409"/>
      <c r="D80" s="1408"/>
      <c r="E80" s="1408">
        <v>552993</v>
      </c>
      <c r="F80" s="1408"/>
      <c r="G80" s="1408"/>
      <c r="H80" s="1408"/>
      <c r="I80" s="623"/>
      <c r="J80" s="1406">
        <f t="shared" si="14"/>
        <v>552993</v>
      </c>
      <c r="K80" s="1407"/>
      <c r="L80" s="1403"/>
      <c r="M80" s="1404"/>
    </row>
    <row r="81" spans="1:13" s="412" customFormat="1" ht="16.5" customHeight="1" thickBot="1">
      <c r="A81" s="1394" t="s">
        <v>325</v>
      </c>
      <c r="B81" s="1395"/>
      <c r="C81" s="1410"/>
      <c r="D81" s="1405"/>
      <c r="E81" s="1405">
        <v>60000</v>
      </c>
      <c r="F81" s="1405"/>
      <c r="G81" s="1405"/>
      <c r="H81" s="1405"/>
      <c r="I81" s="624"/>
      <c r="J81" s="1401">
        <f t="shared" si="14"/>
        <v>60000</v>
      </c>
      <c r="K81" s="1402"/>
      <c r="L81" s="1398"/>
      <c r="M81" s="1399"/>
    </row>
    <row r="82" spans="1:13" s="412" customFormat="1" ht="23.25" customHeight="1" thickBot="1">
      <c r="A82" s="1411" t="s">
        <v>277</v>
      </c>
      <c r="B82" s="1412"/>
      <c r="C82" s="1044">
        <f>SUM(C70:C71)</f>
        <v>101031</v>
      </c>
      <c r="D82" s="1041"/>
      <c r="E82" s="1041">
        <f>SUM(E71:F81)</f>
        <v>10406544.1</v>
      </c>
      <c r="F82" s="1041"/>
      <c r="G82" s="1041">
        <f>SUM(G70:G71)</f>
        <v>0</v>
      </c>
      <c r="H82" s="1041"/>
      <c r="I82" s="254">
        <f>SUM(I70:I71)</f>
        <v>0</v>
      </c>
      <c r="J82" s="1040">
        <f>SUM(J70:K81)</f>
        <v>10406544.1</v>
      </c>
      <c r="K82" s="1046"/>
      <c r="L82" s="1044">
        <f>SUM(L70:L71)</f>
        <v>0</v>
      </c>
      <c r="M82" s="1046"/>
    </row>
    <row r="83" ht="4.5" customHeight="1" thickBot="1"/>
    <row r="84" spans="1:34" ht="33.75" customHeight="1">
      <c r="A84" s="1049" t="s">
        <v>273</v>
      </c>
      <c r="B84" s="1120"/>
      <c r="C84" s="1072" t="s">
        <v>345</v>
      </c>
      <c r="D84" s="1204"/>
      <c r="E84" s="1066" t="s">
        <v>55</v>
      </c>
      <c r="F84" s="1066"/>
      <c r="G84" s="1067" t="s">
        <v>56</v>
      </c>
      <c r="H84" s="1086"/>
      <c r="I84" s="1086"/>
      <c r="J84" s="1066" t="s">
        <v>250</v>
      </c>
      <c r="K84" s="1076"/>
      <c r="L84" s="1072" t="s">
        <v>346</v>
      </c>
      <c r="M84" s="1073"/>
      <c r="N84"/>
      <c r="O84"/>
      <c r="P84"/>
      <c r="Q84"/>
      <c r="R84"/>
      <c r="S84"/>
      <c r="T84"/>
      <c r="U84"/>
      <c r="V84"/>
      <c r="W84"/>
      <c r="X84"/>
      <c r="Y84"/>
      <c r="Z84"/>
      <c r="AA84"/>
      <c r="AB84"/>
      <c r="AC84"/>
      <c r="AD84"/>
      <c r="AE84"/>
      <c r="AF84"/>
      <c r="AG84"/>
      <c r="AH84"/>
    </row>
    <row r="85" spans="1:34" ht="21.75" customHeight="1" thickBot="1">
      <c r="A85" s="1121"/>
      <c r="B85" s="1122"/>
      <c r="C85" s="1068" t="s">
        <v>275</v>
      </c>
      <c r="D85" s="1032"/>
      <c r="E85" s="1031" t="s">
        <v>58</v>
      </c>
      <c r="F85" s="1031"/>
      <c r="G85" s="1031" t="s">
        <v>59</v>
      </c>
      <c r="H85" s="1032"/>
      <c r="I85" s="44" t="s">
        <v>276</v>
      </c>
      <c r="J85" s="1031" t="s">
        <v>60</v>
      </c>
      <c r="K85" s="1077"/>
      <c r="L85" s="1074"/>
      <c r="M85" s="1075"/>
      <c r="N85" s="276"/>
      <c r="V85"/>
      <c r="W85"/>
      <c r="X85"/>
      <c r="Y85"/>
      <c r="Z85"/>
      <c r="AA85"/>
      <c r="AB85"/>
      <c r="AC85"/>
      <c r="AD85"/>
      <c r="AE85"/>
      <c r="AF85"/>
      <c r="AG85"/>
      <c r="AH85"/>
    </row>
    <row r="86" spans="1:34" ht="15" customHeight="1">
      <c r="A86" s="1396" t="s">
        <v>326</v>
      </c>
      <c r="B86" s="1397"/>
      <c r="C86" s="1388">
        <v>406098</v>
      </c>
      <c r="D86" s="1391"/>
      <c r="E86" s="1387"/>
      <c r="F86" s="1391"/>
      <c r="G86" s="1387"/>
      <c r="H86" s="1391"/>
      <c r="I86" s="613"/>
      <c r="J86" s="1387">
        <f>+E86+G86+I86</f>
        <v>0</v>
      </c>
      <c r="K86" s="1388"/>
      <c r="L86" s="1389"/>
      <c r="M86" s="1390"/>
      <c r="N86" s="276"/>
      <c r="V86"/>
      <c r="W86"/>
      <c r="X86"/>
      <c r="Y86"/>
      <c r="Z86"/>
      <c r="AA86"/>
      <c r="AB86"/>
      <c r="AC86"/>
      <c r="AD86"/>
      <c r="AE86"/>
      <c r="AF86"/>
      <c r="AG86"/>
      <c r="AH86"/>
    </row>
    <row r="87" spans="1:13" ht="15" customHeight="1">
      <c r="A87" s="1376" t="s">
        <v>327</v>
      </c>
      <c r="B87" s="1377"/>
      <c r="C87" s="1383">
        <v>152007.8</v>
      </c>
      <c r="D87" s="1385"/>
      <c r="E87" s="1382"/>
      <c r="F87" s="1385"/>
      <c r="G87" s="1382"/>
      <c r="H87" s="1383"/>
      <c r="I87" s="612"/>
      <c r="J87" s="1382">
        <f aca="true" t="shared" si="15" ref="J87:J103">+E87+G87+I87</f>
        <v>0</v>
      </c>
      <c r="K87" s="1383"/>
      <c r="L87" s="1378"/>
      <c r="M87" s="1379"/>
    </row>
    <row r="88" spans="1:13" ht="15" customHeight="1">
      <c r="A88" s="1376" t="s">
        <v>328</v>
      </c>
      <c r="B88" s="1377"/>
      <c r="C88" s="1383">
        <v>174930</v>
      </c>
      <c r="D88" s="1385"/>
      <c r="E88" s="1382"/>
      <c r="F88" s="1385"/>
      <c r="G88" s="1382"/>
      <c r="H88" s="1383"/>
      <c r="I88" s="612"/>
      <c r="J88" s="1382">
        <f t="shared" si="15"/>
        <v>0</v>
      </c>
      <c r="K88" s="1383"/>
      <c r="L88" s="1378"/>
      <c r="M88" s="1379"/>
    </row>
    <row r="89" spans="1:13" ht="15" customHeight="1">
      <c r="A89" s="1376" t="s">
        <v>329</v>
      </c>
      <c r="B89" s="1377"/>
      <c r="C89" s="1383">
        <v>16934079.549999997</v>
      </c>
      <c r="D89" s="1385"/>
      <c r="E89" s="1382">
        <v>3065920.45</v>
      </c>
      <c r="F89" s="1385"/>
      <c r="G89" s="1382"/>
      <c r="H89" s="1383"/>
      <c r="I89" s="612"/>
      <c r="J89" s="1382">
        <f t="shared" si="15"/>
        <v>3065920.45</v>
      </c>
      <c r="K89" s="1383"/>
      <c r="L89" s="1378"/>
      <c r="M89" s="1379"/>
    </row>
    <row r="90" spans="1:13" ht="15" customHeight="1">
      <c r="A90" s="1376" t="s">
        <v>330</v>
      </c>
      <c r="B90" s="1377"/>
      <c r="C90" s="1383"/>
      <c r="D90" s="1385"/>
      <c r="E90" s="1382">
        <v>300000</v>
      </c>
      <c r="F90" s="1385"/>
      <c r="G90" s="1382"/>
      <c r="H90" s="1383"/>
      <c r="I90" s="612"/>
      <c r="J90" s="1382">
        <f t="shared" si="15"/>
        <v>300000</v>
      </c>
      <c r="K90" s="1383"/>
      <c r="L90" s="1378"/>
      <c r="M90" s="1379"/>
    </row>
    <row r="91" spans="1:13" ht="15" customHeight="1">
      <c r="A91" s="1376" t="s">
        <v>331</v>
      </c>
      <c r="B91" s="1377"/>
      <c r="C91" s="1383"/>
      <c r="D91" s="1385"/>
      <c r="E91" s="1382">
        <v>1000000</v>
      </c>
      <c r="F91" s="1385"/>
      <c r="G91" s="1382"/>
      <c r="H91" s="1383"/>
      <c r="I91" s="612"/>
      <c r="J91" s="1382">
        <f t="shared" si="15"/>
        <v>1000000</v>
      </c>
      <c r="K91" s="1383"/>
      <c r="L91" s="1378"/>
      <c r="M91" s="1379"/>
    </row>
    <row r="92" spans="1:13" ht="15" customHeight="1">
      <c r="A92" s="1376" t="s">
        <v>332</v>
      </c>
      <c r="B92" s="1377"/>
      <c r="C92" s="1383"/>
      <c r="D92" s="1385"/>
      <c r="E92" s="1382">
        <v>680000</v>
      </c>
      <c r="F92" s="1385"/>
      <c r="G92" s="1382"/>
      <c r="H92" s="1383"/>
      <c r="I92" s="612"/>
      <c r="J92" s="1382">
        <f t="shared" si="15"/>
        <v>680000</v>
      </c>
      <c r="K92" s="1383"/>
      <c r="L92" s="1378"/>
      <c r="M92" s="1379"/>
    </row>
    <row r="93" spans="1:13" ht="15" customHeight="1">
      <c r="A93" s="1376" t="s">
        <v>333</v>
      </c>
      <c r="B93" s="1377"/>
      <c r="C93" s="1383"/>
      <c r="D93" s="1385"/>
      <c r="E93" s="1382">
        <v>2100000</v>
      </c>
      <c r="F93" s="1385"/>
      <c r="G93" s="1382"/>
      <c r="H93" s="1383"/>
      <c r="I93" s="612"/>
      <c r="J93" s="1382">
        <f t="shared" si="15"/>
        <v>2100000</v>
      </c>
      <c r="K93" s="1383"/>
      <c r="L93" s="1378"/>
      <c r="M93" s="1379"/>
    </row>
    <row r="94" spans="1:13" ht="15" customHeight="1">
      <c r="A94" s="1376" t="s">
        <v>334</v>
      </c>
      <c r="B94" s="1377"/>
      <c r="C94" s="1383"/>
      <c r="D94" s="1385"/>
      <c r="E94" s="1382">
        <v>400000</v>
      </c>
      <c r="F94" s="1385"/>
      <c r="G94" s="1382"/>
      <c r="H94" s="1383"/>
      <c r="I94" s="612"/>
      <c r="J94" s="1382">
        <f t="shared" si="15"/>
        <v>400000</v>
      </c>
      <c r="K94" s="1383"/>
      <c r="L94" s="1378"/>
      <c r="M94" s="1379"/>
    </row>
    <row r="95" spans="1:13" ht="15" customHeight="1">
      <c r="A95" s="1376" t="s">
        <v>335</v>
      </c>
      <c r="B95" s="1377"/>
      <c r="C95" s="1383"/>
      <c r="D95" s="1385"/>
      <c r="E95" s="1382">
        <v>1560000</v>
      </c>
      <c r="F95" s="1385"/>
      <c r="G95" s="1382"/>
      <c r="H95" s="1383"/>
      <c r="I95" s="612"/>
      <c r="J95" s="1382">
        <f t="shared" si="15"/>
        <v>1560000</v>
      </c>
      <c r="K95" s="1383"/>
      <c r="L95" s="1378"/>
      <c r="M95" s="1379"/>
    </row>
    <row r="96" spans="1:13" ht="15" customHeight="1">
      <c r="A96" s="1376" t="s">
        <v>336</v>
      </c>
      <c r="B96" s="1377"/>
      <c r="C96" s="1383"/>
      <c r="D96" s="1385"/>
      <c r="E96" s="1382">
        <v>1000000</v>
      </c>
      <c r="F96" s="1385"/>
      <c r="G96" s="1382"/>
      <c r="H96" s="1383"/>
      <c r="I96" s="612"/>
      <c r="J96" s="1382">
        <f t="shared" si="15"/>
        <v>1000000</v>
      </c>
      <c r="K96" s="1383"/>
      <c r="L96" s="1378"/>
      <c r="M96" s="1379"/>
    </row>
    <row r="97" spans="1:13" ht="15" customHeight="1">
      <c r="A97" s="1376" t="s">
        <v>337</v>
      </c>
      <c r="B97" s="1377"/>
      <c r="C97" s="1383"/>
      <c r="D97" s="1385"/>
      <c r="E97" s="1382">
        <v>1800000</v>
      </c>
      <c r="F97" s="1385"/>
      <c r="G97" s="1382"/>
      <c r="H97" s="1383"/>
      <c r="I97" s="612"/>
      <c r="J97" s="1382">
        <f t="shared" si="15"/>
        <v>1800000</v>
      </c>
      <c r="K97" s="1383"/>
      <c r="L97" s="1378"/>
      <c r="M97" s="1379"/>
    </row>
    <row r="98" spans="1:13" ht="15.75" customHeight="1">
      <c r="A98" s="1376" t="s">
        <v>338</v>
      </c>
      <c r="B98" s="1377"/>
      <c r="C98" s="1383"/>
      <c r="D98" s="1385"/>
      <c r="E98" s="1382">
        <v>250000</v>
      </c>
      <c r="F98" s="1385"/>
      <c r="G98" s="1382"/>
      <c r="H98" s="1383"/>
      <c r="I98" s="612"/>
      <c r="J98" s="1382">
        <f t="shared" si="15"/>
        <v>250000</v>
      </c>
      <c r="K98" s="1383"/>
      <c r="L98" s="1378"/>
      <c r="M98" s="1379"/>
    </row>
    <row r="99" spans="1:13" ht="15.75" customHeight="1">
      <c r="A99" s="1376" t="s">
        <v>339</v>
      </c>
      <c r="B99" s="1377"/>
      <c r="C99" s="1383"/>
      <c r="D99" s="1385"/>
      <c r="E99" s="1382">
        <v>500000</v>
      </c>
      <c r="F99" s="1385"/>
      <c r="G99" s="1382"/>
      <c r="H99" s="1383"/>
      <c r="I99" s="612"/>
      <c r="J99" s="1382">
        <f t="shared" si="15"/>
        <v>500000</v>
      </c>
      <c r="K99" s="1383"/>
      <c r="L99" s="1378"/>
      <c r="M99" s="1379"/>
    </row>
    <row r="100" spans="1:13" ht="15.75" customHeight="1">
      <c r="A100" s="1376" t="s">
        <v>340</v>
      </c>
      <c r="B100" s="1377"/>
      <c r="C100" s="1383"/>
      <c r="D100" s="1385"/>
      <c r="E100" s="1382">
        <v>85000</v>
      </c>
      <c r="F100" s="1385"/>
      <c r="G100" s="1382"/>
      <c r="H100" s="1383"/>
      <c r="I100" s="612"/>
      <c r="J100" s="1382">
        <f t="shared" si="15"/>
        <v>85000</v>
      </c>
      <c r="K100" s="1383"/>
      <c r="L100" s="1378"/>
      <c r="M100" s="1379"/>
    </row>
    <row r="101" spans="1:13" ht="15.75" customHeight="1">
      <c r="A101" s="1376" t="s">
        <v>341</v>
      </c>
      <c r="B101" s="1377"/>
      <c r="C101" s="1383"/>
      <c r="D101" s="1385"/>
      <c r="E101" s="1382">
        <v>200000</v>
      </c>
      <c r="F101" s="1385"/>
      <c r="G101" s="1382"/>
      <c r="H101" s="1383"/>
      <c r="I101" s="612"/>
      <c r="J101" s="1382">
        <f t="shared" si="15"/>
        <v>200000</v>
      </c>
      <c r="K101" s="1383"/>
      <c r="L101" s="1378"/>
      <c r="M101" s="1379"/>
    </row>
    <row r="102" spans="1:13" ht="15.75" customHeight="1">
      <c r="A102" s="1376" t="s">
        <v>342</v>
      </c>
      <c r="B102" s="1377"/>
      <c r="C102" s="1383"/>
      <c r="D102" s="1385"/>
      <c r="E102" s="1382">
        <v>500000</v>
      </c>
      <c r="F102" s="1385"/>
      <c r="G102" s="1382"/>
      <c r="H102" s="1385"/>
      <c r="I102" s="612"/>
      <c r="J102" s="1382">
        <f t="shared" si="15"/>
        <v>500000</v>
      </c>
      <c r="K102" s="1383"/>
      <c r="L102" s="1378"/>
      <c r="M102" s="1379"/>
    </row>
    <row r="103" spans="1:13" ht="15.75" customHeight="1">
      <c r="A103" s="1376" t="s">
        <v>343</v>
      </c>
      <c r="B103" s="1377"/>
      <c r="C103" s="1383"/>
      <c r="D103" s="1385"/>
      <c r="E103" s="1382">
        <v>77274</v>
      </c>
      <c r="F103" s="1385"/>
      <c r="G103" s="1382"/>
      <c r="H103" s="1385"/>
      <c r="I103" s="612"/>
      <c r="J103" s="1382">
        <f t="shared" si="15"/>
        <v>77274</v>
      </c>
      <c r="K103" s="1383"/>
      <c r="L103" s="1378"/>
      <c r="M103" s="1379"/>
    </row>
    <row r="104" spans="1:13" ht="15.75" customHeight="1" thickBot="1">
      <c r="A104" s="1380" t="s">
        <v>344</v>
      </c>
      <c r="B104" s="1381"/>
      <c r="C104" s="1386"/>
      <c r="D104" s="1385"/>
      <c r="E104" s="1382">
        <f>1548528.45-552993-420274-100000</f>
        <v>475261.44999999995</v>
      </c>
      <c r="F104" s="1385"/>
      <c r="G104" s="1382">
        <v>160297.58</v>
      </c>
      <c r="H104" s="1385"/>
      <c r="I104" s="612"/>
      <c r="J104" s="1382">
        <f>+E104+G104+I104</f>
        <v>635559.0299999999</v>
      </c>
      <c r="K104" s="1384"/>
      <c r="L104" s="1378"/>
      <c r="M104" s="1379"/>
    </row>
    <row r="105" spans="1:13" s="412" customFormat="1" ht="21.75" customHeight="1" thickBot="1">
      <c r="A105" s="1411" t="s">
        <v>277</v>
      </c>
      <c r="B105" s="1412"/>
      <c r="C105" s="1044">
        <f>SUM(C86:D104)</f>
        <v>17667115.349999998</v>
      </c>
      <c r="D105" s="1041"/>
      <c r="E105" s="1041">
        <f>SUM(E86:F104)</f>
        <v>13993455.899999999</v>
      </c>
      <c r="F105" s="1041"/>
      <c r="G105" s="1041">
        <f>SUM(G86:H104)</f>
        <v>160297.58</v>
      </c>
      <c r="H105" s="1041"/>
      <c r="I105" s="254">
        <f>SUM(I74:I75)</f>
        <v>0</v>
      </c>
      <c r="J105" s="1041">
        <f>SUM(J86:K104)</f>
        <v>14153753.479999999</v>
      </c>
      <c r="K105" s="1042"/>
      <c r="L105" s="1040">
        <f>SUM(L66:M104)</f>
        <v>0</v>
      </c>
      <c r="M105" s="1046"/>
    </row>
    <row r="106" spans="1:34" ht="4.5" customHeight="1" thickBot="1">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row>
    <row r="107" spans="1:13" ht="15.75" customHeight="1">
      <c r="A107" s="1449" t="s">
        <v>384</v>
      </c>
      <c r="B107" s="1450"/>
      <c r="C107" s="1446"/>
      <c r="D107" s="1451"/>
      <c r="E107" s="1445"/>
      <c r="F107" s="1451"/>
      <c r="G107" s="1445"/>
      <c r="H107" s="1451"/>
      <c r="I107" s="626"/>
      <c r="J107" s="1445"/>
      <c r="K107" s="1446"/>
      <c r="L107" s="1447">
        <v>35000000</v>
      </c>
      <c r="M107" s="1448"/>
    </row>
    <row r="108" spans="1:13" ht="15.75" customHeight="1">
      <c r="A108" s="1376" t="s">
        <v>385</v>
      </c>
      <c r="B108" s="1377"/>
      <c r="C108" s="1383"/>
      <c r="D108" s="1385"/>
      <c r="E108" s="1382"/>
      <c r="F108" s="1385"/>
      <c r="G108" s="1382"/>
      <c r="H108" s="1385"/>
      <c r="I108" s="612"/>
      <c r="J108" s="1382"/>
      <c r="K108" s="1383"/>
      <c r="L108" s="1378">
        <v>100000</v>
      </c>
      <c r="M108" s="1379"/>
    </row>
    <row r="109" spans="1:13" ht="15.75" customHeight="1">
      <c r="A109" s="1376" t="s">
        <v>386</v>
      </c>
      <c r="B109" s="1377"/>
      <c r="C109" s="1383"/>
      <c r="D109" s="1385"/>
      <c r="E109" s="1382"/>
      <c r="F109" s="1385"/>
      <c r="G109" s="1382"/>
      <c r="H109" s="1385"/>
      <c r="I109" s="612"/>
      <c r="J109" s="1382"/>
      <c r="K109" s="1383"/>
      <c r="L109" s="1378">
        <v>150000</v>
      </c>
      <c r="M109" s="1379"/>
    </row>
    <row r="110" spans="1:13" ht="15.75" customHeight="1">
      <c r="A110" s="1376" t="s">
        <v>387</v>
      </c>
      <c r="B110" s="1377"/>
      <c r="C110" s="1383"/>
      <c r="D110" s="1385"/>
      <c r="E110" s="1382"/>
      <c r="F110" s="1385"/>
      <c r="G110" s="1382"/>
      <c r="H110" s="1385"/>
      <c r="I110" s="612"/>
      <c r="J110" s="1382"/>
      <c r="K110" s="1383"/>
      <c r="L110" s="1378">
        <v>540000</v>
      </c>
      <c r="M110" s="1379"/>
    </row>
    <row r="111" spans="1:13" ht="15.75" customHeight="1">
      <c r="A111" s="1376" t="s">
        <v>388</v>
      </c>
      <c r="B111" s="1377"/>
      <c r="C111" s="1383"/>
      <c r="D111" s="1385"/>
      <c r="E111" s="1382"/>
      <c r="F111" s="1385"/>
      <c r="G111" s="1382"/>
      <c r="H111" s="1385"/>
      <c r="I111" s="612"/>
      <c r="J111" s="1382"/>
      <c r="K111" s="1383"/>
      <c r="L111" s="1378">
        <v>510000</v>
      </c>
      <c r="M111" s="1379"/>
    </row>
    <row r="112" spans="1:13" ht="15.75" customHeight="1">
      <c r="A112" s="1376" t="s">
        <v>389</v>
      </c>
      <c r="B112" s="1377"/>
      <c r="C112" s="1383"/>
      <c r="D112" s="1385"/>
      <c r="E112" s="1382"/>
      <c r="F112" s="1385"/>
      <c r="G112" s="1382"/>
      <c r="H112" s="1385"/>
      <c r="I112" s="612"/>
      <c r="J112" s="1382"/>
      <c r="K112" s="1383"/>
      <c r="L112" s="1378">
        <v>100000</v>
      </c>
      <c r="M112" s="1379"/>
    </row>
    <row r="113" spans="1:13" ht="15.75" customHeight="1">
      <c r="A113" s="1376" t="s">
        <v>390</v>
      </c>
      <c r="B113" s="1377"/>
      <c r="C113" s="1383"/>
      <c r="D113" s="1385"/>
      <c r="E113" s="1382"/>
      <c r="F113" s="1385"/>
      <c r="G113" s="1382"/>
      <c r="H113" s="1385"/>
      <c r="I113" s="612"/>
      <c r="J113" s="1382"/>
      <c r="K113" s="1383"/>
      <c r="L113" s="1378">
        <v>140000</v>
      </c>
      <c r="M113" s="1379"/>
    </row>
    <row r="114" spans="1:13" ht="15.75" customHeight="1">
      <c r="A114" s="1376" t="s">
        <v>391</v>
      </c>
      <c r="B114" s="1377"/>
      <c r="C114" s="1383"/>
      <c r="D114" s="1385"/>
      <c r="E114" s="1382"/>
      <c r="F114" s="1385"/>
      <c r="G114" s="1382"/>
      <c r="H114" s="1385"/>
      <c r="I114" s="612"/>
      <c r="J114" s="1382"/>
      <c r="K114" s="1383"/>
      <c r="L114" s="1378">
        <v>2150000</v>
      </c>
      <c r="M114" s="1379"/>
    </row>
    <row r="115" spans="1:13" ht="15.75" customHeight="1">
      <c r="A115" s="1376" t="s">
        <v>392</v>
      </c>
      <c r="B115" s="1377"/>
      <c r="C115" s="1383"/>
      <c r="D115" s="1385"/>
      <c r="E115" s="1382"/>
      <c r="F115" s="1385"/>
      <c r="G115" s="1382"/>
      <c r="H115" s="1385"/>
      <c r="I115" s="612"/>
      <c r="J115" s="1382"/>
      <c r="K115" s="1383"/>
      <c r="L115" s="1378">
        <f>480000+240000</f>
        <v>720000</v>
      </c>
      <c r="M115" s="1379"/>
    </row>
    <row r="116" spans="1:13" ht="15.75" customHeight="1">
      <c r="A116" s="1376" t="s">
        <v>393</v>
      </c>
      <c r="B116" s="1377"/>
      <c r="C116" s="1383"/>
      <c r="D116" s="1385"/>
      <c r="E116" s="1382"/>
      <c r="F116" s="1385"/>
      <c r="G116" s="1382"/>
      <c r="H116" s="1385"/>
      <c r="I116" s="612"/>
      <c r="J116" s="1382"/>
      <c r="K116" s="1383"/>
      <c r="L116" s="1378">
        <v>160000</v>
      </c>
      <c r="M116" s="1379"/>
    </row>
    <row r="117" spans="1:13" ht="15.75" customHeight="1">
      <c r="A117" s="1376" t="s">
        <v>394</v>
      </c>
      <c r="B117" s="1377"/>
      <c r="C117" s="1383"/>
      <c r="D117" s="1385"/>
      <c r="E117" s="1382"/>
      <c r="F117" s="1385"/>
      <c r="G117" s="1382"/>
      <c r="H117" s="1385"/>
      <c r="I117" s="612"/>
      <c r="J117" s="1382"/>
      <c r="K117" s="1383"/>
      <c r="L117" s="1378">
        <v>990000</v>
      </c>
      <c r="M117" s="1379"/>
    </row>
    <row r="118" spans="1:13" ht="15.75" customHeight="1">
      <c r="A118" s="1376" t="s">
        <v>395</v>
      </c>
      <c r="B118" s="1377"/>
      <c r="C118" s="1383"/>
      <c r="D118" s="1385"/>
      <c r="E118" s="1382"/>
      <c r="F118" s="1385"/>
      <c r="G118" s="1382"/>
      <c r="H118" s="1385"/>
      <c r="I118" s="612"/>
      <c r="J118" s="1382"/>
      <c r="K118" s="1383"/>
      <c r="L118" s="1378">
        <v>40000</v>
      </c>
      <c r="M118" s="1379"/>
    </row>
    <row r="119" spans="1:13" ht="15.75" customHeight="1">
      <c r="A119" s="1376" t="s">
        <v>396</v>
      </c>
      <c r="B119" s="1377"/>
      <c r="C119" s="1383"/>
      <c r="D119" s="1385"/>
      <c r="E119" s="1382"/>
      <c r="F119" s="1385"/>
      <c r="G119" s="1382"/>
      <c r="H119" s="1385"/>
      <c r="I119" s="612"/>
      <c r="J119" s="1382"/>
      <c r="K119" s="1383"/>
      <c r="L119" s="1378">
        <v>50000</v>
      </c>
      <c r="M119" s="1379"/>
    </row>
    <row r="120" spans="1:13" ht="15.75" customHeight="1">
      <c r="A120" s="1376" t="s">
        <v>397</v>
      </c>
      <c r="B120" s="1377"/>
      <c r="C120" s="1383"/>
      <c r="D120" s="1385"/>
      <c r="E120" s="1382"/>
      <c r="F120" s="1385"/>
      <c r="G120" s="1382"/>
      <c r="H120" s="1385"/>
      <c r="I120" s="612"/>
      <c r="J120" s="1382"/>
      <c r="K120" s="1383"/>
      <c r="L120" s="1378">
        <v>150000</v>
      </c>
      <c r="M120" s="1379"/>
    </row>
    <row r="121" spans="1:13" ht="15.75" customHeight="1">
      <c r="A121" s="1376" t="s">
        <v>398</v>
      </c>
      <c r="B121" s="1377"/>
      <c r="C121" s="1383"/>
      <c r="D121" s="1385"/>
      <c r="E121" s="1382"/>
      <c r="F121" s="1385"/>
      <c r="G121" s="1382"/>
      <c r="H121" s="1385"/>
      <c r="I121" s="612"/>
      <c r="J121" s="1382"/>
      <c r="K121" s="1383"/>
      <c r="L121" s="1378">
        <v>500000</v>
      </c>
      <c r="M121" s="1379"/>
    </row>
    <row r="122" spans="1:13" ht="15.75" customHeight="1">
      <c r="A122" s="1376" t="s">
        <v>399</v>
      </c>
      <c r="B122" s="1377"/>
      <c r="C122" s="1383"/>
      <c r="D122" s="1385"/>
      <c r="E122" s="1382"/>
      <c r="F122" s="1385"/>
      <c r="G122" s="1382"/>
      <c r="H122" s="1385"/>
      <c r="I122" s="612"/>
      <c r="J122" s="1382"/>
      <c r="K122" s="1383"/>
      <c r="L122" s="1378">
        <v>3500000</v>
      </c>
      <c r="M122" s="1379"/>
    </row>
    <row r="123" spans="1:13" ht="15.75" customHeight="1">
      <c r="A123" s="1376" t="s">
        <v>400</v>
      </c>
      <c r="B123" s="1377"/>
      <c r="C123" s="1383"/>
      <c r="D123" s="1385"/>
      <c r="E123" s="1382"/>
      <c r="F123" s="1385"/>
      <c r="G123" s="1382"/>
      <c r="H123" s="1385"/>
      <c r="I123" s="612"/>
      <c r="J123" s="1382"/>
      <c r="K123" s="1383"/>
      <c r="L123" s="1378">
        <v>250000</v>
      </c>
      <c r="M123" s="1379"/>
    </row>
    <row r="124" spans="1:13" ht="15.75" customHeight="1">
      <c r="A124" s="1376" t="s">
        <v>401</v>
      </c>
      <c r="B124" s="1377"/>
      <c r="C124" s="1383"/>
      <c r="D124" s="1385"/>
      <c r="E124" s="1382"/>
      <c r="F124" s="1385"/>
      <c r="G124" s="1382"/>
      <c r="H124" s="1385"/>
      <c r="I124" s="612"/>
      <c r="J124" s="1382"/>
      <c r="K124" s="1383"/>
      <c r="L124" s="1378">
        <v>1300000</v>
      </c>
      <c r="M124" s="1379"/>
    </row>
    <row r="125" spans="1:13" ht="15.75" customHeight="1">
      <c r="A125" s="1376" t="s">
        <v>402</v>
      </c>
      <c r="B125" s="1377"/>
      <c r="C125" s="1383"/>
      <c r="D125" s="1385"/>
      <c r="E125" s="1382"/>
      <c r="F125" s="1385"/>
      <c r="G125" s="1382"/>
      <c r="H125" s="1385"/>
      <c r="I125" s="612"/>
      <c r="J125" s="1382"/>
      <c r="K125" s="1383"/>
      <c r="L125" s="1378">
        <v>130000000</v>
      </c>
      <c r="M125" s="1379"/>
    </row>
    <row r="126" spans="1:13" ht="4.5" customHeight="1" thickBot="1">
      <c r="A126" s="627"/>
      <c r="B126" s="628"/>
      <c r="C126" s="628"/>
      <c r="D126" s="628"/>
      <c r="E126" s="628"/>
      <c r="F126" s="628"/>
      <c r="G126" s="628"/>
      <c r="H126" s="628"/>
      <c r="I126" s="628"/>
      <c r="J126" s="628"/>
      <c r="K126" s="628"/>
      <c r="L126" s="628"/>
      <c r="M126" s="629"/>
    </row>
    <row r="127" spans="1:13" s="356" customFormat="1" ht="19.5" customHeight="1" thickBot="1">
      <c r="A127" s="1125" t="s">
        <v>61</v>
      </c>
      <c r="B127" s="1126"/>
      <c r="C127" s="1044">
        <f>SUM(C107:D125)+C105+C82</f>
        <v>17768146.349999998</v>
      </c>
      <c r="D127" s="1041"/>
      <c r="E127" s="1044">
        <f>SUM(E107:F125)+E105+E82</f>
        <v>24400000</v>
      </c>
      <c r="F127" s="1041"/>
      <c r="G127" s="1044">
        <f>SUM(G107:H125)+G105+G82</f>
        <v>160297.58</v>
      </c>
      <c r="H127" s="1041"/>
      <c r="I127" s="254">
        <f>SUM(I107:I125)+I105</f>
        <v>0</v>
      </c>
      <c r="J127" s="1041">
        <f>SUM(J107:K125)+J105+J82</f>
        <v>24560297.58</v>
      </c>
      <c r="K127" s="1046"/>
      <c r="L127" s="1040">
        <f>SUM(L107:M126)+L105</f>
        <v>176350000</v>
      </c>
      <c r="M127" s="1046"/>
    </row>
    <row r="128" ht="13.5" thickBot="1"/>
    <row r="129" spans="1:11" ht="24.75" customHeight="1" thickBot="1">
      <c r="A129" s="1010" t="s">
        <v>347</v>
      </c>
      <c r="B129" s="1459"/>
      <c r="C129" s="1066" t="s">
        <v>348</v>
      </c>
      <c r="D129" s="1331"/>
      <c r="F129" s="1433" t="s">
        <v>356</v>
      </c>
      <c r="G129" s="1434"/>
      <c r="H129" s="1434"/>
      <c r="I129" s="1435"/>
      <c r="J129" s="1466" t="s">
        <v>348</v>
      </c>
      <c r="K129" s="1212"/>
    </row>
    <row r="130" spans="1:11" ht="12.75">
      <c r="A130" s="1376" t="s">
        <v>349</v>
      </c>
      <c r="B130" s="1454"/>
      <c r="C130" s="1455">
        <v>150000</v>
      </c>
      <c r="D130" s="1456"/>
      <c r="F130" s="1436" t="s">
        <v>357</v>
      </c>
      <c r="G130" s="1147"/>
      <c r="H130" s="1147"/>
      <c r="I130" s="1147"/>
      <c r="J130" s="1464">
        <v>125000</v>
      </c>
      <c r="K130" s="1465"/>
    </row>
    <row r="131" spans="1:11" ht="12.75">
      <c r="A131" s="1376" t="s">
        <v>350</v>
      </c>
      <c r="B131" s="1454"/>
      <c r="C131" s="1455">
        <v>500000</v>
      </c>
      <c r="D131" s="1456"/>
      <c r="F131" s="1437" t="s">
        <v>358</v>
      </c>
      <c r="G131" s="1197"/>
      <c r="H131" s="1197"/>
      <c r="I131" s="1197"/>
      <c r="J131" s="1455">
        <v>125000</v>
      </c>
      <c r="K131" s="1456"/>
    </row>
    <row r="132" spans="1:11" ht="12.75">
      <c r="A132" s="1376" t="s">
        <v>351</v>
      </c>
      <c r="B132" s="1454"/>
      <c r="C132" s="1455">
        <v>800000</v>
      </c>
      <c r="D132" s="1456"/>
      <c r="F132" s="1437" t="s">
        <v>359</v>
      </c>
      <c r="G132" s="1197"/>
      <c r="H132" s="1197"/>
      <c r="I132" s="1197"/>
      <c r="J132" s="1455">
        <v>90000</v>
      </c>
      <c r="K132" s="1456"/>
    </row>
    <row r="133" spans="1:11" ht="18" customHeight="1">
      <c r="A133" s="1376" t="s">
        <v>352</v>
      </c>
      <c r="B133" s="1454"/>
      <c r="C133" s="1455">
        <v>1500000</v>
      </c>
      <c r="D133" s="1456"/>
      <c r="F133" s="1437" t="s">
        <v>360</v>
      </c>
      <c r="G133" s="1197"/>
      <c r="H133" s="1197"/>
      <c r="I133" s="1197"/>
      <c r="J133" s="1455">
        <v>50000</v>
      </c>
      <c r="K133" s="1456"/>
    </row>
    <row r="134" spans="1:11" ht="12.75">
      <c r="A134" s="1376" t="s">
        <v>353</v>
      </c>
      <c r="B134" s="1454"/>
      <c r="C134" s="1455">
        <v>150000</v>
      </c>
      <c r="D134" s="1456"/>
      <c r="F134" s="1437" t="s">
        <v>361</v>
      </c>
      <c r="G134" s="1197"/>
      <c r="H134" s="1197"/>
      <c r="I134" s="1197"/>
      <c r="J134" s="1455">
        <v>40000</v>
      </c>
      <c r="K134" s="1456"/>
    </row>
    <row r="135" spans="1:11" ht="12.75">
      <c r="A135" s="1376" t="s">
        <v>354</v>
      </c>
      <c r="B135" s="1454"/>
      <c r="C135" s="1455">
        <v>130000</v>
      </c>
      <c r="D135" s="1456"/>
      <c r="F135" s="1437" t="s">
        <v>362</v>
      </c>
      <c r="G135" s="1197"/>
      <c r="H135" s="1197"/>
      <c r="I135" s="1197"/>
      <c r="J135" s="1455">
        <v>120000</v>
      </c>
      <c r="K135" s="1456"/>
    </row>
    <row r="136" spans="1:11" ht="13.5" thickBot="1">
      <c r="A136" s="1394" t="s">
        <v>355</v>
      </c>
      <c r="B136" s="1461"/>
      <c r="C136" s="1457">
        <v>50000</v>
      </c>
      <c r="D136" s="1458"/>
      <c r="F136" s="1437" t="s">
        <v>363</v>
      </c>
      <c r="G136" s="1197"/>
      <c r="H136" s="1197"/>
      <c r="I136" s="1197"/>
      <c r="J136" s="1455">
        <v>37000</v>
      </c>
      <c r="K136" s="1456"/>
    </row>
    <row r="137" spans="1:14" s="616" customFormat="1" ht="15.75" customHeight="1" thickBot="1">
      <c r="A137" s="1163" t="s">
        <v>4</v>
      </c>
      <c r="B137" s="1460"/>
      <c r="C137" s="1041">
        <f>SUM(C130:C136)</f>
        <v>3280000</v>
      </c>
      <c r="D137" s="1046"/>
      <c r="E137" s="615"/>
      <c r="F137" s="1437" t="s">
        <v>364</v>
      </c>
      <c r="G137" s="1462"/>
      <c r="H137" s="1462"/>
      <c r="I137" s="1462"/>
      <c r="J137" s="1455">
        <v>10000</v>
      </c>
      <c r="K137" s="1456"/>
      <c r="L137" s="615"/>
      <c r="M137" s="615"/>
      <c r="N137" s="615"/>
    </row>
    <row r="138" spans="6:11" ht="12.75">
      <c r="F138" s="1437" t="s">
        <v>365</v>
      </c>
      <c r="G138" s="1197"/>
      <c r="H138" s="1197"/>
      <c r="I138" s="1197"/>
      <c r="J138" s="1455">
        <v>20000</v>
      </c>
      <c r="K138" s="1456"/>
    </row>
    <row r="139" spans="6:11" ht="18" customHeight="1" thickBot="1">
      <c r="F139" s="1438" t="s">
        <v>366</v>
      </c>
      <c r="G139" s="1439"/>
      <c r="H139" s="1439"/>
      <c r="I139" s="1440"/>
      <c r="J139" s="1455">
        <v>150000</v>
      </c>
      <c r="K139" s="1456"/>
    </row>
    <row r="140" spans="1:11" ht="16.5" customHeight="1" thickBot="1">
      <c r="A140" s="1467" t="s">
        <v>376</v>
      </c>
      <c r="B140" s="1468"/>
      <c r="C140" s="1041">
        <f>+C137+J149</f>
        <v>4280000</v>
      </c>
      <c r="D140" s="1046"/>
      <c r="F140" s="1437" t="s">
        <v>367</v>
      </c>
      <c r="G140" s="1197"/>
      <c r="H140" s="1197"/>
      <c r="I140" s="1197"/>
      <c r="J140" s="1455">
        <v>35000</v>
      </c>
      <c r="K140" s="1456"/>
    </row>
    <row r="141" spans="6:11" ht="12.75">
      <c r="F141" s="1437" t="s">
        <v>368</v>
      </c>
      <c r="G141" s="1197"/>
      <c r="H141" s="1197"/>
      <c r="I141" s="1197"/>
      <c r="J141" s="1455">
        <v>45000</v>
      </c>
      <c r="K141" s="1456"/>
    </row>
    <row r="142" spans="6:11" ht="12.75">
      <c r="F142" s="1437" t="s">
        <v>369</v>
      </c>
      <c r="G142" s="1197"/>
      <c r="H142" s="1197"/>
      <c r="I142" s="1197"/>
      <c r="J142" s="1455">
        <v>10000</v>
      </c>
      <c r="K142" s="1456"/>
    </row>
    <row r="143" spans="6:11" ht="12" customHeight="1">
      <c r="F143" s="1437" t="s">
        <v>370</v>
      </c>
      <c r="G143" s="1197"/>
      <c r="H143" s="1197"/>
      <c r="I143" s="1197"/>
      <c r="J143" s="1455">
        <v>8000</v>
      </c>
      <c r="K143" s="1456"/>
    </row>
    <row r="144" spans="6:11" ht="12" customHeight="1">
      <c r="F144" s="1437" t="s">
        <v>371</v>
      </c>
      <c r="G144" s="1197"/>
      <c r="H144" s="1197"/>
      <c r="I144" s="1197"/>
      <c r="J144" s="1455">
        <v>10000</v>
      </c>
      <c r="K144" s="1456"/>
    </row>
    <row r="145" spans="6:11" ht="12" customHeight="1">
      <c r="F145" s="1437" t="s">
        <v>372</v>
      </c>
      <c r="G145" s="1197"/>
      <c r="H145" s="1197"/>
      <c r="I145" s="1197"/>
      <c r="J145" s="1455">
        <v>20000</v>
      </c>
      <c r="K145" s="1456"/>
    </row>
    <row r="146" spans="6:11" ht="12" customHeight="1">
      <c r="F146" s="1437" t="s">
        <v>373</v>
      </c>
      <c r="G146" s="1197"/>
      <c r="H146" s="1197"/>
      <c r="I146" s="1197"/>
      <c r="J146" s="1455">
        <v>60000</v>
      </c>
      <c r="K146" s="1456"/>
    </row>
    <row r="147" spans="6:11" ht="12" customHeight="1">
      <c r="F147" s="1437" t="s">
        <v>374</v>
      </c>
      <c r="G147" s="1197"/>
      <c r="H147" s="1197"/>
      <c r="I147" s="1197"/>
      <c r="J147" s="1455">
        <v>10000</v>
      </c>
      <c r="K147" s="1456"/>
    </row>
    <row r="148" spans="6:11" ht="12" customHeight="1" thickBot="1">
      <c r="F148" s="1472" t="s">
        <v>375</v>
      </c>
      <c r="G148" s="1473"/>
      <c r="H148" s="1473"/>
      <c r="I148" s="1473"/>
      <c r="J148" s="1457">
        <v>35000</v>
      </c>
      <c r="K148" s="1458"/>
    </row>
    <row r="149" spans="6:11" ht="15" customHeight="1" thickBot="1">
      <c r="F149" s="942" t="s">
        <v>4</v>
      </c>
      <c r="G149" s="1463"/>
      <c r="H149" s="1463"/>
      <c r="I149" s="1463"/>
      <c r="J149" s="1041">
        <f>SUM(J130:J148)</f>
        <v>1000000</v>
      </c>
      <c r="K149" s="1046"/>
    </row>
    <row r="150" ht="12" customHeight="1"/>
    <row r="151" ht="0.75" customHeight="1"/>
    <row r="152" ht="12" customHeight="1" thickBot="1"/>
    <row r="153" spans="1:9" ht="12" customHeight="1">
      <c r="A153" s="1426" t="s">
        <v>62</v>
      </c>
      <c r="B153" s="1429" t="s">
        <v>301</v>
      </c>
      <c r="C153" s="1018" t="s">
        <v>206</v>
      </c>
      <c r="D153" s="1161"/>
      <c r="E153" s="1161"/>
      <c r="F153" s="1161"/>
      <c r="G153" s="1161"/>
      <c r="H153" s="1162"/>
      <c r="I153" s="1101" t="s">
        <v>302</v>
      </c>
    </row>
    <row r="154" spans="1:9" ht="12" customHeight="1">
      <c r="A154" s="1427"/>
      <c r="B154" s="1430"/>
      <c r="C154" s="1474" t="s">
        <v>45</v>
      </c>
      <c r="D154" s="1476" t="s">
        <v>63</v>
      </c>
      <c r="E154" s="1477"/>
      <c r="F154" s="1477"/>
      <c r="G154" s="1477"/>
      <c r="H154" s="1478"/>
      <c r="I154" s="1258"/>
    </row>
    <row r="155" spans="1:9" ht="12" customHeight="1" thickBot="1">
      <c r="A155" s="1428"/>
      <c r="B155" s="1431"/>
      <c r="C155" s="1475"/>
      <c r="D155" s="357">
        <v>1</v>
      </c>
      <c r="E155" s="357">
        <v>2</v>
      </c>
      <c r="F155" s="357">
        <v>3</v>
      </c>
      <c r="G155" s="357">
        <v>4</v>
      </c>
      <c r="H155" s="358">
        <v>5</v>
      </c>
      <c r="I155" s="1432"/>
    </row>
    <row r="156" spans="1:9" s="412" customFormat="1" ht="12" customHeight="1" thickBot="1">
      <c r="A156" s="359">
        <v>136916.285</v>
      </c>
      <c r="B156" s="410">
        <v>13340.681999999999</v>
      </c>
      <c r="C156" s="410">
        <f>SUM(D156:H156)</f>
        <v>5213.525</v>
      </c>
      <c r="D156" s="410">
        <v>1159.37</v>
      </c>
      <c r="E156" s="410">
        <v>3416.583</v>
      </c>
      <c r="F156" s="410">
        <v>31.347</v>
      </c>
      <c r="G156" s="410">
        <v>32.46</v>
      </c>
      <c r="H156" s="410">
        <v>573.765</v>
      </c>
      <c r="I156" s="411">
        <f>SUM(A156-B156-C156)</f>
        <v>118362.07800000001</v>
      </c>
    </row>
    <row r="157" spans="1:12" s="412" customFormat="1" ht="12" customHeight="1">
      <c r="A157" s="600"/>
      <c r="B157" s="601"/>
      <c r="C157" s="601"/>
      <c r="D157" s="601"/>
      <c r="E157" s="601"/>
      <c r="F157" s="601"/>
      <c r="G157" s="601"/>
      <c r="H157" s="601"/>
      <c r="I157" s="601"/>
      <c r="L157" s="810"/>
    </row>
    <row r="158" ht="18.75" customHeight="1" thickBot="1">
      <c r="A158" s="184" t="s">
        <v>312</v>
      </c>
    </row>
    <row r="159" spans="1:13" s="138" customFormat="1" ht="27" customHeight="1">
      <c r="A159" s="978" t="s">
        <v>64</v>
      </c>
      <c r="B159" s="1117" t="s">
        <v>163</v>
      </c>
      <c r="C159" s="974" t="s">
        <v>207</v>
      </c>
      <c r="D159" s="975"/>
      <c r="E159" s="975"/>
      <c r="F159" s="972"/>
      <c r="G159" s="101" t="s">
        <v>208</v>
      </c>
      <c r="H159" s="79" t="s">
        <v>65</v>
      </c>
      <c r="I159" s="974" t="s">
        <v>209</v>
      </c>
      <c r="J159" s="975"/>
      <c r="K159" s="975"/>
      <c r="L159" s="972"/>
      <c r="M159" s="139"/>
    </row>
    <row r="160" spans="1:13" s="138" customFormat="1" ht="21.75" customHeight="1" thickBot="1">
      <c r="A160" s="976"/>
      <c r="B160" s="1074"/>
      <c r="C160" s="45" t="s">
        <v>228</v>
      </c>
      <c r="D160" s="46" t="s">
        <v>66</v>
      </c>
      <c r="E160" s="46" t="s">
        <v>67</v>
      </c>
      <c r="F160" s="47" t="s">
        <v>68</v>
      </c>
      <c r="G160" s="102"/>
      <c r="H160" s="103"/>
      <c r="I160" s="72" t="s">
        <v>164</v>
      </c>
      <c r="J160" s="46" t="s">
        <v>66</v>
      </c>
      <c r="K160" s="46" t="s">
        <v>67</v>
      </c>
      <c r="L160" s="47" t="s">
        <v>165</v>
      </c>
      <c r="M160" s="141"/>
    </row>
    <row r="161" spans="1:12" ht="12" customHeight="1">
      <c r="A161" s="360" t="s">
        <v>69</v>
      </c>
      <c r="B161" s="209">
        <v>28590.2</v>
      </c>
      <c r="C161" s="745" t="s">
        <v>70</v>
      </c>
      <c r="D161" s="746" t="s">
        <v>70</v>
      </c>
      <c r="E161" s="746" t="s">
        <v>70</v>
      </c>
      <c r="F161" s="504" t="s">
        <v>70</v>
      </c>
      <c r="G161" s="363">
        <v>29747.43</v>
      </c>
      <c r="H161" s="364"/>
      <c r="I161" s="370" t="s">
        <v>70</v>
      </c>
      <c r="J161" s="361" t="s">
        <v>70</v>
      </c>
      <c r="K161" s="361" t="s">
        <v>70</v>
      </c>
      <c r="L161" s="413" t="s">
        <v>70</v>
      </c>
    </row>
    <row r="162" spans="1:12" ht="12" customHeight="1">
      <c r="A162" s="365" t="s">
        <v>71</v>
      </c>
      <c r="B162" s="366">
        <v>0</v>
      </c>
      <c r="C162" s="269">
        <v>1404.17</v>
      </c>
      <c r="D162" s="49"/>
      <c r="E162" s="49"/>
      <c r="F162" s="367">
        <v>1404.17</v>
      </c>
      <c r="G162" s="368">
        <v>1404.17</v>
      </c>
      <c r="H162" s="369">
        <f>+G162-F162</f>
        <v>0</v>
      </c>
      <c r="I162" s="269">
        <v>1404</v>
      </c>
      <c r="J162" s="49">
        <v>0</v>
      </c>
      <c r="K162" s="49">
        <v>0</v>
      </c>
      <c r="L162" s="367">
        <v>1404</v>
      </c>
    </row>
    <row r="163" spans="1:12" ht="12" customHeight="1">
      <c r="A163" s="365" t="s">
        <v>72</v>
      </c>
      <c r="B163" s="366">
        <v>0</v>
      </c>
      <c r="C163" s="809">
        <v>206.71</v>
      </c>
      <c r="D163" s="588"/>
      <c r="E163" s="588"/>
      <c r="F163" s="589">
        <v>170.69</v>
      </c>
      <c r="G163" s="368">
        <v>170.69</v>
      </c>
      <c r="H163" s="369">
        <f>+G163-F163</f>
        <v>0</v>
      </c>
      <c r="I163" s="269">
        <f>+L169</f>
        <v>171</v>
      </c>
      <c r="J163" s="49">
        <f>+L171</f>
        <v>400</v>
      </c>
      <c r="K163" s="49">
        <f>+L178</f>
        <v>500</v>
      </c>
      <c r="L163" s="367">
        <f>+L186</f>
        <v>71</v>
      </c>
    </row>
    <row r="164" spans="1:12" ht="12" customHeight="1">
      <c r="A164" s="365" t="s">
        <v>73</v>
      </c>
      <c r="B164" s="366">
        <f>+B161</f>
        <v>28590.2</v>
      </c>
      <c r="C164" s="370" t="s">
        <v>70</v>
      </c>
      <c r="D164" s="361" t="s">
        <v>70</v>
      </c>
      <c r="E164" s="361" t="s">
        <v>70</v>
      </c>
      <c r="F164" s="413" t="s">
        <v>70</v>
      </c>
      <c r="G164" s="368">
        <f>+G161-G162-G163</f>
        <v>28172.570000000003</v>
      </c>
      <c r="H164" s="369"/>
      <c r="I164" s="370" t="s">
        <v>70</v>
      </c>
      <c r="J164" s="361" t="s">
        <v>70</v>
      </c>
      <c r="K164" s="361" t="s">
        <v>70</v>
      </c>
      <c r="L164" s="413" t="s">
        <v>70</v>
      </c>
    </row>
    <row r="165" spans="1:12" ht="12.75">
      <c r="A165" s="365" t="s">
        <v>74</v>
      </c>
      <c r="B165" s="366">
        <v>0</v>
      </c>
      <c r="C165" s="269">
        <v>44004.65</v>
      </c>
      <c r="D165" s="49">
        <f>+H52/1000+G34</f>
        <v>74560.86903</v>
      </c>
      <c r="E165" s="49">
        <f>+H52/1000+33758.28</f>
        <v>106015.58903</v>
      </c>
      <c r="F165" s="367">
        <v>9839.11</v>
      </c>
      <c r="G165" s="368">
        <f>15132.31-5293.44</f>
        <v>9838.869999999999</v>
      </c>
      <c r="H165" s="369">
        <f>+G165-F165</f>
        <v>-0.2400000000016007</v>
      </c>
      <c r="I165" s="414">
        <f>+D169</f>
        <v>9839</v>
      </c>
      <c r="J165" s="372">
        <f>+D171</f>
        <v>37974.3</v>
      </c>
      <c r="K165" s="372">
        <f>+D178</f>
        <v>42429.445999999996</v>
      </c>
      <c r="L165" s="367">
        <f>+D186</f>
        <v>5383.854000000007</v>
      </c>
    </row>
    <row r="166" spans="1:12" ht="13.5" thickBot="1">
      <c r="A166" s="373" t="s">
        <v>75</v>
      </c>
      <c r="B166" s="374">
        <v>2412.33</v>
      </c>
      <c r="C166" s="272">
        <v>2854.26</v>
      </c>
      <c r="D166" s="273"/>
      <c r="E166" s="273"/>
      <c r="F166" s="375">
        <v>1238.76</v>
      </c>
      <c r="G166" s="376">
        <v>725.54</v>
      </c>
      <c r="H166" s="377">
        <f>+G166-F166</f>
        <v>-513.22</v>
      </c>
      <c r="I166" s="272">
        <v>1239</v>
      </c>
      <c r="J166" s="273">
        <v>4322</v>
      </c>
      <c r="K166" s="273">
        <v>5481</v>
      </c>
      <c r="L166" s="375">
        <f>+I166+J166-K166</f>
        <v>80</v>
      </c>
    </row>
    <row r="167" spans="1:12" ht="5.25" customHeight="1" thickBot="1">
      <c r="A167" s="378"/>
      <c r="B167" s="57"/>
      <c r="C167" s="57"/>
      <c r="D167" s="57"/>
      <c r="E167" s="57"/>
      <c r="F167" s="57"/>
      <c r="G167" s="57"/>
      <c r="H167" s="57"/>
      <c r="I167" s="57"/>
      <c r="J167" s="57"/>
      <c r="K167" s="57"/>
      <c r="L167" s="57"/>
    </row>
    <row r="168" spans="1:12" s="346" customFormat="1" ht="19.5" customHeight="1" thickBot="1">
      <c r="A168" s="244" t="s">
        <v>76</v>
      </c>
      <c r="B168" s="565">
        <v>2004</v>
      </c>
      <c r="C168" s="565">
        <v>2005</v>
      </c>
      <c r="D168" s="566">
        <v>2006</v>
      </c>
      <c r="F168" s="1163" t="s">
        <v>77</v>
      </c>
      <c r="G168" s="1316"/>
      <c r="H168" s="1316"/>
      <c r="I168" s="1043"/>
      <c r="J168" s="586">
        <v>2004</v>
      </c>
      <c r="K168" s="586">
        <v>2005</v>
      </c>
      <c r="L168" s="566">
        <v>2006</v>
      </c>
    </row>
    <row r="169" spans="1:34" ht="12.75">
      <c r="A169" s="52" t="s">
        <v>78</v>
      </c>
      <c r="B169" s="53">
        <v>33673</v>
      </c>
      <c r="C169" s="53">
        <f>+B186</f>
        <v>44004.3</v>
      </c>
      <c r="D169" s="852">
        <v>9839</v>
      </c>
      <c r="F169" s="1469" t="s">
        <v>79</v>
      </c>
      <c r="G169" s="1470"/>
      <c r="H169" s="1470"/>
      <c r="I169" s="1471"/>
      <c r="J169" s="590">
        <v>242</v>
      </c>
      <c r="K169" s="590">
        <f>+J186</f>
        <v>207</v>
      </c>
      <c r="L169" s="618">
        <v>171</v>
      </c>
      <c r="M169"/>
      <c r="N169"/>
      <c r="O169"/>
      <c r="P169"/>
      <c r="Q169"/>
      <c r="R169"/>
      <c r="S169"/>
      <c r="T169"/>
      <c r="U169"/>
      <c r="V169"/>
      <c r="W169"/>
      <c r="X169"/>
      <c r="Y169"/>
      <c r="Z169"/>
      <c r="AA169"/>
      <c r="AB169"/>
      <c r="AC169"/>
      <c r="AD169"/>
      <c r="AE169"/>
      <c r="AF169"/>
      <c r="AG169"/>
      <c r="AH169"/>
    </row>
    <row r="170" spans="1:34" ht="12.75">
      <c r="A170" s="55"/>
      <c r="B170" s="49"/>
      <c r="C170" s="49"/>
      <c r="D170" s="853">
        <v>1764</v>
      </c>
      <c r="F170" s="1195"/>
      <c r="G170" s="1196"/>
      <c r="H170" s="1196"/>
      <c r="I170" s="1197"/>
      <c r="J170" s="591"/>
      <c r="K170" s="591"/>
      <c r="L170" s="619"/>
      <c r="M170"/>
      <c r="N170"/>
      <c r="O170"/>
      <c r="P170"/>
      <c r="Q170"/>
      <c r="R170"/>
      <c r="S170"/>
      <c r="T170"/>
      <c r="U170"/>
      <c r="V170"/>
      <c r="W170"/>
      <c r="X170"/>
      <c r="Y170"/>
      <c r="Z170"/>
      <c r="AA170"/>
      <c r="AB170"/>
      <c r="AC170"/>
      <c r="AD170"/>
      <c r="AE170"/>
      <c r="AF170"/>
      <c r="AG170"/>
      <c r="AH170"/>
    </row>
    <row r="171" spans="1:34" ht="12.75">
      <c r="A171" s="593" t="s">
        <v>66</v>
      </c>
      <c r="B171" s="594">
        <f>+B172+B173+B175+B176+B177+1781</f>
        <v>29842</v>
      </c>
      <c r="C171" s="594">
        <f>+C172+C173+C176+C177</f>
        <v>75636</v>
      </c>
      <c r="D171" s="596">
        <f>SUM(D172:D177)</f>
        <v>37974.3</v>
      </c>
      <c r="F171" s="1201" t="s">
        <v>66</v>
      </c>
      <c r="G171" s="1202"/>
      <c r="H171" s="1202"/>
      <c r="I171" s="1203"/>
      <c r="J171" s="595">
        <f>+J172+J173</f>
        <v>272</v>
      </c>
      <c r="K171" s="595">
        <f>+K172+K173</f>
        <v>400</v>
      </c>
      <c r="L171" s="620">
        <f>SUM(L172:L177)</f>
        <v>400</v>
      </c>
      <c r="M171"/>
      <c r="N171"/>
      <c r="O171"/>
      <c r="P171"/>
      <c r="Q171"/>
      <c r="R171"/>
      <c r="S171"/>
      <c r="T171"/>
      <c r="U171"/>
      <c r="V171"/>
      <c r="W171"/>
      <c r="X171"/>
      <c r="Y171"/>
      <c r="Z171"/>
      <c r="AA171"/>
      <c r="AB171"/>
      <c r="AC171"/>
      <c r="AD171"/>
      <c r="AE171"/>
      <c r="AF171"/>
      <c r="AG171"/>
      <c r="AH171"/>
    </row>
    <row r="172" spans="1:34" ht="12.75">
      <c r="A172" s="55" t="s">
        <v>80</v>
      </c>
      <c r="B172" s="49">
        <v>3360</v>
      </c>
      <c r="C172" s="49">
        <v>2998</v>
      </c>
      <c r="D172" s="853">
        <v>5214</v>
      </c>
      <c r="F172" s="1195" t="s">
        <v>81</v>
      </c>
      <c r="G172" s="1196"/>
      <c r="H172" s="1196"/>
      <c r="I172" s="1197"/>
      <c r="J172" s="591"/>
      <c r="K172" s="591"/>
      <c r="L172" s="619"/>
      <c r="M172"/>
      <c r="N172"/>
      <c r="O172"/>
      <c r="P172"/>
      <c r="Q172"/>
      <c r="R172"/>
      <c r="S172"/>
      <c r="T172"/>
      <c r="U172"/>
      <c r="V172"/>
      <c r="W172"/>
      <c r="X172"/>
      <c r="Y172"/>
      <c r="Z172"/>
      <c r="AA172"/>
      <c r="AB172"/>
      <c r="AC172"/>
      <c r="AD172"/>
      <c r="AE172"/>
      <c r="AF172"/>
      <c r="AG172"/>
      <c r="AH172"/>
    </row>
    <row r="173" spans="1:34" ht="12.75">
      <c r="A173" s="55" t="s">
        <v>530</v>
      </c>
      <c r="B173" s="49">
        <v>24417</v>
      </c>
      <c r="C173" s="49">
        <v>72238</v>
      </c>
      <c r="D173" s="853">
        <v>24400</v>
      </c>
      <c r="F173" s="1195" t="s">
        <v>82</v>
      </c>
      <c r="G173" s="1196"/>
      <c r="H173" s="1196"/>
      <c r="I173" s="1197"/>
      <c r="J173" s="591">
        <v>272</v>
      </c>
      <c r="K173" s="591">
        <v>400</v>
      </c>
      <c r="L173" s="619">
        <v>400</v>
      </c>
      <c r="M173"/>
      <c r="N173"/>
      <c r="O173"/>
      <c r="P173"/>
      <c r="Q173"/>
      <c r="R173"/>
      <c r="S173"/>
      <c r="T173"/>
      <c r="U173"/>
      <c r="V173"/>
      <c r="W173"/>
      <c r="X173"/>
      <c r="Y173"/>
      <c r="Z173"/>
      <c r="AA173"/>
      <c r="AB173"/>
      <c r="AC173"/>
      <c r="AD173"/>
      <c r="AE173"/>
      <c r="AF173"/>
      <c r="AG173"/>
      <c r="AH173"/>
    </row>
    <row r="174" spans="1:34" ht="12.75">
      <c r="A174" s="55" t="s">
        <v>531</v>
      </c>
      <c r="B174" s="49"/>
      <c r="C174" s="49"/>
      <c r="D174" s="853">
        <v>160.3</v>
      </c>
      <c r="F174" s="1195"/>
      <c r="G174" s="1196"/>
      <c r="H174" s="1196"/>
      <c r="I174" s="1197"/>
      <c r="J174" s="591"/>
      <c r="K174" s="591"/>
      <c r="L174" s="619"/>
      <c r="M174"/>
      <c r="N174"/>
      <c r="O174"/>
      <c r="P174"/>
      <c r="Q174"/>
      <c r="R174"/>
      <c r="S174"/>
      <c r="T174"/>
      <c r="U174"/>
      <c r="V174"/>
      <c r="W174"/>
      <c r="X174"/>
      <c r="Y174"/>
      <c r="Z174"/>
      <c r="AA174"/>
      <c r="AB174"/>
      <c r="AC174"/>
      <c r="AD174"/>
      <c r="AE174"/>
      <c r="AF174"/>
      <c r="AG174"/>
      <c r="AH174"/>
    </row>
    <row r="175" spans="1:34" ht="12.75">
      <c r="A175" s="55" t="s">
        <v>83</v>
      </c>
      <c r="B175" s="49"/>
      <c r="C175" s="49"/>
      <c r="D175" s="853">
        <v>0</v>
      </c>
      <c r="F175" s="1195"/>
      <c r="G175" s="1196"/>
      <c r="H175" s="1196"/>
      <c r="I175" s="1197"/>
      <c r="J175" s="591"/>
      <c r="K175" s="591"/>
      <c r="L175" s="619"/>
      <c r="M175"/>
      <c r="N175"/>
      <c r="O175"/>
      <c r="P175"/>
      <c r="Q175"/>
      <c r="R175"/>
      <c r="S175"/>
      <c r="T175"/>
      <c r="U175"/>
      <c r="V175"/>
      <c r="W175"/>
      <c r="X175"/>
      <c r="Y175"/>
      <c r="Z175"/>
      <c r="AA175"/>
      <c r="AB175"/>
      <c r="AC175"/>
      <c r="AD175"/>
      <c r="AE175"/>
      <c r="AF175"/>
      <c r="AG175"/>
      <c r="AH175"/>
    </row>
    <row r="176" spans="1:34" ht="12.75">
      <c r="A176" s="55" t="s">
        <v>82</v>
      </c>
      <c r="B176" s="49">
        <v>244</v>
      </c>
      <c r="C176" s="49">
        <v>200</v>
      </c>
      <c r="D176" s="853">
        <v>8000</v>
      </c>
      <c r="F176" s="1195"/>
      <c r="G176" s="1196"/>
      <c r="H176" s="1196"/>
      <c r="I176" s="1197"/>
      <c r="J176" s="591"/>
      <c r="K176" s="591"/>
      <c r="L176" s="619"/>
      <c r="M176"/>
      <c r="N176"/>
      <c r="O176"/>
      <c r="P176"/>
      <c r="Q176"/>
      <c r="R176"/>
      <c r="S176"/>
      <c r="T176"/>
      <c r="U176"/>
      <c r="V176"/>
      <c r="W176"/>
      <c r="X176"/>
      <c r="Y176"/>
      <c r="Z176"/>
      <c r="AA176"/>
      <c r="AB176"/>
      <c r="AC176"/>
      <c r="AD176"/>
      <c r="AE176"/>
      <c r="AF176"/>
      <c r="AG176"/>
      <c r="AH176"/>
    </row>
    <row r="177" spans="1:34" ht="12.75">
      <c r="A177" s="56" t="s">
        <v>84</v>
      </c>
      <c r="B177" s="49">
        <v>40</v>
      </c>
      <c r="C177" s="49">
        <v>200</v>
      </c>
      <c r="D177" s="854">
        <v>200</v>
      </c>
      <c r="F177" s="1195"/>
      <c r="G177" s="1196"/>
      <c r="H177" s="1196"/>
      <c r="I177" s="1197"/>
      <c r="J177" s="591">
        <f>+J178+J179+J180</f>
        <v>614</v>
      </c>
      <c r="K177" s="591">
        <f>+K178+K179+K180</f>
        <v>500</v>
      </c>
      <c r="L177" s="619"/>
      <c r="M177"/>
      <c r="N177"/>
      <c r="O177"/>
      <c r="P177"/>
      <c r="Q177"/>
      <c r="R177"/>
      <c r="S177"/>
      <c r="T177"/>
      <c r="U177"/>
      <c r="V177"/>
      <c r="W177"/>
      <c r="X177"/>
      <c r="Y177"/>
      <c r="Z177"/>
      <c r="AA177"/>
      <c r="AB177"/>
      <c r="AC177"/>
      <c r="AD177"/>
      <c r="AE177"/>
      <c r="AF177"/>
      <c r="AG177"/>
      <c r="AH177"/>
    </row>
    <row r="178" spans="1:34" ht="12.75">
      <c r="A178" s="593" t="s">
        <v>67</v>
      </c>
      <c r="B178" s="594">
        <f>+B179+B180</f>
        <v>19510.7</v>
      </c>
      <c r="C178" s="594">
        <f>+C179+C180+C182+C184+C185</f>
        <v>111257.48941000007</v>
      </c>
      <c r="D178" s="596">
        <f>SUM(D179:D184)</f>
        <v>42429.445999999996</v>
      </c>
      <c r="F178" s="1201" t="s">
        <v>67</v>
      </c>
      <c r="G178" s="1202"/>
      <c r="H178" s="1202"/>
      <c r="I178" s="1203"/>
      <c r="J178" s="595">
        <f>+J179+J180</f>
        <v>307</v>
      </c>
      <c r="K178" s="595">
        <v>300</v>
      </c>
      <c r="L178" s="620">
        <f>SUM(L179:L183)</f>
        <v>500</v>
      </c>
      <c r="M178"/>
      <c r="N178"/>
      <c r="O178"/>
      <c r="P178"/>
      <c r="Q178"/>
      <c r="R178"/>
      <c r="S178"/>
      <c r="T178"/>
      <c r="U178"/>
      <c r="V178"/>
      <c r="W178"/>
      <c r="X178"/>
      <c r="Y178"/>
      <c r="Z178"/>
      <c r="AA178"/>
      <c r="AB178"/>
      <c r="AC178"/>
      <c r="AD178"/>
      <c r="AE178"/>
      <c r="AF178"/>
      <c r="AG178"/>
      <c r="AH178"/>
    </row>
    <row r="179" spans="1:34" ht="12.75">
      <c r="A179" s="55" t="s">
        <v>263</v>
      </c>
      <c r="B179" s="49">
        <v>12944</v>
      </c>
      <c r="C179" s="49">
        <v>15788</v>
      </c>
      <c r="D179" s="853">
        <v>17768.146</v>
      </c>
      <c r="F179" s="1195" t="s">
        <v>85</v>
      </c>
      <c r="G179" s="1196"/>
      <c r="H179" s="1196"/>
      <c r="I179" s="1197"/>
      <c r="J179" s="591">
        <v>267</v>
      </c>
      <c r="K179" s="591"/>
      <c r="L179" s="619">
        <v>300</v>
      </c>
      <c r="M179"/>
      <c r="N179"/>
      <c r="O179"/>
      <c r="P179"/>
      <c r="Q179"/>
      <c r="R179"/>
      <c r="S179"/>
      <c r="T179"/>
      <c r="U179"/>
      <c r="V179"/>
      <c r="W179"/>
      <c r="X179"/>
      <c r="Y179"/>
      <c r="Z179"/>
      <c r="AA179"/>
      <c r="AB179"/>
      <c r="AC179"/>
      <c r="AD179"/>
      <c r="AE179"/>
      <c r="AF179"/>
      <c r="AG179"/>
      <c r="AH179"/>
    </row>
    <row r="180" spans="1:34" ht="12.75">
      <c r="A180" s="55" t="s">
        <v>379</v>
      </c>
      <c r="B180" s="49">
        <v>6566.7</v>
      </c>
      <c r="C180" s="49">
        <v>11966.957</v>
      </c>
      <c r="D180" s="853">
        <v>13993</v>
      </c>
      <c r="F180" s="1195" t="s">
        <v>86</v>
      </c>
      <c r="G180" s="1196"/>
      <c r="H180" s="1196"/>
      <c r="I180" s="1197"/>
      <c r="J180" s="591">
        <v>40</v>
      </c>
      <c r="K180" s="591">
        <v>200</v>
      </c>
      <c r="L180" s="619">
        <v>0</v>
      </c>
      <c r="M180"/>
      <c r="N180"/>
      <c r="O180"/>
      <c r="P180"/>
      <c r="Q180"/>
      <c r="R180"/>
      <c r="S180"/>
      <c r="T180"/>
      <c r="U180"/>
      <c r="V180"/>
      <c r="W180"/>
      <c r="X180"/>
      <c r="Y180"/>
      <c r="Z180"/>
      <c r="AA180"/>
      <c r="AB180"/>
      <c r="AC180"/>
      <c r="AD180"/>
      <c r="AE180"/>
      <c r="AF180"/>
      <c r="AG180"/>
      <c r="AH180"/>
    </row>
    <row r="181" spans="1:34" ht="12.75">
      <c r="A181" s="55" t="s">
        <v>380</v>
      </c>
      <c r="B181" s="588"/>
      <c r="C181" s="588"/>
      <c r="D181" s="855">
        <v>160.3</v>
      </c>
      <c r="F181" s="1195" t="s">
        <v>265</v>
      </c>
      <c r="G181" s="1196"/>
      <c r="H181" s="1196"/>
      <c r="I181" s="1197"/>
      <c r="J181" s="591"/>
      <c r="K181" s="591"/>
      <c r="L181" s="619">
        <v>200</v>
      </c>
      <c r="M181"/>
      <c r="N181"/>
      <c r="O181"/>
      <c r="P181"/>
      <c r="Q181"/>
      <c r="R181"/>
      <c r="S181"/>
      <c r="T181"/>
      <c r="U181"/>
      <c r="V181"/>
      <c r="W181"/>
      <c r="X181"/>
      <c r="Y181"/>
      <c r="Z181"/>
      <c r="AA181"/>
      <c r="AB181"/>
      <c r="AC181"/>
      <c r="AD181"/>
      <c r="AE181"/>
      <c r="AF181"/>
      <c r="AG181"/>
      <c r="AH181"/>
    </row>
    <row r="182" spans="1:34" ht="12.75">
      <c r="A182" s="55" t="s">
        <v>382</v>
      </c>
      <c r="B182" s="588"/>
      <c r="C182" s="588">
        <v>12433.04241</v>
      </c>
      <c r="D182" s="855">
        <v>10407</v>
      </c>
      <c r="F182" s="1195"/>
      <c r="G182" s="1196"/>
      <c r="H182" s="1196"/>
      <c r="I182" s="1197"/>
      <c r="J182" s="591"/>
      <c r="K182" s="591"/>
      <c r="L182" s="619"/>
      <c r="M182"/>
      <c r="N182"/>
      <c r="O182"/>
      <c r="P182"/>
      <c r="Q182"/>
      <c r="R182"/>
      <c r="S182"/>
      <c r="T182"/>
      <c r="U182"/>
      <c r="V182"/>
      <c r="W182"/>
      <c r="X182"/>
      <c r="Y182"/>
      <c r="Z182"/>
      <c r="AA182"/>
      <c r="AB182"/>
      <c r="AC182"/>
      <c r="AD182"/>
      <c r="AE182"/>
      <c r="AF182"/>
      <c r="AG182"/>
      <c r="AH182"/>
    </row>
    <row r="183" spans="1:34" ht="12.75">
      <c r="A183" s="55" t="s">
        <v>381</v>
      </c>
      <c r="B183" s="588"/>
      <c r="C183" s="588"/>
      <c r="D183" s="855">
        <v>0</v>
      </c>
      <c r="F183" s="1195"/>
      <c r="G183" s="1196"/>
      <c r="H183" s="1196"/>
      <c r="I183" s="1197"/>
      <c r="J183" s="592"/>
      <c r="K183" s="592"/>
      <c r="L183" s="619"/>
      <c r="M183"/>
      <c r="N183"/>
      <c r="O183"/>
      <c r="P183"/>
      <c r="Q183"/>
      <c r="R183"/>
      <c r="S183"/>
      <c r="T183"/>
      <c r="U183"/>
      <c r="V183"/>
      <c r="W183"/>
      <c r="X183"/>
      <c r="Y183"/>
      <c r="Z183"/>
      <c r="AA183"/>
      <c r="AB183"/>
      <c r="AC183"/>
      <c r="AD183"/>
      <c r="AE183"/>
      <c r="AF183"/>
      <c r="AG183"/>
      <c r="AH183"/>
    </row>
    <row r="184" spans="1:34" ht="12.75">
      <c r="A184" s="55" t="s">
        <v>383</v>
      </c>
      <c r="B184" s="588"/>
      <c r="C184" s="588">
        <v>37311</v>
      </c>
      <c r="D184" s="855">
        <v>101</v>
      </c>
      <c r="F184" s="1195"/>
      <c r="G184" s="1196"/>
      <c r="H184" s="1196"/>
      <c r="I184" s="1197"/>
      <c r="J184" s="592"/>
      <c r="K184" s="592"/>
      <c r="L184" s="619"/>
      <c r="M184"/>
      <c r="N184"/>
      <c r="O184"/>
      <c r="P184"/>
      <c r="Q184"/>
      <c r="R184"/>
      <c r="S184"/>
      <c r="T184"/>
      <c r="U184"/>
      <c r="V184"/>
      <c r="W184"/>
      <c r="X184"/>
      <c r="Y184"/>
      <c r="Z184"/>
      <c r="AA184"/>
      <c r="AB184"/>
      <c r="AC184"/>
      <c r="AD184"/>
      <c r="AE184"/>
      <c r="AF184"/>
      <c r="AG184"/>
      <c r="AH184"/>
    </row>
    <row r="185" spans="1:34" ht="12.75">
      <c r="A185" s="55" t="s">
        <v>417</v>
      </c>
      <c r="B185" s="588"/>
      <c r="C185" s="588">
        <f>+(B39-E38)*-1</f>
        <v>33758.49000000006</v>
      </c>
      <c r="D185" s="855"/>
      <c r="F185" s="1195"/>
      <c r="G185" s="1196"/>
      <c r="H185" s="1196"/>
      <c r="I185" s="1197"/>
      <c r="J185" s="592"/>
      <c r="K185" s="592"/>
      <c r="L185" s="619"/>
      <c r="M185"/>
      <c r="N185"/>
      <c r="O185"/>
      <c r="P185"/>
      <c r="Q185"/>
      <c r="R185"/>
      <c r="S185"/>
      <c r="T185"/>
      <c r="U185"/>
      <c r="V185"/>
      <c r="W185"/>
      <c r="X185"/>
      <c r="Y185"/>
      <c r="Z185"/>
      <c r="AA185"/>
      <c r="AB185"/>
      <c r="AC185"/>
      <c r="AD185"/>
      <c r="AE185"/>
      <c r="AF185"/>
      <c r="AG185"/>
      <c r="AH185"/>
    </row>
    <row r="186" spans="1:34" ht="13.5" thickBot="1">
      <c r="A186" s="597" t="s">
        <v>87</v>
      </c>
      <c r="B186" s="117">
        <f>+B169+B171-B178</f>
        <v>44004.3</v>
      </c>
      <c r="C186" s="117">
        <f>+D169</f>
        <v>9839</v>
      </c>
      <c r="D186" s="599">
        <f>+D169+D171-D178</f>
        <v>5383.854000000007</v>
      </c>
      <c r="F186" s="1198" t="s">
        <v>87</v>
      </c>
      <c r="G186" s="1199"/>
      <c r="H186" s="1199"/>
      <c r="I186" s="1200"/>
      <c r="J186" s="598">
        <f>+J169+J171-J178</f>
        <v>207</v>
      </c>
      <c r="K186" s="598">
        <f>+K169+K171-K177</f>
        <v>107</v>
      </c>
      <c r="L186" s="621">
        <f>+L169+L171-L178</f>
        <v>71</v>
      </c>
      <c r="M186"/>
      <c r="N186"/>
      <c r="O186"/>
      <c r="P186"/>
      <c r="Q186"/>
      <c r="R186"/>
      <c r="S186"/>
      <c r="T186"/>
      <c r="U186"/>
      <c r="V186"/>
      <c r="W186"/>
      <c r="X186"/>
      <c r="Y186"/>
      <c r="Z186"/>
      <c r="AA186"/>
      <c r="AB186"/>
      <c r="AC186"/>
      <c r="AD186"/>
      <c r="AE186"/>
      <c r="AF186"/>
      <c r="AG186"/>
      <c r="AH186"/>
    </row>
    <row r="187" spans="1:12" ht="29.25" customHeight="1" thickBot="1">
      <c r="A187" s="184" t="s">
        <v>313</v>
      </c>
      <c r="B187" s="57"/>
      <c r="C187" s="57"/>
      <c r="D187" s="57"/>
      <c r="E187" s="57"/>
      <c r="F187" s="57"/>
      <c r="G187" s="57"/>
      <c r="H187" s="57"/>
      <c r="I187" s="57"/>
      <c r="J187" s="57"/>
      <c r="K187" s="57"/>
      <c r="L187" s="57"/>
    </row>
    <row r="188" spans="1:34" ht="12.75">
      <c r="A188" s="1304" t="s">
        <v>260</v>
      </c>
      <c r="B188" s="1442" t="s">
        <v>4</v>
      </c>
      <c r="C188" s="1444" t="s">
        <v>261</v>
      </c>
      <c r="D188" s="959"/>
      <c r="E188" s="959"/>
      <c r="F188" s="959"/>
      <c r="G188" s="959"/>
      <c r="H188" s="960"/>
      <c r="I188" s="57"/>
      <c r="J188" s="934"/>
      <c r="M188" s="276"/>
      <c r="N188" s="276"/>
      <c r="O188"/>
      <c r="P188"/>
      <c r="Q188"/>
      <c r="R188"/>
      <c r="S188"/>
      <c r="T188"/>
      <c r="U188"/>
      <c r="V188"/>
      <c r="W188"/>
      <c r="X188"/>
      <c r="Y188"/>
      <c r="Z188"/>
      <c r="AA188"/>
      <c r="AB188"/>
      <c r="AC188"/>
      <c r="AD188"/>
      <c r="AE188"/>
      <c r="AF188"/>
      <c r="AG188"/>
      <c r="AH188"/>
    </row>
    <row r="189" spans="1:34" ht="12.75">
      <c r="A189" s="1441"/>
      <c r="B189" s="1443"/>
      <c r="C189" s="379" t="s">
        <v>88</v>
      </c>
      <c r="D189" s="380" t="s">
        <v>89</v>
      </c>
      <c r="E189" s="380" t="s">
        <v>90</v>
      </c>
      <c r="F189" s="380" t="s">
        <v>91</v>
      </c>
      <c r="G189" s="381" t="s">
        <v>92</v>
      </c>
      <c r="H189" s="382" t="s">
        <v>45</v>
      </c>
      <c r="I189" s="57"/>
      <c r="J189" s="934"/>
      <c r="M189" s="276"/>
      <c r="N189" s="276"/>
      <c r="O189"/>
      <c r="P189"/>
      <c r="Q189"/>
      <c r="R189"/>
      <c r="S189"/>
      <c r="T189"/>
      <c r="U189"/>
      <c r="V189"/>
      <c r="W189"/>
      <c r="X189"/>
      <c r="Y189"/>
      <c r="Z189"/>
      <c r="AA189"/>
      <c r="AB189"/>
      <c r="AC189"/>
      <c r="AD189"/>
      <c r="AE189"/>
      <c r="AF189"/>
      <c r="AG189"/>
      <c r="AH189"/>
    </row>
    <row r="190" spans="1:9" s="356" customFormat="1" ht="12.75" customHeight="1">
      <c r="A190" s="421" t="s">
        <v>149</v>
      </c>
      <c r="B190" s="49">
        <v>88113</v>
      </c>
      <c r="C190" s="887">
        <v>14644.687</v>
      </c>
      <c r="D190" s="422">
        <v>21112.106</v>
      </c>
      <c r="E190" s="422">
        <v>22416.339</v>
      </c>
      <c r="F190" s="422">
        <v>4091.47</v>
      </c>
      <c r="G190" s="422">
        <v>0</v>
      </c>
      <c r="H190" s="423">
        <f>SUM(C190:G190)</f>
        <v>62264.602</v>
      </c>
      <c r="I190" s="57"/>
    </row>
    <row r="191" spans="1:9" s="356" customFormat="1" ht="12.75" customHeight="1" thickBot="1">
      <c r="A191" s="424" t="s">
        <v>93</v>
      </c>
      <c r="B191" s="425">
        <v>73801</v>
      </c>
      <c r="C191" s="812">
        <v>6076.3589999999995</v>
      </c>
      <c r="D191" s="383">
        <v>3354.758</v>
      </c>
      <c r="E191" s="383">
        <v>110.96900000000001</v>
      </c>
      <c r="F191" s="383">
        <v>302.994</v>
      </c>
      <c r="G191" s="383">
        <v>584.3919999999999</v>
      </c>
      <c r="H191" s="426">
        <f>SUM(C191:G191)</f>
        <v>10429.471999999998</v>
      </c>
      <c r="I191" s="57"/>
    </row>
    <row r="192" ht="2.25" customHeight="1"/>
    <row r="193" ht="13.5" thickBot="1"/>
    <row r="194" spans="1:12" ht="13.5" thickBot="1">
      <c r="A194" s="1111" t="s">
        <v>94</v>
      </c>
      <c r="B194" s="1369"/>
      <c r="C194" s="1115" t="s">
        <v>95</v>
      </c>
      <c r="D194" s="1372"/>
      <c r="E194" s="1372"/>
      <c r="F194" s="1372"/>
      <c r="G194" s="1372"/>
      <c r="H194" s="1116" t="s">
        <v>96</v>
      </c>
      <c r="I194" s="1372"/>
      <c r="J194" s="1372"/>
      <c r="K194" s="1372"/>
      <c r="L194" s="1373"/>
    </row>
    <row r="195" spans="1:12" ht="13.5" thickBot="1">
      <c r="A195" s="1370"/>
      <c r="B195" s="1371"/>
      <c r="C195" s="43">
        <v>2003</v>
      </c>
      <c r="D195" s="44">
        <v>2004</v>
      </c>
      <c r="E195" s="59" t="s">
        <v>7</v>
      </c>
      <c r="F195" s="44">
        <v>2005</v>
      </c>
      <c r="G195" s="59" t="s">
        <v>7</v>
      </c>
      <c r="H195" s="235">
        <v>2003</v>
      </c>
      <c r="I195" s="44">
        <v>2004</v>
      </c>
      <c r="J195" s="865" t="s">
        <v>7</v>
      </c>
      <c r="K195" s="866">
        <v>2005</v>
      </c>
      <c r="L195" s="60" t="s">
        <v>7</v>
      </c>
    </row>
    <row r="196" spans="1:12" ht="12.75">
      <c r="A196" s="1374" t="s">
        <v>97</v>
      </c>
      <c r="B196" s="1375"/>
      <c r="C196" s="703">
        <v>100</v>
      </c>
      <c r="D196" s="384">
        <v>100</v>
      </c>
      <c r="E196" s="867">
        <f aca="true" t="shared" si="16" ref="E196:E209">+D196-C196</f>
        <v>0</v>
      </c>
      <c r="F196" s="384">
        <v>100</v>
      </c>
      <c r="G196" s="507">
        <f aca="true" t="shared" si="17" ref="G196:G214">+F196-D196</f>
        <v>0</v>
      </c>
      <c r="H196" s="868">
        <v>84.3</v>
      </c>
      <c r="I196" s="869">
        <v>79.9</v>
      </c>
      <c r="J196" s="869">
        <f aca="true" t="shared" si="18" ref="J196:J209">+I196-H196</f>
        <v>-4.3999999999999915</v>
      </c>
      <c r="K196" s="870">
        <v>76.1</v>
      </c>
      <c r="L196" s="385">
        <f aca="true" t="shared" si="19" ref="L196:L214">+K196-I196</f>
        <v>-3.8000000000000114</v>
      </c>
    </row>
    <row r="197" spans="1:12" ht="12.75">
      <c r="A197" s="1208" t="s">
        <v>98</v>
      </c>
      <c r="B197" s="1367"/>
      <c r="C197" s="708">
        <v>28</v>
      </c>
      <c r="D197" s="386">
        <v>28</v>
      </c>
      <c r="E197" s="871">
        <f t="shared" si="16"/>
        <v>0</v>
      </c>
      <c r="F197" s="386">
        <v>28</v>
      </c>
      <c r="G197" s="507">
        <f t="shared" si="17"/>
        <v>0</v>
      </c>
      <c r="H197" s="872">
        <v>69.8</v>
      </c>
      <c r="I197" s="873">
        <v>64.31</v>
      </c>
      <c r="J197" s="873">
        <f t="shared" si="18"/>
        <v>-5.489999999999995</v>
      </c>
      <c r="K197" s="874">
        <v>62.671232876712324</v>
      </c>
      <c r="L197" s="385">
        <f t="shared" si="19"/>
        <v>-1.6387671232876784</v>
      </c>
    </row>
    <row r="198" spans="1:12" ht="12.75">
      <c r="A198" s="1208" t="s">
        <v>99</v>
      </c>
      <c r="B198" s="1367"/>
      <c r="C198" s="708">
        <v>24</v>
      </c>
      <c r="D198" s="386">
        <v>24</v>
      </c>
      <c r="E198" s="871">
        <f t="shared" si="16"/>
        <v>0</v>
      </c>
      <c r="F198" s="386">
        <v>24</v>
      </c>
      <c r="G198" s="507">
        <f t="shared" si="17"/>
        <v>0</v>
      </c>
      <c r="H198" s="872">
        <v>74.8</v>
      </c>
      <c r="I198" s="873">
        <v>77.96</v>
      </c>
      <c r="J198" s="873">
        <f t="shared" si="18"/>
        <v>3.1599999999999966</v>
      </c>
      <c r="K198" s="874">
        <v>75.94805791772006</v>
      </c>
      <c r="L198" s="385">
        <f t="shared" si="19"/>
        <v>-2.01194208227993</v>
      </c>
    </row>
    <row r="199" spans="1:12" ht="12.75">
      <c r="A199" s="1208" t="s">
        <v>100</v>
      </c>
      <c r="B199" s="1367"/>
      <c r="C199" s="708">
        <v>30</v>
      </c>
      <c r="D199" s="386">
        <v>30</v>
      </c>
      <c r="E199" s="871">
        <f t="shared" si="16"/>
        <v>0</v>
      </c>
      <c r="F199" s="386">
        <v>30</v>
      </c>
      <c r="G199" s="507">
        <f t="shared" si="17"/>
        <v>0</v>
      </c>
      <c r="H199" s="872">
        <v>78.9</v>
      </c>
      <c r="I199" s="873">
        <v>78.65</v>
      </c>
      <c r="J199" s="873">
        <f t="shared" si="18"/>
        <v>-0.25</v>
      </c>
      <c r="K199" s="874">
        <v>78.9295516925892</v>
      </c>
      <c r="L199" s="385">
        <f t="shared" si="19"/>
        <v>0.27955169258919454</v>
      </c>
    </row>
    <row r="200" spans="1:12" ht="12.75">
      <c r="A200" s="1208" t="s">
        <v>101</v>
      </c>
      <c r="B200" s="1367"/>
      <c r="C200" s="708">
        <v>60</v>
      </c>
      <c r="D200" s="386">
        <v>50</v>
      </c>
      <c r="E200" s="871">
        <f t="shared" si="16"/>
        <v>-10</v>
      </c>
      <c r="F200" s="386">
        <v>0</v>
      </c>
      <c r="G200" s="507">
        <f t="shared" si="17"/>
        <v>-50</v>
      </c>
      <c r="H200" s="872">
        <v>76.9</v>
      </c>
      <c r="I200" s="873">
        <v>91.01</v>
      </c>
      <c r="J200" s="873">
        <f t="shared" si="18"/>
        <v>14.11</v>
      </c>
      <c r="K200" s="874"/>
      <c r="L200" s="385">
        <f t="shared" si="19"/>
        <v>-91.01</v>
      </c>
    </row>
    <row r="201" spans="1:12" ht="12.75">
      <c r="A201" s="1208" t="s">
        <v>102</v>
      </c>
      <c r="B201" s="1367"/>
      <c r="C201" s="708">
        <v>52</v>
      </c>
      <c r="D201" s="386">
        <v>52</v>
      </c>
      <c r="E201" s="871">
        <f t="shared" si="16"/>
        <v>0</v>
      </c>
      <c r="F201" s="386">
        <v>52</v>
      </c>
      <c r="G201" s="507">
        <f t="shared" si="17"/>
        <v>0</v>
      </c>
      <c r="H201" s="872">
        <v>63.6</v>
      </c>
      <c r="I201" s="873">
        <v>59.12</v>
      </c>
      <c r="J201" s="873">
        <f t="shared" si="18"/>
        <v>-4.480000000000004</v>
      </c>
      <c r="K201" s="874">
        <v>65.52988047808765</v>
      </c>
      <c r="L201" s="385">
        <f t="shared" si="19"/>
        <v>6.409880478087651</v>
      </c>
    </row>
    <row r="202" spans="1:12" ht="12.75">
      <c r="A202" s="1208" t="s">
        <v>103</v>
      </c>
      <c r="B202" s="1367"/>
      <c r="C202" s="708">
        <v>84</v>
      </c>
      <c r="D202" s="386">
        <v>63</v>
      </c>
      <c r="E202" s="871">
        <f t="shared" si="16"/>
        <v>-21</v>
      </c>
      <c r="F202" s="386">
        <v>56</v>
      </c>
      <c r="G202" s="507">
        <f t="shared" si="17"/>
        <v>-7</v>
      </c>
      <c r="H202" s="872">
        <v>49.9</v>
      </c>
      <c r="I202" s="873">
        <v>66.42</v>
      </c>
      <c r="J202" s="873">
        <f t="shared" si="18"/>
        <v>16.520000000000003</v>
      </c>
      <c r="K202" s="874">
        <v>75.58204258540458</v>
      </c>
      <c r="L202" s="385">
        <f t="shared" si="19"/>
        <v>9.162042585404578</v>
      </c>
    </row>
    <row r="203" spans="1:12" ht="12.75">
      <c r="A203" s="1208" t="s">
        <v>104</v>
      </c>
      <c r="B203" s="1367"/>
      <c r="C203" s="708">
        <v>102</v>
      </c>
      <c r="D203" s="386">
        <v>102</v>
      </c>
      <c r="E203" s="871">
        <f t="shared" si="16"/>
        <v>0</v>
      </c>
      <c r="F203" s="386">
        <v>102</v>
      </c>
      <c r="G203" s="507">
        <f t="shared" si="17"/>
        <v>0</v>
      </c>
      <c r="H203" s="872">
        <v>78.8</v>
      </c>
      <c r="I203" s="873">
        <v>76.67</v>
      </c>
      <c r="J203" s="873">
        <f t="shared" si="18"/>
        <v>-2.1299999999999955</v>
      </c>
      <c r="K203" s="874">
        <v>77.57801019967154</v>
      </c>
      <c r="L203" s="385">
        <f t="shared" si="19"/>
        <v>0.9080101996715371</v>
      </c>
    </row>
    <row r="204" spans="1:12" ht="12.75">
      <c r="A204" s="1208" t="s">
        <v>105</v>
      </c>
      <c r="B204" s="1367"/>
      <c r="C204" s="708">
        <v>5</v>
      </c>
      <c r="D204" s="386">
        <v>5</v>
      </c>
      <c r="E204" s="871">
        <f t="shared" si="16"/>
        <v>0</v>
      </c>
      <c r="F204" s="386">
        <v>5</v>
      </c>
      <c r="G204" s="507">
        <f t="shared" si="17"/>
        <v>0</v>
      </c>
      <c r="H204" s="872">
        <v>65.5</v>
      </c>
      <c r="I204" s="873">
        <v>56.66</v>
      </c>
      <c r="J204" s="873">
        <f t="shared" si="18"/>
        <v>-8.840000000000003</v>
      </c>
      <c r="K204" s="874">
        <v>77.9306549257017</v>
      </c>
      <c r="L204" s="385">
        <f t="shared" si="19"/>
        <v>21.270654925701706</v>
      </c>
    </row>
    <row r="205" spans="1:12" ht="12.75">
      <c r="A205" s="1208" t="s">
        <v>106</v>
      </c>
      <c r="B205" s="1367"/>
      <c r="C205" s="708">
        <v>42</v>
      </c>
      <c r="D205" s="386">
        <v>42</v>
      </c>
      <c r="E205" s="871">
        <f t="shared" si="16"/>
        <v>0</v>
      </c>
      <c r="F205" s="386">
        <v>42</v>
      </c>
      <c r="G205" s="507">
        <f t="shared" si="17"/>
        <v>0</v>
      </c>
      <c r="H205" s="872">
        <v>89.5</v>
      </c>
      <c r="I205" s="873">
        <v>91.64</v>
      </c>
      <c r="J205" s="873">
        <f t="shared" si="18"/>
        <v>2.1400000000000006</v>
      </c>
      <c r="K205" s="874">
        <v>93.39074114962833</v>
      </c>
      <c r="L205" s="385">
        <f t="shared" si="19"/>
        <v>1.7507411496283254</v>
      </c>
    </row>
    <row r="206" spans="1:12" ht="12.75">
      <c r="A206" s="1208" t="s">
        <v>107</v>
      </c>
      <c r="B206" s="1367"/>
      <c r="C206" s="708">
        <v>32</v>
      </c>
      <c r="D206" s="386">
        <v>32</v>
      </c>
      <c r="E206" s="871">
        <f t="shared" si="16"/>
        <v>0</v>
      </c>
      <c r="F206" s="386">
        <v>24</v>
      </c>
      <c r="G206" s="507">
        <f t="shared" si="17"/>
        <v>-8</v>
      </c>
      <c r="H206" s="872">
        <v>75.1</v>
      </c>
      <c r="I206" s="873">
        <v>72.95</v>
      </c>
      <c r="J206" s="873">
        <f t="shared" si="18"/>
        <v>-2.1499999999999915</v>
      </c>
      <c r="K206" s="874">
        <v>80.63251523636963</v>
      </c>
      <c r="L206" s="385">
        <f t="shared" si="19"/>
        <v>7.682515236369625</v>
      </c>
    </row>
    <row r="207" spans="1:12" ht="12.75">
      <c r="A207" s="1208" t="s">
        <v>108</v>
      </c>
      <c r="B207" s="1367"/>
      <c r="C207" s="708">
        <v>15</v>
      </c>
      <c r="D207" s="386">
        <v>15</v>
      </c>
      <c r="E207" s="871">
        <f t="shared" si="16"/>
        <v>0</v>
      </c>
      <c r="F207" s="386">
        <v>15</v>
      </c>
      <c r="G207" s="507">
        <f t="shared" si="17"/>
        <v>0</v>
      </c>
      <c r="H207" s="872">
        <v>80.5</v>
      </c>
      <c r="I207" s="873">
        <v>78.87</v>
      </c>
      <c r="J207" s="873">
        <f t="shared" si="18"/>
        <v>-1.6299999999999955</v>
      </c>
      <c r="K207" s="874">
        <v>95.69090532421795</v>
      </c>
      <c r="L207" s="385">
        <f t="shared" si="19"/>
        <v>16.820905324217946</v>
      </c>
    </row>
    <row r="208" spans="1:12" ht="12.75">
      <c r="A208" s="1208" t="s">
        <v>109</v>
      </c>
      <c r="B208" s="1367"/>
      <c r="C208" s="708">
        <v>18</v>
      </c>
      <c r="D208" s="386">
        <v>18</v>
      </c>
      <c r="E208" s="871">
        <f t="shared" si="16"/>
        <v>0</v>
      </c>
      <c r="F208" s="386">
        <v>18</v>
      </c>
      <c r="G208" s="507">
        <f t="shared" si="17"/>
        <v>0</v>
      </c>
      <c r="H208" s="872">
        <v>69</v>
      </c>
      <c r="I208" s="873">
        <v>74.49</v>
      </c>
      <c r="J208" s="873">
        <f t="shared" si="18"/>
        <v>5.489999999999995</v>
      </c>
      <c r="K208" s="874">
        <v>74.84974572353214</v>
      </c>
      <c r="L208" s="385">
        <f t="shared" si="19"/>
        <v>0.35974572353214285</v>
      </c>
    </row>
    <row r="209" spans="1:12" ht="12.75">
      <c r="A209" s="1208" t="s">
        <v>110</v>
      </c>
      <c r="B209" s="1367"/>
      <c r="C209" s="708">
        <v>20</v>
      </c>
      <c r="D209" s="386">
        <v>20</v>
      </c>
      <c r="E209" s="871">
        <f t="shared" si="16"/>
        <v>0</v>
      </c>
      <c r="F209" s="386">
        <v>24</v>
      </c>
      <c r="G209" s="507">
        <f t="shared" si="17"/>
        <v>4</v>
      </c>
      <c r="H209" s="872">
        <v>85.2</v>
      </c>
      <c r="I209" s="873">
        <v>89.73</v>
      </c>
      <c r="J209" s="873">
        <f t="shared" si="18"/>
        <v>4.530000000000001</v>
      </c>
      <c r="K209" s="874">
        <v>86.99245921235011</v>
      </c>
      <c r="L209" s="385">
        <f t="shared" si="19"/>
        <v>-2.737540787649891</v>
      </c>
    </row>
    <row r="210" spans="1:12" ht="12.75">
      <c r="A210" s="1208" t="s">
        <v>111</v>
      </c>
      <c r="B210" s="1367"/>
      <c r="C210" s="708"/>
      <c r="D210" s="386"/>
      <c r="E210" s="871"/>
      <c r="F210" s="386"/>
      <c r="G210" s="507">
        <f t="shared" si="17"/>
        <v>0</v>
      </c>
      <c r="H210" s="872"/>
      <c r="I210" s="873"/>
      <c r="J210" s="873"/>
      <c r="K210" s="874">
        <v>0</v>
      </c>
      <c r="L210" s="385">
        <f t="shared" si="19"/>
        <v>0</v>
      </c>
    </row>
    <row r="211" spans="1:12" ht="12.75">
      <c r="A211" s="1208" t="s">
        <v>112</v>
      </c>
      <c r="B211" s="1367"/>
      <c r="C211" s="708">
        <v>15</v>
      </c>
      <c r="D211" s="386">
        <v>21</v>
      </c>
      <c r="E211" s="871">
        <f>+D211-C211</f>
        <v>6</v>
      </c>
      <c r="F211" s="386">
        <v>23</v>
      </c>
      <c r="G211" s="507">
        <f t="shared" si="17"/>
        <v>2</v>
      </c>
      <c r="H211" s="872">
        <v>87.9</v>
      </c>
      <c r="I211" s="873">
        <v>80.95</v>
      </c>
      <c r="J211" s="873">
        <f>+I211-H211</f>
        <v>-6.950000000000003</v>
      </c>
      <c r="K211" s="874">
        <v>87.11930829017429</v>
      </c>
      <c r="L211" s="385">
        <f t="shared" si="19"/>
        <v>6.1693082901742855</v>
      </c>
    </row>
    <row r="212" spans="1:12" ht="12.75">
      <c r="A212" s="1368" t="s">
        <v>527</v>
      </c>
      <c r="B212" s="1367"/>
      <c r="C212" s="708">
        <v>20</v>
      </c>
      <c r="D212" s="386">
        <v>41</v>
      </c>
      <c r="E212" s="871">
        <f>+D212-C212</f>
        <v>21</v>
      </c>
      <c r="F212" s="386">
        <v>41</v>
      </c>
      <c r="G212" s="507">
        <f t="shared" si="17"/>
        <v>0</v>
      </c>
      <c r="H212" s="872">
        <v>94.1</v>
      </c>
      <c r="I212" s="873">
        <v>99.25</v>
      </c>
      <c r="J212" s="873">
        <f>+I212-H212</f>
        <v>5.150000000000006</v>
      </c>
      <c r="K212" s="874">
        <v>102.9496547563183</v>
      </c>
      <c r="L212" s="385">
        <f t="shared" si="19"/>
        <v>3.6996547563182958</v>
      </c>
    </row>
    <row r="213" spans="1:12" ht="13.5" thickBot="1">
      <c r="A213" s="1209" t="s">
        <v>114</v>
      </c>
      <c r="B213" s="1357"/>
      <c r="C213" s="713"/>
      <c r="D213" s="514"/>
      <c r="E213" s="875"/>
      <c r="F213" s="514"/>
      <c r="G213" s="515">
        <f t="shared" si="17"/>
        <v>0</v>
      </c>
      <c r="H213" s="876"/>
      <c r="I213" s="877"/>
      <c r="J213" s="877"/>
      <c r="K213" s="878"/>
      <c r="L213" s="879">
        <f t="shared" si="19"/>
        <v>0</v>
      </c>
    </row>
    <row r="214" spans="1:12" ht="13.5" thickBot="1">
      <c r="A214" s="1211" t="s">
        <v>4</v>
      </c>
      <c r="B214" s="1358"/>
      <c r="C214" s="880">
        <f>SUM(C196:C213)</f>
        <v>647</v>
      </c>
      <c r="D214" s="62">
        <f>SUM(D196:D213)</f>
        <v>643</v>
      </c>
      <c r="E214" s="61">
        <f>+D214-C214</f>
        <v>-4</v>
      </c>
      <c r="F214" s="881">
        <f>SUM(F196:F213)</f>
        <v>584</v>
      </c>
      <c r="G214" s="882">
        <f t="shared" si="17"/>
        <v>-59</v>
      </c>
      <c r="H214" s="883">
        <v>75</v>
      </c>
      <c r="I214" s="884">
        <v>77.82</v>
      </c>
      <c r="J214" s="885">
        <f>+I214-H214</f>
        <v>2.819999999999993</v>
      </c>
      <c r="K214" s="886">
        <v>79.34088666319172</v>
      </c>
      <c r="L214" s="388">
        <f t="shared" si="19"/>
        <v>1.5208866631917317</v>
      </c>
    </row>
    <row r="215" spans="1:12" ht="4.5" customHeight="1">
      <c r="A215" s="864"/>
      <c r="B215" s="864"/>
      <c r="C215" s="1359"/>
      <c r="D215" s="1360"/>
      <c r="E215" s="1360"/>
      <c r="F215" s="1360"/>
      <c r="G215" s="1360"/>
      <c r="H215" s="864"/>
      <c r="I215" s="864"/>
      <c r="J215" s="864"/>
      <c r="K215" s="864"/>
      <c r="L215" s="864"/>
    </row>
    <row r="216" spans="1:12" ht="4.5" customHeight="1">
      <c r="A216" s="864"/>
      <c r="B216" s="864"/>
      <c r="C216" s="864"/>
      <c r="D216" s="864"/>
      <c r="E216" s="864"/>
      <c r="F216" s="864"/>
      <c r="G216" s="864"/>
      <c r="H216" s="864"/>
      <c r="I216" s="864"/>
      <c r="J216" s="864"/>
      <c r="K216" s="864"/>
      <c r="L216" s="864"/>
    </row>
    <row r="217" spans="1:12" ht="12.75">
      <c r="A217" s="1361" t="s">
        <v>528</v>
      </c>
      <c r="B217" s="1362"/>
      <c r="C217" s="1362"/>
      <c r="D217" s="1362"/>
      <c r="E217" s="1362"/>
      <c r="F217" s="1362"/>
      <c r="G217" s="1362"/>
      <c r="H217" s="1362"/>
      <c r="I217" s="1362"/>
      <c r="J217" s="1362"/>
      <c r="K217" s="1362"/>
      <c r="L217" s="1363"/>
    </row>
    <row r="218" spans="1:12" ht="12.75">
      <c r="A218" s="1364"/>
      <c r="B218" s="1365"/>
      <c r="C218" s="1365"/>
      <c r="D218" s="1365"/>
      <c r="E218" s="1365"/>
      <c r="F218" s="1365"/>
      <c r="G218" s="1365"/>
      <c r="H218" s="1365"/>
      <c r="I218" s="1365"/>
      <c r="J218" s="1365"/>
      <c r="K218" s="1365"/>
      <c r="L218" s="1366"/>
    </row>
    <row r="219" ht="13.5" thickBot="1"/>
    <row r="220" spans="1:12" ht="12.75">
      <c r="A220" s="957" t="s">
        <v>529</v>
      </c>
      <c r="B220" s="952" t="s">
        <v>116</v>
      </c>
      <c r="C220" s="953"/>
      <c r="D220" s="954"/>
      <c r="E220" s="1010" t="s">
        <v>115</v>
      </c>
      <c r="F220" s="1011"/>
      <c r="G220" s="953" t="s">
        <v>117</v>
      </c>
      <c r="H220" s="953"/>
      <c r="I220" s="1009"/>
      <c r="J220" s="953" t="s">
        <v>200</v>
      </c>
      <c r="K220" s="953"/>
      <c r="L220" s="1009"/>
    </row>
    <row r="221" spans="1:12" ht="27.75" thickBot="1">
      <c r="A221" s="1356"/>
      <c r="B221" s="63" t="s">
        <v>119</v>
      </c>
      <c r="C221" s="64" t="s">
        <v>120</v>
      </c>
      <c r="D221" s="517" t="s">
        <v>121</v>
      </c>
      <c r="E221" s="1012"/>
      <c r="F221" s="1013"/>
      <c r="G221" s="64" t="s">
        <v>119</v>
      </c>
      <c r="H221" s="64" t="s">
        <v>120</v>
      </c>
      <c r="I221" s="48" t="s">
        <v>121</v>
      </c>
      <c r="J221" s="64" t="s">
        <v>119</v>
      </c>
      <c r="K221" s="64" t="s">
        <v>120</v>
      </c>
      <c r="L221" s="48" t="s">
        <v>121</v>
      </c>
    </row>
    <row r="222" spans="1:12" ht="18.75" customHeight="1">
      <c r="A222" s="518" t="s">
        <v>122</v>
      </c>
      <c r="B222" s="693">
        <v>120.98</v>
      </c>
      <c r="C222" s="694">
        <v>51550901</v>
      </c>
      <c r="D222" s="427">
        <f aca="true" t="shared" si="20" ref="D222:D228">+IF(B222&gt;0,C222/B222/12,"")</f>
        <v>35509.24464098749</v>
      </c>
      <c r="E222" s="961" t="s">
        <v>122</v>
      </c>
      <c r="F222" s="1354"/>
      <c r="G222" s="582">
        <v>121.23</v>
      </c>
      <c r="H222" s="522">
        <v>53467097</v>
      </c>
      <c r="I222" s="427">
        <f aca="true" t="shared" si="21" ref="I222:I232">+IF(G222&gt;0,H222/G222/12,"")</f>
        <v>36753.20808930683</v>
      </c>
      <c r="J222" s="582">
        <v>119.2</v>
      </c>
      <c r="K222" s="522">
        <v>54706758</v>
      </c>
      <c r="L222" s="427">
        <f aca="true" t="shared" si="22" ref="L222:L232">+IF(J222&gt;0,K222/J222/12,"")</f>
        <v>38245.77600671141</v>
      </c>
    </row>
    <row r="223" spans="1:12" ht="18.75" customHeight="1">
      <c r="A223" s="518" t="s">
        <v>123</v>
      </c>
      <c r="B223" s="428">
        <v>4.32</v>
      </c>
      <c r="C223" s="695">
        <v>1492945</v>
      </c>
      <c r="D223" s="423">
        <f t="shared" si="20"/>
        <v>28799.093364197528</v>
      </c>
      <c r="E223" s="961" t="s">
        <v>123</v>
      </c>
      <c r="F223" s="1354"/>
      <c r="G223" s="583">
        <v>4.39</v>
      </c>
      <c r="H223" s="520">
        <v>1742169</v>
      </c>
      <c r="I223" s="423">
        <f t="shared" si="21"/>
        <v>33070.78587699317</v>
      </c>
      <c r="J223" s="583">
        <v>3.62</v>
      </c>
      <c r="K223" s="520">
        <v>1674494</v>
      </c>
      <c r="L223" s="423">
        <f t="shared" si="22"/>
        <v>38547.28360957643</v>
      </c>
    </row>
    <row r="224" spans="1:12" ht="18.75" customHeight="1">
      <c r="A224" s="518" t="s">
        <v>124</v>
      </c>
      <c r="B224" s="428">
        <v>10.96</v>
      </c>
      <c r="C224" s="695">
        <v>2236467</v>
      </c>
      <c r="D224" s="423">
        <f t="shared" si="20"/>
        <v>17004.76733576642</v>
      </c>
      <c r="E224" s="961" t="s">
        <v>125</v>
      </c>
      <c r="F224" s="1354"/>
      <c r="G224" s="583">
        <v>430.78</v>
      </c>
      <c r="H224" s="520">
        <v>84231304</v>
      </c>
      <c r="I224" s="423">
        <f t="shared" si="21"/>
        <v>16294.338951050035</v>
      </c>
      <c r="J224" s="583">
        <v>430.03</v>
      </c>
      <c r="K224" s="520">
        <v>86442324</v>
      </c>
      <c r="L224" s="423">
        <f t="shared" si="22"/>
        <v>16751.219682347746</v>
      </c>
    </row>
    <row r="225" spans="1:12" ht="18.75" customHeight="1">
      <c r="A225" s="518" t="s">
        <v>126</v>
      </c>
      <c r="B225" s="428">
        <v>9.33</v>
      </c>
      <c r="C225" s="695">
        <v>1557713</v>
      </c>
      <c r="D225" s="423">
        <f t="shared" si="20"/>
        <v>13913.12075741336</v>
      </c>
      <c r="E225" s="961" t="s">
        <v>127</v>
      </c>
      <c r="F225" s="1354"/>
      <c r="G225" s="583">
        <v>50.99</v>
      </c>
      <c r="H225" s="520">
        <v>10719487</v>
      </c>
      <c r="I225" s="423">
        <f t="shared" si="21"/>
        <v>17518.936719618225</v>
      </c>
      <c r="J225" s="583">
        <v>46.83</v>
      </c>
      <c r="K225" s="520">
        <v>10811826</v>
      </c>
      <c r="L225" s="423">
        <f t="shared" si="22"/>
        <v>19239.493914157592</v>
      </c>
    </row>
    <row r="226" spans="1:12" ht="18.75" customHeight="1">
      <c r="A226" s="518" t="s">
        <v>128</v>
      </c>
      <c r="B226" s="428">
        <v>497.57</v>
      </c>
      <c r="C226" s="695">
        <v>97572834</v>
      </c>
      <c r="D226" s="423">
        <f t="shared" si="20"/>
        <v>16341.558976626404</v>
      </c>
      <c r="E226" s="961" t="s">
        <v>129</v>
      </c>
      <c r="F226" s="1354"/>
      <c r="G226" s="583">
        <v>13.29</v>
      </c>
      <c r="H226" s="520">
        <v>2396532</v>
      </c>
      <c r="I226" s="423">
        <f t="shared" si="21"/>
        <v>15027.163280662155</v>
      </c>
      <c r="J226" s="583">
        <v>13.78</v>
      </c>
      <c r="K226" s="520">
        <v>2739699</v>
      </c>
      <c r="L226" s="423">
        <f t="shared" si="22"/>
        <v>16568.087808417997</v>
      </c>
    </row>
    <row r="227" spans="1:12" ht="18.75" customHeight="1">
      <c r="A227" s="518" t="s">
        <v>130</v>
      </c>
      <c r="B227" s="428">
        <v>17.28</v>
      </c>
      <c r="C227" s="695">
        <v>2418514</v>
      </c>
      <c r="D227" s="423">
        <f t="shared" si="20"/>
        <v>11663.358410493827</v>
      </c>
      <c r="E227" s="961" t="s">
        <v>131</v>
      </c>
      <c r="F227" s="1354"/>
      <c r="G227" s="583">
        <v>110.97</v>
      </c>
      <c r="H227" s="520">
        <v>13547918</v>
      </c>
      <c r="I227" s="423">
        <f t="shared" si="21"/>
        <v>10173.859301312668</v>
      </c>
      <c r="J227" s="583">
        <v>121.06</v>
      </c>
      <c r="K227" s="520">
        <v>15297000</v>
      </c>
      <c r="L227" s="423">
        <f t="shared" si="22"/>
        <v>10529.90252767223</v>
      </c>
    </row>
    <row r="228" spans="1:12" ht="18.75" customHeight="1">
      <c r="A228" s="518" t="s">
        <v>132</v>
      </c>
      <c r="B228" s="428">
        <v>91.07</v>
      </c>
      <c r="C228" s="695">
        <v>11021584</v>
      </c>
      <c r="D228" s="423">
        <f t="shared" si="20"/>
        <v>10085.267742761978</v>
      </c>
      <c r="E228" s="961" t="s">
        <v>133</v>
      </c>
      <c r="F228" s="1354"/>
      <c r="G228" s="583">
        <v>15.2</v>
      </c>
      <c r="H228" s="520">
        <v>2940578</v>
      </c>
      <c r="I228" s="423">
        <f t="shared" si="21"/>
        <v>16121.589912280702</v>
      </c>
      <c r="J228" s="583">
        <v>11.82</v>
      </c>
      <c r="K228" s="520">
        <v>2353301</v>
      </c>
      <c r="L228" s="423">
        <f t="shared" si="22"/>
        <v>16591.23660462493</v>
      </c>
    </row>
    <row r="229" spans="1:12" ht="18.75" customHeight="1">
      <c r="A229" s="518"/>
      <c r="B229" s="428"/>
      <c r="C229" s="695"/>
      <c r="D229" s="423"/>
      <c r="E229" s="961" t="s">
        <v>134</v>
      </c>
      <c r="F229" s="1354"/>
      <c r="G229" s="583">
        <v>0.08</v>
      </c>
      <c r="H229" s="520">
        <v>23151</v>
      </c>
      <c r="I229" s="423">
        <f t="shared" si="21"/>
        <v>24115.625</v>
      </c>
      <c r="J229" s="583">
        <v>0.12</v>
      </c>
      <c r="K229" s="520">
        <v>27231</v>
      </c>
      <c r="L229" s="423">
        <f t="shared" si="22"/>
        <v>18910.416666666668</v>
      </c>
    </row>
    <row r="230" spans="1:12" ht="18.75" customHeight="1">
      <c r="A230" s="518" t="s">
        <v>135</v>
      </c>
      <c r="B230" s="428">
        <v>62.1</v>
      </c>
      <c r="C230" s="695">
        <v>12259800</v>
      </c>
      <c r="D230" s="423">
        <f>+IF(B230&gt;0,C230/B230/12,"")</f>
        <v>16451.690821256037</v>
      </c>
      <c r="E230" s="961" t="s">
        <v>135</v>
      </c>
      <c r="F230" s="1354"/>
      <c r="G230" s="584">
        <v>60.36</v>
      </c>
      <c r="H230" s="422">
        <v>12421848</v>
      </c>
      <c r="I230" s="423">
        <f t="shared" si="21"/>
        <v>17149.668654738238</v>
      </c>
      <c r="J230" s="584">
        <v>58.04</v>
      </c>
      <c r="K230" s="422">
        <v>13717580</v>
      </c>
      <c r="L230" s="423">
        <f t="shared" si="22"/>
        <v>19695.583505628303</v>
      </c>
    </row>
    <row r="231" spans="1:12" ht="18.75" customHeight="1" thickBot="1">
      <c r="A231" s="696" t="s">
        <v>136</v>
      </c>
      <c r="B231" s="428">
        <v>92.63</v>
      </c>
      <c r="C231" s="695">
        <v>11834393</v>
      </c>
      <c r="D231" s="423">
        <f>+IF(B231&gt;0,C231/B231/12,"")</f>
        <v>10646.652452409227</v>
      </c>
      <c r="E231" s="950" t="s">
        <v>137</v>
      </c>
      <c r="F231" s="1355"/>
      <c r="G231" s="582">
        <v>70.07</v>
      </c>
      <c r="H231" s="522">
        <v>8966609</v>
      </c>
      <c r="I231" s="427">
        <f t="shared" si="21"/>
        <v>10663.870653156368</v>
      </c>
      <c r="J231" s="582">
        <v>68.38</v>
      </c>
      <c r="K231" s="522">
        <v>9438239</v>
      </c>
      <c r="L231" s="423">
        <f t="shared" si="22"/>
        <v>11502.192405186703</v>
      </c>
    </row>
    <row r="232" spans="1:12" ht="18.75" customHeight="1" thickBot="1">
      <c r="A232" s="244" t="s">
        <v>4</v>
      </c>
      <c r="B232" s="245">
        <f>SUM(B222:B231)</f>
        <v>906.24</v>
      </c>
      <c r="C232" s="697">
        <f>SUM(C222:C231)</f>
        <v>191945151</v>
      </c>
      <c r="D232" s="241">
        <f>+IF(B232&gt;0,C232/B232/12,"")</f>
        <v>17650.32358977754</v>
      </c>
      <c r="E232" s="942" t="s">
        <v>4</v>
      </c>
      <c r="F232" s="943"/>
      <c r="G232" s="585">
        <f>SUM(G222:G231)</f>
        <v>877.3600000000001</v>
      </c>
      <c r="H232" s="240">
        <f>SUM(H222:H231)</f>
        <v>190456693</v>
      </c>
      <c r="I232" s="241">
        <f t="shared" si="21"/>
        <v>18089.94151013647</v>
      </c>
      <c r="J232" s="585">
        <f>SUM(J222:J231)</f>
        <v>872.88</v>
      </c>
      <c r="K232" s="240">
        <f>SUM(K222:K231)</f>
        <v>197208452</v>
      </c>
      <c r="L232" s="241">
        <f t="shared" si="22"/>
        <v>18827.37336938258</v>
      </c>
    </row>
  </sheetData>
  <mergeCells count="506">
    <mergeCell ref="J105:K105"/>
    <mergeCell ref="L105:M105"/>
    <mergeCell ref="A105:B105"/>
    <mergeCell ref="C105:D105"/>
    <mergeCell ref="E105:F105"/>
    <mergeCell ref="G105:H105"/>
    <mergeCell ref="L124:M124"/>
    <mergeCell ref="A125:B125"/>
    <mergeCell ref="C125:D125"/>
    <mergeCell ref="E125:F125"/>
    <mergeCell ref="G125:H125"/>
    <mergeCell ref="J125:K125"/>
    <mergeCell ref="L125:M125"/>
    <mergeCell ref="A124:B124"/>
    <mergeCell ref="C124:D124"/>
    <mergeCell ref="E124:F124"/>
    <mergeCell ref="G124:H124"/>
    <mergeCell ref="L122:M122"/>
    <mergeCell ref="A123:B123"/>
    <mergeCell ref="C123:D123"/>
    <mergeCell ref="E123:F123"/>
    <mergeCell ref="G123:H123"/>
    <mergeCell ref="J123:K123"/>
    <mergeCell ref="L123:M123"/>
    <mergeCell ref="A122:B122"/>
    <mergeCell ref="C122:D122"/>
    <mergeCell ref="E122:F122"/>
    <mergeCell ref="G122:H122"/>
    <mergeCell ref="L120:M120"/>
    <mergeCell ref="A121:B121"/>
    <mergeCell ref="C121:D121"/>
    <mergeCell ref="E121:F121"/>
    <mergeCell ref="G121:H121"/>
    <mergeCell ref="J121:K121"/>
    <mergeCell ref="L121:M121"/>
    <mergeCell ref="A120:B120"/>
    <mergeCell ref="L118:M118"/>
    <mergeCell ref="J119:K119"/>
    <mergeCell ref="L119:M119"/>
    <mergeCell ref="C118:D118"/>
    <mergeCell ref="E118:F118"/>
    <mergeCell ref="G118:H118"/>
    <mergeCell ref="J118:K118"/>
    <mergeCell ref="C119:D119"/>
    <mergeCell ref="E119:F119"/>
    <mergeCell ref="G119:H119"/>
    <mergeCell ref="C120:D120"/>
    <mergeCell ref="E120:F120"/>
    <mergeCell ref="G120:H120"/>
    <mergeCell ref="C117:D117"/>
    <mergeCell ref="E117:F117"/>
    <mergeCell ref="G117:H117"/>
    <mergeCell ref="J117:K117"/>
    <mergeCell ref="C116:D116"/>
    <mergeCell ref="E116:F116"/>
    <mergeCell ref="G116:H116"/>
    <mergeCell ref="J116:K116"/>
    <mergeCell ref="C115:D115"/>
    <mergeCell ref="E115:F115"/>
    <mergeCell ref="G115:H115"/>
    <mergeCell ref="J115:K115"/>
    <mergeCell ref="C114:D114"/>
    <mergeCell ref="E114:F114"/>
    <mergeCell ref="G114:H114"/>
    <mergeCell ref="J114:K114"/>
    <mergeCell ref="C113:D113"/>
    <mergeCell ref="E113:F113"/>
    <mergeCell ref="G113:H113"/>
    <mergeCell ref="J113:K113"/>
    <mergeCell ref="C112:D112"/>
    <mergeCell ref="E112:F112"/>
    <mergeCell ref="G112:H112"/>
    <mergeCell ref="J112:K112"/>
    <mergeCell ref="F174:I174"/>
    <mergeCell ref="F177:I177"/>
    <mergeCell ref="F182:I182"/>
    <mergeCell ref="F184:I184"/>
    <mergeCell ref="F178:I178"/>
    <mergeCell ref="F179:I179"/>
    <mergeCell ref="F180:I180"/>
    <mergeCell ref="F181:I181"/>
    <mergeCell ref="F183:I183"/>
    <mergeCell ref="A140:B140"/>
    <mergeCell ref="C140:D140"/>
    <mergeCell ref="F168:I168"/>
    <mergeCell ref="F169:I169"/>
    <mergeCell ref="F147:I147"/>
    <mergeCell ref="F148:I148"/>
    <mergeCell ref="C154:C155"/>
    <mergeCell ref="D154:H154"/>
    <mergeCell ref="A159:A160"/>
    <mergeCell ref="B159:B160"/>
    <mergeCell ref="J147:K147"/>
    <mergeCell ref="J148:K148"/>
    <mergeCell ref="J149:K149"/>
    <mergeCell ref="J129:K129"/>
    <mergeCell ref="J143:K143"/>
    <mergeCell ref="J144:K144"/>
    <mergeCell ref="J145:K145"/>
    <mergeCell ref="J146:K146"/>
    <mergeCell ref="J139:K139"/>
    <mergeCell ref="J140:K140"/>
    <mergeCell ref="J141:K141"/>
    <mergeCell ref="J142:K142"/>
    <mergeCell ref="F149:I149"/>
    <mergeCell ref="J130:K130"/>
    <mergeCell ref="J131:K131"/>
    <mergeCell ref="J132:K132"/>
    <mergeCell ref="J133:K133"/>
    <mergeCell ref="J134:K134"/>
    <mergeCell ref="J135:K135"/>
    <mergeCell ref="J136:K136"/>
    <mergeCell ref="J137:K137"/>
    <mergeCell ref="J138:K138"/>
    <mergeCell ref="F145:I145"/>
    <mergeCell ref="F146:I146"/>
    <mergeCell ref="F141:I141"/>
    <mergeCell ref="F142:I142"/>
    <mergeCell ref="F143:I143"/>
    <mergeCell ref="F144:I144"/>
    <mergeCell ref="F137:I137"/>
    <mergeCell ref="F138:I138"/>
    <mergeCell ref="F140:I140"/>
    <mergeCell ref="F133:I133"/>
    <mergeCell ref="F134:I134"/>
    <mergeCell ref="F135:I135"/>
    <mergeCell ref="F136:I136"/>
    <mergeCell ref="C137:D137"/>
    <mergeCell ref="A129:B129"/>
    <mergeCell ref="C129:D129"/>
    <mergeCell ref="A137:B137"/>
    <mergeCell ref="A134:B134"/>
    <mergeCell ref="A135:B135"/>
    <mergeCell ref="A136:B136"/>
    <mergeCell ref="C130:D130"/>
    <mergeCell ref="C131:D131"/>
    <mergeCell ref="C132:D132"/>
    <mergeCell ref="C133:D133"/>
    <mergeCell ref="C134:D134"/>
    <mergeCell ref="C135:D135"/>
    <mergeCell ref="C136:D136"/>
    <mergeCell ref="A130:B130"/>
    <mergeCell ref="A131:B131"/>
    <mergeCell ref="A132:B132"/>
    <mergeCell ref="A133:B133"/>
    <mergeCell ref="A41:K41"/>
    <mergeCell ref="A55:A56"/>
    <mergeCell ref="B55:G55"/>
    <mergeCell ref="H55:K55"/>
    <mergeCell ref="B56:C56"/>
    <mergeCell ref="D56:E56"/>
    <mergeCell ref="F56:G56"/>
    <mergeCell ref="B42:F42"/>
    <mergeCell ref="G42:K42"/>
    <mergeCell ref="B57:C57"/>
    <mergeCell ref="D57:E57"/>
    <mergeCell ref="F57:G57"/>
    <mergeCell ref="B58:C58"/>
    <mergeCell ref="D58:E58"/>
    <mergeCell ref="F58:G58"/>
    <mergeCell ref="A107:B107"/>
    <mergeCell ref="C107:D107"/>
    <mergeCell ref="E107:F107"/>
    <mergeCell ref="G107:H107"/>
    <mergeCell ref="J109:K109"/>
    <mergeCell ref="L109:M109"/>
    <mergeCell ref="A108:B108"/>
    <mergeCell ref="C108:D108"/>
    <mergeCell ref="E108:F108"/>
    <mergeCell ref="G108:H108"/>
    <mergeCell ref="J107:K107"/>
    <mergeCell ref="L107:M107"/>
    <mergeCell ref="J108:K108"/>
    <mergeCell ref="L108:M108"/>
    <mergeCell ref="J110:K110"/>
    <mergeCell ref="L110:M110"/>
    <mergeCell ref="A109:B109"/>
    <mergeCell ref="C109:D109"/>
    <mergeCell ref="A110:B110"/>
    <mergeCell ref="C110:D110"/>
    <mergeCell ref="E110:F110"/>
    <mergeCell ref="G110:H110"/>
    <mergeCell ref="E109:F109"/>
    <mergeCell ref="G109:H109"/>
    <mergeCell ref="A111:B111"/>
    <mergeCell ref="C111:D111"/>
    <mergeCell ref="E111:F111"/>
    <mergeCell ref="G111:H111"/>
    <mergeCell ref="A188:A189"/>
    <mergeCell ref="B188:B189"/>
    <mergeCell ref="C188:H188"/>
    <mergeCell ref="F186:I186"/>
    <mergeCell ref="F173:I173"/>
    <mergeCell ref="F175:I175"/>
    <mergeCell ref="F176:I176"/>
    <mergeCell ref="J111:K111"/>
    <mergeCell ref="J120:K120"/>
    <mergeCell ref="J122:K122"/>
    <mergeCell ref="J124:K124"/>
    <mergeCell ref="F171:I171"/>
    <mergeCell ref="F172:I172"/>
    <mergeCell ref="F170:I170"/>
    <mergeCell ref="L111:M111"/>
    <mergeCell ref="L112:M112"/>
    <mergeCell ref="L113:M113"/>
    <mergeCell ref="L114:M114"/>
    <mergeCell ref="L115:M115"/>
    <mergeCell ref="L116:M116"/>
    <mergeCell ref="L117:M117"/>
    <mergeCell ref="I153:I155"/>
    <mergeCell ref="L127:M127"/>
    <mergeCell ref="F129:I129"/>
    <mergeCell ref="F130:I130"/>
    <mergeCell ref="F131:I131"/>
    <mergeCell ref="F132:I132"/>
    <mergeCell ref="F139:I139"/>
    <mergeCell ref="C159:F159"/>
    <mergeCell ref="I159:L159"/>
    <mergeCell ref="A153:A155"/>
    <mergeCell ref="B153:B155"/>
    <mergeCell ref="C153:H153"/>
    <mergeCell ref="C76:D76"/>
    <mergeCell ref="A63:B63"/>
    <mergeCell ref="A64:B64"/>
    <mergeCell ref="A65:B65"/>
    <mergeCell ref="C72:D72"/>
    <mergeCell ref="B59:C59"/>
    <mergeCell ref="D59:E59"/>
    <mergeCell ref="F59:G59"/>
    <mergeCell ref="G69:H69"/>
    <mergeCell ref="A84:B85"/>
    <mergeCell ref="C84:D84"/>
    <mergeCell ref="E84:F84"/>
    <mergeCell ref="G84:I84"/>
    <mergeCell ref="M5:N5"/>
    <mergeCell ref="L6:L7"/>
    <mergeCell ref="A4:A7"/>
    <mergeCell ref="H5:I5"/>
    <mergeCell ref="B4:N4"/>
    <mergeCell ref="B39:D39"/>
    <mergeCell ref="E39:G39"/>
    <mergeCell ref="B37:D37"/>
    <mergeCell ref="E37:G37"/>
    <mergeCell ref="B38:D38"/>
    <mergeCell ref="E38:G38"/>
    <mergeCell ref="J37:L37"/>
    <mergeCell ref="A42:A43"/>
    <mergeCell ref="A68:B69"/>
    <mergeCell ref="C68:D68"/>
    <mergeCell ref="E68:F68"/>
    <mergeCell ref="G68:I68"/>
    <mergeCell ref="J68:K68"/>
    <mergeCell ref="L68:M69"/>
    <mergeCell ref="C69:D69"/>
    <mergeCell ref="E69:F69"/>
    <mergeCell ref="J69:K69"/>
    <mergeCell ref="C70:D70"/>
    <mergeCell ref="E70:F70"/>
    <mergeCell ref="G70:H70"/>
    <mergeCell ref="J70:K70"/>
    <mergeCell ref="J82:K82"/>
    <mergeCell ref="L82:M82"/>
    <mergeCell ref="L70:M70"/>
    <mergeCell ref="C71:D71"/>
    <mergeCell ref="E71:F71"/>
    <mergeCell ref="G71:H71"/>
    <mergeCell ref="J71:K71"/>
    <mergeCell ref="L71:M71"/>
    <mergeCell ref="C77:D77"/>
    <mergeCell ref="C78:D78"/>
    <mergeCell ref="A82:B82"/>
    <mergeCell ref="C82:D82"/>
    <mergeCell ref="E82:F82"/>
    <mergeCell ref="G82:H82"/>
    <mergeCell ref="C79:D79"/>
    <mergeCell ref="C80:D80"/>
    <mergeCell ref="C81:D81"/>
    <mergeCell ref="E72:F72"/>
    <mergeCell ref="E75:F75"/>
    <mergeCell ref="E78:F78"/>
    <mergeCell ref="E81:F81"/>
    <mergeCell ref="C73:D73"/>
    <mergeCell ref="C74:D74"/>
    <mergeCell ref="C75:D75"/>
    <mergeCell ref="G72:H72"/>
    <mergeCell ref="E73:F73"/>
    <mergeCell ref="G73:H73"/>
    <mergeCell ref="E74:F74"/>
    <mergeCell ref="G74:H74"/>
    <mergeCell ref="G75:H75"/>
    <mergeCell ref="E76:F76"/>
    <mergeCell ref="G76:H76"/>
    <mergeCell ref="E77:F77"/>
    <mergeCell ref="G77:H77"/>
    <mergeCell ref="G78:H78"/>
    <mergeCell ref="E79:F79"/>
    <mergeCell ref="G79:H79"/>
    <mergeCell ref="E80:F80"/>
    <mergeCell ref="G80:H80"/>
    <mergeCell ref="G81:H81"/>
    <mergeCell ref="J72:K72"/>
    <mergeCell ref="J73:K73"/>
    <mergeCell ref="J74:K74"/>
    <mergeCell ref="J75:K75"/>
    <mergeCell ref="J76:K76"/>
    <mergeCell ref="J77:K77"/>
    <mergeCell ref="J78:K78"/>
    <mergeCell ref="J79:K79"/>
    <mergeCell ref="J80:K80"/>
    <mergeCell ref="J81:K81"/>
    <mergeCell ref="L72:M72"/>
    <mergeCell ref="L73:M73"/>
    <mergeCell ref="L74:M74"/>
    <mergeCell ref="L75:M75"/>
    <mergeCell ref="L76:M76"/>
    <mergeCell ref="L77:M77"/>
    <mergeCell ref="L78:M78"/>
    <mergeCell ref="L79:M79"/>
    <mergeCell ref="L80:M80"/>
    <mergeCell ref="L81:M81"/>
    <mergeCell ref="A70:B70"/>
    <mergeCell ref="A71:B71"/>
    <mergeCell ref="A72:B72"/>
    <mergeCell ref="A73:B73"/>
    <mergeCell ref="A74:B74"/>
    <mergeCell ref="A75:B75"/>
    <mergeCell ref="A76:B76"/>
    <mergeCell ref="A77:B77"/>
    <mergeCell ref="A78:B78"/>
    <mergeCell ref="A79:B79"/>
    <mergeCell ref="A80:B80"/>
    <mergeCell ref="A81:B81"/>
    <mergeCell ref="A102:B102"/>
    <mergeCell ref="A86:B86"/>
    <mergeCell ref="A87:B87"/>
    <mergeCell ref="A88:B88"/>
    <mergeCell ref="A89:B89"/>
    <mergeCell ref="A90:B90"/>
    <mergeCell ref="A91:B91"/>
    <mergeCell ref="J84:K84"/>
    <mergeCell ref="L84:M85"/>
    <mergeCell ref="C85:D85"/>
    <mergeCell ref="E85:F85"/>
    <mergeCell ref="G85:H85"/>
    <mergeCell ref="J85:K85"/>
    <mergeCell ref="J86:K86"/>
    <mergeCell ref="L86:M86"/>
    <mergeCell ref="C87:D87"/>
    <mergeCell ref="C88:D88"/>
    <mergeCell ref="C86:D86"/>
    <mergeCell ref="E86:F86"/>
    <mergeCell ref="G86:H86"/>
    <mergeCell ref="E87:F87"/>
    <mergeCell ref="E88:F88"/>
    <mergeCell ref="C89:D89"/>
    <mergeCell ref="C90:D90"/>
    <mergeCell ref="C91:D91"/>
    <mergeCell ref="C92:D92"/>
    <mergeCell ref="C93:D93"/>
    <mergeCell ref="C94:D94"/>
    <mergeCell ref="C95:D95"/>
    <mergeCell ref="C96:D96"/>
    <mergeCell ref="C104:D104"/>
    <mergeCell ref="C97:D97"/>
    <mergeCell ref="C98:D98"/>
    <mergeCell ref="C99:D99"/>
    <mergeCell ref="C100:D100"/>
    <mergeCell ref="C101:D101"/>
    <mergeCell ref="C102:D102"/>
    <mergeCell ref="C103:D103"/>
    <mergeCell ref="E98:F98"/>
    <mergeCell ref="E99:F99"/>
    <mergeCell ref="E100:F100"/>
    <mergeCell ref="E101:F101"/>
    <mergeCell ref="E102:F102"/>
    <mergeCell ref="E103:F103"/>
    <mergeCell ref="E89:F89"/>
    <mergeCell ref="E90:F90"/>
    <mergeCell ref="E96:F96"/>
    <mergeCell ref="E97:F97"/>
    <mergeCell ref="E91:F91"/>
    <mergeCell ref="E92:F92"/>
    <mergeCell ref="E93:F93"/>
    <mergeCell ref="E94:F94"/>
    <mergeCell ref="E95:F95"/>
    <mergeCell ref="E104:F104"/>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J87:K87"/>
    <mergeCell ref="J88:K88"/>
    <mergeCell ref="J89:K89"/>
    <mergeCell ref="J90:K90"/>
    <mergeCell ref="J91:K91"/>
    <mergeCell ref="J92:K92"/>
    <mergeCell ref="J93:K93"/>
    <mergeCell ref="J94:K94"/>
    <mergeCell ref="J95:K95"/>
    <mergeCell ref="J96:K96"/>
    <mergeCell ref="J97:K97"/>
    <mergeCell ref="J98:K98"/>
    <mergeCell ref="J99:K99"/>
    <mergeCell ref="J100:K100"/>
    <mergeCell ref="J101:K101"/>
    <mergeCell ref="J102:K102"/>
    <mergeCell ref="J103:K103"/>
    <mergeCell ref="J104:K104"/>
    <mergeCell ref="L87:M87"/>
    <mergeCell ref="L88:M88"/>
    <mergeCell ref="L89:M89"/>
    <mergeCell ref="L90:M90"/>
    <mergeCell ref="L91:M91"/>
    <mergeCell ref="L92:M92"/>
    <mergeCell ref="L93:M93"/>
    <mergeCell ref="L94:M94"/>
    <mergeCell ref="L95:M95"/>
    <mergeCell ref="L101:M101"/>
    <mergeCell ref="L102:M102"/>
    <mergeCell ref="L103:M103"/>
    <mergeCell ref="L96:M96"/>
    <mergeCell ref="L97:M97"/>
    <mergeCell ref="L98:M98"/>
    <mergeCell ref="L99:M99"/>
    <mergeCell ref="L104:M104"/>
    <mergeCell ref="A95:B95"/>
    <mergeCell ref="A96:B96"/>
    <mergeCell ref="A97:B97"/>
    <mergeCell ref="A98:B98"/>
    <mergeCell ref="A99:B99"/>
    <mergeCell ref="A100:B100"/>
    <mergeCell ref="A101:B101"/>
    <mergeCell ref="A104:B104"/>
    <mergeCell ref="L100:M100"/>
    <mergeCell ref="A92:B92"/>
    <mergeCell ref="A93:B93"/>
    <mergeCell ref="A94:B94"/>
    <mergeCell ref="A103:B103"/>
    <mergeCell ref="A127:B127"/>
    <mergeCell ref="A112:B112"/>
    <mergeCell ref="A113:B113"/>
    <mergeCell ref="A114:B114"/>
    <mergeCell ref="A115:B115"/>
    <mergeCell ref="A116:B116"/>
    <mergeCell ref="A117:B117"/>
    <mergeCell ref="A118:B118"/>
    <mergeCell ref="A119:B119"/>
    <mergeCell ref="C127:D127"/>
    <mergeCell ref="E127:F127"/>
    <mergeCell ref="G127:H127"/>
    <mergeCell ref="J127:K127"/>
    <mergeCell ref="A194:B195"/>
    <mergeCell ref="C194:G194"/>
    <mergeCell ref="H194:L194"/>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C215:G215"/>
    <mergeCell ref="A217:L218"/>
    <mergeCell ref="A220:A221"/>
    <mergeCell ref="B220:D220"/>
    <mergeCell ref="E220:F221"/>
    <mergeCell ref="G220:I220"/>
    <mergeCell ref="J220:L220"/>
    <mergeCell ref="E222:F222"/>
    <mergeCell ref="E223:F223"/>
    <mergeCell ref="E224:F224"/>
    <mergeCell ref="E232:F232"/>
    <mergeCell ref="E225:F225"/>
    <mergeCell ref="E226:F226"/>
    <mergeCell ref="E227:F227"/>
    <mergeCell ref="E228:F228"/>
    <mergeCell ref="F185:I185"/>
    <mergeCell ref="E229:F229"/>
    <mergeCell ref="E230:F230"/>
    <mergeCell ref="E231:F231"/>
  </mergeCells>
  <printOptions horizontalCentered="1"/>
  <pageMargins left="0.2362204724409449" right="0.2755905511811024" top="0.25" bottom="0.1968503937007874" header="0.2362204724409449" footer="0.1968503937007874"/>
  <pageSetup horizontalDpi="600" verticalDpi="600" orientation="portrait" paperSize="9" scale="68" r:id="rId1"/>
  <rowBreaks count="1" manualBreakCount="1">
    <brk id="66" max="255" man="1"/>
  </rowBreaks>
</worksheet>
</file>

<file path=xl/worksheets/sheet7.xml><?xml version="1.0" encoding="utf-8"?>
<worksheet xmlns="http://schemas.openxmlformats.org/spreadsheetml/2006/main" xmlns:r="http://schemas.openxmlformats.org/officeDocument/2006/relationships">
  <dimension ref="A1:AH218"/>
  <sheetViews>
    <sheetView workbookViewId="0" topLeftCell="A1">
      <selection activeCell="A1" sqref="A1"/>
    </sheetView>
  </sheetViews>
  <sheetFormatPr defaultColWidth="9.00390625" defaultRowHeight="12.75"/>
  <cols>
    <col min="1" max="1" width="31.625" style="614" customWidth="1"/>
    <col min="2" max="2" width="9.625" style="412" customWidth="1"/>
    <col min="3" max="4" width="10.00390625" style="412" customWidth="1"/>
    <col min="5" max="5" width="9.625" style="412" customWidth="1"/>
    <col min="6" max="7" width="8.875" style="412" customWidth="1"/>
    <col min="8" max="8" width="9.00390625" style="729" customWidth="1"/>
    <col min="9" max="9" width="8.875" style="729" customWidth="1"/>
    <col min="10" max="10" width="9.375" style="614" customWidth="1"/>
    <col min="11" max="11" width="9.625" style="614" customWidth="1"/>
    <col min="12" max="14" width="8.875" style="614" customWidth="1"/>
  </cols>
  <sheetData>
    <row r="1" spans="12:14" ht="15.75">
      <c r="L1" s="303"/>
      <c r="N1" s="304"/>
    </row>
    <row r="2" spans="1:14" ht="15.75" customHeight="1" thickBot="1">
      <c r="A2" s="307" t="s">
        <v>155</v>
      </c>
      <c r="B2" s="443"/>
      <c r="C2" s="443"/>
      <c r="D2" s="443"/>
      <c r="E2" s="443"/>
      <c r="F2" s="443"/>
      <c r="G2" s="443"/>
      <c r="H2" s="306"/>
      <c r="L2" s="303"/>
      <c r="N2" s="304"/>
    </row>
    <row r="3" spans="1:14" ht="23.25" customHeight="1" thickBot="1">
      <c r="A3" s="1167" t="s">
        <v>0</v>
      </c>
      <c r="B3" s="1083" t="s">
        <v>440</v>
      </c>
      <c r="C3" s="1497"/>
      <c r="D3" s="1497"/>
      <c r="E3" s="1497"/>
      <c r="F3" s="1497"/>
      <c r="G3" s="1497"/>
      <c r="H3" s="1497"/>
      <c r="I3" s="1497"/>
      <c r="J3" s="1497"/>
      <c r="K3" s="1497"/>
      <c r="L3" s="1497"/>
      <c r="M3" s="1498"/>
      <c r="N3"/>
    </row>
    <row r="4" spans="1:26" ht="10.5" customHeight="1">
      <c r="A4" s="1495"/>
      <c r="B4" s="1072" t="s">
        <v>289</v>
      </c>
      <c r="C4" s="1057" t="s">
        <v>288</v>
      </c>
      <c r="D4" s="1" t="s">
        <v>168</v>
      </c>
      <c r="E4" s="2"/>
      <c r="F4" s="3"/>
      <c r="G4" s="1090" t="s">
        <v>246</v>
      </c>
      <c r="H4" s="1091"/>
      <c r="I4" s="2" t="s">
        <v>169</v>
      </c>
      <c r="J4" s="5"/>
      <c r="K4" s="6"/>
      <c r="L4" s="1090" t="s">
        <v>170</v>
      </c>
      <c r="M4" s="1091"/>
      <c r="N4" s="276"/>
      <c r="O4" s="276"/>
      <c r="P4" s="276"/>
      <c r="Q4" s="276"/>
      <c r="R4" s="276"/>
      <c r="S4" s="276"/>
      <c r="T4" s="276"/>
      <c r="U4" s="276"/>
      <c r="V4" s="276"/>
      <c r="W4" s="276"/>
      <c r="X4" s="276"/>
      <c r="Y4" s="276"/>
      <c r="Z4" s="276"/>
    </row>
    <row r="5" spans="1:13" s="302" customFormat="1" ht="9.75">
      <c r="A5" s="1495"/>
      <c r="B5" s="1499"/>
      <c r="C5" s="1058"/>
      <c r="D5" s="308" t="s">
        <v>255</v>
      </c>
      <c r="E5" s="309" t="s">
        <v>3</v>
      </c>
      <c r="F5" s="310" t="s">
        <v>4</v>
      </c>
      <c r="G5" s="308" t="s">
        <v>4</v>
      </c>
      <c r="H5" s="310" t="s">
        <v>5</v>
      </c>
      <c r="I5" s="311" t="s">
        <v>255</v>
      </c>
      <c r="J5" s="309" t="s">
        <v>3</v>
      </c>
      <c r="K5" s="1421" t="s">
        <v>4</v>
      </c>
      <c r="L5" s="308" t="s">
        <v>4</v>
      </c>
      <c r="M5" s="310" t="s">
        <v>5</v>
      </c>
    </row>
    <row r="6" spans="1:13" s="302" customFormat="1" ht="10.5" customHeight="1" thickBot="1">
      <c r="A6" s="1496"/>
      <c r="B6" s="1500"/>
      <c r="C6" s="1059"/>
      <c r="D6" s="798" t="s">
        <v>6</v>
      </c>
      <c r="E6" s="799" t="s">
        <v>6</v>
      </c>
      <c r="F6" s="800"/>
      <c r="G6" s="801" t="s">
        <v>7</v>
      </c>
      <c r="H6" s="800" t="s">
        <v>8</v>
      </c>
      <c r="I6" s="802" t="s">
        <v>6</v>
      </c>
      <c r="J6" s="799" t="s">
        <v>6</v>
      </c>
      <c r="K6" s="1494"/>
      <c r="L6" s="801" t="s">
        <v>7</v>
      </c>
      <c r="M6" s="800" t="s">
        <v>8</v>
      </c>
    </row>
    <row r="7" spans="1:13" s="356" customFormat="1" ht="18" customHeight="1">
      <c r="A7" s="730" t="s">
        <v>9</v>
      </c>
      <c r="B7" s="631">
        <v>0</v>
      </c>
      <c r="C7" s="756">
        <v>0</v>
      </c>
      <c r="D7" s="473"/>
      <c r="E7" s="32"/>
      <c r="F7" s="732"/>
      <c r="G7" s="446"/>
      <c r="H7" s="449"/>
      <c r="I7" s="66"/>
      <c r="J7" s="32"/>
      <c r="K7" s="732">
        <v>0</v>
      </c>
      <c r="L7" s="632"/>
      <c r="M7" s="733"/>
    </row>
    <row r="8" spans="1:13" s="356" customFormat="1" ht="18" customHeight="1">
      <c r="A8" s="734" t="s">
        <v>10</v>
      </c>
      <c r="B8" s="631">
        <v>431570</v>
      </c>
      <c r="C8" s="756">
        <v>439420.29</v>
      </c>
      <c r="D8" s="474">
        <v>472314</v>
      </c>
      <c r="E8" s="35">
        <v>932</v>
      </c>
      <c r="F8" s="731">
        <f aca="true" t="shared" si="0" ref="F8:F35">D8+E8</f>
        <v>473246</v>
      </c>
      <c r="G8" s="635">
        <f>+F8-C8</f>
        <v>33825.71000000002</v>
      </c>
      <c r="H8" s="636">
        <f>+F8/C8</f>
        <v>1.0769780339455877</v>
      </c>
      <c r="I8" s="34">
        <f>485594+800*9</f>
        <v>492794</v>
      </c>
      <c r="J8" s="35">
        <v>930</v>
      </c>
      <c r="K8" s="731">
        <f>+I8+J8</f>
        <v>493724</v>
      </c>
      <c r="L8" s="635">
        <f>+K8-F8</f>
        <v>20478</v>
      </c>
      <c r="M8" s="636">
        <f>+K8/F8</f>
        <v>1.0432713641531044</v>
      </c>
    </row>
    <row r="9" spans="1:13" s="356" customFormat="1" ht="18" customHeight="1">
      <c r="A9" s="734" t="s">
        <v>11</v>
      </c>
      <c r="B9" s="631">
        <v>41027</v>
      </c>
      <c r="C9" s="756">
        <v>49432.27</v>
      </c>
      <c r="D9" s="474">
        <v>45669</v>
      </c>
      <c r="E9" s="35">
        <v>2524</v>
      </c>
      <c r="F9" s="731">
        <f t="shared" si="0"/>
        <v>48193</v>
      </c>
      <c r="G9" s="635">
        <f aca="true" t="shared" si="1" ref="G9:G35">+F9-C9</f>
        <v>-1239.2699999999968</v>
      </c>
      <c r="H9" s="636">
        <f aca="true" t="shared" si="2" ref="H9:H35">+F9/C9</f>
        <v>0.974929939490944</v>
      </c>
      <c r="I9" s="34">
        <v>48257</v>
      </c>
      <c r="J9" s="35">
        <v>2200</v>
      </c>
      <c r="K9" s="731">
        <v>50457</v>
      </c>
      <c r="L9" s="635">
        <f aca="true" t="shared" si="3" ref="L9:L35">+K9-F9</f>
        <v>2264</v>
      </c>
      <c r="M9" s="636">
        <f aca="true" t="shared" si="4" ref="M9:M35">+K9/F9</f>
        <v>1.04697777685556</v>
      </c>
    </row>
    <row r="10" spans="1:13" s="356" customFormat="1" ht="18" customHeight="1">
      <c r="A10" s="734" t="s">
        <v>12</v>
      </c>
      <c r="B10" s="631">
        <v>13827</v>
      </c>
      <c r="C10" s="756">
        <v>13075.16</v>
      </c>
      <c r="D10" s="474">
        <v>10917</v>
      </c>
      <c r="E10" s="35">
        <v>0</v>
      </c>
      <c r="F10" s="731">
        <f t="shared" si="0"/>
        <v>10917</v>
      </c>
      <c r="G10" s="635">
        <f t="shared" si="1"/>
        <v>-2158.16</v>
      </c>
      <c r="H10" s="636">
        <f t="shared" si="2"/>
        <v>0.8349419815895178</v>
      </c>
      <c r="I10" s="34">
        <v>11000</v>
      </c>
      <c r="J10" s="35"/>
      <c r="K10" s="731">
        <v>11000</v>
      </c>
      <c r="L10" s="635">
        <f t="shared" si="3"/>
        <v>83</v>
      </c>
      <c r="M10" s="636">
        <f t="shared" si="4"/>
        <v>1.0076028212878996</v>
      </c>
    </row>
    <row r="11" spans="1:13" s="356" customFormat="1" ht="18" customHeight="1">
      <c r="A11" s="734" t="s">
        <v>13</v>
      </c>
      <c r="B11" s="631">
        <v>5219</v>
      </c>
      <c r="C11" s="756">
        <v>2139.75</v>
      </c>
      <c r="D11" s="474">
        <v>2607</v>
      </c>
      <c r="E11" s="35">
        <v>299</v>
      </c>
      <c r="F11" s="731">
        <f t="shared" si="0"/>
        <v>2906</v>
      </c>
      <c r="G11" s="635">
        <f t="shared" si="1"/>
        <v>766.25</v>
      </c>
      <c r="H11" s="636">
        <f t="shared" si="2"/>
        <v>1.3581025820773456</v>
      </c>
      <c r="I11" s="34">
        <v>2700</v>
      </c>
      <c r="J11" s="35">
        <v>300</v>
      </c>
      <c r="K11" s="731">
        <v>3000</v>
      </c>
      <c r="L11" s="635">
        <f t="shared" si="3"/>
        <v>94</v>
      </c>
      <c r="M11" s="636">
        <f t="shared" si="4"/>
        <v>1.032346868547832</v>
      </c>
    </row>
    <row r="12" spans="1:13" s="356" customFormat="1" ht="18" customHeight="1">
      <c r="A12" s="734" t="s">
        <v>14</v>
      </c>
      <c r="B12" s="631">
        <v>0</v>
      </c>
      <c r="C12" s="756">
        <v>0</v>
      </c>
      <c r="D12" s="474"/>
      <c r="E12" s="35"/>
      <c r="F12" s="731">
        <f t="shared" si="0"/>
        <v>0</v>
      </c>
      <c r="G12" s="635">
        <f t="shared" si="1"/>
        <v>0</v>
      </c>
      <c r="H12" s="636"/>
      <c r="I12" s="34"/>
      <c r="J12" s="35"/>
      <c r="K12" s="731">
        <v>0</v>
      </c>
      <c r="L12" s="635">
        <f t="shared" si="3"/>
        <v>0</v>
      </c>
      <c r="M12" s="636"/>
    </row>
    <row r="13" spans="1:13" s="356" customFormat="1" ht="18" customHeight="1">
      <c r="A13" s="734" t="s">
        <v>15</v>
      </c>
      <c r="B13" s="631">
        <v>6081</v>
      </c>
      <c r="C13" s="756">
        <v>4831.66</v>
      </c>
      <c r="D13" s="474">
        <v>4149</v>
      </c>
      <c r="E13" s="35">
        <v>20</v>
      </c>
      <c r="F13" s="731">
        <f t="shared" si="0"/>
        <v>4169</v>
      </c>
      <c r="G13" s="635">
        <f t="shared" si="1"/>
        <v>-662.6599999999999</v>
      </c>
      <c r="H13" s="636">
        <f t="shared" si="2"/>
        <v>0.8628504489140378</v>
      </c>
      <c r="I13" s="34">
        <v>3980</v>
      </c>
      <c r="J13" s="35">
        <v>20</v>
      </c>
      <c r="K13" s="731">
        <v>4000</v>
      </c>
      <c r="L13" s="635">
        <f t="shared" si="3"/>
        <v>-169</v>
      </c>
      <c r="M13" s="636">
        <f t="shared" si="4"/>
        <v>0.959462700887503</v>
      </c>
    </row>
    <row r="14" spans="1:13" s="356" customFormat="1" ht="20.25" customHeight="1">
      <c r="A14" s="734" t="s">
        <v>16</v>
      </c>
      <c r="B14" s="631">
        <v>0</v>
      </c>
      <c r="C14" s="756">
        <v>0</v>
      </c>
      <c r="D14" s="474"/>
      <c r="E14" s="35"/>
      <c r="F14" s="731">
        <f t="shared" si="0"/>
        <v>0</v>
      </c>
      <c r="G14" s="635">
        <f t="shared" si="1"/>
        <v>0</v>
      </c>
      <c r="H14" s="636"/>
      <c r="I14" s="34"/>
      <c r="J14" s="35"/>
      <c r="K14" s="731">
        <v>0</v>
      </c>
      <c r="L14" s="635">
        <f t="shared" si="3"/>
        <v>0</v>
      </c>
      <c r="M14" s="636"/>
    </row>
    <row r="15" spans="1:13" s="356" customFormat="1" ht="16.5" customHeight="1" thickBot="1">
      <c r="A15" s="735" t="s">
        <v>17</v>
      </c>
      <c r="B15" s="631">
        <v>24713</v>
      </c>
      <c r="C15" s="756">
        <v>25252</v>
      </c>
      <c r="D15" s="752">
        <v>17481</v>
      </c>
      <c r="E15" s="80"/>
      <c r="F15" s="731">
        <f t="shared" si="0"/>
        <v>17481</v>
      </c>
      <c r="G15" s="669">
        <f t="shared" si="1"/>
        <v>-7771</v>
      </c>
      <c r="H15" s="663">
        <f t="shared" si="2"/>
        <v>0.6922619990495802</v>
      </c>
      <c r="I15" s="736">
        <f>18741-2500+281.237+10</f>
        <v>16532.237</v>
      </c>
      <c r="J15" s="80"/>
      <c r="K15" s="731">
        <f>SUM(I15:J15)</f>
        <v>16532.237</v>
      </c>
      <c r="L15" s="669">
        <f t="shared" si="3"/>
        <v>-948.762999999999</v>
      </c>
      <c r="M15" s="663">
        <f t="shared" si="4"/>
        <v>0.9457260454207426</v>
      </c>
    </row>
    <row r="16" spans="1:13" s="356" customFormat="1" ht="15" customHeight="1" thickBot="1">
      <c r="A16" s="677" t="s">
        <v>18</v>
      </c>
      <c r="B16" s="21">
        <v>522437</v>
      </c>
      <c r="C16" s="22">
        <v>534151.13</v>
      </c>
      <c r="D16" s="65">
        <f>SUM(D7+D8+D9+D10+D11+D13+D15)</f>
        <v>553137</v>
      </c>
      <c r="E16" s="40">
        <f>SUM(E7+E8+E9+E10+E11+E13+E15)</f>
        <v>3775</v>
      </c>
      <c r="F16" s="21">
        <f t="shared" si="0"/>
        <v>556912</v>
      </c>
      <c r="G16" s="672">
        <f t="shared" si="1"/>
        <v>22760.869999999995</v>
      </c>
      <c r="H16" s="652">
        <f t="shared" si="2"/>
        <v>1.042611292425797</v>
      </c>
      <c r="I16" s="65">
        <f>SUM(I7+I8+I9+I10+I11+I13+I15)</f>
        <v>575263.237</v>
      </c>
      <c r="J16" s="40">
        <f>SUM(J7+J8+J9+J10+J11+J13+J15)</f>
        <v>3450</v>
      </c>
      <c r="K16" s="65">
        <f>SUM(K7+K8+K9+K10+K11+K13+K15)</f>
        <v>578713.237</v>
      </c>
      <c r="L16" s="672">
        <f t="shared" si="3"/>
        <v>21801.236999999965</v>
      </c>
      <c r="M16" s="652">
        <f t="shared" si="4"/>
        <v>1.039146646148763</v>
      </c>
    </row>
    <row r="17" spans="1:13" s="356" customFormat="1" ht="19.5" customHeight="1">
      <c r="A17" s="737" t="s">
        <v>19</v>
      </c>
      <c r="B17" s="631">
        <v>139211</v>
      </c>
      <c r="C17" s="756">
        <v>135955.2</v>
      </c>
      <c r="D17" s="473">
        <v>133946</v>
      </c>
      <c r="E17" s="32">
        <v>437</v>
      </c>
      <c r="F17" s="731">
        <f t="shared" si="0"/>
        <v>134383</v>
      </c>
      <c r="G17" s="632">
        <f t="shared" si="1"/>
        <v>-1572.2000000000116</v>
      </c>
      <c r="H17" s="738">
        <f t="shared" si="2"/>
        <v>0.9884358965306218</v>
      </c>
      <c r="I17" s="66">
        <v>132611</v>
      </c>
      <c r="J17" s="32">
        <v>428</v>
      </c>
      <c r="K17" s="731">
        <v>133039</v>
      </c>
      <c r="L17" s="632">
        <f t="shared" si="3"/>
        <v>-1344</v>
      </c>
      <c r="M17" s="738">
        <f t="shared" si="4"/>
        <v>0.989998734959035</v>
      </c>
    </row>
    <row r="18" spans="1:13" s="356" customFormat="1" ht="19.5" customHeight="1">
      <c r="A18" s="734" t="s">
        <v>20</v>
      </c>
      <c r="B18" s="631">
        <v>4365</v>
      </c>
      <c r="C18" s="756">
        <v>5266</v>
      </c>
      <c r="D18" s="473">
        <v>6176</v>
      </c>
      <c r="E18" s="32"/>
      <c r="F18" s="731">
        <f t="shared" si="0"/>
        <v>6176</v>
      </c>
      <c r="G18" s="635">
        <f t="shared" si="1"/>
        <v>910</v>
      </c>
      <c r="H18" s="636">
        <f t="shared" si="2"/>
        <v>1.1728066843904292</v>
      </c>
      <c r="I18" s="66">
        <v>6000</v>
      </c>
      <c r="J18" s="32"/>
      <c r="K18" s="731">
        <v>6000</v>
      </c>
      <c r="L18" s="635">
        <f t="shared" si="3"/>
        <v>-176</v>
      </c>
      <c r="M18" s="636">
        <f t="shared" si="4"/>
        <v>0.9715025906735751</v>
      </c>
    </row>
    <row r="19" spans="1:13" s="356" customFormat="1" ht="19.5" customHeight="1">
      <c r="A19" s="734" t="s">
        <v>21</v>
      </c>
      <c r="B19" s="631">
        <v>5482</v>
      </c>
      <c r="C19" s="756">
        <v>5797.31</v>
      </c>
      <c r="D19" s="753">
        <v>6517</v>
      </c>
      <c r="E19" s="35">
        <v>3</v>
      </c>
      <c r="F19" s="731">
        <f t="shared" si="0"/>
        <v>6520</v>
      </c>
      <c r="G19" s="635">
        <f t="shared" si="1"/>
        <v>722.6899999999996</v>
      </c>
      <c r="H19" s="636">
        <f t="shared" si="2"/>
        <v>1.124659540373035</v>
      </c>
      <c r="I19" s="742">
        <v>7996</v>
      </c>
      <c r="J19" s="622">
        <v>4</v>
      </c>
      <c r="K19" s="940">
        <f>SUM(I19:J19)</f>
        <v>8000</v>
      </c>
      <c r="L19" s="635">
        <f t="shared" si="3"/>
        <v>1480</v>
      </c>
      <c r="M19" s="636">
        <f t="shared" si="4"/>
        <v>1.2269938650306749</v>
      </c>
    </row>
    <row r="20" spans="1:13" s="356" customFormat="1" ht="19.5" customHeight="1">
      <c r="A20" s="734" t="s">
        <v>22</v>
      </c>
      <c r="B20" s="631">
        <v>12705</v>
      </c>
      <c r="C20" s="756">
        <v>13547.61</v>
      </c>
      <c r="D20" s="474">
        <v>14221</v>
      </c>
      <c r="E20" s="35">
        <v>138</v>
      </c>
      <c r="F20" s="731">
        <f t="shared" si="0"/>
        <v>14359</v>
      </c>
      <c r="G20" s="635">
        <f t="shared" si="1"/>
        <v>811.3899999999994</v>
      </c>
      <c r="H20" s="636">
        <f t="shared" si="2"/>
        <v>1.0598917447431686</v>
      </c>
      <c r="I20" s="740">
        <v>15860</v>
      </c>
      <c r="J20" s="622">
        <v>140</v>
      </c>
      <c r="K20" s="940">
        <f>SUM(I20:J20)</f>
        <v>16000</v>
      </c>
      <c r="L20" s="635">
        <f t="shared" si="3"/>
        <v>1641</v>
      </c>
      <c r="M20" s="636">
        <f t="shared" si="4"/>
        <v>1.1142837244933492</v>
      </c>
    </row>
    <row r="21" spans="1:13" s="356" customFormat="1" ht="19.5" customHeight="1">
      <c r="A21" s="734" t="s">
        <v>23</v>
      </c>
      <c r="B21" s="631">
        <v>32256</v>
      </c>
      <c r="C21" s="756">
        <v>41095.47</v>
      </c>
      <c r="D21" s="474">
        <v>38804</v>
      </c>
      <c r="E21" s="35">
        <v>2100</v>
      </c>
      <c r="F21" s="731">
        <f t="shared" si="0"/>
        <v>40904</v>
      </c>
      <c r="G21" s="635">
        <f t="shared" si="1"/>
        <v>-191.47000000000116</v>
      </c>
      <c r="H21" s="636">
        <f t="shared" si="2"/>
        <v>0.9953408490035519</v>
      </c>
      <c r="I21" s="34">
        <v>40950</v>
      </c>
      <c r="J21" s="35">
        <v>2000</v>
      </c>
      <c r="K21" s="731">
        <v>42950</v>
      </c>
      <c r="L21" s="635">
        <f t="shared" si="3"/>
        <v>2046</v>
      </c>
      <c r="M21" s="636">
        <f t="shared" si="4"/>
        <v>1.0500195579894387</v>
      </c>
    </row>
    <row r="22" spans="1:13" s="356" customFormat="1" ht="19.5" customHeight="1">
      <c r="A22" s="734" t="s">
        <v>24</v>
      </c>
      <c r="B22" s="631">
        <v>56070</v>
      </c>
      <c r="C22" s="756">
        <v>58955.79</v>
      </c>
      <c r="D22" s="474">
        <v>66391</v>
      </c>
      <c r="E22" s="35">
        <v>27</v>
      </c>
      <c r="F22" s="731">
        <f t="shared" si="0"/>
        <v>66418</v>
      </c>
      <c r="G22" s="635">
        <f t="shared" si="1"/>
        <v>7462.209999999999</v>
      </c>
      <c r="H22" s="636">
        <f t="shared" si="2"/>
        <v>1.1265729795156676</v>
      </c>
      <c r="I22" s="34">
        <f>66388+2000+10</f>
        <v>68398</v>
      </c>
      <c r="J22" s="35">
        <v>30</v>
      </c>
      <c r="K22" s="731">
        <f>SUM(I22:J22)</f>
        <v>68428</v>
      </c>
      <c r="L22" s="635">
        <f t="shared" si="3"/>
        <v>2010</v>
      </c>
      <c r="M22" s="636">
        <f t="shared" si="4"/>
        <v>1.0302628805444307</v>
      </c>
    </row>
    <row r="23" spans="1:13" s="356" customFormat="1" ht="19.5" customHeight="1">
      <c r="A23" s="734" t="s">
        <v>25</v>
      </c>
      <c r="B23" s="631">
        <v>5532</v>
      </c>
      <c r="C23" s="756">
        <v>7201.7</v>
      </c>
      <c r="D23" s="754">
        <v>7769</v>
      </c>
      <c r="E23" s="35">
        <v>3</v>
      </c>
      <c r="F23" s="731">
        <f t="shared" si="0"/>
        <v>7772</v>
      </c>
      <c r="G23" s="635">
        <f t="shared" si="1"/>
        <v>570.3000000000002</v>
      </c>
      <c r="H23" s="636">
        <f t="shared" si="2"/>
        <v>1.0791896357804407</v>
      </c>
      <c r="I23" s="740">
        <f>9769</f>
        <v>9769</v>
      </c>
      <c r="J23" s="622">
        <v>3</v>
      </c>
      <c r="K23" s="940">
        <f>SUM(I23:J23)</f>
        <v>9772</v>
      </c>
      <c r="L23" s="635">
        <f t="shared" si="3"/>
        <v>2000</v>
      </c>
      <c r="M23" s="636">
        <f t="shared" si="4"/>
        <v>1.2573340195573854</v>
      </c>
    </row>
    <row r="24" spans="1:13" s="356" customFormat="1" ht="19.5" customHeight="1">
      <c r="A24" s="734" t="s">
        <v>26</v>
      </c>
      <c r="B24" s="631">
        <v>49883</v>
      </c>
      <c r="C24" s="756">
        <v>50968.96</v>
      </c>
      <c r="D24" s="754">
        <v>57857</v>
      </c>
      <c r="E24" s="35">
        <v>24</v>
      </c>
      <c r="F24" s="731">
        <f t="shared" si="0"/>
        <v>57881</v>
      </c>
      <c r="G24" s="635">
        <f t="shared" si="1"/>
        <v>6912.040000000001</v>
      </c>
      <c r="H24" s="636">
        <f t="shared" si="2"/>
        <v>1.1356127337108703</v>
      </c>
      <c r="I24" s="740">
        <v>57856</v>
      </c>
      <c r="J24" s="35">
        <v>25</v>
      </c>
      <c r="K24" s="731">
        <v>57881</v>
      </c>
      <c r="L24" s="635">
        <f t="shared" si="3"/>
        <v>0</v>
      </c>
      <c r="M24" s="636">
        <f t="shared" si="4"/>
        <v>1</v>
      </c>
    </row>
    <row r="25" spans="1:13" s="356" customFormat="1" ht="19.5" customHeight="1">
      <c r="A25" s="741" t="s">
        <v>27</v>
      </c>
      <c r="B25" s="631">
        <v>270021</v>
      </c>
      <c r="C25" s="756">
        <v>266987.76</v>
      </c>
      <c r="D25" s="753">
        <v>286315</v>
      </c>
      <c r="E25" s="35">
        <v>107</v>
      </c>
      <c r="F25" s="731">
        <f t="shared" si="0"/>
        <v>286422</v>
      </c>
      <c r="G25" s="635">
        <f t="shared" si="1"/>
        <v>19434.23999999999</v>
      </c>
      <c r="H25" s="636">
        <f t="shared" si="2"/>
        <v>1.0727907526547285</v>
      </c>
      <c r="I25" s="739">
        <v>314954</v>
      </c>
      <c r="J25" s="35">
        <v>110</v>
      </c>
      <c r="K25" s="940">
        <v>315064</v>
      </c>
      <c r="L25" s="635">
        <f t="shared" si="3"/>
        <v>28642</v>
      </c>
      <c r="M25" s="636">
        <f t="shared" si="4"/>
        <v>1.0999993017296157</v>
      </c>
    </row>
    <row r="26" spans="1:13" s="356" customFormat="1" ht="19.5" customHeight="1">
      <c r="A26" s="734" t="s">
        <v>28</v>
      </c>
      <c r="B26" s="631">
        <v>197052</v>
      </c>
      <c r="C26" s="756">
        <v>194945.12</v>
      </c>
      <c r="D26" s="755">
        <v>208995</v>
      </c>
      <c r="E26" s="622">
        <v>78</v>
      </c>
      <c r="F26" s="731">
        <f t="shared" si="0"/>
        <v>209073</v>
      </c>
      <c r="G26" s="635">
        <f t="shared" si="1"/>
        <v>14127.880000000005</v>
      </c>
      <c r="H26" s="636">
        <f t="shared" si="2"/>
        <v>1.0724710626252147</v>
      </c>
      <c r="I26" s="742">
        <v>229900</v>
      </c>
      <c r="J26" s="622">
        <v>80</v>
      </c>
      <c r="K26" s="940">
        <v>229980</v>
      </c>
      <c r="L26" s="635">
        <f t="shared" si="3"/>
        <v>20907</v>
      </c>
      <c r="M26" s="636">
        <f t="shared" si="4"/>
        <v>1.0999985650944886</v>
      </c>
    </row>
    <row r="27" spans="1:13" s="356" customFormat="1" ht="19.5" customHeight="1">
      <c r="A27" s="741" t="s">
        <v>29</v>
      </c>
      <c r="B27" s="631">
        <v>196348</v>
      </c>
      <c r="C27" s="756">
        <v>193724</v>
      </c>
      <c r="D27" s="753">
        <v>207630</v>
      </c>
      <c r="E27" s="35">
        <v>78</v>
      </c>
      <c r="F27" s="731">
        <f t="shared" si="0"/>
        <v>207708</v>
      </c>
      <c r="G27" s="635">
        <f t="shared" si="1"/>
        <v>13984</v>
      </c>
      <c r="H27" s="636">
        <f t="shared" si="2"/>
        <v>1.0721851706551588</v>
      </c>
      <c r="I27" s="739">
        <f>+K27-J27</f>
        <v>228426</v>
      </c>
      <c r="J27" s="35">
        <v>80</v>
      </c>
      <c r="K27" s="940">
        <f>+K26-K28</f>
        <v>228506</v>
      </c>
      <c r="L27" s="635">
        <f t="shared" si="3"/>
        <v>20798</v>
      </c>
      <c r="M27" s="636">
        <f t="shared" si="4"/>
        <v>1.100130953068731</v>
      </c>
    </row>
    <row r="28" spans="1:13" s="356" customFormat="1" ht="19.5" customHeight="1">
      <c r="A28" s="734" t="s">
        <v>30</v>
      </c>
      <c r="B28" s="631">
        <v>704</v>
      </c>
      <c r="C28" s="756">
        <v>1221</v>
      </c>
      <c r="D28" s="753">
        <v>1365</v>
      </c>
      <c r="E28" s="35"/>
      <c r="F28" s="731">
        <f t="shared" si="0"/>
        <v>1365</v>
      </c>
      <c r="G28" s="635">
        <f t="shared" si="1"/>
        <v>144</v>
      </c>
      <c r="H28" s="636">
        <f t="shared" si="2"/>
        <v>1.117936117936118</v>
      </c>
      <c r="I28" s="739">
        <v>1474</v>
      </c>
      <c r="J28" s="35"/>
      <c r="K28" s="940">
        <v>1474</v>
      </c>
      <c r="L28" s="635">
        <f t="shared" si="3"/>
        <v>109</v>
      </c>
      <c r="M28" s="636">
        <f t="shared" si="4"/>
        <v>1.0798534798534798</v>
      </c>
    </row>
    <row r="29" spans="1:13" s="356" customFormat="1" ht="19.5" customHeight="1">
      <c r="A29" s="734" t="s">
        <v>31</v>
      </c>
      <c r="B29" s="631">
        <v>73269</v>
      </c>
      <c r="C29" s="756">
        <v>72042.64</v>
      </c>
      <c r="D29" s="753">
        <v>77320</v>
      </c>
      <c r="E29" s="35">
        <v>29</v>
      </c>
      <c r="F29" s="731">
        <f t="shared" si="0"/>
        <v>77349</v>
      </c>
      <c r="G29" s="635">
        <f t="shared" si="1"/>
        <v>5306.360000000001</v>
      </c>
      <c r="H29" s="636">
        <f t="shared" si="2"/>
        <v>1.073655823828777</v>
      </c>
      <c r="I29" s="739">
        <f>+K29-J29</f>
        <v>85054</v>
      </c>
      <c r="J29" s="35">
        <v>30</v>
      </c>
      <c r="K29" s="940">
        <f>+K25-K26</f>
        <v>85084</v>
      </c>
      <c r="L29" s="635">
        <f t="shared" si="3"/>
        <v>7735</v>
      </c>
      <c r="M29" s="636">
        <f t="shared" si="4"/>
        <v>1.1000012928415364</v>
      </c>
    </row>
    <row r="30" spans="1:13" s="356" customFormat="1" ht="19.5" customHeight="1">
      <c r="A30" s="741" t="s">
        <v>32</v>
      </c>
      <c r="B30" s="631">
        <v>0</v>
      </c>
      <c r="C30" s="756">
        <v>0</v>
      </c>
      <c r="D30" s="474"/>
      <c r="E30" s="35"/>
      <c r="F30" s="731">
        <f t="shared" si="0"/>
        <v>0</v>
      </c>
      <c r="G30" s="635">
        <f t="shared" si="1"/>
        <v>0</v>
      </c>
      <c r="H30" s="636"/>
      <c r="I30" s="34"/>
      <c r="J30" s="35"/>
      <c r="K30" s="731">
        <v>0</v>
      </c>
      <c r="L30" s="635">
        <f t="shared" si="3"/>
        <v>0</v>
      </c>
      <c r="M30" s="636"/>
    </row>
    <row r="31" spans="1:13" s="356" customFormat="1" ht="19.5" customHeight="1">
      <c r="A31" s="741" t="s">
        <v>33</v>
      </c>
      <c r="B31" s="631">
        <v>1892</v>
      </c>
      <c r="C31" s="756">
        <v>2328.86</v>
      </c>
      <c r="D31" s="474">
        <v>2017</v>
      </c>
      <c r="E31" s="35">
        <v>1</v>
      </c>
      <c r="F31" s="731">
        <f t="shared" si="0"/>
        <v>2018</v>
      </c>
      <c r="G31" s="635">
        <f t="shared" si="1"/>
        <v>-310.8600000000001</v>
      </c>
      <c r="H31" s="636">
        <f t="shared" si="2"/>
        <v>0.8665183823845143</v>
      </c>
      <c r="I31" s="34">
        <v>2000</v>
      </c>
      <c r="J31" s="35"/>
      <c r="K31" s="731">
        <v>2000</v>
      </c>
      <c r="L31" s="635">
        <f t="shared" si="3"/>
        <v>-18</v>
      </c>
      <c r="M31" s="636">
        <f t="shared" si="4"/>
        <v>0.9910802775024777</v>
      </c>
    </row>
    <row r="32" spans="1:13" s="356" customFormat="1" ht="19.5" customHeight="1">
      <c r="A32" s="734" t="s">
        <v>34</v>
      </c>
      <c r="B32" s="631">
        <v>7103</v>
      </c>
      <c r="C32" s="756">
        <v>9351.13</v>
      </c>
      <c r="D32" s="754">
        <v>5804</v>
      </c>
      <c r="E32" s="35">
        <v>3</v>
      </c>
      <c r="F32" s="731">
        <f t="shared" si="0"/>
        <v>5807</v>
      </c>
      <c r="G32" s="635">
        <f t="shared" si="1"/>
        <v>-3544.129999999999</v>
      </c>
      <c r="H32" s="636">
        <f t="shared" si="2"/>
        <v>0.6209944680482467</v>
      </c>
      <c r="I32" s="740">
        <v>8104</v>
      </c>
      <c r="J32" s="35"/>
      <c r="K32" s="731">
        <v>8104</v>
      </c>
      <c r="L32" s="635">
        <f t="shared" si="3"/>
        <v>2297</v>
      </c>
      <c r="M32" s="636">
        <f t="shared" si="4"/>
        <v>1.3955570862751852</v>
      </c>
    </row>
    <row r="33" spans="1:13" s="356" customFormat="1" ht="21" customHeight="1">
      <c r="A33" s="734" t="s">
        <v>35</v>
      </c>
      <c r="B33" s="631">
        <v>1418</v>
      </c>
      <c r="C33" s="756">
        <v>4905.14</v>
      </c>
      <c r="D33" s="754">
        <v>2308</v>
      </c>
      <c r="E33" s="35">
        <v>1</v>
      </c>
      <c r="F33" s="731">
        <f t="shared" si="0"/>
        <v>2309</v>
      </c>
      <c r="G33" s="635">
        <f t="shared" si="1"/>
        <v>-2596.1400000000003</v>
      </c>
      <c r="H33" s="636">
        <f t="shared" si="2"/>
        <v>0.4707307028953302</v>
      </c>
      <c r="I33" s="740">
        <v>4901</v>
      </c>
      <c r="J33" s="35"/>
      <c r="K33" s="731">
        <v>4901</v>
      </c>
      <c r="L33" s="635">
        <f t="shared" si="3"/>
        <v>2592</v>
      </c>
      <c r="M33" s="636">
        <f t="shared" si="4"/>
        <v>2.122563880467735</v>
      </c>
    </row>
    <row r="34" spans="1:13" s="356" customFormat="1" ht="16.5" customHeight="1" thickBot="1">
      <c r="A34" s="743" t="s">
        <v>36</v>
      </c>
      <c r="B34" s="631">
        <v>0</v>
      </c>
      <c r="C34" s="756">
        <v>0</v>
      </c>
      <c r="D34" s="476"/>
      <c r="E34" s="80"/>
      <c r="F34" s="731">
        <f t="shared" si="0"/>
        <v>0</v>
      </c>
      <c r="G34" s="669">
        <f t="shared" si="1"/>
        <v>0</v>
      </c>
      <c r="H34" s="663"/>
      <c r="I34" s="38"/>
      <c r="J34" s="80"/>
      <c r="K34" s="731">
        <v>0</v>
      </c>
      <c r="L34" s="669">
        <f t="shared" si="3"/>
        <v>0</v>
      </c>
      <c r="M34" s="663"/>
    </row>
    <row r="35" spans="1:13" s="356" customFormat="1" ht="15" customHeight="1" thickBot="1">
      <c r="A35" s="677" t="s">
        <v>37</v>
      </c>
      <c r="B35" s="21">
        <v>524740</v>
      </c>
      <c r="C35" s="22">
        <v>534019.13</v>
      </c>
      <c r="D35" s="65">
        <f>SUM(D17+D19+D20+D21+D22+D25+D30+D31+D32+D34)</f>
        <v>554015</v>
      </c>
      <c r="E35" s="40">
        <f>SUM(E17+E19+E20+E21+E22+E25+E30+E31+E32+E34)</f>
        <v>2816</v>
      </c>
      <c r="F35" s="21">
        <f t="shared" si="0"/>
        <v>556831</v>
      </c>
      <c r="G35" s="672">
        <f t="shared" si="1"/>
        <v>22811.869999999995</v>
      </c>
      <c r="H35" s="652">
        <f t="shared" si="2"/>
        <v>1.0427173273736468</v>
      </c>
      <c r="I35" s="65">
        <f>SUM(I17+I19+I20+I21+I22+I25+I30+I31+I32+I34)</f>
        <v>590873</v>
      </c>
      <c r="J35" s="40">
        <f>SUM(J17+J19+J20+J21+J22+J25+J30+J31+J32+J34)</f>
        <v>2712</v>
      </c>
      <c r="K35" s="65">
        <f>SUM(K17+K19+K20+K21+K22+K25+K30+K31+K32+K34)</f>
        <v>593585</v>
      </c>
      <c r="L35" s="672">
        <f t="shared" si="3"/>
        <v>36754</v>
      </c>
      <c r="M35" s="652">
        <f t="shared" si="4"/>
        <v>1.0660056641961384</v>
      </c>
    </row>
    <row r="36" spans="1:14" ht="15" customHeight="1" thickBot="1">
      <c r="A36" s="19" t="s">
        <v>38</v>
      </c>
      <c r="B36" s="20">
        <f>+B16-B35</f>
        <v>-2303</v>
      </c>
      <c r="C36" s="22">
        <f>+C16-C35</f>
        <v>132</v>
      </c>
      <c r="D36" s="1069">
        <f>+F16-F35</f>
        <v>81</v>
      </c>
      <c r="E36" s="1419"/>
      <c r="F36" s="1420"/>
      <c r="G36" s="672">
        <f>+D36-C36</f>
        <v>-51</v>
      </c>
      <c r="H36" s="652">
        <f>+D36/C36</f>
        <v>0.6136363636363636</v>
      </c>
      <c r="I36" s="757">
        <f>+I16-I35</f>
        <v>-15609.763000000035</v>
      </c>
      <c r="J36" s="758">
        <f>+J16-J35</f>
        <v>738</v>
      </c>
      <c r="K36" s="941">
        <f>+K16-K35</f>
        <v>-14871.763000000035</v>
      </c>
      <c r="L36"/>
      <c r="M36"/>
      <c r="N36"/>
    </row>
    <row r="37" spans="1:14" ht="21" customHeight="1" thickBot="1">
      <c r="A37" s="26" t="s">
        <v>39</v>
      </c>
      <c r="B37" s="760">
        <v>-16728.18</v>
      </c>
      <c r="C37" s="759">
        <v>-19030.78</v>
      </c>
      <c r="D37" s="1069">
        <v>0</v>
      </c>
      <c r="E37" s="1419"/>
      <c r="F37" s="1420"/>
      <c r="G37"/>
      <c r="H37"/>
      <c r="I37"/>
      <c r="J37"/>
      <c r="K37"/>
      <c r="L37"/>
      <c r="M37"/>
      <c r="N37"/>
    </row>
    <row r="38" spans="1:14" ht="19.5" customHeight="1" thickBot="1">
      <c r="A38" s="26" t="s">
        <v>40</v>
      </c>
      <c r="B38" s="20">
        <v>-19031.18</v>
      </c>
      <c r="C38" s="22">
        <v>-18898.78</v>
      </c>
      <c r="D38" s="1069">
        <f>+D36+D37</f>
        <v>81</v>
      </c>
      <c r="E38" s="1419"/>
      <c r="F38" s="1420"/>
      <c r="G38"/>
      <c r="H38"/>
      <c r="I38"/>
      <c r="J38"/>
      <c r="K38"/>
      <c r="L38"/>
      <c r="M38"/>
      <c r="N38"/>
    </row>
    <row r="39" spans="1:14" ht="5.25" customHeight="1">
      <c r="A39"/>
      <c r="B39"/>
      <c r="C39"/>
      <c r="D39"/>
      <c r="E39"/>
      <c r="F39"/>
      <c r="G39"/>
      <c r="H39"/>
      <c r="I39"/>
      <c r="J39"/>
      <c r="K39"/>
      <c r="L39"/>
      <c r="M39"/>
      <c r="N39"/>
    </row>
    <row r="40" spans="1:14" ht="6.75" customHeight="1">
      <c r="A40" s="412"/>
      <c r="M40" s="729"/>
      <c r="N40" s="729"/>
    </row>
    <row r="41" spans="1:10" ht="5.25" customHeight="1" thickBot="1">
      <c r="A41" s="726"/>
      <c r="B41" s="726"/>
      <c r="C41" s="726"/>
      <c r="D41" s="726"/>
      <c r="E41" s="726"/>
      <c r="F41" s="726"/>
      <c r="G41" s="726"/>
      <c r="H41" s="378"/>
      <c r="I41" s="378"/>
      <c r="J41" s="744"/>
    </row>
    <row r="42" spans="1:30" ht="17.25" customHeight="1" thickBot="1">
      <c r="A42" s="1452" t="s">
        <v>171</v>
      </c>
      <c r="B42" s="1084"/>
      <c r="C42" s="1084"/>
      <c r="D42" s="1084"/>
      <c r="E42" s="1084"/>
      <c r="F42" s="1084"/>
      <c r="G42" s="1084"/>
      <c r="H42" s="1084"/>
      <c r="I42" s="1084"/>
      <c r="J42" s="1084"/>
      <c r="K42" s="1085"/>
      <c r="O42" s="276"/>
      <c r="P42" s="276"/>
      <c r="Q42" s="276"/>
      <c r="R42" s="276"/>
      <c r="S42" s="276"/>
      <c r="T42" s="276"/>
      <c r="U42" s="276"/>
      <c r="V42" s="276"/>
      <c r="W42" s="276"/>
      <c r="X42" s="276"/>
      <c r="Y42" s="276"/>
      <c r="Z42" s="276"/>
      <c r="AA42" s="276"/>
      <c r="AB42" s="276"/>
      <c r="AC42" s="276"/>
      <c r="AD42" s="276"/>
    </row>
    <row r="43" spans="1:32" s="27" customFormat="1" ht="15.75" customHeight="1">
      <c r="A43" s="1081" t="s">
        <v>42</v>
      </c>
      <c r="B43" s="1453" t="s">
        <v>157</v>
      </c>
      <c r="C43" s="1175"/>
      <c r="D43" s="1175"/>
      <c r="E43" s="1048"/>
      <c r="F43" s="997"/>
      <c r="G43" s="1453" t="s">
        <v>158</v>
      </c>
      <c r="H43" s="1048"/>
      <c r="I43" s="1048"/>
      <c r="J43" s="1048"/>
      <c r="K43" s="997"/>
      <c r="L43"/>
      <c r="M43" s="346"/>
      <c r="N43" s="346"/>
      <c r="O43" s="346"/>
      <c r="P43" s="346"/>
      <c r="Q43" s="346"/>
      <c r="R43" s="346"/>
      <c r="S43" s="346"/>
      <c r="T43" s="346"/>
      <c r="U43" s="346"/>
      <c r="V43" s="346"/>
      <c r="W43" s="346"/>
      <c r="X43" s="346"/>
      <c r="Y43" s="346"/>
      <c r="Z43" s="346"/>
      <c r="AA43" s="346"/>
      <c r="AB43" s="346"/>
      <c r="AC43" s="346"/>
      <c r="AD43" s="346"/>
      <c r="AE43" s="346"/>
      <c r="AF43" s="346"/>
    </row>
    <row r="44" spans="1:30" ht="13.5" thickBot="1">
      <c r="A44" s="1082"/>
      <c r="B44" s="31">
        <v>2004</v>
      </c>
      <c r="C44" s="28">
        <v>2005</v>
      </c>
      <c r="D44" s="28">
        <v>2006</v>
      </c>
      <c r="E44" s="29" t="s">
        <v>7</v>
      </c>
      <c r="F44" s="30" t="s">
        <v>48</v>
      </c>
      <c r="G44" s="31">
        <v>2004</v>
      </c>
      <c r="H44" s="28">
        <v>2005</v>
      </c>
      <c r="I44" s="28">
        <v>2006</v>
      </c>
      <c r="J44" s="29" t="s">
        <v>7</v>
      </c>
      <c r="K44" s="30" t="s">
        <v>48</v>
      </c>
      <c r="L44" s="276"/>
      <c r="M44" s="276"/>
      <c r="N44" s="276"/>
      <c r="O44" s="276"/>
      <c r="P44" s="276"/>
      <c r="Q44" s="276"/>
      <c r="R44" s="276"/>
      <c r="S44" s="276"/>
      <c r="T44" s="276"/>
      <c r="U44" s="276"/>
      <c r="V44" s="276"/>
      <c r="W44" s="276"/>
      <c r="X44" s="276"/>
      <c r="Y44" s="276"/>
      <c r="Z44" s="276"/>
      <c r="AA44" s="276"/>
      <c r="AB44" s="276"/>
      <c r="AC44" s="276"/>
      <c r="AD44" s="276"/>
    </row>
    <row r="45" spans="1:30" s="27" customFormat="1" ht="27.75" customHeight="1">
      <c r="A45" s="406" t="s">
        <v>151</v>
      </c>
      <c r="B45" s="66">
        <v>1535000</v>
      </c>
      <c r="C45" s="32">
        <v>1152000</v>
      </c>
      <c r="D45" s="32">
        <v>920000</v>
      </c>
      <c r="E45" s="24">
        <f>+D45-C45</f>
        <v>-232000</v>
      </c>
      <c r="F45" s="33">
        <f>+D45/C45</f>
        <v>0.7986111111111112</v>
      </c>
      <c r="G45" s="34"/>
      <c r="H45" s="35">
        <v>49980</v>
      </c>
      <c r="I45" s="35"/>
      <c r="J45" s="24">
        <f>+I45-H45</f>
        <v>-49980</v>
      </c>
      <c r="K45" s="33">
        <f>+I45/H45</f>
        <v>0</v>
      </c>
      <c r="L45" s="346"/>
      <c r="M45" s="346"/>
      <c r="N45" s="346"/>
      <c r="O45" s="346"/>
      <c r="P45" s="346"/>
      <c r="Q45" s="346"/>
      <c r="R45" s="346"/>
      <c r="S45" s="346"/>
      <c r="T45" s="346"/>
      <c r="U45" s="346"/>
      <c r="V45" s="346"/>
      <c r="W45" s="346"/>
      <c r="X45" s="346"/>
      <c r="Y45" s="346"/>
      <c r="Z45" s="346"/>
      <c r="AA45" s="346"/>
      <c r="AB45" s="346"/>
      <c r="AC45" s="346"/>
      <c r="AD45" s="346"/>
    </row>
    <row r="46" spans="1:30" s="27" customFormat="1" ht="21" customHeight="1">
      <c r="A46" s="407" t="s">
        <v>152</v>
      </c>
      <c r="B46" s="34">
        <v>21334000</v>
      </c>
      <c r="C46" s="32">
        <v>13554100</v>
      </c>
      <c r="D46" s="32">
        <v>15321000</v>
      </c>
      <c r="E46" s="24">
        <f aca="true" t="shared" si="5" ref="E46:E53">+D46-C46</f>
        <v>1766900</v>
      </c>
      <c r="F46" s="33">
        <f aca="true" t="shared" si="6" ref="F46:F53">+D46/C46</f>
        <v>1.130359079540508</v>
      </c>
      <c r="G46" s="34">
        <v>9266000</v>
      </c>
      <c r="H46" s="35">
        <v>22145900</v>
      </c>
      <c r="I46" s="35">
        <v>20379000</v>
      </c>
      <c r="J46" s="24">
        <f aca="true" t="shared" si="7" ref="J46:J53">+I46-H46</f>
        <v>-1766900</v>
      </c>
      <c r="K46" s="33">
        <f>+I46/H46</f>
        <v>0.9202154800662876</v>
      </c>
      <c r="L46" s="346"/>
      <c r="M46" s="346"/>
      <c r="N46" s="346"/>
      <c r="O46" s="346"/>
      <c r="P46" s="346"/>
      <c r="Q46" s="346"/>
      <c r="R46" s="346"/>
      <c r="S46" s="346"/>
      <c r="T46" s="346"/>
      <c r="U46" s="346"/>
      <c r="V46" s="346"/>
      <c r="W46" s="346"/>
      <c r="X46" s="346"/>
      <c r="Y46" s="346"/>
      <c r="Z46" s="346"/>
      <c r="AA46" s="346"/>
      <c r="AB46" s="346"/>
      <c r="AC46" s="346"/>
      <c r="AD46" s="346"/>
    </row>
    <row r="47" spans="1:30" s="27" customFormat="1" ht="21" customHeight="1">
      <c r="A47" s="408" t="s">
        <v>153</v>
      </c>
      <c r="B47" s="34">
        <v>1351724</v>
      </c>
      <c r="C47" s="32">
        <v>1574518.4</v>
      </c>
      <c r="D47" s="32">
        <v>281237</v>
      </c>
      <c r="E47" s="24">
        <f t="shared" si="5"/>
        <v>-1293281.4</v>
      </c>
      <c r="F47" s="33">
        <f t="shared" si="6"/>
        <v>0.1786177919546701</v>
      </c>
      <c r="G47" s="34"/>
      <c r="H47" s="35"/>
      <c r="I47" s="35"/>
      <c r="J47" s="24">
        <f t="shared" si="7"/>
        <v>0</v>
      </c>
      <c r="K47" s="33"/>
      <c r="L47" s="346"/>
      <c r="M47" s="346"/>
      <c r="N47" s="346"/>
      <c r="O47" s="346"/>
      <c r="P47" s="346"/>
      <c r="Q47" s="346"/>
      <c r="R47" s="346"/>
      <c r="S47" s="346"/>
      <c r="T47" s="346"/>
      <c r="U47" s="346"/>
      <c r="V47" s="346"/>
      <c r="W47" s="346"/>
      <c r="X47" s="346"/>
      <c r="Y47" s="346"/>
      <c r="Z47" s="346"/>
      <c r="AA47" s="346"/>
      <c r="AB47" s="346"/>
      <c r="AC47" s="346"/>
      <c r="AD47" s="346"/>
    </row>
    <row r="48" spans="1:30" s="27" customFormat="1" ht="21" customHeight="1">
      <c r="A48" s="408" t="s">
        <v>154</v>
      </c>
      <c r="B48" s="34">
        <v>12500</v>
      </c>
      <c r="C48" s="32"/>
      <c r="D48" s="32"/>
      <c r="E48" s="24">
        <f t="shared" si="5"/>
        <v>0</v>
      </c>
      <c r="F48" s="33"/>
      <c r="G48" s="34"/>
      <c r="H48" s="35"/>
      <c r="I48" s="35"/>
      <c r="J48" s="24">
        <f t="shared" si="7"/>
        <v>0</v>
      </c>
      <c r="K48" s="33"/>
      <c r="L48" s="346"/>
      <c r="M48" s="346"/>
      <c r="N48" s="346"/>
      <c r="O48" s="346"/>
      <c r="P48" s="346"/>
      <c r="Q48" s="346"/>
      <c r="R48" s="346"/>
      <c r="S48" s="346"/>
      <c r="T48" s="346"/>
      <c r="U48" s="346"/>
      <c r="V48" s="346"/>
      <c r="W48" s="346"/>
      <c r="X48" s="346"/>
      <c r="Y48" s="346"/>
      <c r="Z48" s="346"/>
      <c r="AA48" s="346"/>
      <c r="AB48" s="346"/>
      <c r="AC48" s="346"/>
      <c r="AD48" s="346"/>
    </row>
    <row r="49" spans="1:30" s="27" customFormat="1" ht="21" customHeight="1">
      <c r="A49" s="68" t="s">
        <v>49</v>
      </c>
      <c r="B49" s="38"/>
      <c r="C49" s="32">
        <v>21000</v>
      </c>
      <c r="D49" s="32"/>
      <c r="E49" s="24">
        <f t="shared" si="5"/>
        <v>-21000</v>
      </c>
      <c r="F49" s="33">
        <f t="shared" si="6"/>
        <v>0</v>
      </c>
      <c r="G49" s="38">
        <v>18526000</v>
      </c>
      <c r="H49" s="409"/>
      <c r="I49" s="409"/>
      <c r="J49" s="24">
        <f t="shared" si="7"/>
        <v>0</v>
      </c>
      <c r="K49" s="33"/>
      <c r="L49" s="346"/>
      <c r="M49" s="346"/>
      <c r="N49" s="346"/>
      <c r="O49" s="346"/>
      <c r="P49" s="346"/>
      <c r="Q49" s="346"/>
      <c r="R49" s="346"/>
      <c r="S49" s="346"/>
      <c r="T49" s="346"/>
      <c r="U49" s="346"/>
      <c r="V49" s="346"/>
      <c r="W49" s="346"/>
      <c r="X49" s="346"/>
      <c r="Y49" s="346"/>
      <c r="Z49" s="346"/>
      <c r="AA49" s="346"/>
      <c r="AB49" s="346"/>
      <c r="AC49" s="346"/>
      <c r="AD49" s="346"/>
    </row>
    <row r="50" spans="1:30" s="27" customFormat="1" ht="21" customHeight="1">
      <c r="A50" s="67" t="s">
        <v>272</v>
      </c>
      <c r="B50" s="34"/>
      <c r="C50" s="32"/>
      <c r="D50" s="32"/>
      <c r="E50" s="24">
        <f t="shared" si="5"/>
        <v>0</v>
      </c>
      <c r="F50" s="33"/>
      <c r="G50" s="34"/>
      <c r="H50" s="35">
        <f>17289979.5-H45</f>
        <v>17239999.5</v>
      </c>
      <c r="I50" s="35"/>
      <c r="J50" s="24">
        <f t="shared" si="7"/>
        <v>-17239999.5</v>
      </c>
      <c r="K50" s="33">
        <f>+I50/H50</f>
        <v>0</v>
      </c>
      <c r="L50" s="346"/>
      <c r="M50" s="346"/>
      <c r="N50" s="346"/>
      <c r="O50" s="346"/>
      <c r="P50" s="346"/>
      <c r="Q50" s="346"/>
      <c r="R50" s="346"/>
      <c r="S50" s="346"/>
      <c r="T50" s="346"/>
      <c r="U50" s="346"/>
      <c r="V50" s="346"/>
      <c r="W50" s="346"/>
      <c r="X50" s="346"/>
      <c r="Y50" s="346"/>
      <c r="Z50" s="346"/>
      <c r="AA50" s="346"/>
      <c r="AB50" s="346"/>
      <c r="AC50" s="346"/>
      <c r="AD50" s="346"/>
    </row>
    <row r="51" spans="1:30" s="27" customFormat="1" ht="21" customHeight="1">
      <c r="A51" s="390"/>
      <c r="B51" s="34"/>
      <c r="C51" s="32"/>
      <c r="D51" s="32"/>
      <c r="E51" s="24">
        <f t="shared" si="5"/>
        <v>0</v>
      </c>
      <c r="F51" s="33"/>
      <c r="G51" s="34"/>
      <c r="H51" s="35"/>
      <c r="I51" s="35"/>
      <c r="J51" s="24">
        <f t="shared" si="7"/>
        <v>0</v>
      </c>
      <c r="K51" s="33"/>
      <c r="L51" s="346"/>
      <c r="M51" s="346"/>
      <c r="N51" s="346"/>
      <c r="O51" s="346"/>
      <c r="P51" s="346"/>
      <c r="Q51" s="346"/>
      <c r="R51" s="346"/>
      <c r="S51" s="346"/>
      <c r="T51" s="346"/>
      <c r="U51" s="346"/>
      <c r="V51" s="346"/>
      <c r="W51" s="346"/>
      <c r="X51" s="346"/>
      <c r="Y51" s="346"/>
      <c r="Z51" s="346"/>
      <c r="AA51" s="346"/>
      <c r="AB51" s="346"/>
      <c r="AC51" s="346"/>
      <c r="AD51" s="346"/>
    </row>
    <row r="52" spans="1:30" s="27" customFormat="1" ht="21" customHeight="1" thickBot="1">
      <c r="A52" s="429" t="s">
        <v>555</v>
      </c>
      <c r="B52" s="38">
        <v>1019047</v>
      </c>
      <c r="C52" s="430">
        <v>1113472</v>
      </c>
      <c r="D52" s="430">
        <v>10000</v>
      </c>
      <c r="E52" s="762">
        <f t="shared" si="5"/>
        <v>-1103472</v>
      </c>
      <c r="F52" s="431">
        <f t="shared" si="6"/>
        <v>0.008980917346821474</v>
      </c>
      <c r="G52" s="38">
        <v>197957</v>
      </c>
      <c r="H52" s="409"/>
      <c r="I52" s="409"/>
      <c r="J52" s="762">
        <f t="shared" si="7"/>
        <v>0</v>
      </c>
      <c r="K52" s="431"/>
      <c r="L52" s="346"/>
      <c r="M52" s="346"/>
      <c r="N52" s="346"/>
      <c r="O52" s="346"/>
      <c r="P52" s="346"/>
      <c r="Q52" s="346"/>
      <c r="R52" s="346"/>
      <c r="S52" s="346"/>
      <c r="T52" s="346"/>
      <c r="U52" s="346"/>
      <c r="V52" s="346"/>
      <c r="W52" s="346"/>
      <c r="X52" s="346"/>
      <c r="Y52" s="346"/>
      <c r="Z52" s="346"/>
      <c r="AA52" s="346"/>
      <c r="AB52" s="346"/>
      <c r="AC52" s="346"/>
      <c r="AD52" s="346"/>
    </row>
    <row r="53" spans="1:30" s="27" customFormat="1" ht="18.75" customHeight="1" thickBot="1">
      <c r="A53" s="69" t="s">
        <v>54</v>
      </c>
      <c r="B53" s="23">
        <f>SUM(B45:B52)</f>
        <v>25252271</v>
      </c>
      <c r="C53" s="40">
        <f>SUM(C45:C52)</f>
        <v>17415090.4</v>
      </c>
      <c r="D53" s="40">
        <f>SUM(D45:D52)</f>
        <v>16532237</v>
      </c>
      <c r="E53" s="40">
        <f t="shared" si="5"/>
        <v>-882853.3999999985</v>
      </c>
      <c r="F53" s="432">
        <f t="shared" si="6"/>
        <v>0.9493052645882333</v>
      </c>
      <c r="G53" s="23">
        <f>SUM(G45:G52)</f>
        <v>27989957</v>
      </c>
      <c r="H53" s="40">
        <f>SUM(H45:H52)</f>
        <v>39435879.5</v>
      </c>
      <c r="I53" s="40">
        <f>SUM(I45:I52)</f>
        <v>20379000</v>
      </c>
      <c r="J53" s="41">
        <f t="shared" si="7"/>
        <v>-19056879.5</v>
      </c>
      <c r="K53" s="42">
        <f>+I53/H53</f>
        <v>0.5167629138333278</v>
      </c>
      <c r="L53" s="346"/>
      <c r="M53" s="346"/>
      <c r="N53" s="346"/>
      <c r="O53" s="346"/>
      <c r="P53" s="346"/>
      <c r="Q53" s="346"/>
      <c r="R53" s="346"/>
      <c r="S53" s="346"/>
      <c r="T53" s="346"/>
      <c r="U53" s="346"/>
      <c r="V53" s="346"/>
      <c r="W53" s="346"/>
      <c r="X53" s="346"/>
      <c r="Y53" s="346"/>
      <c r="Z53" s="346"/>
      <c r="AA53" s="346"/>
      <c r="AB53" s="346"/>
      <c r="AC53" s="346"/>
      <c r="AD53" s="346"/>
    </row>
    <row r="54" spans="1:14" ht="13.5" thickBot="1">
      <c r="A54"/>
      <c r="B54"/>
      <c r="C54"/>
      <c r="D54"/>
      <c r="E54"/>
      <c r="F54"/>
      <c r="G54"/>
      <c r="H54"/>
      <c r="I54"/>
      <c r="J54"/>
      <c r="K54"/>
      <c r="L54"/>
      <c r="M54" s="692"/>
      <c r="N54"/>
    </row>
    <row r="55" spans="1:11" s="276" customFormat="1" ht="18" customHeight="1">
      <c r="A55" s="1273" t="s">
        <v>44</v>
      </c>
      <c r="B55" s="1047" t="s">
        <v>41</v>
      </c>
      <c r="C55" s="1323"/>
      <c r="D55" s="1323"/>
      <c r="E55" s="1323"/>
      <c r="F55" s="1323"/>
      <c r="G55" s="1324"/>
      <c r="H55" s="1047" t="s">
        <v>156</v>
      </c>
      <c r="I55" s="1286"/>
      <c r="J55" s="1286"/>
      <c r="K55" s="1287"/>
    </row>
    <row r="56" spans="1:11" s="276" customFormat="1" ht="25.5" customHeight="1" thickBot="1">
      <c r="A56" s="1343"/>
      <c r="B56" s="1121" t="s">
        <v>45</v>
      </c>
      <c r="C56" s="1024"/>
      <c r="D56" s="1023" t="s">
        <v>46</v>
      </c>
      <c r="E56" s="1024"/>
      <c r="F56" s="1023" t="s">
        <v>47</v>
      </c>
      <c r="G56" s="1131"/>
      <c r="H56" s="298" t="s">
        <v>50</v>
      </c>
      <c r="I56" s="296" t="s">
        <v>52</v>
      </c>
      <c r="J56" s="811" t="s">
        <v>51</v>
      </c>
      <c r="K56" s="239" t="s">
        <v>53</v>
      </c>
    </row>
    <row r="57" spans="1:11" s="276" customFormat="1" ht="18.75" customHeight="1">
      <c r="A57" s="299">
        <v>2004</v>
      </c>
      <c r="B57" s="1348">
        <f>+D57+F57</f>
        <v>30600000</v>
      </c>
      <c r="C57" s="1030"/>
      <c r="D57" s="1029">
        <f>23800000-800000</f>
        <v>23000000</v>
      </c>
      <c r="E57" s="1030"/>
      <c r="F57" s="1029">
        <v>7600000</v>
      </c>
      <c r="G57" s="1311"/>
      <c r="H57" s="293">
        <v>0.3028104575163399</v>
      </c>
      <c r="I57" s="294">
        <v>0.1277997300653595</v>
      </c>
      <c r="J57" s="294">
        <v>0.17501074183006535</v>
      </c>
      <c r="K57" s="295">
        <v>0.6971895424836602</v>
      </c>
    </row>
    <row r="58" spans="1:11" s="276" customFormat="1" ht="18.75" customHeight="1">
      <c r="A58" s="300">
        <v>2005</v>
      </c>
      <c r="B58" s="1349">
        <f>+C46+H46</f>
        <v>35700000</v>
      </c>
      <c r="C58" s="1052"/>
      <c r="D58" s="1051">
        <v>27300000</v>
      </c>
      <c r="E58" s="1052"/>
      <c r="F58" s="1051">
        <v>8400000</v>
      </c>
      <c r="G58" s="1312"/>
      <c r="H58" s="277">
        <v>0.4452380952380952</v>
      </c>
      <c r="I58" s="278">
        <v>0.15815126050420167</v>
      </c>
      <c r="J58" s="278">
        <v>0.28708683473389357</v>
      </c>
      <c r="K58" s="279">
        <v>0.5547619047619048</v>
      </c>
    </row>
    <row r="59" spans="1:11" s="276" customFormat="1" ht="18.75" customHeight="1" thickBot="1">
      <c r="A59" s="301">
        <v>2006</v>
      </c>
      <c r="B59" s="1350">
        <f>+B58</f>
        <v>35700000</v>
      </c>
      <c r="C59" s="1054"/>
      <c r="D59" s="1053">
        <f>+D58</f>
        <v>27300000</v>
      </c>
      <c r="E59" s="1054"/>
      <c r="F59" s="1053">
        <f>+F58</f>
        <v>8400000</v>
      </c>
      <c r="G59" s="1292"/>
      <c r="H59" s="290">
        <f>+I46/B59</f>
        <v>0.5708403361344537</v>
      </c>
      <c r="I59" s="291">
        <f>+D85/B59</f>
        <v>0.2688795518207283</v>
      </c>
      <c r="J59" s="291">
        <f>+D121/B59</f>
        <v>0.30196078431372547</v>
      </c>
      <c r="K59" s="292">
        <f>+D46/B59</f>
        <v>0.4291596638655462</v>
      </c>
    </row>
    <row r="60" spans="1:14" ht="19.5" customHeight="1">
      <c r="A60"/>
      <c r="B60"/>
      <c r="C60"/>
      <c r="D60"/>
      <c r="E60"/>
      <c r="F60"/>
      <c r="G60"/>
      <c r="H60"/>
      <c r="I60"/>
      <c r="J60"/>
      <c r="K60"/>
      <c r="L60"/>
      <c r="M60"/>
      <c r="N60"/>
    </row>
    <row r="61" spans="1:14" ht="16.5" thickBot="1">
      <c r="A61" s="184" t="s">
        <v>249</v>
      </c>
      <c r="B61" s="140"/>
      <c r="C61" s="140"/>
      <c r="D61"/>
      <c r="E61"/>
      <c r="F61"/>
      <c r="G61"/>
      <c r="H61"/>
      <c r="I61"/>
      <c r="J61"/>
      <c r="K61"/>
      <c r="L61"/>
      <c r="M61"/>
      <c r="N61"/>
    </row>
    <row r="62" spans="1:14" ht="13.5" thickBot="1">
      <c r="A62" s="126" t="s">
        <v>162</v>
      </c>
      <c r="B62" s="115"/>
      <c r="C62" s="116"/>
      <c r="D62"/>
      <c r="E62"/>
      <c r="F62"/>
      <c r="G62"/>
      <c r="H62"/>
      <c r="I62"/>
      <c r="J62"/>
      <c r="K62"/>
      <c r="L62"/>
      <c r="M62"/>
      <c r="N62"/>
    </row>
    <row r="63" spans="1:14" ht="18" customHeight="1">
      <c r="A63" s="1035" t="s">
        <v>138</v>
      </c>
      <c r="B63" s="1036"/>
      <c r="C63" s="609">
        <f>+D53/1000+0.1</f>
        <v>16532.337</v>
      </c>
      <c r="D63"/>
      <c r="E63"/>
      <c r="F63"/>
      <c r="G63"/>
      <c r="H63"/>
      <c r="I63"/>
      <c r="J63"/>
      <c r="K63"/>
      <c r="L63"/>
      <c r="M63"/>
      <c r="N63"/>
    </row>
    <row r="64" spans="1:14" ht="18" customHeight="1">
      <c r="A64" s="1037" t="s">
        <v>43</v>
      </c>
      <c r="B64" s="1038"/>
      <c r="C64" s="610">
        <f>+I53/1000</f>
        <v>20379</v>
      </c>
      <c r="D64"/>
      <c r="E64"/>
      <c r="F64"/>
      <c r="G64"/>
      <c r="H64"/>
      <c r="I64"/>
      <c r="J64"/>
      <c r="K64"/>
      <c r="L64"/>
      <c r="M64"/>
      <c r="N64"/>
    </row>
    <row r="65" spans="1:14" ht="18" customHeight="1" thickBot="1">
      <c r="A65" s="1088" t="s">
        <v>139</v>
      </c>
      <c r="B65" s="1089"/>
      <c r="C65" s="611">
        <f>+I27</f>
        <v>228426</v>
      </c>
      <c r="D65"/>
      <c r="E65"/>
      <c r="F65"/>
      <c r="G65"/>
      <c r="H65"/>
      <c r="I65"/>
      <c r="J65"/>
      <c r="K65"/>
      <c r="L65"/>
      <c r="M65"/>
      <c r="N65"/>
    </row>
    <row r="66" spans="1:14" ht="18" customHeight="1">
      <c r="A66" s="803"/>
      <c r="B66" s="803"/>
      <c r="C66" s="804"/>
      <c r="D66"/>
      <c r="E66"/>
      <c r="F66"/>
      <c r="G66"/>
      <c r="H66"/>
      <c r="I66"/>
      <c r="J66"/>
      <c r="K66"/>
      <c r="L66"/>
      <c r="M66"/>
      <c r="N66"/>
    </row>
    <row r="67" spans="1:14" ht="12.75">
      <c r="A67"/>
      <c r="B67"/>
      <c r="C67"/>
      <c r="D67"/>
      <c r="E67"/>
      <c r="F67"/>
      <c r="G67"/>
      <c r="H67"/>
      <c r="I67"/>
      <c r="J67"/>
      <c r="K67"/>
      <c r="L67"/>
      <c r="M67"/>
      <c r="N67"/>
    </row>
    <row r="68" spans="1:14" ht="17.25" customHeight="1" thickBot="1">
      <c r="A68" s="184" t="s">
        <v>311</v>
      </c>
      <c r="B68"/>
      <c r="C68"/>
      <c r="D68"/>
      <c r="E68"/>
      <c r="F68"/>
      <c r="G68"/>
      <c r="H68"/>
      <c r="I68"/>
      <c r="J68"/>
      <c r="K68"/>
      <c r="L68"/>
      <c r="M68"/>
      <c r="N68"/>
    </row>
    <row r="69" spans="1:33" ht="30.75" customHeight="1">
      <c r="A69" s="1072" t="s">
        <v>273</v>
      </c>
      <c r="B69" s="1488" t="s">
        <v>345</v>
      </c>
      <c r="C69" s="1489"/>
      <c r="D69" s="1066" t="s">
        <v>55</v>
      </c>
      <c r="E69" s="1067"/>
      <c r="F69" s="1067" t="s">
        <v>56</v>
      </c>
      <c r="G69" s="1175"/>
      <c r="H69" s="1086"/>
      <c r="I69" s="1086"/>
      <c r="J69" s="1066" t="s">
        <v>250</v>
      </c>
      <c r="K69" s="1066"/>
      <c r="L69" s="1204" t="s">
        <v>346</v>
      </c>
      <c r="M69" s="1073"/>
      <c r="N69" s="276"/>
      <c r="O69" s="276"/>
      <c r="P69" s="276"/>
      <c r="Q69" s="276"/>
      <c r="R69" s="276"/>
      <c r="S69" s="276"/>
      <c r="T69" s="276"/>
      <c r="U69" s="276"/>
      <c r="V69" s="276"/>
      <c r="W69" s="276"/>
      <c r="X69" s="276"/>
      <c r="Y69" s="276"/>
      <c r="Z69" s="276"/>
      <c r="AA69" s="276"/>
      <c r="AB69" s="276"/>
      <c r="AC69" s="276"/>
      <c r="AD69" s="276"/>
      <c r="AE69" s="276"/>
      <c r="AF69" s="276"/>
      <c r="AG69" s="276"/>
    </row>
    <row r="70" spans="1:33" ht="18.75" customHeight="1" thickBot="1">
      <c r="A70" s="1487"/>
      <c r="B70" s="1031" t="s">
        <v>275</v>
      </c>
      <c r="C70" s="1031"/>
      <c r="D70" s="1031" t="s">
        <v>58</v>
      </c>
      <c r="E70" s="1032"/>
      <c r="F70" s="1283" t="s">
        <v>59</v>
      </c>
      <c r="G70" s="1283"/>
      <c r="H70" s="1031" t="s">
        <v>276</v>
      </c>
      <c r="I70" s="1032"/>
      <c r="J70" s="1031" t="s">
        <v>60</v>
      </c>
      <c r="K70" s="1031"/>
      <c r="L70" s="1205"/>
      <c r="M70" s="1075"/>
      <c r="N70" s="276"/>
      <c r="O70" s="276"/>
      <c r="P70" s="276"/>
      <c r="Q70" s="276"/>
      <c r="R70" s="276"/>
      <c r="S70" s="276"/>
      <c r="T70" s="276"/>
      <c r="U70" s="276"/>
      <c r="V70" s="276"/>
      <c r="W70" s="276"/>
      <c r="X70" s="276"/>
      <c r="Y70" s="276"/>
      <c r="Z70" s="276"/>
      <c r="AA70" s="276"/>
      <c r="AB70" s="276"/>
      <c r="AC70" s="276"/>
      <c r="AD70" s="276"/>
      <c r="AE70" s="276"/>
      <c r="AF70" s="276"/>
      <c r="AG70" s="276"/>
    </row>
    <row r="71" spans="1:13" s="497" customFormat="1" ht="16.5" customHeight="1">
      <c r="A71" s="840" t="s">
        <v>486</v>
      </c>
      <c r="B71" s="1483">
        <v>86500</v>
      </c>
      <c r="C71" s="1485"/>
      <c r="D71" s="1521">
        <v>213500</v>
      </c>
      <c r="E71" s="1522"/>
      <c r="F71" s="1483"/>
      <c r="G71" s="1485"/>
      <c r="H71" s="1483"/>
      <c r="I71" s="1484"/>
      <c r="J71" s="1483">
        <f>+D71+F71+H71</f>
        <v>213500</v>
      </c>
      <c r="K71" s="1485"/>
      <c r="L71" s="1483"/>
      <c r="M71" s="1486"/>
    </row>
    <row r="72" spans="1:13" s="497" customFormat="1" ht="16.5" customHeight="1">
      <c r="A72" s="840" t="s">
        <v>441</v>
      </c>
      <c r="B72" s="1483">
        <v>354974</v>
      </c>
      <c r="C72" s="1485"/>
      <c r="D72" s="1521">
        <v>245026</v>
      </c>
      <c r="E72" s="1522"/>
      <c r="F72" s="1483"/>
      <c r="G72" s="1485"/>
      <c r="H72" s="1483"/>
      <c r="I72" s="1484"/>
      <c r="J72" s="1483">
        <f aca="true" t="shared" si="8" ref="J72:J82">+D72+F72+H72</f>
        <v>245026</v>
      </c>
      <c r="K72" s="1485"/>
      <c r="L72" s="1483"/>
      <c r="M72" s="1486"/>
    </row>
    <row r="73" spans="1:13" s="497" customFormat="1" ht="21" customHeight="1">
      <c r="A73" s="840" t="s">
        <v>475</v>
      </c>
      <c r="B73" s="1483">
        <v>330655</v>
      </c>
      <c r="C73" s="1485"/>
      <c r="D73" s="1521">
        <v>869345</v>
      </c>
      <c r="E73" s="1522"/>
      <c r="F73" s="1483"/>
      <c r="G73" s="1485"/>
      <c r="H73" s="1483"/>
      <c r="I73" s="1484"/>
      <c r="J73" s="1483">
        <f t="shared" si="8"/>
        <v>869345</v>
      </c>
      <c r="K73" s="1485"/>
      <c r="L73" s="1483"/>
      <c r="M73" s="1486"/>
    </row>
    <row r="74" spans="1:13" s="497" customFormat="1" ht="16.5" customHeight="1">
      <c r="A74" s="840" t="s">
        <v>476</v>
      </c>
      <c r="B74" s="1483">
        <v>32130</v>
      </c>
      <c r="C74" s="1485"/>
      <c r="D74" s="1521">
        <v>1867870</v>
      </c>
      <c r="E74" s="1522"/>
      <c r="F74" s="1483"/>
      <c r="G74" s="1485"/>
      <c r="H74" s="1483"/>
      <c r="I74" s="1484"/>
      <c r="J74" s="1483">
        <f t="shared" si="8"/>
        <v>1867870</v>
      </c>
      <c r="K74" s="1485"/>
      <c r="L74" s="1483"/>
      <c r="M74" s="1486"/>
    </row>
    <row r="75" spans="1:13" s="497" customFormat="1" ht="16.5" customHeight="1">
      <c r="A75" s="840" t="s">
        <v>477</v>
      </c>
      <c r="B75" s="1483"/>
      <c r="C75" s="1485"/>
      <c r="D75" s="1521">
        <v>120000</v>
      </c>
      <c r="E75" s="1522"/>
      <c r="F75" s="1483"/>
      <c r="G75" s="1485"/>
      <c r="H75" s="1483"/>
      <c r="I75" s="1484"/>
      <c r="J75" s="1483">
        <f t="shared" si="8"/>
        <v>120000</v>
      </c>
      <c r="K75" s="1485"/>
      <c r="L75" s="1483"/>
      <c r="M75" s="1486"/>
    </row>
    <row r="76" spans="1:13" s="497" customFormat="1" ht="16.5" customHeight="1">
      <c r="A76" s="840" t="s">
        <v>478</v>
      </c>
      <c r="B76" s="1483"/>
      <c r="C76" s="1485"/>
      <c r="D76" s="1521">
        <v>350000</v>
      </c>
      <c r="E76" s="1522"/>
      <c r="F76" s="1483"/>
      <c r="G76" s="1485"/>
      <c r="H76" s="1483"/>
      <c r="I76" s="1484"/>
      <c r="J76" s="1483">
        <f t="shared" si="8"/>
        <v>350000</v>
      </c>
      <c r="K76" s="1485"/>
      <c r="L76" s="1483"/>
      <c r="M76" s="1486"/>
    </row>
    <row r="77" spans="1:13" s="497" customFormat="1" ht="21" customHeight="1">
      <c r="A77" s="840" t="s">
        <v>479</v>
      </c>
      <c r="B77" s="1483"/>
      <c r="C77" s="1485"/>
      <c r="D77" s="1521">
        <v>100000</v>
      </c>
      <c r="E77" s="1522"/>
      <c r="F77" s="1483"/>
      <c r="G77" s="1485"/>
      <c r="H77" s="1483"/>
      <c r="I77" s="1484"/>
      <c r="J77" s="1483">
        <f t="shared" si="8"/>
        <v>100000</v>
      </c>
      <c r="K77" s="1485"/>
      <c r="L77" s="1483"/>
      <c r="M77" s="1486"/>
    </row>
    <row r="78" spans="1:13" s="497" customFormat="1" ht="16.5" customHeight="1">
      <c r="A78" s="840" t="s">
        <v>480</v>
      </c>
      <c r="B78" s="1483"/>
      <c r="C78" s="1485"/>
      <c r="D78" s="1521"/>
      <c r="E78" s="1522"/>
      <c r="F78" s="1483"/>
      <c r="G78" s="1485"/>
      <c r="H78" s="1483"/>
      <c r="I78" s="1484"/>
      <c r="J78" s="1483">
        <f t="shared" si="8"/>
        <v>0</v>
      </c>
      <c r="K78" s="1485"/>
      <c r="L78" s="1483">
        <v>6500000</v>
      </c>
      <c r="M78" s="1486"/>
    </row>
    <row r="79" spans="1:13" s="497" customFormat="1" ht="15" customHeight="1">
      <c r="A79" s="840" t="s">
        <v>481</v>
      </c>
      <c r="B79" s="1483"/>
      <c r="C79" s="1485"/>
      <c r="D79" s="1521">
        <v>1900000</v>
      </c>
      <c r="E79" s="1522"/>
      <c r="F79" s="1483"/>
      <c r="G79" s="1485"/>
      <c r="H79" s="1483"/>
      <c r="I79" s="1484"/>
      <c r="J79" s="1483">
        <f t="shared" si="8"/>
        <v>1900000</v>
      </c>
      <c r="K79" s="1485"/>
      <c r="L79" s="1483"/>
      <c r="M79" s="1486"/>
    </row>
    <row r="80" spans="1:13" s="497" customFormat="1" ht="19.5" customHeight="1">
      <c r="A80" s="840" t="s">
        <v>482</v>
      </c>
      <c r="B80" s="1483"/>
      <c r="C80" s="1485"/>
      <c r="D80" s="1521">
        <v>3129000</v>
      </c>
      <c r="E80" s="1522"/>
      <c r="F80" s="1483"/>
      <c r="G80" s="1485"/>
      <c r="H80" s="1483"/>
      <c r="I80" s="1484"/>
      <c r="J80" s="1483">
        <f t="shared" si="8"/>
        <v>3129000</v>
      </c>
      <c r="K80" s="1485"/>
      <c r="L80" s="1483"/>
      <c r="M80" s="1486"/>
    </row>
    <row r="81" spans="1:13" s="497" customFormat="1" ht="16.5" customHeight="1">
      <c r="A81" s="840" t="s">
        <v>483</v>
      </c>
      <c r="B81" s="1483"/>
      <c r="C81" s="1485"/>
      <c r="D81" s="1483"/>
      <c r="E81" s="1485"/>
      <c r="F81" s="1483"/>
      <c r="G81" s="1485"/>
      <c r="H81" s="1483"/>
      <c r="I81" s="1484"/>
      <c r="J81" s="1483">
        <f t="shared" si="8"/>
        <v>0</v>
      </c>
      <c r="K81" s="1485"/>
      <c r="L81" s="1483">
        <v>80000</v>
      </c>
      <c r="M81" s="1486"/>
    </row>
    <row r="82" spans="1:13" s="497" customFormat="1" ht="16.5" customHeight="1">
      <c r="A82" s="840" t="s">
        <v>484</v>
      </c>
      <c r="B82" s="1483"/>
      <c r="C82" s="1485"/>
      <c r="D82" s="1483"/>
      <c r="E82" s="1485"/>
      <c r="F82" s="1483"/>
      <c r="G82" s="1485"/>
      <c r="H82" s="1483"/>
      <c r="I82" s="1484"/>
      <c r="J82" s="1483">
        <f t="shared" si="8"/>
        <v>0</v>
      </c>
      <c r="K82" s="1485"/>
      <c r="L82" s="1483">
        <v>850000</v>
      </c>
      <c r="M82" s="1486"/>
    </row>
    <row r="83" spans="1:13" s="497" customFormat="1" ht="16.5" customHeight="1">
      <c r="A83" s="840" t="s">
        <v>485</v>
      </c>
      <c r="B83" s="1483"/>
      <c r="C83" s="1485"/>
      <c r="D83" s="1483"/>
      <c r="E83" s="1485"/>
      <c r="F83" s="1483"/>
      <c r="G83" s="1485"/>
      <c r="H83" s="1483"/>
      <c r="I83" s="1484"/>
      <c r="J83" s="1483">
        <f>+D83+F83+H83</f>
        <v>0</v>
      </c>
      <c r="K83" s="1485"/>
      <c r="L83" s="1483">
        <v>220000</v>
      </c>
      <c r="M83" s="1486"/>
    </row>
    <row r="84" spans="1:13" s="497" customFormat="1" ht="16.5" customHeight="1" thickBot="1">
      <c r="A84" s="840" t="s">
        <v>161</v>
      </c>
      <c r="B84" s="1483"/>
      <c r="C84" s="1485"/>
      <c r="D84" s="1483">
        <v>804259</v>
      </c>
      <c r="E84" s="1485"/>
      <c r="F84" s="1483"/>
      <c r="G84" s="1485"/>
      <c r="H84" s="1483"/>
      <c r="I84" s="1484"/>
      <c r="J84" s="1483">
        <f>+D84+F84+H84</f>
        <v>804259</v>
      </c>
      <c r="K84" s="1485"/>
      <c r="L84" s="1483"/>
      <c r="M84" s="1486"/>
    </row>
    <row r="85" spans="1:19" ht="23.25" customHeight="1" thickBot="1">
      <c r="A85" s="683" t="s">
        <v>442</v>
      </c>
      <c r="B85" s="1042">
        <f>SUM(B71:C83)</f>
        <v>804259</v>
      </c>
      <c r="C85" s="1044"/>
      <c r="D85" s="1042">
        <f>SUM(D71:E84)</f>
        <v>9599000</v>
      </c>
      <c r="E85" s="1044"/>
      <c r="F85" s="1042">
        <f>SUM(F71:G83)</f>
        <v>0</v>
      </c>
      <c r="G85" s="1044"/>
      <c r="H85" s="1042">
        <f>SUM(H71:I83)</f>
        <v>0</v>
      </c>
      <c r="I85" s="1523"/>
      <c r="J85" s="1042">
        <f>SUM(J71:K84)</f>
        <v>9599000</v>
      </c>
      <c r="K85" s="1044"/>
      <c r="L85" s="1042">
        <f>SUM(L71:M84)</f>
        <v>7650000</v>
      </c>
      <c r="M85" s="1524"/>
      <c r="N85" s="276"/>
      <c r="P85" s="276"/>
      <c r="Q85" s="276"/>
      <c r="R85" s="276"/>
      <c r="S85" s="276"/>
    </row>
    <row r="86" spans="1:14" ht="5.25" customHeight="1" thickBot="1">
      <c r="A86"/>
      <c r="B86"/>
      <c r="C86"/>
      <c r="D86"/>
      <c r="E86"/>
      <c r="F86"/>
      <c r="G86"/>
      <c r="H86"/>
      <c r="I86"/>
      <c r="J86"/>
      <c r="K86"/>
      <c r="L86"/>
      <c r="M86"/>
      <c r="N86"/>
    </row>
    <row r="87" spans="1:33" ht="32.25" customHeight="1">
      <c r="A87" s="1072" t="s">
        <v>278</v>
      </c>
      <c r="B87" s="1488" t="s">
        <v>345</v>
      </c>
      <c r="C87" s="1489"/>
      <c r="D87" s="1066" t="s">
        <v>55</v>
      </c>
      <c r="E87" s="1067"/>
      <c r="F87" s="1067" t="s">
        <v>56</v>
      </c>
      <c r="G87" s="1175"/>
      <c r="H87" s="1086" t="s">
        <v>443</v>
      </c>
      <c r="I87" s="1086"/>
      <c r="J87" s="1066" t="s">
        <v>250</v>
      </c>
      <c r="K87" s="1066"/>
      <c r="L87" s="1204" t="s">
        <v>346</v>
      </c>
      <c r="M87" s="1073"/>
      <c r="N87" s="276"/>
      <c r="O87" s="276"/>
      <c r="P87" s="276"/>
      <c r="Q87" s="276"/>
      <c r="R87" s="276"/>
      <c r="S87" s="276"/>
      <c r="T87" s="276"/>
      <c r="U87" s="276"/>
      <c r="V87" s="276"/>
      <c r="W87" s="276"/>
      <c r="X87" s="276"/>
      <c r="Y87" s="276"/>
      <c r="Z87" s="276"/>
      <c r="AA87" s="276"/>
      <c r="AB87" s="276"/>
      <c r="AC87" s="276"/>
      <c r="AD87" s="276"/>
      <c r="AE87" s="276"/>
      <c r="AF87" s="276"/>
      <c r="AG87" s="276"/>
    </row>
    <row r="88" spans="1:33" ht="18" customHeight="1" thickBot="1">
      <c r="A88" s="1487" t="s">
        <v>279</v>
      </c>
      <c r="B88" s="1031" t="s">
        <v>275</v>
      </c>
      <c r="C88" s="1031"/>
      <c r="D88" s="1031" t="s">
        <v>58</v>
      </c>
      <c r="E88" s="1032"/>
      <c r="F88" s="1490" t="s">
        <v>280</v>
      </c>
      <c r="G88" s="1031"/>
      <c r="H88" s="1031" t="s">
        <v>276</v>
      </c>
      <c r="I88" s="1032"/>
      <c r="J88" s="1031" t="s">
        <v>60</v>
      </c>
      <c r="K88" s="1031"/>
      <c r="L88" s="1205"/>
      <c r="M88" s="1075"/>
      <c r="N88" s="276"/>
      <c r="O88" s="276"/>
      <c r="P88" s="276"/>
      <c r="Q88" s="276"/>
      <c r="R88" s="276"/>
      <c r="S88" s="276"/>
      <c r="T88" s="276"/>
      <c r="U88" s="276"/>
      <c r="V88" s="276"/>
      <c r="W88" s="276"/>
      <c r="X88" s="276"/>
      <c r="Y88" s="276"/>
      <c r="Z88" s="276"/>
      <c r="AA88" s="276"/>
      <c r="AB88" s="276"/>
      <c r="AC88" s="276"/>
      <c r="AD88" s="276"/>
      <c r="AE88" s="276"/>
      <c r="AF88" s="276"/>
      <c r="AG88" s="276"/>
    </row>
    <row r="89" spans="1:13" s="497" customFormat="1" ht="16.5" customHeight="1">
      <c r="A89" s="841" t="s">
        <v>444</v>
      </c>
      <c r="B89" s="1491"/>
      <c r="C89" s="1493"/>
      <c r="D89" s="1483">
        <v>1000000</v>
      </c>
      <c r="E89" s="1485"/>
      <c r="F89" s="1491"/>
      <c r="G89" s="1493"/>
      <c r="H89" s="1491"/>
      <c r="I89" s="1493"/>
      <c r="J89" s="1483">
        <f>+D89+F89+H89</f>
        <v>1000000</v>
      </c>
      <c r="K89" s="1485"/>
      <c r="L89" s="1491">
        <v>2000000</v>
      </c>
      <c r="M89" s="1492"/>
    </row>
    <row r="90" spans="1:13" s="497" customFormat="1" ht="16.5" customHeight="1">
      <c r="A90" s="840" t="s">
        <v>445</v>
      </c>
      <c r="B90" s="1483"/>
      <c r="C90" s="1485"/>
      <c r="D90" s="1483">
        <v>1400000</v>
      </c>
      <c r="E90" s="1485"/>
      <c r="F90" s="1483"/>
      <c r="G90" s="1485"/>
      <c r="H90" s="1483"/>
      <c r="I90" s="1485"/>
      <c r="J90" s="1483">
        <f>+D90+F90+H90</f>
        <v>1400000</v>
      </c>
      <c r="K90" s="1485"/>
      <c r="L90" s="1483"/>
      <c r="M90" s="1486"/>
    </row>
    <row r="91" spans="1:13" s="497" customFormat="1" ht="20.25" customHeight="1">
      <c r="A91" s="840" t="s">
        <v>446</v>
      </c>
      <c r="B91" s="1483"/>
      <c r="C91" s="1485"/>
      <c r="D91" s="1483">
        <v>2000000</v>
      </c>
      <c r="E91" s="1485"/>
      <c r="F91" s="1483"/>
      <c r="G91" s="1485"/>
      <c r="H91" s="1483"/>
      <c r="I91" s="1485"/>
      <c r="J91" s="1483">
        <f aca="true" t="shared" si="9" ref="J91:J104">+D91+F91+H91</f>
        <v>2000000</v>
      </c>
      <c r="K91" s="1485"/>
      <c r="L91" s="1483"/>
      <c r="M91" s="1486"/>
    </row>
    <row r="92" spans="1:13" s="497" customFormat="1" ht="16.5" customHeight="1">
      <c r="A92" s="840" t="s">
        <v>447</v>
      </c>
      <c r="B92" s="1483"/>
      <c r="C92" s="1485"/>
      <c r="D92" s="1483"/>
      <c r="E92" s="1485"/>
      <c r="F92" s="1483"/>
      <c r="G92" s="1485"/>
      <c r="H92" s="1483"/>
      <c r="I92" s="1485"/>
      <c r="J92" s="1483">
        <f>+D92+F92+H92</f>
        <v>0</v>
      </c>
      <c r="K92" s="1485"/>
      <c r="L92" s="1483">
        <v>12000000</v>
      </c>
      <c r="M92" s="1486"/>
    </row>
    <row r="93" spans="1:13" s="497" customFormat="1" ht="19.5" customHeight="1">
      <c r="A93" s="840" t="s">
        <v>448</v>
      </c>
      <c r="B93" s="1483"/>
      <c r="C93" s="1485"/>
      <c r="D93" s="1483">
        <v>280000</v>
      </c>
      <c r="E93" s="1485"/>
      <c r="F93" s="1483"/>
      <c r="G93" s="1485"/>
      <c r="H93" s="1483"/>
      <c r="I93" s="1485"/>
      <c r="J93" s="1483">
        <f t="shared" si="9"/>
        <v>280000</v>
      </c>
      <c r="K93" s="1485"/>
      <c r="L93" s="1483"/>
      <c r="M93" s="1486"/>
    </row>
    <row r="94" spans="1:13" s="497" customFormat="1" ht="16.5" customHeight="1">
      <c r="A94" s="840" t="s">
        <v>449</v>
      </c>
      <c r="B94" s="1483"/>
      <c r="C94" s="1485"/>
      <c r="D94" s="1483">
        <v>700000</v>
      </c>
      <c r="E94" s="1485"/>
      <c r="F94" s="1483"/>
      <c r="G94" s="1485"/>
      <c r="H94" s="1483"/>
      <c r="I94" s="1485"/>
      <c r="J94" s="1483">
        <f t="shared" si="9"/>
        <v>700000</v>
      </c>
      <c r="K94" s="1485"/>
      <c r="L94" s="1483"/>
      <c r="M94" s="1486"/>
    </row>
    <row r="95" spans="1:13" s="497" customFormat="1" ht="16.5" customHeight="1">
      <c r="A95" s="840" t="s">
        <v>450</v>
      </c>
      <c r="B95" s="1483"/>
      <c r="C95" s="1485"/>
      <c r="D95" s="1483">
        <v>1000000</v>
      </c>
      <c r="E95" s="1485"/>
      <c r="F95" s="1483"/>
      <c r="G95" s="1485"/>
      <c r="H95" s="1483"/>
      <c r="I95" s="1485"/>
      <c r="J95" s="1483">
        <f t="shared" si="9"/>
        <v>1000000</v>
      </c>
      <c r="K95" s="1485"/>
      <c r="L95" s="1483"/>
      <c r="M95" s="1486"/>
    </row>
    <row r="96" spans="1:13" s="497" customFormat="1" ht="16.5" customHeight="1">
      <c r="A96" s="840" t="s">
        <v>451</v>
      </c>
      <c r="B96" s="1483"/>
      <c r="C96" s="1485"/>
      <c r="D96" s="1483"/>
      <c r="E96" s="1485"/>
      <c r="F96" s="1483"/>
      <c r="G96" s="1485"/>
      <c r="H96" s="1483"/>
      <c r="I96" s="1485"/>
      <c r="J96" s="1483">
        <f>+D96+F96+H96</f>
        <v>0</v>
      </c>
      <c r="K96" s="1485"/>
      <c r="L96" s="1483">
        <v>1000000</v>
      </c>
      <c r="M96" s="1486"/>
    </row>
    <row r="97" spans="1:13" s="497" customFormat="1" ht="16.5" customHeight="1">
      <c r="A97" s="840" t="s">
        <v>452</v>
      </c>
      <c r="B97" s="1483"/>
      <c r="C97" s="1485"/>
      <c r="D97" s="1483"/>
      <c r="E97" s="1485"/>
      <c r="F97" s="1483"/>
      <c r="G97" s="1485"/>
      <c r="H97" s="1483"/>
      <c r="I97" s="1485"/>
      <c r="J97" s="1483">
        <f>+D97+F97+H97</f>
        <v>0</v>
      </c>
      <c r="K97" s="1485"/>
      <c r="L97" s="1483">
        <v>1000000</v>
      </c>
      <c r="M97" s="1486"/>
    </row>
    <row r="98" spans="1:13" s="497" customFormat="1" ht="16.5" customHeight="1">
      <c r="A98" s="840" t="s">
        <v>453</v>
      </c>
      <c r="B98" s="1483"/>
      <c r="C98" s="1485"/>
      <c r="D98" s="1483">
        <v>250000</v>
      </c>
      <c r="E98" s="1485"/>
      <c r="F98" s="1483"/>
      <c r="G98" s="1485"/>
      <c r="H98" s="1483"/>
      <c r="I98" s="1485"/>
      <c r="J98" s="1483">
        <f t="shared" si="9"/>
        <v>250000</v>
      </c>
      <c r="K98" s="1485"/>
      <c r="L98" s="1483"/>
      <c r="M98" s="1486"/>
    </row>
    <row r="99" spans="1:13" s="497" customFormat="1" ht="16.5" customHeight="1">
      <c r="A99" s="840" t="s">
        <v>454</v>
      </c>
      <c r="B99" s="1483"/>
      <c r="C99" s="1485"/>
      <c r="D99" s="1483">
        <v>75000</v>
      </c>
      <c r="E99" s="1485"/>
      <c r="F99" s="1483"/>
      <c r="G99" s="1485"/>
      <c r="H99" s="1483"/>
      <c r="I99" s="1485"/>
      <c r="J99" s="1483">
        <f t="shared" si="9"/>
        <v>75000</v>
      </c>
      <c r="K99" s="1485"/>
      <c r="L99" s="1483"/>
      <c r="M99" s="1486"/>
    </row>
    <row r="100" spans="1:13" s="497" customFormat="1" ht="16.5" customHeight="1">
      <c r="A100" s="840" t="s">
        <v>455</v>
      </c>
      <c r="B100" s="1483"/>
      <c r="C100" s="1485"/>
      <c r="D100" s="1483">
        <v>40000</v>
      </c>
      <c r="E100" s="1485"/>
      <c r="F100" s="1483"/>
      <c r="G100" s="1485"/>
      <c r="H100" s="1483"/>
      <c r="I100" s="1485"/>
      <c r="J100" s="1483">
        <f t="shared" si="9"/>
        <v>40000</v>
      </c>
      <c r="K100" s="1485"/>
      <c r="L100" s="1483"/>
      <c r="M100" s="1486"/>
    </row>
    <row r="101" spans="1:13" s="497" customFormat="1" ht="19.5" customHeight="1">
      <c r="A101" s="840" t="s">
        <v>456</v>
      </c>
      <c r="B101" s="1483"/>
      <c r="C101" s="1485"/>
      <c r="D101" s="1483">
        <v>100000</v>
      </c>
      <c r="E101" s="1485"/>
      <c r="F101" s="1483"/>
      <c r="G101" s="1485"/>
      <c r="H101" s="1483"/>
      <c r="I101" s="1485"/>
      <c r="J101" s="1483">
        <f t="shared" si="9"/>
        <v>100000</v>
      </c>
      <c r="K101" s="1485"/>
      <c r="L101" s="1483"/>
      <c r="M101" s="1486"/>
    </row>
    <row r="102" spans="1:13" s="497" customFormat="1" ht="16.5" customHeight="1">
      <c r="A102" s="840" t="s">
        <v>457</v>
      </c>
      <c r="B102" s="1483"/>
      <c r="C102" s="1485"/>
      <c r="D102" s="1483">
        <v>70000</v>
      </c>
      <c r="E102" s="1485"/>
      <c r="F102" s="1483"/>
      <c r="G102" s="1485"/>
      <c r="H102" s="1483"/>
      <c r="I102" s="1485"/>
      <c r="J102" s="1483">
        <f t="shared" si="9"/>
        <v>70000</v>
      </c>
      <c r="K102" s="1485"/>
      <c r="L102" s="1483"/>
      <c r="M102" s="1486"/>
    </row>
    <row r="103" spans="1:13" s="497" customFormat="1" ht="16.5" customHeight="1">
      <c r="A103" s="840" t="s">
        <v>458</v>
      </c>
      <c r="B103" s="1483"/>
      <c r="C103" s="1485"/>
      <c r="D103" s="1483">
        <v>150000</v>
      </c>
      <c r="E103" s="1485"/>
      <c r="F103" s="1483"/>
      <c r="G103" s="1485"/>
      <c r="H103" s="1483"/>
      <c r="I103" s="1485"/>
      <c r="J103" s="1483">
        <f t="shared" si="9"/>
        <v>150000</v>
      </c>
      <c r="K103" s="1485"/>
      <c r="L103" s="1483"/>
      <c r="M103" s="1486"/>
    </row>
    <row r="104" spans="1:13" s="497" customFormat="1" ht="16.5" customHeight="1">
      <c r="A104" s="840" t="s">
        <v>459</v>
      </c>
      <c r="B104" s="1483"/>
      <c r="C104" s="1485"/>
      <c r="D104" s="1483">
        <v>200000</v>
      </c>
      <c r="E104" s="1485"/>
      <c r="F104" s="1483"/>
      <c r="G104" s="1485"/>
      <c r="H104" s="1483"/>
      <c r="I104" s="1485"/>
      <c r="J104" s="1483">
        <f t="shared" si="9"/>
        <v>200000</v>
      </c>
      <c r="K104" s="1485"/>
      <c r="L104" s="1483"/>
      <c r="M104" s="1486"/>
    </row>
    <row r="105" spans="1:13" s="497" customFormat="1" ht="16.5" customHeight="1">
      <c r="A105" s="840" t="s">
        <v>460</v>
      </c>
      <c r="B105" s="1483"/>
      <c r="C105" s="1485"/>
      <c r="D105" s="1483">
        <v>70000</v>
      </c>
      <c r="E105" s="1485"/>
      <c r="F105" s="1483"/>
      <c r="G105" s="1485"/>
      <c r="H105" s="1483"/>
      <c r="I105" s="1485"/>
      <c r="J105" s="1483">
        <f aca="true" t="shared" si="10" ref="J105:J119">+D105+F105+H105</f>
        <v>70000</v>
      </c>
      <c r="K105" s="1485"/>
      <c r="L105" s="1483"/>
      <c r="M105" s="1486"/>
    </row>
    <row r="106" spans="1:13" s="497" customFormat="1" ht="16.5" customHeight="1">
      <c r="A106" s="840" t="s">
        <v>461</v>
      </c>
      <c r="B106" s="1483"/>
      <c r="C106" s="1485"/>
      <c r="D106" s="1483">
        <v>70000</v>
      </c>
      <c r="E106" s="1485"/>
      <c r="F106" s="1483"/>
      <c r="G106" s="1485"/>
      <c r="H106" s="1483"/>
      <c r="I106" s="1485"/>
      <c r="J106" s="1483">
        <f t="shared" si="10"/>
        <v>70000</v>
      </c>
      <c r="K106" s="1485"/>
      <c r="L106" s="1483"/>
      <c r="M106" s="1486"/>
    </row>
    <row r="107" spans="1:13" s="497" customFormat="1" ht="16.5" customHeight="1">
      <c r="A107" s="840" t="s">
        <v>462</v>
      </c>
      <c r="B107" s="1483"/>
      <c r="C107" s="1485"/>
      <c r="D107" s="1483">
        <v>550000</v>
      </c>
      <c r="E107" s="1485"/>
      <c r="F107" s="1483"/>
      <c r="G107" s="1485"/>
      <c r="H107" s="1483"/>
      <c r="I107" s="1485"/>
      <c r="J107" s="1483">
        <f t="shared" si="10"/>
        <v>550000</v>
      </c>
      <c r="K107" s="1485"/>
      <c r="L107" s="1483"/>
      <c r="M107" s="1486"/>
    </row>
    <row r="108" spans="1:13" s="497" customFormat="1" ht="16.5" customHeight="1">
      <c r="A108" s="840" t="s">
        <v>463</v>
      </c>
      <c r="B108" s="1483"/>
      <c r="C108" s="1485"/>
      <c r="D108" s="1483">
        <v>1000000</v>
      </c>
      <c r="E108" s="1485"/>
      <c r="F108" s="1483"/>
      <c r="G108" s="1485"/>
      <c r="H108" s="1483"/>
      <c r="I108" s="1485"/>
      <c r="J108" s="1483">
        <f t="shared" si="10"/>
        <v>1000000</v>
      </c>
      <c r="K108" s="1485"/>
      <c r="L108" s="1483"/>
      <c r="M108" s="1486"/>
    </row>
    <row r="109" spans="1:13" s="497" customFormat="1" ht="16.5" customHeight="1">
      <c r="A109" s="840" t="s">
        <v>464</v>
      </c>
      <c r="B109" s="1483"/>
      <c r="C109" s="1485"/>
      <c r="D109" s="1483">
        <v>300000</v>
      </c>
      <c r="E109" s="1485"/>
      <c r="F109" s="1483"/>
      <c r="G109" s="1485"/>
      <c r="H109" s="1483"/>
      <c r="I109" s="1485"/>
      <c r="J109" s="1483">
        <f aca="true" t="shared" si="11" ref="J109:J115">+D109+F109+H109</f>
        <v>300000</v>
      </c>
      <c r="K109" s="1485"/>
      <c r="L109" s="1483"/>
      <c r="M109" s="1486"/>
    </row>
    <row r="110" spans="1:13" s="497" customFormat="1" ht="16.5" customHeight="1">
      <c r="A110" s="840" t="s">
        <v>465</v>
      </c>
      <c r="B110" s="1483"/>
      <c r="C110" s="1485"/>
      <c r="D110" s="1483">
        <v>200000</v>
      </c>
      <c r="E110" s="1485"/>
      <c r="F110" s="1483"/>
      <c r="G110" s="1485"/>
      <c r="H110" s="1483"/>
      <c r="I110" s="1485"/>
      <c r="J110" s="1483">
        <f t="shared" si="11"/>
        <v>200000</v>
      </c>
      <c r="K110" s="1485"/>
      <c r="L110" s="1483"/>
      <c r="M110" s="1486"/>
    </row>
    <row r="111" spans="1:13" s="497" customFormat="1" ht="19.5" customHeight="1">
      <c r="A111" s="840" t="s">
        <v>466</v>
      </c>
      <c r="B111" s="1483"/>
      <c r="C111" s="1485"/>
      <c r="D111" s="1483">
        <v>100000</v>
      </c>
      <c r="E111" s="1485"/>
      <c r="F111" s="1483"/>
      <c r="G111" s="1485"/>
      <c r="H111" s="1483"/>
      <c r="I111" s="1485"/>
      <c r="J111" s="1483">
        <f t="shared" si="11"/>
        <v>100000</v>
      </c>
      <c r="K111" s="1485"/>
      <c r="L111" s="1483"/>
      <c r="M111" s="1486"/>
    </row>
    <row r="112" spans="1:13" s="497" customFormat="1" ht="21.75" customHeight="1">
      <c r="A112" s="840" t="s">
        <v>467</v>
      </c>
      <c r="B112" s="1483"/>
      <c r="C112" s="1485"/>
      <c r="D112" s="1483"/>
      <c r="E112" s="1485"/>
      <c r="F112" s="1483"/>
      <c r="G112" s="1485"/>
      <c r="H112" s="1483"/>
      <c r="I112" s="1485"/>
      <c r="J112" s="1483">
        <f t="shared" si="11"/>
        <v>0</v>
      </c>
      <c r="K112" s="1485"/>
      <c r="L112" s="1483">
        <v>375000</v>
      </c>
      <c r="M112" s="1486"/>
    </row>
    <row r="113" spans="1:13" s="497" customFormat="1" ht="16.5" customHeight="1">
      <c r="A113" s="840" t="s">
        <v>468</v>
      </c>
      <c r="B113" s="1483"/>
      <c r="C113" s="1485"/>
      <c r="D113" s="1483">
        <v>25000</v>
      </c>
      <c r="E113" s="1485"/>
      <c r="F113" s="1483"/>
      <c r="G113" s="1485"/>
      <c r="H113" s="1483"/>
      <c r="I113" s="1485"/>
      <c r="J113" s="1483">
        <f t="shared" si="11"/>
        <v>25000</v>
      </c>
      <c r="K113" s="1485"/>
      <c r="L113" s="1483"/>
      <c r="M113" s="1486"/>
    </row>
    <row r="114" spans="1:13" s="497" customFormat="1" ht="16.5" customHeight="1">
      <c r="A114" s="840" t="s">
        <v>469</v>
      </c>
      <c r="B114" s="1483"/>
      <c r="C114" s="1485"/>
      <c r="D114" s="1483">
        <v>140000</v>
      </c>
      <c r="E114" s="1485"/>
      <c r="F114" s="1483"/>
      <c r="G114" s="1485"/>
      <c r="H114" s="1483"/>
      <c r="I114" s="1485"/>
      <c r="J114" s="1483">
        <f t="shared" si="11"/>
        <v>140000</v>
      </c>
      <c r="K114" s="1485"/>
      <c r="L114" s="1483"/>
      <c r="M114" s="1486"/>
    </row>
    <row r="115" spans="1:13" s="497" customFormat="1" ht="24.75" customHeight="1">
      <c r="A115" s="840" t="s">
        <v>470</v>
      </c>
      <c r="B115" s="1483"/>
      <c r="C115" s="1485"/>
      <c r="D115" s="1483">
        <v>70000</v>
      </c>
      <c r="E115" s="1485"/>
      <c r="F115" s="1483"/>
      <c r="G115" s="1485"/>
      <c r="H115" s="1483"/>
      <c r="I115" s="1485"/>
      <c r="J115" s="1483">
        <f t="shared" si="11"/>
        <v>70000</v>
      </c>
      <c r="K115" s="1485"/>
      <c r="L115" s="1483"/>
      <c r="M115" s="1486"/>
    </row>
    <row r="116" spans="1:13" s="497" customFormat="1" ht="25.5" customHeight="1">
      <c r="A116" s="840" t="s">
        <v>471</v>
      </c>
      <c r="B116" s="1483"/>
      <c r="C116" s="1485"/>
      <c r="D116" s="1483">
        <v>160000</v>
      </c>
      <c r="E116" s="1485"/>
      <c r="F116" s="1483"/>
      <c r="G116" s="1485"/>
      <c r="H116" s="1483"/>
      <c r="I116" s="1485"/>
      <c r="J116" s="1483">
        <f t="shared" si="10"/>
        <v>160000</v>
      </c>
      <c r="K116" s="1485"/>
      <c r="L116" s="1483"/>
      <c r="M116" s="1486"/>
    </row>
    <row r="117" spans="1:13" s="497" customFormat="1" ht="16.5" customHeight="1">
      <c r="A117" s="840" t="s">
        <v>472</v>
      </c>
      <c r="B117" s="1483"/>
      <c r="C117" s="1485"/>
      <c r="D117" s="1483">
        <v>60000</v>
      </c>
      <c r="E117" s="1485"/>
      <c r="F117" s="1483"/>
      <c r="G117" s="1485"/>
      <c r="H117" s="1483"/>
      <c r="I117" s="1485"/>
      <c r="J117" s="1483">
        <f t="shared" si="10"/>
        <v>60000</v>
      </c>
      <c r="K117" s="1485"/>
      <c r="L117" s="1483"/>
      <c r="M117" s="1486"/>
    </row>
    <row r="118" spans="1:13" s="497" customFormat="1" ht="15" customHeight="1">
      <c r="A118" s="840" t="s">
        <v>473</v>
      </c>
      <c r="B118" s="1483"/>
      <c r="C118" s="1485"/>
      <c r="D118" s="1483">
        <v>100000</v>
      </c>
      <c r="E118" s="1485"/>
      <c r="F118" s="1483"/>
      <c r="G118" s="1485"/>
      <c r="H118" s="1483"/>
      <c r="I118" s="1485"/>
      <c r="J118" s="1483">
        <f t="shared" si="10"/>
        <v>100000</v>
      </c>
      <c r="K118" s="1485"/>
      <c r="L118" s="1483"/>
      <c r="M118" s="1486"/>
    </row>
    <row r="119" spans="1:13" s="497" customFormat="1" ht="27" customHeight="1">
      <c r="A119" s="840" t="s">
        <v>474</v>
      </c>
      <c r="B119" s="1483"/>
      <c r="C119" s="1485"/>
      <c r="D119" s="1483">
        <v>670000</v>
      </c>
      <c r="E119" s="1485"/>
      <c r="F119" s="1483"/>
      <c r="G119" s="1485"/>
      <c r="H119" s="1483"/>
      <c r="I119" s="1485"/>
      <c r="J119" s="1483">
        <f t="shared" si="10"/>
        <v>670000</v>
      </c>
      <c r="K119" s="1485"/>
      <c r="L119" s="1483"/>
      <c r="M119" s="1486"/>
    </row>
    <row r="120" spans="1:13" s="497" customFormat="1" ht="24" customHeight="1" thickBot="1">
      <c r="A120" s="840" t="s">
        <v>525</v>
      </c>
      <c r="B120" s="1483">
        <v>650000</v>
      </c>
      <c r="C120" s="1485"/>
      <c r="D120" s="1483"/>
      <c r="E120" s="1485"/>
      <c r="F120" s="1483"/>
      <c r="G120" s="1485"/>
      <c r="H120" s="1483"/>
      <c r="I120" s="1485"/>
      <c r="J120" s="1483">
        <f>+D120+F120+H120</f>
        <v>0</v>
      </c>
      <c r="K120" s="1485"/>
      <c r="L120" s="1483"/>
      <c r="M120" s="1486"/>
    </row>
    <row r="121" spans="1:13" s="614" customFormat="1" ht="23.25" customHeight="1" thickBot="1">
      <c r="A121" s="683" t="s">
        <v>406</v>
      </c>
      <c r="B121" s="1044">
        <f>SUM(B89:C120)</f>
        <v>650000</v>
      </c>
      <c r="C121" s="1041"/>
      <c r="D121" s="1041">
        <f>SUM(D89:E120)</f>
        <v>10780000</v>
      </c>
      <c r="E121" s="1041"/>
      <c r="F121" s="1041">
        <f>SUM(F89:F119)</f>
        <v>0</v>
      </c>
      <c r="G121" s="1041"/>
      <c r="H121" s="1041">
        <f>SUM(H89:H119)</f>
        <v>0</v>
      </c>
      <c r="I121" s="1041"/>
      <c r="J121" s="1041">
        <f>SUM(J89:K120)</f>
        <v>10780000</v>
      </c>
      <c r="K121" s="1041"/>
      <c r="L121" s="1041">
        <f>SUM(L89:M119)</f>
        <v>16375000</v>
      </c>
      <c r="M121" s="1046"/>
    </row>
    <row r="122" spans="1:33" ht="3.75" customHeight="1" thickBot="1">
      <c r="A122" s="276"/>
      <c r="B122" s="302"/>
      <c r="C122" s="302"/>
      <c r="D122" s="302"/>
      <c r="E122" s="302"/>
      <c r="F122" s="302"/>
      <c r="G122" s="302"/>
      <c r="H122" s="302"/>
      <c r="I122" s="302"/>
      <c r="J122" s="302"/>
      <c r="K122" s="302"/>
      <c r="L122" s="302"/>
      <c r="M122" s="302"/>
      <c r="N122" s="276"/>
      <c r="O122" s="276"/>
      <c r="P122" s="276"/>
      <c r="Q122" s="276"/>
      <c r="R122" s="276"/>
      <c r="S122" s="276"/>
      <c r="T122" s="276"/>
      <c r="U122" s="276"/>
      <c r="V122" s="276"/>
      <c r="W122" s="276"/>
      <c r="X122" s="276"/>
      <c r="Y122" s="276"/>
      <c r="Z122" s="276"/>
      <c r="AA122" s="276"/>
      <c r="AB122" s="276"/>
      <c r="AC122" s="276"/>
      <c r="AD122" s="276"/>
      <c r="AE122" s="276"/>
      <c r="AF122" s="276"/>
      <c r="AG122" s="276"/>
    </row>
    <row r="123" spans="1:13" s="614" customFormat="1" ht="18" customHeight="1" thickBot="1">
      <c r="A123" s="433" t="s">
        <v>61</v>
      </c>
      <c r="B123" s="1041">
        <f>+B121+B85</f>
        <v>1454259</v>
      </c>
      <c r="C123" s="1041"/>
      <c r="D123" s="1044">
        <f>+D121+D85</f>
        <v>20379000</v>
      </c>
      <c r="E123" s="1042"/>
      <c r="F123" s="1041">
        <f>+F121+F85</f>
        <v>0</v>
      </c>
      <c r="G123" s="1041"/>
      <c r="H123" s="1044">
        <f>+H121+H85</f>
        <v>0</v>
      </c>
      <c r="I123" s="1042"/>
      <c r="J123" s="1041">
        <f>+J121+J85</f>
        <v>20379000</v>
      </c>
      <c r="K123" s="1041"/>
      <c r="L123" s="1044">
        <f>+L121+L85</f>
        <v>24025000</v>
      </c>
      <c r="M123" s="1046"/>
    </row>
    <row r="124" ht="14.25" customHeight="1" thickBot="1"/>
    <row r="125" spans="1:14" ht="25.5" customHeight="1" thickBot="1">
      <c r="A125" s="836" t="s">
        <v>282</v>
      </c>
      <c r="B125" s="86" t="s">
        <v>283</v>
      </c>
      <c r="C125" s="1502" t="s">
        <v>284</v>
      </c>
      <c r="D125" s="1503"/>
      <c r="E125" s="1504"/>
      <c r="F125" s="483" t="s">
        <v>283</v>
      </c>
      <c r="G125"/>
      <c r="H125"/>
      <c r="I125"/>
      <c r="J125"/>
      <c r="K125"/>
      <c r="L125"/>
      <c r="M125"/>
      <c r="N125"/>
    </row>
    <row r="126" spans="1:6" s="27" customFormat="1" ht="14.25" customHeight="1">
      <c r="A126" s="484" t="s">
        <v>513</v>
      </c>
      <c r="B126" s="485">
        <v>250</v>
      </c>
      <c r="C126" s="1505" t="s">
        <v>510</v>
      </c>
      <c r="D126" s="1506"/>
      <c r="E126" s="1507"/>
      <c r="F126" s="488">
        <v>600</v>
      </c>
    </row>
    <row r="127" spans="1:6" s="27" customFormat="1" ht="14.25" customHeight="1">
      <c r="A127" s="489" t="s">
        <v>436</v>
      </c>
      <c r="B127" s="490">
        <v>250</v>
      </c>
      <c r="C127" s="1508" t="s">
        <v>511</v>
      </c>
      <c r="D127" s="1509"/>
      <c r="E127" s="1510"/>
      <c r="F127" s="491">
        <f>4350+2000</f>
        <v>6350</v>
      </c>
    </row>
    <row r="128" spans="1:6" s="27" customFormat="1" ht="14.25" customHeight="1">
      <c r="A128" s="489" t="s">
        <v>514</v>
      </c>
      <c r="B128" s="490">
        <v>1400</v>
      </c>
      <c r="C128" s="1508" t="s">
        <v>512</v>
      </c>
      <c r="D128" s="1509"/>
      <c r="E128" s="1510"/>
      <c r="F128" s="491">
        <v>300</v>
      </c>
    </row>
    <row r="129" spans="1:6" s="27" customFormat="1" ht="14.25" customHeight="1">
      <c r="A129" s="489" t="s">
        <v>515</v>
      </c>
      <c r="B129" s="490">
        <v>350</v>
      </c>
      <c r="C129" s="1511"/>
      <c r="D129" s="1512"/>
      <c r="E129" s="1513"/>
      <c r="F129" s="491"/>
    </row>
    <row r="130" spans="1:6" s="27" customFormat="1" ht="14.25" customHeight="1">
      <c r="A130" s="489" t="s">
        <v>516</v>
      </c>
      <c r="B130" s="490">
        <v>80</v>
      </c>
      <c r="C130" s="1511"/>
      <c r="D130" s="1512"/>
      <c r="E130" s="1513"/>
      <c r="F130" s="491"/>
    </row>
    <row r="131" spans="1:6" s="27" customFormat="1" ht="14.25" customHeight="1">
      <c r="A131" s="489" t="s">
        <v>517</v>
      </c>
      <c r="B131" s="490">
        <v>60</v>
      </c>
      <c r="C131" s="1511"/>
      <c r="D131" s="1512"/>
      <c r="E131" s="1513"/>
      <c r="F131" s="491"/>
    </row>
    <row r="132" spans="1:6" s="27" customFormat="1" ht="14.25" customHeight="1">
      <c r="A132" s="489" t="s">
        <v>518</v>
      </c>
      <c r="B132" s="490">
        <v>50</v>
      </c>
      <c r="C132" s="1511"/>
      <c r="D132" s="1512"/>
      <c r="E132" s="1513"/>
      <c r="F132" s="491"/>
    </row>
    <row r="133" spans="1:6" s="27" customFormat="1" ht="14.25" customHeight="1">
      <c r="A133" s="489" t="s">
        <v>519</v>
      </c>
      <c r="B133" s="490">
        <v>32</v>
      </c>
      <c r="C133" s="1511"/>
      <c r="D133" s="1512"/>
      <c r="E133" s="1513"/>
      <c r="F133" s="491"/>
    </row>
    <row r="134" spans="1:6" s="27" customFormat="1" ht="14.25" customHeight="1">
      <c r="A134" s="489" t="s">
        <v>415</v>
      </c>
      <c r="B134" s="490">
        <v>50</v>
      </c>
      <c r="C134" s="1511"/>
      <c r="D134" s="1512"/>
      <c r="E134" s="1513"/>
      <c r="F134" s="492"/>
    </row>
    <row r="135" spans="1:6" s="27" customFormat="1" ht="14.25" customHeight="1" thickBot="1">
      <c r="A135" s="489" t="s">
        <v>520</v>
      </c>
      <c r="B135" s="490">
        <v>400</v>
      </c>
      <c r="C135" s="1511"/>
      <c r="D135" s="1512"/>
      <c r="E135" s="1513"/>
      <c r="F135" s="492"/>
    </row>
    <row r="136" spans="1:6" s="496" customFormat="1" ht="12" thickBot="1">
      <c r="A136" s="244" t="s">
        <v>285</v>
      </c>
      <c r="B136" s="240">
        <f>SUM(B126:B135)</f>
        <v>2922</v>
      </c>
      <c r="C136" s="1514" t="s">
        <v>4</v>
      </c>
      <c r="D136" s="1515"/>
      <c r="E136" s="1516"/>
      <c r="F136" s="241">
        <f>SUM(F126:F134)</f>
        <v>7250</v>
      </c>
    </row>
    <row r="137" ht="12" customHeight="1" thickBot="1"/>
    <row r="138" ht="13.5" hidden="1" thickBot="1"/>
    <row r="139" spans="1:9" ht="12.75" customHeight="1">
      <c r="A139" s="1426" t="s">
        <v>62</v>
      </c>
      <c r="B139" s="1429" t="s">
        <v>301</v>
      </c>
      <c r="C139" s="1018" t="s">
        <v>206</v>
      </c>
      <c r="D139" s="1161"/>
      <c r="E139" s="1161"/>
      <c r="F139" s="1161"/>
      <c r="G139" s="1161"/>
      <c r="H139" s="1162"/>
      <c r="I139" s="1101" t="s">
        <v>302</v>
      </c>
    </row>
    <row r="140" spans="1:9" ht="12.75">
      <c r="A140" s="1427"/>
      <c r="B140" s="1430"/>
      <c r="C140" s="1474" t="s">
        <v>45</v>
      </c>
      <c r="D140" s="1476" t="s">
        <v>63</v>
      </c>
      <c r="E140" s="1477"/>
      <c r="F140" s="1477"/>
      <c r="G140" s="1477"/>
      <c r="H140" s="1478"/>
      <c r="I140" s="1258"/>
    </row>
    <row r="141" spans="1:9" ht="12.75" customHeight="1" thickBot="1">
      <c r="A141" s="1428"/>
      <c r="B141" s="1431"/>
      <c r="C141" s="1475"/>
      <c r="D141" s="357">
        <v>1</v>
      </c>
      <c r="E141" s="357">
        <v>2</v>
      </c>
      <c r="F141" s="357">
        <v>3</v>
      </c>
      <c r="G141" s="357">
        <v>4</v>
      </c>
      <c r="H141" s="358">
        <v>5</v>
      </c>
      <c r="I141" s="1432"/>
    </row>
    <row r="142" spans="1:14" s="356" customFormat="1" ht="15.75" customHeight="1" thickBot="1">
      <c r="A142" s="499">
        <v>59745.693</v>
      </c>
      <c r="B142" s="410">
        <v>6603.082</v>
      </c>
      <c r="C142" s="410">
        <f>SUM(D142:H142)</f>
        <v>4901.344000000001</v>
      </c>
      <c r="D142" s="410">
        <f>1967.564+13.488+252.696</f>
        <v>2233.748</v>
      </c>
      <c r="E142" s="410">
        <f>200.548+1392.54+939.408</f>
        <v>2532.496</v>
      </c>
      <c r="F142" s="410">
        <v>5.916</v>
      </c>
      <c r="G142" s="410">
        <v>0</v>
      </c>
      <c r="H142" s="642">
        <v>129.184</v>
      </c>
      <c r="I142" s="411">
        <f>SUM(A142-B142-C142)</f>
        <v>48241.26699999999</v>
      </c>
      <c r="J142" s="412"/>
      <c r="K142" s="412"/>
      <c r="L142" s="412"/>
      <c r="M142" s="412"/>
      <c r="N142" s="412"/>
    </row>
    <row r="143" ht="3.75" customHeight="1"/>
    <row r="144" ht="15.75" customHeight="1" thickBot="1">
      <c r="A144" s="184" t="s">
        <v>312</v>
      </c>
    </row>
    <row r="145" spans="1:12" ht="12.75" customHeight="1">
      <c r="A145" s="978" t="s">
        <v>64</v>
      </c>
      <c r="B145" s="977" t="s">
        <v>163</v>
      </c>
      <c r="C145" s="1517" t="s">
        <v>207</v>
      </c>
      <c r="D145" s="1518"/>
      <c r="E145" s="1518"/>
      <c r="F145" s="1324"/>
      <c r="G145" s="977" t="s">
        <v>208</v>
      </c>
      <c r="H145" s="1073" t="s">
        <v>65</v>
      </c>
      <c r="I145" s="974" t="s">
        <v>209</v>
      </c>
      <c r="J145" s="1154"/>
      <c r="K145" s="1154"/>
      <c r="L145" s="1501"/>
    </row>
    <row r="146" spans="1:12" ht="18.75" thickBot="1">
      <c r="A146" s="976"/>
      <c r="B146" s="973"/>
      <c r="C146" s="45" t="s">
        <v>228</v>
      </c>
      <c r="D146" s="46" t="s">
        <v>66</v>
      </c>
      <c r="E146" s="46" t="s">
        <v>67</v>
      </c>
      <c r="F146" s="47" t="s">
        <v>68</v>
      </c>
      <c r="G146" s="973"/>
      <c r="H146" s="1075"/>
      <c r="I146" s="72" t="s">
        <v>164</v>
      </c>
      <c r="J146" s="46" t="s">
        <v>66</v>
      </c>
      <c r="K146" s="46" t="s">
        <v>67</v>
      </c>
      <c r="L146" s="47" t="s">
        <v>165</v>
      </c>
    </row>
    <row r="147" spans="1:12" ht="12.75">
      <c r="A147" s="360" t="s">
        <v>69</v>
      </c>
      <c r="B147" s="363">
        <v>27184.29</v>
      </c>
      <c r="C147" s="745" t="s">
        <v>70</v>
      </c>
      <c r="D147" s="746" t="s">
        <v>70</v>
      </c>
      <c r="E147" s="746" t="s">
        <v>70</v>
      </c>
      <c r="F147" s="504" t="s">
        <v>70</v>
      </c>
      <c r="G147" s="363">
        <v>32376.11</v>
      </c>
      <c r="H147" s="364" t="s">
        <v>70</v>
      </c>
      <c r="I147" s="361" t="s">
        <v>70</v>
      </c>
      <c r="J147" s="361" t="s">
        <v>70</v>
      </c>
      <c r="K147" s="361" t="s">
        <v>70</v>
      </c>
      <c r="L147" s="362" t="s">
        <v>70</v>
      </c>
    </row>
    <row r="148" spans="1:12" ht="12.75">
      <c r="A148" s="365" t="s">
        <v>71</v>
      </c>
      <c r="B148" s="368">
        <v>543.17</v>
      </c>
      <c r="C148" s="269">
        <v>543.17</v>
      </c>
      <c r="D148" s="49">
        <v>0</v>
      </c>
      <c r="E148" s="49">
        <v>0</v>
      </c>
      <c r="F148" s="367">
        <f>+C148+D148-E148</f>
        <v>543.17</v>
      </c>
      <c r="G148" s="368">
        <v>543.17</v>
      </c>
      <c r="H148" s="369">
        <f>+G148-F148</f>
        <v>0</v>
      </c>
      <c r="I148" s="49">
        <f>+F148</f>
        <v>543.17</v>
      </c>
      <c r="J148" s="49">
        <v>0</v>
      </c>
      <c r="K148" s="49">
        <v>0</v>
      </c>
      <c r="L148" s="367">
        <f>+I148+J148-K148</f>
        <v>543.17</v>
      </c>
    </row>
    <row r="149" spans="1:12" ht="12.75">
      <c r="A149" s="365" t="s">
        <v>72</v>
      </c>
      <c r="B149" s="368">
        <v>988.65</v>
      </c>
      <c r="C149" s="269">
        <v>988.65</v>
      </c>
      <c r="D149" s="49"/>
      <c r="E149" s="49"/>
      <c r="F149" s="367">
        <v>1192.51</v>
      </c>
      <c r="G149" s="368">
        <v>1192.51</v>
      </c>
      <c r="H149" s="368">
        <f>+G149-F149</f>
        <v>0</v>
      </c>
      <c r="I149" s="49">
        <f>+F149</f>
        <v>1192.51</v>
      </c>
      <c r="J149" s="49"/>
      <c r="K149" s="49"/>
      <c r="L149" s="367">
        <f>+I149+J149-K149</f>
        <v>1192.51</v>
      </c>
    </row>
    <row r="150" spans="1:12" ht="12.75">
      <c r="A150" s="365" t="s">
        <v>73</v>
      </c>
      <c r="B150" s="368">
        <v>-58680.66</v>
      </c>
      <c r="C150" s="745" t="s">
        <v>70</v>
      </c>
      <c r="D150" s="502" t="s">
        <v>70</v>
      </c>
      <c r="E150" s="502" t="s">
        <v>70</v>
      </c>
      <c r="F150" s="504" t="s">
        <v>70</v>
      </c>
      <c r="G150" s="368">
        <v>-38558.21</v>
      </c>
      <c r="H150" s="504" t="s">
        <v>70</v>
      </c>
      <c r="I150" s="361" t="s">
        <v>70</v>
      </c>
      <c r="J150" s="361" t="s">
        <v>70</v>
      </c>
      <c r="K150" s="361" t="s">
        <v>70</v>
      </c>
      <c r="L150" s="362" t="s">
        <v>70</v>
      </c>
    </row>
    <row r="151" spans="1:12" ht="12.75">
      <c r="A151" s="365" t="s">
        <v>74</v>
      </c>
      <c r="B151" s="368">
        <v>84333.13</v>
      </c>
      <c r="C151" s="269">
        <v>84333.13</v>
      </c>
      <c r="D151" s="49"/>
      <c r="E151" s="49"/>
      <c r="F151" s="367">
        <v>69198.64</v>
      </c>
      <c r="G151" s="368">
        <v>69198.64</v>
      </c>
      <c r="H151" s="369">
        <f>+G151-F151</f>
        <v>0</v>
      </c>
      <c r="I151" s="372">
        <f>+F151</f>
        <v>69198.64</v>
      </c>
      <c r="J151" s="372">
        <f>+D158</f>
        <v>24770</v>
      </c>
      <c r="K151" s="372">
        <f>+D166</f>
        <v>21833</v>
      </c>
      <c r="L151" s="367">
        <f>+I151+J151-K151</f>
        <v>72135.64</v>
      </c>
    </row>
    <row r="152" spans="1:12" ht="13.5" thickBot="1">
      <c r="A152" s="373" t="s">
        <v>75</v>
      </c>
      <c r="B152" s="376">
        <v>206.75</v>
      </c>
      <c r="C152" s="272">
        <v>1187.51</v>
      </c>
      <c r="D152" s="273"/>
      <c r="E152" s="273"/>
      <c r="F152" s="375">
        <v>534.66</v>
      </c>
      <c r="G152" s="376">
        <v>2.72</v>
      </c>
      <c r="H152" s="377">
        <f>+G152-F152</f>
        <v>-531.9399999999999</v>
      </c>
      <c r="I152" s="273">
        <f>+F152</f>
        <v>534.66</v>
      </c>
      <c r="J152" s="273">
        <v>4486</v>
      </c>
      <c r="K152" s="273">
        <v>4500</v>
      </c>
      <c r="L152" s="375">
        <f>+I152+J152-K152</f>
        <v>520.6599999999999</v>
      </c>
    </row>
    <row r="153" spans="1:12" ht="6.75" customHeight="1" thickBot="1">
      <c r="A153" s="378"/>
      <c r="B153" s="57"/>
      <c r="C153" s="57"/>
      <c r="D153" s="57"/>
      <c r="E153" s="57"/>
      <c r="F153" s="57"/>
      <c r="G153" s="57"/>
      <c r="H153" s="57"/>
      <c r="I153" s="57"/>
      <c r="J153" s="57"/>
      <c r="K153" s="57"/>
      <c r="L153" s="57"/>
    </row>
    <row r="154" spans="1:12" s="346" customFormat="1" ht="13.5" customHeight="1" thickBot="1">
      <c r="A154" s="415" t="s">
        <v>76</v>
      </c>
      <c r="B154" s="416">
        <v>2004</v>
      </c>
      <c r="C154" s="617">
        <v>2005</v>
      </c>
      <c r="D154" s="417">
        <v>2006</v>
      </c>
      <c r="F154" s="1519" t="s">
        <v>77</v>
      </c>
      <c r="G154" s="1520"/>
      <c r="H154" s="1520"/>
      <c r="I154" s="1520"/>
      <c r="J154" s="685">
        <v>2004</v>
      </c>
      <c r="K154" s="685">
        <v>2005</v>
      </c>
      <c r="L154" s="761">
        <v>2006</v>
      </c>
    </row>
    <row r="155" spans="1:14" ht="12.75">
      <c r="A155" s="52" t="s">
        <v>78</v>
      </c>
      <c r="B155" s="53">
        <f>+C151</f>
        <v>84333.13</v>
      </c>
      <c r="C155" s="590">
        <v>84333.13</v>
      </c>
      <c r="D155" s="54">
        <v>69199</v>
      </c>
      <c r="F155" s="1195" t="s">
        <v>79</v>
      </c>
      <c r="G155" s="1197"/>
      <c r="H155" s="1197"/>
      <c r="I155" s="1197"/>
      <c r="J155" s="49">
        <f>+C149</f>
        <v>988.65</v>
      </c>
      <c r="K155" s="925">
        <f>+J174</f>
        <v>1279.65</v>
      </c>
      <c r="L155" s="367">
        <v>1193</v>
      </c>
      <c r="M155"/>
      <c r="N155"/>
    </row>
    <row r="156" spans="1:14" ht="12.75">
      <c r="A156" s="890" t="s">
        <v>244</v>
      </c>
      <c r="B156" s="848"/>
      <c r="C156" s="590"/>
      <c r="D156" s="54">
        <v>1454</v>
      </c>
      <c r="F156" s="1195"/>
      <c r="G156" s="1197"/>
      <c r="H156" s="1197"/>
      <c r="I156" s="1197"/>
      <c r="J156" s="49"/>
      <c r="K156" s="925"/>
      <c r="L156" s="367"/>
      <c r="M156"/>
      <c r="N156"/>
    </row>
    <row r="157" spans="1:14" ht="12.75">
      <c r="A157" s="890" t="s">
        <v>245</v>
      </c>
      <c r="B157" s="848"/>
      <c r="C157" s="590"/>
      <c r="D157" s="54">
        <v>0</v>
      </c>
      <c r="F157" s="1195"/>
      <c r="G157" s="1197"/>
      <c r="H157" s="1197"/>
      <c r="I157" s="1197"/>
      <c r="J157" s="49"/>
      <c r="K157" s="925"/>
      <c r="L157" s="367"/>
      <c r="M157"/>
      <c r="N157"/>
    </row>
    <row r="158" spans="1:14" ht="12.75">
      <c r="A158" s="593" t="s">
        <v>66</v>
      </c>
      <c r="B158" s="594">
        <f>+B159+B160+B162+B164+B165</f>
        <v>33392.957</v>
      </c>
      <c r="C158" s="595">
        <f>SUM(C159:C165)</f>
        <v>43199.88</v>
      </c>
      <c r="D158" s="596">
        <f>SUM(D159:D165)</f>
        <v>24770</v>
      </c>
      <c r="F158" s="1201" t="s">
        <v>66</v>
      </c>
      <c r="G158" s="1203"/>
      <c r="H158" s="1203"/>
      <c r="I158" s="1203"/>
      <c r="J158" s="594">
        <f>+J159+J160</f>
        <v>291</v>
      </c>
      <c r="K158" s="594">
        <f>SUM(K159:K161)</f>
        <v>951</v>
      </c>
      <c r="L158" s="596">
        <f>SUM(L159:L165)</f>
        <v>381</v>
      </c>
      <c r="M158"/>
      <c r="N158"/>
    </row>
    <row r="159" spans="1:14" ht="12.75">
      <c r="A159" s="55" t="s">
        <v>80</v>
      </c>
      <c r="B159" s="49">
        <v>4905</v>
      </c>
      <c r="C159" s="591">
        <v>2309</v>
      </c>
      <c r="D159" s="367">
        <v>4091</v>
      </c>
      <c r="F159" s="1195" t="s">
        <v>81</v>
      </c>
      <c r="G159" s="1197"/>
      <c r="H159" s="1197"/>
      <c r="I159" s="1197"/>
      <c r="J159" s="49"/>
      <c r="K159" s="925">
        <v>132</v>
      </c>
      <c r="L159" s="367">
        <v>81</v>
      </c>
      <c r="M159"/>
      <c r="N159"/>
    </row>
    <row r="160" spans="1:14" ht="12.75">
      <c r="A160" s="55" t="s">
        <v>377</v>
      </c>
      <c r="B160" s="49">
        <f>+G46/1000+G52/1000</f>
        <v>9463.957</v>
      </c>
      <c r="C160" s="591">
        <v>39435.88</v>
      </c>
      <c r="D160" s="367">
        <v>20379</v>
      </c>
      <c r="F160" s="1195" t="s">
        <v>82</v>
      </c>
      <c r="G160" s="1197"/>
      <c r="H160" s="1197"/>
      <c r="I160" s="1197"/>
      <c r="J160" s="49">
        <v>291</v>
      </c>
      <c r="K160" s="925">
        <v>300</v>
      </c>
      <c r="L160" s="367">
        <v>300</v>
      </c>
      <c r="M160"/>
      <c r="N160"/>
    </row>
    <row r="161" spans="1:14" ht="12.75">
      <c r="A161" s="55" t="s">
        <v>532</v>
      </c>
      <c r="B161" s="49"/>
      <c r="C161" s="591"/>
      <c r="D161" s="367"/>
      <c r="F161" s="1195" t="s">
        <v>409</v>
      </c>
      <c r="G161" s="1197"/>
      <c r="H161" s="1197"/>
      <c r="I161" s="1197"/>
      <c r="J161" s="49"/>
      <c r="K161" s="925">
        <v>519</v>
      </c>
      <c r="L161" s="367"/>
      <c r="M161"/>
      <c r="N161"/>
    </row>
    <row r="162" spans="1:14" ht="12.75">
      <c r="A162" s="55" t="s">
        <v>83</v>
      </c>
      <c r="B162" s="49">
        <f>+G49/1000</f>
        <v>18526</v>
      </c>
      <c r="C162" s="591"/>
      <c r="D162" s="367"/>
      <c r="E162" s="810"/>
      <c r="F162" s="1195"/>
      <c r="G162" s="1197"/>
      <c r="H162" s="1197"/>
      <c r="I162" s="1197"/>
      <c r="J162" s="49"/>
      <c r="K162" s="925"/>
      <c r="L162" s="367"/>
      <c r="M162"/>
      <c r="N162"/>
    </row>
    <row r="163" spans="1:14" ht="12.75">
      <c r="A163" s="1254" t="s">
        <v>234</v>
      </c>
      <c r="B163" s="1255"/>
      <c r="C163" s="591"/>
      <c r="D163" s="367"/>
      <c r="E163" s="810"/>
      <c r="F163" s="1195"/>
      <c r="G163" s="1197"/>
      <c r="H163" s="1197"/>
      <c r="I163" s="1197"/>
      <c r="J163" s="49"/>
      <c r="K163" s="925"/>
      <c r="L163" s="367"/>
      <c r="M163"/>
      <c r="N163"/>
    </row>
    <row r="164" spans="1:14" ht="12.75">
      <c r="A164" s="55" t="s">
        <v>82</v>
      </c>
      <c r="B164" s="49"/>
      <c r="C164" s="591"/>
      <c r="D164" s="367"/>
      <c r="F164" s="1195"/>
      <c r="G164" s="1197"/>
      <c r="H164" s="1197"/>
      <c r="I164" s="1197"/>
      <c r="J164" s="49"/>
      <c r="K164" s="925"/>
      <c r="L164" s="367"/>
      <c r="M164"/>
      <c r="N164"/>
    </row>
    <row r="165" spans="1:14" ht="12.75">
      <c r="A165" s="56" t="s">
        <v>84</v>
      </c>
      <c r="B165" s="49">
        <v>498</v>
      </c>
      <c r="C165" s="591">
        <v>1455</v>
      </c>
      <c r="D165" s="367">
        <v>300</v>
      </c>
      <c r="F165" s="1195"/>
      <c r="G165" s="1197"/>
      <c r="H165" s="1197"/>
      <c r="I165" s="1197"/>
      <c r="J165" s="49"/>
      <c r="K165" s="925"/>
      <c r="L165" s="367"/>
      <c r="M165"/>
      <c r="N165"/>
    </row>
    <row r="166" spans="1:14" ht="12.75">
      <c r="A166" s="593" t="s">
        <v>67</v>
      </c>
      <c r="B166" s="594">
        <f>+B168+B171</f>
        <v>0</v>
      </c>
      <c r="C166" s="595">
        <f>SUM(C168:C173)</f>
        <v>58334.2895</v>
      </c>
      <c r="D166" s="596">
        <f>SUM(D167:D173)</f>
        <v>21833</v>
      </c>
      <c r="F166" s="1201" t="s">
        <v>67</v>
      </c>
      <c r="G166" s="1203"/>
      <c r="H166" s="1203"/>
      <c r="I166" s="1203"/>
      <c r="J166" s="594">
        <f>+J167+J169+J172</f>
        <v>580</v>
      </c>
      <c r="K166" s="594">
        <f>+K167+K169+K172</f>
        <v>300</v>
      </c>
      <c r="L166" s="596">
        <f>SUM(L167:L173)</f>
        <v>381</v>
      </c>
      <c r="M166"/>
      <c r="N166"/>
    </row>
    <row r="167" spans="1:14" ht="12.75">
      <c r="A167" s="891" t="s">
        <v>236</v>
      </c>
      <c r="B167" s="892"/>
      <c r="C167" s="591"/>
      <c r="D167" s="367">
        <v>650</v>
      </c>
      <c r="F167" s="1195" t="s">
        <v>85</v>
      </c>
      <c r="G167" s="1197"/>
      <c r="H167" s="1197"/>
      <c r="I167" s="1197"/>
      <c r="J167" s="49">
        <v>82</v>
      </c>
      <c r="K167" s="925">
        <v>50</v>
      </c>
      <c r="L167" s="367">
        <v>81</v>
      </c>
      <c r="M167"/>
      <c r="N167"/>
    </row>
    <row r="168" spans="1:14" ht="12.75">
      <c r="A168" s="891" t="s">
        <v>237</v>
      </c>
      <c r="B168" s="892"/>
      <c r="C168" s="591">
        <v>30715.3415</v>
      </c>
      <c r="D168" s="367">
        <v>10780</v>
      </c>
      <c r="F168" s="1195" t="s">
        <v>86</v>
      </c>
      <c r="G168" s="1197"/>
      <c r="H168" s="1197"/>
      <c r="I168" s="1197"/>
      <c r="J168" s="49"/>
      <c r="K168" s="925">
        <v>132</v>
      </c>
      <c r="L168" s="367">
        <v>0</v>
      </c>
      <c r="M168"/>
      <c r="N168"/>
    </row>
    <row r="169" spans="1:14" ht="12.75">
      <c r="A169" s="891" t="s">
        <v>238</v>
      </c>
      <c r="B169" s="892"/>
      <c r="C169" s="591"/>
      <c r="D169" s="367">
        <v>0</v>
      </c>
      <c r="F169" s="1195" t="s">
        <v>286</v>
      </c>
      <c r="G169" s="1197"/>
      <c r="H169" s="1197"/>
      <c r="I169" s="1197"/>
      <c r="J169" s="49">
        <v>498</v>
      </c>
      <c r="K169" s="925">
        <v>250</v>
      </c>
      <c r="L169" s="367">
        <v>300</v>
      </c>
      <c r="M169"/>
      <c r="N169"/>
    </row>
    <row r="170" spans="1:14" ht="12.75">
      <c r="A170" s="891" t="s">
        <v>533</v>
      </c>
      <c r="B170" s="892"/>
      <c r="C170" s="591"/>
      <c r="D170" s="367">
        <v>804</v>
      </c>
      <c r="F170" s="1195"/>
      <c r="G170" s="1197"/>
      <c r="H170" s="1197"/>
      <c r="I170" s="1197"/>
      <c r="J170" s="49"/>
      <c r="K170" s="925"/>
      <c r="L170" s="367"/>
      <c r="M170"/>
      <c r="N170"/>
    </row>
    <row r="171" spans="1:14" ht="12.75">
      <c r="A171" s="891" t="s">
        <v>239</v>
      </c>
      <c r="B171" s="892"/>
      <c r="C171" s="591">
        <v>8720.538</v>
      </c>
      <c r="D171" s="367">
        <v>9599</v>
      </c>
      <c r="F171" s="1195"/>
      <c r="G171" s="1197"/>
      <c r="H171" s="1197"/>
      <c r="I171" s="1197"/>
      <c r="J171" s="49"/>
      <c r="K171" s="925"/>
      <c r="L171" s="367"/>
      <c r="M171"/>
      <c r="N171"/>
    </row>
    <row r="172" spans="1:14" ht="12.75">
      <c r="A172" s="891" t="s">
        <v>240</v>
      </c>
      <c r="B172" s="892"/>
      <c r="C172" s="591"/>
      <c r="D172" s="367"/>
      <c r="F172" s="1195"/>
      <c r="G172" s="1197"/>
      <c r="H172" s="1197"/>
      <c r="I172" s="1197"/>
      <c r="J172" s="49"/>
      <c r="K172" s="925"/>
      <c r="L172" s="367"/>
      <c r="M172"/>
      <c r="N172"/>
    </row>
    <row r="173" spans="1:14" ht="12.75">
      <c r="A173" s="56" t="s">
        <v>84</v>
      </c>
      <c r="B173" s="49"/>
      <c r="C173" s="591">
        <v>18898.41</v>
      </c>
      <c r="D173" s="367"/>
      <c r="E173" s="810"/>
      <c r="F173" s="1195"/>
      <c r="G173" s="1197"/>
      <c r="H173" s="1197"/>
      <c r="I173" s="1197"/>
      <c r="J173" s="49"/>
      <c r="K173" s="925"/>
      <c r="L173" s="367"/>
      <c r="M173"/>
      <c r="N173"/>
    </row>
    <row r="174" spans="1:14" ht="13.5" thickBot="1">
      <c r="A174" s="597" t="s">
        <v>87</v>
      </c>
      <c r="B174" s="117">
        <f>+B155+B158-B166</f>
        <v>117726.087</v>
      </c>
      <c r="C174" s="598">
        <f>+C155+C158-C166</f>
        <v>69198.72050000001</v>
      </c>
      <c r="D174" s="599">
        <f>+D155+D158-D166</f>
        <v>72136</v>
      </c>
      <c r="E174" s="810"/>
      <c r="F174" s="1198" t="s">
        <v>87</v>
      </c>
      <c r="G174" s="1200"/>
      <c r="H174" s="1200"/>
      <c r="I174" s="1200"/>
      <c r="J174" s="117">
        <f>+J155+J158-J165</f>
        <v>1279.65</v>
      </c>
      <c r="K174" s="117">
        <f>+K155+K158-K166</f>
        <v>1930.65</v>
      </c>
      <c r="L174" s="599">
        <f>+L155+L158-L166</f>
        <v>1193</v>
      </c>
      <c r="M174"/>
      <c r="N174"/>
    </row>
    <row r="175" spans="1:12" ht="9" customHeight="1">
      <c r="A175" s="378"/>
      <c r="B175" s="57"/>
      <c r="C175" s="57"/>
      <c r="D175" s="57"/>
      <c r="E175" s="57"/>
      <c r="F175" s="57"/>
      <c r="G175" s="57"/>
      <c r="H175" s="57"/>
      <c r="I175" s="57"/>
      <c r="J175" s="57"/>
      <c r="K175" s="57"/>
      <c r="L175" s="57"/>
    </row>
    <row r="176" spans="1:34" ht="18.75" customHeight="1" thickBot="1">
      <c r="A176" s="184" t="s">
        <v>313</v>
      </c>
      <c r="B176" s="57"/>
      <c r="C176" s="57"/>
      <c r="D176" s="57"/>
      <c r="E176" s="57"/>
      <c r="F176" s="57"/>
      <c r="G176" s="57"/>
      <c r="H176" s="57"/>
      <c r="I176" s="57"/>
      <c r="J176" s="57"/>
      <c r="K176" s="57"/>
      <c r="L176" s="57"/>
      <c r="M176" s="302"/>
      <c r="N176" s="302"/>
      <c r="O176" s="276"/>
      <c r="P176" s="276"/>
      <c r="Q176" s="276"/>
      <c r="R176" s="276"/>
      <c r="S176" s="276"/>
      <c r="T176" s="276"/>
      <c r="U176" s="276"/>
      <c r="V176" s="276"/>
      <c r="W176" s="276"/>
      <c r="X176" s="276"/>
      <c r="Y176" s="276"/>
      <c r="Z176" s="276"/>
      <c r="AA176" s="276"/>
      <c r="AB176" s="276"/>
      <c r="AC176" s="276"/>
      <c r="AD176" s="276"/>
      <c r="AE176" s="276"/>
      <c r="AF176" s="276"/>
      <c r="AG176" s="276"/>
      <c r="AH176" s="276"/>
    </row>
    <row r="177" spans="1:14" ht="12.75">
      <c r="A177" s="1304" t="s">
        <v>260</v>
      </c>
      <c r="B177" s="963" t="s">
        <v>4</v>
      </c>
      <c r="C177" s="963" t="s">
        <v>261</v>
      </c>
      <c r="D177" s="959"/>
      <c r="E177" s="959"/>
      <c r="F177" s="959"/>
      <c r="G177" s="959"/>
      <c r="H177" s="960"/>
      <c r="I177" s="57"/>
      <c r="J177" s="302"/>
      <c r="K177" s="302"/>
      <c r="L177" s="302"/>
      <c r="M177" s="276"/>
      <c r="N177" s="276"/>
    </row>
    <row r="178" spans="1:14" ht="13.5" thickBot="1">
      <c r="A178" s="1305"/>
      <c r="B178" s="958"/>
      <c r="C178" s="122" t="s">
        <v>88</v>
      </c>
      <c r="D178" s="123" t="s">
        <v>89</v>
      </c>
      <c r="E178" s="123" t="s">
        <v>90</v>
      </c>
      <c r="F178" s="123" t="s">
        <v>91</v>
      </c>
      <c r="G178" s="747" t="s">
        <v>92</v>
      </c>
      <c r="H178" s="748" t="s">
        <v>45</v>
      </c>
      <c r="I178" s="57"/>
      <c r="J178" s="302"/>
      <c r="K178" s="302"/>
      <c r="L178" s="302"/>
      <c r="M178" s="276"/>
      <c r="N178" s="276"/>
    </row>
    <row r="179" spans="1:9" s="356" customFormat="1" ht="11.25">
      <c r="A179" s="643" t="s">
        <v>93</v>
      </c>
      <c r="B179" s="749">
        <v>86226</v>
      </c>
      <c r="C179" s="750">
        <v>23179</v>
      </c>
      <c r="D179" s="750">
        <v>1385</v>
      </c>
      <c r="E179" s="750">
        <v>1560</v>
      </c>
      <c r="F179" s="750">
        <v>822</v>
      </c>
      <c r="G179" s="750">
        <v>339</v>
      </c>
      <c r="H179" s="644">
        <f>SUM(C179:G179)</f>
        <v>27285</v>
      </c>
      <c r="I179" s="57"/>
    </row>
    <row r="180" spans="1:9" s="356" customFormat="1" ht="12" thickBot="1">
      <c r="A180" s="645" t="s">
        <v>149</v>
      </c>
      <c r="B180" s="751">
        <v>25079.49</v>
      </c>
      <c r="C180" s="383">
        <v>1877</v>
      </c>
      <c r="D180" s="383"/>
      <c r="E180" s="383"/>
      <c r="F180" s="383"/>
      <c r="G180" s="383">
        <v>-3</v>
      </c>
      <c r="H180" s="212">
        <f>SUM(C180:G180)</f>
        <v>1874</v>
      </c>
      <c r="I180" s="57"/>
    </row>
    <row r="181" spans="1:14" ht="4.5" customHeight="1">
      <c r="A181"/>
      <c r="B181"/>
      <c r="C181"/>
      <c r="D181"/>
      <c r="E181"/>
      <c r="F181"/>
      <c r="G181"/>
      <c r="H181"/>
      <c r="I181"/>
      <c r="J181"/>
      <c r="K181"/>
      <c r="L181"/>
      <c r="M181"/>
      <c r="N181"/>
    </row>
    <row r="183" spans="1:12" ht="16.5" thickBot="1">
      <c r="A183" s="580" t="s">
        <v>526</v>
      </c>
      <c r="B183" s="480"/>
      <c r="C183" s="480"/>
      <c r="D183" s="480"/>
      <c r="E183" s="480"/>
      <c r="F183" s="480"/>
      <c r="G183" s="480"/>
      <c r="H183" s="480"/>
      <c r="I183" s="480"/>
      <c r="J183"/>
      <c r="K183"/>
      <c r="L183"/>
    </row>
    <row r="184" spans="1:12" ht="13.5" thickBot="1">
      <c r="A184" s="1111" t="s">
        <v>94</v>
      </c>
      <c r="B184" s="1112"/>
      <c r="C184" s="1116" t="s">
        <v>95</v>
      </c>
      <c r="D184" s="1084"/>
      <c r="E184" s="1084"/>
      <c r="F184" s="1084"/>
      <c r="G184" s="1085"/>
      <c r="H184" s="1116" t="s">
        <v>96</v>
      </c>
      <c r="I184" s="1084"/>
      <c r="J184" s="1084"/>
      <c r="K184" s="1084"/>
      <c r="L184" s="1085"/>
    </row>
    <row r="185" spans="1:12" ht="13.5" thickBot="1">
      <c r="A185" s="1113"/>
      <c r="B185" s="1114"/>
      <c r="C185" s="834">
        <v>2003</v>
      </c>
      <c r="D185" s="44">
        <v>2004</v>
      </c>
      <c r="E185" s="567" t="s">
        <v>7</v>
      </c>
      <c r="F185" s="44">
        <v>2005</v>
      </c>
      <c r="G185" s="60" t="s">
        <v>7</v>
      </c>
      <c r="H185" s="235">
        <v>2003</v>
      </c>
      <c r="I185" s="44">
        <v>2004</v>
      </c>
      <c r="J185" s="865" t="s">
        <v>7</v>
      </c>
      <c r="K185" s="86">
        <v>2005</v>
      </c>
      <c r="L185" s="893" t="s">
        <v>7</v>
      </c>
    </row>
    <row r="186" spans="1:12" ht="12.75">
      <c r="A186" s="1208" t="s">
        <v>97</v>
      </c>
      <c r="B186" s="1114"/>
      <c r="C186" s="894">
        <v>122</v>
      </c>
      <c r="D186" s="384">
        <v>122</v>
      </c>
      <c r="E186" s="895">
        <f>+D186-C186</f>
        <v>0</v>
      </c>
      <c r="F186" s="568">
        <v>122</v>
      </c>
      <c r="G186" s="896">
        <f aca="true" t="shared" si="12" ref="G186:G204">+F186-D186</f>
        <v>0</v>
      </c>
      <c r="H186" s="508">
        <v>74</v>
      </c>
      <c r="I186" s="569">
        <f>31920/44652*100</f>
        <v>71.48615963450685</v>
      </c>
      <c r="J186" s="897">
        <f>+I186-H186</f>
        <v>-2.5138403654931523</v>
      </c>
      <c r="K186" s="898">
        <v>72.2</v>
      </c>
      <c r="L186" s="707">
        <f>+K186-I186</f>
        <v>0.7138403654931551</v>
      </c>
    </row>
    <row r="187" spans="1:12" ht="12.75">
      <c r="A187" s="1208" t="s">
        <v>98</v>
      </c>
      <c r="B187" s="1114"/>
      <c r="C187" s="899">
        <v>22</v>
      </c>
      <c r="D187" s="386">
        <v>22</v>
      </c>
      <c r="E187" s="900">
        <f>+D187-C187</f>
        <v>0</v>
      </c>
      <c r="F187" s="570">
        <v>22</v>
      </c>
      <c r="G187" s="896">
        <f t="shared" si="12"/>
        <v>0</v>
      </c>
      <c r="H187" s="511">
        <v>57</v>
      </c>
      <c r="I187" s="571">
        <f>0.495156482861401*100</f>
        <v>49.51564828614009</v>
      </c>
      <c r="J187" s="901">
        <f>+I187-H187</f>
        <v>-7.484351713859908</v>
      </c>
      <c r="K187" s="902">
        <v>52.4</v>
      </c>
      <c r="L187" s="707">
        <f aca="true" t="shared" si="13" ref="L187:L199">+K187-I187</f>
        <v>2.884351713859907</v>
      </c>
    </row>
    <row r="188" spans="1:12" ht="12.75">
      <c r="A188" s="1208" t="s">
        <v>99</v>
      </c>
      <c r="B188" s="1114"/>
      <c r="C188" s="899"/>
      <c r="D188" s="386"/>
      <c r="E188" s="900"/>
      <c r="F188" s="570"/>
      <c r="G188" s="896">
        <f t="shared" si="12"/>
        <v>0</v>
      </c>
      <c r="H188" s="511"/>
      <c r="I188" s="571"/>
      <c r="J188" s="901"/>
      <c r="K188" s="902"/>
      <c r="L188" s="707"/>
    </row>
    <row r="189" spans="1:12" ht="12.75">
      <c r="A189" s="1208" t="s">
        <v>100</v>
      </c>
      <c r="B189" s="1114"/>
      <c r="C189" s="899">
        <v>44</v>
      </c>
      <c r="D189" s="386">
        <v>44</v>
      </c>
      <c r="E189" s="900">
        <f>+D189-C189</f>
        <v>0</v>
      </c>
      <c r="F189" s="570">
        <v>44</v>
      </c>
      <c r="G189" s="896">
        <f t="shared" si="12"/>
        <v>0</v>
      </c>
      <c r="H189" s="511">
        <v>66.2</v>
      </c>
      <c r="I189" s="571">
        <f>0.618293591654247*100</f>
        <v>61.829359165424734</v>
      </c>
      <c r="J189" s="901">
        <f>+I189-H189</f>
        <v>-4.370640834575269</v>
      </c>
      <c r="K189" s="902">
        <v>65.4</v>
      </c>
      <c r="L189" s="707">
        <f t="shared" si="13"/>
        <v>3.570640834575272</v>
      </c>
    </row>
    <row r="190" spans="1:12" ht="12.75">
      <c r="A190" s="1208" t="s">
        <v>101</v>
      </c>
      <c r="B190" s="1114"/>
      <c r="C190" s="899"/>
      <c r="D190" s="386"/>
      <c r="E190" s="900"/>
      <c r="F190" s="570"/>
      <c r="G190" s="896">
        <f t="shared" si="12"/>
        <v>0</v>
      </c>
      <c r="H190" s="511"/>
      <c r="I190" s="571"/>
      <c r="J190" s="901"/>
      <c r="K190" s="902"/>
      <c r="L190" s="707"/>
    </row>
    <row r="191" spans="1:12" ht="12.75">
      <c r="A191" s="1208" t="s">
        <v>102</v>
      </c>
      <c r="B191" s="1114"/>
      <c r="C191" s="899">
        <v>50</v>
      </c>
      <c r="D191" s="386">
        <v>50</v>
      </c>
      <c r="E191" s="900">
        <f aca="true" t="shared" si="14" ref="E191:E199">+D191-C191</f>
        <v>0</v>
      </c>
      <c r="F191" s="570">
        <v>50</v>
      </c>
      <c r="G191" s="896">
        <f t="shared" si="12"/>
        <v>0</v>
      </c>
      <c r="H191" s="511">
        <v>75.8</v>
      </c>
      <c r="I191" s="571">
        <f>0.680655737704918*100</f>
        <v>68.06557377049181</v>
      </c>
      <c r="J191" s="901">
        <f aca="true" t="shared" si="15" ref="J191:J199">+I191-H191</f>
        <v>-7.734426229508188</v>
      </c>
      <c r="K191" s="902">
        <v>62</v>
      </c>
      <c r="L191" s="707">
        <f t="shared" si="13"/>
        <v>-6.06557377049181</v>
      </c>
    </row>
    <row r="192" spans="1:12" ht="12.75">
      <c r="A192" s="1208" t="s">
        <v>103</v>
      </c>
      <c r="B192" s="1114"/>
      <c r="C192" s="899">
        <v>59</v>
      </c>
      <c r="D192" s="386">
        <v>59</v>
      </c>
      <c r="E192" s="900">
        <f t="shared" si="14"/>
        <v>0</v>
      </c>
      <c r="F192" s="570">
        <v>59</v>
      </c>
      <c r="G192" s="896">
        <f t="shared" si="12"/>
        <v>0</v>
      </c>
      <c r="H192" s="511">
        <v>70.8</v>
      </c>
      <c r="I192" s="571">
        <f>0.670649254422525*100</f>
        <v>67.06492544225247</v>
      </c>
      <c r="J192" s="901">
        <f t="shared" si="15"/>
        <v>-3.7350745577475237</v>
      </c>
      <c r="K192" s="902">
        <v>61.8</v>
      </c>
      <c r="L192" s="707">
        <f t="shared" si="13"/>
        <v>-5.264925442252476</v>
      </c>
    </row>
    <row r="193" spans="1:12" ht="12.75">
      <c r="A193" s="1208" t="s">
        <v>104</v>
      </c>
      <c r="B193" s="1114"/>
      <c r="C193" s="899">
        <v>82</v>
      </c>
      <c r="D193" s="386">
        <v>82</v>
      </c>
      <c r="E193" s="900">
        <f t="shared" si="14"/>
        <v>0</v>
      </c>
      <c r="F193" s="570">
        <v>82</v>
      </c>
      <c r="G193" s="896">
        <f t="shared" si="12"/>
        <v>0</v>
      </c>
      <c r="H193" s="511">
        <v>82.4</v>
      </c>
      <c r="I193" s="571">
        <f>0.77995468479275*100</f>
        <v>77.99546847927495</v>
      </c>
      <c r="J193" s="901">
        <f t="shared" si="15"/>
        <v>-4.404531520725058</v>
      </c>
      <c r="K193" s="902">
        <v>77.5</v>
      </c>
      <c r="L193" s="707">
        <f t="shared" si="13"/>
        <v>-0.4954684792749475</v>
      </c>
    </row>
    <row r="194" spans="1:12" ht="12.75">
      <c r="A194" s="1208" t="s">
        <v>105</v>
      </c>
      <c r="B194" s="1114"/>
      <c r="C194" s="899">
        <v>6</v>
      </c>
      <c r="D194" s="386">
        <v>6</v>
      </c>
      <c r="E194" s="900">
        <f t="shared" si="14"/>
        <v>0</v>
      </c>
      <c r="F194" s="570">
        <v>6</v>
      </c>
      <c r="G194" s="896">
        <f t="shared" si="12"/>
        <v>0</v>
      </c>
      <c r="H194" s="511">
        <v>77.8</v>
      </c>
      <c r="I194" s="571">
        <f>0.748178506375228*100</f>
        <v>74.81785063752277</v>
      </c>
      <c r="J194" s="901">
        <f t="shared" si="15"/>
        <v>-2.98214936247723</v>
      </c>
      <c r="K194" s="902">
        <v>74.2</v>
      </c>
      <c r="L194" s="707">
        <f t="shared" si="13"/>
        <v>-0.6178506375227641</v>
      </c>
    </row>
    <row r="195" spans="1:12" ht="12.75">
      <c r="A195" s="1208" t="s">
        <v>106</v>
      </c>
      <c r="B195" s="1114"/>
      <c r="C195" s="899">
        <v>27</v>
      </c>
      <c r="D195" s="386">
        <v>30</v>
      </c>
      <c r="E195" s="900">
        <f t="shared" si="14"/>
        <v>3</v>
      </c>
      <c r="F195" s="570">
        <v>30</v>
      </c>
      <c r="G195" s="896">
        <f t="shared" si="12"/>
        <v>0</v>
      </c>
      <c r="H195" s="511">
        <v>80.9</v>
      </c>
      <c r="I195" s="571">
        <f>0.792261494535788*100</f>
        <v>79.22614945357881</v>
      </c>
      <c r="J195" s="901">
        <f t="shared" si="15"/>
        <v>-1.6738505464211926</v>
      </c>
      <c r="K195" s="902">
        <v>74.9</v>
      </c>
      <c r="L195" s="707">
        <f t="shared" si="13"/>
        <v>-4.326149453578807</v>
      </c>
    </row>
    <row r="196" spans="1:12" ht="12.75">
      <c r="A196" s="1208" t="s">
        <v>107</v>
      </c>
      <c r="B196" s="1114"/>
      <c r="C196" s="899">
        <v>21</v>
      </c>
      <c r="D196" s="386">
        <v>21</v>
      </c>
      <c r="E196" s="900">
        <f t="shared" si="14"/>
        <v>0</v>
      </c>
      <c r="F196" s="570">
        <v>21</v>
      </c>
      <c r="G196" s="896">
        <f t="shared" si="12"/>
        <v>0</v>
      </c>
      <c r="H196" s="511">
        <v>76.7</v>
      </c>
      <c r="I196" s="571">
        <f>0.727816809784023*100</f>
        <v>72.78168097840229</v>
      </c>
      <c r="J196" s="901">
        <f t="shared" si="15"/>
        <v>-3.9183190215977106</v>
      </c>
      <c r="K196" s="902">
        <v>68.8</v>
      </c>
      <c r="L196" s="707">
        <f t="shared" si="13"/>
        <v>-3.981680978402295</v>
      </c>
    </row>
    <row r="197" spans="1:12" ht="12.75">
      <c r="A197" s="1208" t="s">
        <v>108</v>
      </c>
      <c r="B197" s="1114"/>
      <c r="C197" s="899">
        <v>20</v>
      </c>
      <c r="D197" s="386">
        <v>11</v>
      </c>
      <c r="E197" s="900">
        <f t="shared" si="14"/>
        <v>-9</v>
      </c>
      <c r="F197" s="570">
        <v>11</v>
      </c>
      <c r="G197" s="896">
        <f t="shared" si="12"/>
        <v>0</v>
      </c>
      <c r="H197" s="511">
        <v>69.8</v>
      </c>
      <c r="I197" s="571">
        <f>0.689665793931927*100</f>
        <v>68.96657939319267</v>
      </c>
      <c r="J197" s="901">
        <f t="shared" si="15"/>
        <v>-0.8334206068073229</v>
      </c>
      <c r="K197" s="902">
        <v>106</v>
      </c>
      <c r="L197" s="707">
        <f t="shared" si="13"/>
        <v>37.033420606807326</v>
      </c>
    </row>
    <row r="198" spans="1:12" ht="12.75">
      <c r="A198" s="1208" t="s">
        <v>109</v>
      </c>
      <c r="B198" s="1114"/>
      <c r="C198" s="899">
        <v>12</v>
      </c>
      <c r="D198" s="386">
        <v>11</v>
      </c>
      <c r="E198" s="900">
        <f t="shared" si="14"/>
        <v>-1</v>
      </c>
      <c r="F198" s="570">
        <v>11</v>
      </c>
      <c r="G198" s="896">
        <f t="shared" si="12"/>
        <v>0</v>
      </c>
      <c r="H198" s="511">
        <v>76.3</v>
      </c>
      <c r="I198" s="571">
        <f>0.70906976744186*100</f>
        <v>70.90697674418604</v>
      </c>
      <c r="J198" s="901">
        <f t="shared" si="15"/>
        <v>-5.393023255813958</v>
      </c>
      <c r="K198" s="902">
        <v>74.5</v>
      </c>
      <c r="L198" s="707">
        <f t="shared" si="13"/>
        <v>3.5930232558139608</v>
      </c>
    </row>
    <row r="199" spans="1:12" ht="12.75">
      <c r="A199" s="1208" t="s">
        <v>110</v>
      </c>
      <c r="B199" s="1114"/>
      <c r="C199" s="899">
        <v>20</v>
      </c>
      <c r="D199" s="386">
        <v>20</v>
      </c>
      <c r="E199" s="900">
        <f t="shared" si="14"/>
        <v>0</v>
      </c>
      <c r="F199" s="570">
        <v>20</v>
      </c>
      <c r="G199" s="896">
        <f t="shared" si="12"/>
        <v>0</v>
      </c>
      <c r="H199" s="511">
        <v>70.9</v>
      </c>
      <c r="I199" s="571">
        <f>0.659836065573771*100</f>
        <v>65.98360655737704</v>
      </c>
      <c r="J199" s="901">
        <f t="shared" si="15"/>
        <v>-4.916393442622962</v>
      </c>
      <c r="K199" s="902">
        <v>69.8</v>
      </c>
      <c r="L199" s="707">
        <f t="shared" si="13"/>
        <v>3.816393442622953</v>
      </c>
    </row>
    <row r="200" spans="1:12" ht="12.75">
      <c r="A200" s="1208" t="s">
        <v>111</v>
      </c>
      <c r="B200" s="1114"/>
      <c r="C200" s="899"/>
      <c r="D200" s="386"/>
      <c r="E200" s="900"/>
      <c r="F200" s="570"/>
      <c r="G200" s="896">
        <f t="shared" si="12"/>
        <v>0</v>
      </c>
      <c r="H200" s="511"/>
      <c r="I200" s="571"/>
      <c r="J200" s="901"/>
      <c r="K200" s="902"/>
      <c r="L200" s="707"/>
    </row>
    <row r="201" spans="1:12" ht="12.75">
      <c r="A201" s="1208" t="s">
        <v>112</v>
      </c>
      <c r="B201" s="1114"/>
      <c r="C201" s="899"/>
      <c r="D201" s="386"/>
      <c r="E201" s="900"/>
      <c r="F201" s="570"/>
      <c r="G201" s="896">
        <f t="shared" si="12"/>
        <v>0</v>
      </c>
      <c r="H201" s="511"/>
      <c r="I201" s="571"/>
      <c r="J201" s="901"/>
      <c r="K201" s="902"/>
      <c r="L201" s="707"/>
    </row>
    <row r="202" spans="1:12" ht="12.75">
      <c r="A202" s="1479" t="s">
        <v>534</v>
      </c>
      <c r="B202" s="1480"/>
      <c r="C202" s="903">
        <v>62</v>
      </c>
      <c r="D202" s="904">
        <v>62</v>
      </c>
      <c r="E202" s="905">
        <f>+D202-C202</f>
        <v>0</v>
      </c>
      <c r="F202" s="904">
        <v>62</v>
      </c>
      <c r="G202" s="906">
        <f t="shared" si="12"/>
        <v>0</v>
      </c>
      <c r="H202" s="907">
        <v>78.4</v>
      </c>
      <c r="I202" s="908">
        <v>84.5</v>
      </c>
      <c r="J202" s="909">
        <f>+I202-H202</f>
        <v>6.099999999999994</v>
      </c>
      <c r="K202" s="910">
        <v>86</v>
      </c>
      <c r="L202" s="911">
        <f>+K202-I202</f>
        <v>1.5</v>
      </c>
    </row>
    <row r="203" spans="1:12" ht="13.5" thickBot="1">
      <c r="A203" s="1481" t="s">
        <v>535</v>
      </c>
      <c r="B203" s="1482"/>
      <c r="C203" s="912">
        <v>100</v>
      </c>
      <c r="D203" s="913">
        <v>100</v>
      </c>
      <c r="E203" s="914">
        <f>+D203-C203</f>
        <v>0</v>
      </c>
      <c r="F203" s="913">
        <v>100</v>
      </c>
      <c r="G203" s="915">
        <f t="shared" si="12"/>
        <v>0</v>
      </c>
      <c r="H203" s="916">
        <v>92.4</v>
      </c>
      <c r="I203" s="917">
        <v>86.3</v>
      </c>
      <c r="J203" s="909">
        <f>+I203-H203</f>
        <v>-6.1000000000000085</v>
      </c>
      <c r="K203" s="918">
        <v>84.5</v>
      </c>
      <c r="L203" s="919">
        <f>+K203-I203</f>
        <v>-1.7999999999999972</v>
      </c>
    </row>
    <row r="204" spans="1:12" ht="13.5" thickBot="1">
      <c r="A204" s="1211" t="s">
        <v>4</v>
      </c>
      <c r="B204" s="1212"/>
      <c r="C204" s="880">
        <f>SUM(C186:C203)</f>
        <v>647</v>
      </c>
      <c r="D204" s="62">
        <f>SUM(D186:D203)</f>
        <v>640</v>
      </c>
      <c r="E204" s="920">
        <f>+D204-C204</f>
        <v>-7</v>
      </c>
      <c r="F204" s="62">
        <f>SUM(F186:F203)</f>
        <v>640</v>
      </c>
      <c r="G204" s="882">
        <f t="shared" si="12"/>
        <v>0</v>
      </c>
      <c r="H204" s="723">
        <v>74.1</v>
      </c>
      <c r="I204" s="921">
        <f>123851/176866*100</f>
        <v>70.02532991077992</v>
      </c>
      <c r="J204" s="922">
        <f>+I204-H204</f>
        <v>-4.074670089220078</v>
      </c>
      <c r="K204" s="923">
        <v>73.8</v>
      </c>
      <c r="L204" s="725">
        <f>+K204-I204</f>
        <v>3.7746700892200806</v>
      </c>
    </row>
    <row r="205" ht="13.5" thickBot="1"/>
    <row r="206" spans="1:12" ht="12.75">
      <c r="A206" s="957" t="s">
        <v>115</v>
      </c>
      <c r="B206" s="952" t="s">
        <v>116</v>
      </c>
      <c r="C206" s="953"/>
      <c r="D206" s="954"/>
      <c r="E206" s="1010" t="s">
        <v>115</v>
      </c>
      <c r="F206" s="1011"/>
      <c r="G206" s="953" t="s">
        <v>117</v>
      </c>
      <c r="H206" s="953"/>
      <c r="I206" s="1009"/>
      <c r="J206" s="953" t="s">
        <v>200</v>
      </c>
      <c r="K206" s="953"/>
      <c r="L206" s="1009"/>
    </row>
    <row r="207" spans="1:12" ht="27.75" thickBot="1">
      <c r="A207" s="951"/>
      <c r="B207" s="63" t="s">
        <v>119</v>
      </c>
      <c r="C207" s="64" t="s">
        <v>120</v>
      </c>
      <c r="D207" s="517" t="s">
        <v>121</v>
      </c>
      <c r="E207" s="1012"/>
      <c r="F207" s="1013"/>
      <c r="G207" s="64" t="s">
        <v>119</v>
      </c>
      <c r="H207" s="64" t="s">
        <v>120</v>
      </c>
      <c r="I207" s="48" t="s">
        <v>121</v>
      </c>
      <c r="J207" s="64" t="s">
        <v>119</v>
      </c>
      <c r="K207" s="64" t="s">
        <v>120</v>
      </c>
      <c r="L207" s="48" t="s">
        <v>121</v>
      </c>
    </row>
    <row r="208" spans="1:12" ht="19.5" customHeight="1">
      <c r="A208" s="518" t="s">
        <v>122</v>
      </c>
      <c r="B208" s="693">
        <v>124.31</v>
      </c>
      <c r="C208" s="694">
        <v>52608681</v>
      </c>
      <c r="D208" s="427">
        <f aca="true" t="shared" si="16" ref="D208:D214">+IF(B208&gt;0,C208/B208/12,"")</f>
        <v>35267.128549593755</v>
      </c>
      <c r="E208" s="961" t="s">
        <v>122</v>
      </c>
      <c r="F208" s="956"/>
      <c r="G208" s="582">
        <v>124.07</v>
      </c>
      <c r="H208" s="522">
        <v>54139056</v>
      </c>
      <c r="I208" s="427">
        <f aca="true" t="shared" si="17" ref="I208:I218">+IF(G208&gt;0,H208/G208/12,"")</f>
        <v>36363.24655436447</v>
      </c>
      <c r="J208" s="582">
        <v>124.87</v>
      </c>
      <c r="K208" s="522">
        <v>58005724</v>
      </c>
      <c r="L208" s="427">
        <f aca="true" t="shared" si="18" ref="L208:L218">+IF(J208&gt;0,K208/J208/12,"")</f>
        <v>38710.74183817837</v>
      </c>
    </row>
    <row r="209" spans="1:12" ht="19.5" customHeight="1">
      <c r="A209" s="518" t="s">
        <v>123</v>
      </c>
      <c r="B209" s="428">
        <v>4.68</v>
      </c>
      <c r="C209" s="695">
        <v>1286992</v>
      </c>
      <c r="D209" s="423">
        <f t="shared" si="16"/>
        <v>22916.52421652422</v>
      </c>
      <c r="E209" s="961" t="s">
        <v>123</v>
      </c>
      <c r="F209" s="956"/>
      <c r="G209" s="583">
        <v>4</v>
      </c>
      <c r="H209" s="520">
        <v>1298831</v>
      </c>
      <c r="I209" s="423">
        <f t="shared" si="17"/>
        <v>27058.979166666668</v>
      </c>
      <c r="J209" s="583">
        <v>4</v>
      </c>
      <c r="K209" s="520">
        <v>1387466</v>
      </c>
      <c r="L209" s="423">
        <f t="shared" si="18"/>
        <v>28905.541666666668</v>
      </c>
    </row>
    <row r="210" spans="1:12" ht="19.5" customHeight="1">
      <c r="A210" s="518" t="s">
        <v>124</v>
      </c>
      <c r="B210" s="428">
        <v>7.43</v>
      </c>
      <c r="C210" s="695">
        <v>2017292</v>
      </c>
      <c r="D210" s="423">
        <f t="shared" si="16"/>
        <v>22625.527142216244</v>
      </c>
      <c r="E210" s="961" t="s">
        <v>125</v>
      </c>
      <c r="F210" s="956"/>
      <c r="G210" s="583">
        <v>403.1</v>
      </c>
      <c r="H210" s="520">
        <v>80148124</v>
      </c>
      <c r="I210" s="423">
        <f t="shared" si="17"/>
        <v>16569.115190606135</v>
      </c>
      <c r="J210" s="583">
        <v>401.52</v>
      </c>
      <c r="K210" s="520">
        <v>84936668</v>
      </c>
      <c r="L210" s="423">
        <f t="shared" si="18"/>
        <v>17628.152188350934</v>
      </c>
    </row>
    <row r="211" spans="1:12" ht="19.5" customHeight="1">
      <c r="A211" s="518" t="s">
        <v>126</v>
      </c>
      <c r="B211" s="428">
        <v>1</v>
      </c>
      <c r="C211" s="695">
        <v>124306</v>
      </c>
      <c r="D211" s="423">
        <f t="shared" si="16"/>
        <v>10358.833333333334</v>
      </c>
      <c r="E211" s="961" t="s">
        <v>127</v>
      </c>
      <c r="F211" s="956"/>
      <c r="G211" s="583">
        <v>68.57</v>
      </c>
      <c r="H211" s="520">
        <v>14472306</v>
      </c>
      <c r="I211" s="423">
        <f t="shared" si="17"/>
        <v>17588.23829663118</v>
      </c>
      <c r="J211" s="583">
        <v>65.28</v>
      </c>
      <c r="K211" s="520">
        <v>14997426</v>
      </c>
      <c r="L211" s="423">
        <f t="shared" si="18"/>
        <v>19144.998468137255</v>
      </c>
    </row>
    <row r="212" spans="1:12" ht="19.5" customHeight="1">
      <c r="A212" s="518" t="s">
        <v>128</v>
      </c>
      <c r="B212" s="428">
        <v>493.89</v>
      </c>
      <c r="C212" s="695">
        <v>100074495</v>
      </c>
      <c r="D212" s="423">
        <f t="shared" si="16"/>
        <v>16885.422361254532</v>
      </c>
      <c r="E212" s="961" t="s">
        <v>129</v>
      </c>
      <c r="F212" s="956"/>
      <c r="G212" s="583">
        <v>14.47</v>
      </c>
      <c r="H212" s="520">
        <v>2499355</v>
      </c>
      <c r="I212" s="423">
        <f t="shared" si="17"/>
        <v>14393.889656761115</v>
      </c>
      <c r="J212" s="583">
        <v>19.05</v>
      </c>
      <c r="K212" s="520">
        <v>4077718</v>
      </c>
      <c r="L212" s="423">
        <f t="shared" si="18"/>
        <v>17837.786526684165</v>
      </c>
    </row>
    <row r="213" spans="1:12" ht="19.5" customHeight="1">
      <c r="A213" s="518" t="s">
        <v>130</v>
      </c>
      <c r="B213" s="428">
        <v>2</v>
      </c>
      <c r="C213" s="695">
        <v>338499</v>
      </c>
      <c r="D213" s="423">
        <f t="shared" si="16"/>
        <v>14104.125</v>
      </c>
      <c r="E213" s="961" t="s">
        <v>131</v>
      </c>
      <c r="F213" s="956"/>
      <c r="G213" s="583">
        <v>86.54</v>
      </c>
      <c r="H213" s="520">
        <v>11215137</v>
      </c>
      <c r="I213" s="423">
        <f t="shared" si="17"/>
        <v>10799.569563207764</v>
      </c>
      <c r="J213" s="583">
        <v>95.73</v>
      </c>
      <c r="K213" s="520">
        <v>13514637</v>
      </c>
      <c r="L213" s="423">
        <f t="shared" si="18"/>
        <v>11764.543507782304</v>
      </c>
    </row>
    <row r="214" spans="1:12" ht="19.5" customHeight="1">
      <c r="A214" s="518" t="s">
        <v>132</v>
      </c>
      <c r="B214" s="428">
        <v>73.86</v>
      </c>
      <c r="C214" s="695">
        <v>9580536</v>
      </c>
      <c r="D214" s="423">
        <f t="shared" si="16"/>
        <v>10809.341998375305</v>
      </c>
      <c r="E214" s="961" t="s">
        <v>133</v>
      </c>
      <c r="F214" s="956"/>
      <c r="G214" s="583">
        <v>7.11</v>
      </c>
      <c r="H214" s="520">
        <v>1915073</v>
      </c>
      <c r="I214" s="423">
        <f t="shared" si="17"/>
        <v>22445.76887013596</v>
      </c>
      <c r="J214" s="583">
        <v>2.39</v>
      </c>
      <c r="K214" s="520">
        <v>614782</v>
      </c>
      <c r="L214" s="423">
        <f t="shared" si="18"/>
        <v>21435.91352859135</v>
      </c>
    </row>
    <row r="215" spans="1:12" ht="19.5" customHeight="1">
      <c r="A215" s="518"/>
      <c r="B215" s="428"/>
      <c r="C215" s="695"/>
      <c r="D215" s="423"/>
      <c r="E215" s="961" t="s">
        <v>134</v>
      </c>
      <c r="F215" s="956"/>
      <c r="G215" s="583"/>
      <c r="H215" s="520"/>
      <c r="I215" s="423">
        <f t="shared" si="17"/>
      </c>
      <c r="J215" s="583"/>
      <c r="K215" s="520"/>
      <c r="L215" s="423">
        <f t="shared" si="18"/>
      </c>
    </row>
    <row r="216" spans="1:12" ht="19.5" customHeight="1">
      <c r="A216" s="518" t="s">
        <v>135</v>
      </c>
      <c r="B216" s="428">
        <v>65.3</v>
      </c>
      <c r="C216" s="695">
        <v>11189804</v>
      </c>
      <c r="D216" s="423">
        <f>+IF(B216&gt;0,C216/B216/12,"")</f>
        <v>14279.994895354774</v>
      </c>
      <c r="E216" s="961" t="s">
        <v>135</v>
      </c>
      <c r="F216" s="956"/>
      <c r="G216" s="584">
        <v>60.42</v>
      </c>
      <c r="H216" s="422">
        <v>10358807</v>
      </c>
      <c r="I216" s="423">
        <f t="shared" si="17"/>
        <v>14287.221394681672</v>
      </c>
      <c r="J216" s="584">
        <v>61.15</v>
      </c>
      <c r="K216" s="422">
        <v>11552525</v>
      </c>
      <c r="L216" s="423">
        <f t="shared" si="18"/>
        <v>15743.424638866176</v>
      </c>
    </row>
    <row r="217" spans="1:12" ht="19.5" customHeight="1" thickBot="1">
      <c r="A217" s="696" t="s">
        <v>136</v>
      </c>
      <c r="B217" s="428">
        <v>170.9</v>
      </c>
      <c r="C217" s="695">
        <v>19160133</v>
      </c>
      <c r="D217" s="423">
        <f>+IF(B217&gt;0,C217/B217/12,"")</f>
        <v>9342.760386190754</v>
      </c>
      <c r="E217" s="950" t="s">
        <v>137</v>
      </c>
      <c r="F217" s="946"/>
      <c r="G217" s="582">
        <v>160.03</v>
      </c>
      <c r="H217" s="522">
        <v>17706729</v>
      </c>
      <c r="I217" s="427">
        <f t="shared" si="17"/>
        <v>9220.525838905205</v>
      </c>
      <c r="J217" s="582">
        <v>156.14</v>
      </c>
      <c r="K217" s="522">
        <v>18621006</v>
      </c>
      <c r="L217" s="423">
        <f t="shared" si="18"/>
        <v>9938.19969258358</v>
      </c>
    </row>
    <row r="218" spans="1:12" ht="19.5" customHeight="1" thickBot="1">
      <c r="A218" s="244" t="s">
        <v>4</v>
      </c>
      <c r="B218" s="245">
        <f>SUM(B208:B217)</f>
        <v>943.3699999999999</v>
      </c>
      <c r="C218" s="697">
        <f>SUM(C208:C217)</f>
        <v>196380738</v>
      </c>
      <c r="D218" s="241">
        <f>+IF(B218&gt;0,C218/B218/12,"")</f>
        <v>17347.447449039086</v>
      </c>
      <c r="E218" s="942" t="s">
        <v>4</v>
      </c>
      <c r="F218" s="943"/>
      <c r="G218" s="585">
        <f>SUM(G208:G217)</f>
        <v>928.31</v>
      </c>
      <c r="H218" s="240">
        <f>SUM(H208:H217)</f>
        <v>193753418</v>
      </c>
      <c r="I218" s="241">
        <f t="shared" si="17"/>
        <v>17393.024061646076</v>
      </c>
      <c r="J218" s="585">
        <f>SUM(J208:J217)</f>
        <v>930.1299999999999</v>
      </c>
      <c r="K218" s="240">
        <f>SUM(K208:K217)</f>
        <v>207707952</v>
      </c>
      <c r="L218" s="241">
        <f t="shared" si="18"/>
        <v>18609.22236676594</v>
      </c>
    </row>
  </sheetData>
  <mergeCells count="435">
    <mergeCell ref="D37:F37"/>
    <mergeCell ref="D38:F38"/>
    <mergeCell ref="J85:K85"/>
    <mergeCell ref="L85:M85"/>
    <mergeCell ref="J79:K79"/>
    <mergeCell ref="L79:M79"/>
    <mergeCell ref="F79:G79"/>
    <mergeCell ref="H79:I79"/>
    <mergeCell ref="F78:G78"/>
    <mergeCell ref="H78:I78"/>
    <mergeCell ref="L87:M88"/>
    <mergeCell ref="L69:M70"/>
    <mergeCell ref="J82:K82"/>
    <mergeCell ref="J83:K83"/>
    <mergeCell ref="J80:K80"/>
    <mergeCell ref="L80:M80"/>
    <mergeCell ref="J81:K81"/>
    <mergeCell ref="L78:M78"/>
    <mergeCell ref="J74:K74"/>
    <mergeCell ref="L74:M74"/>
    <mergeCell ref="B85:C85"/>
    <mergeCell ref="D85:E85"/>
    <mergeCell ref="F85:G85"/>
    <mergeCell ref="H85:I85"/>
    <mergeCell ref="B83:C83"/>
    <mergeCell ref="L83:M83"/>
    <mergeCell ref="F83:G83"/>
    <mergeCell ref="H83:I83"/>
    <mergeCell ref="H80:I80"/>
    <mergeCell ref="L82:M82"/>
    <mergeCell ref="D82:E82"/>
    <mergeCell ref="F82:G82"/>
    <mergeCell ref="H82:I82"/>
    <mergeCell ref="B79:C79"/>
    <mergeCell ref="D79:E79"/>
    <mergeCell ref="L81:M81"/>
    <mergeCell ref="D81:E81"/>
    <mergeCell ref="B81:C81"/>
    <mergeCell ref="F81:G81"/>
    <mergeCell ref="H81:I81"/>
    <mergeCell ref="B80:C80"/>
    <mergeCell ref="D80:E80"/>
    <mergeCell ref="F80:G80"/>
    <mergeCell ref="D78:E78"/>
    <mergeCell ref="B78:C78"/>
    <mergeCell ref="J76:K76"/>
    <mergeCell ref="L76:M76"/>
    <mergeCell ref="J77:K77"/>
    <mergeCell ref="L77:M77"/>
    <mergeCell ref="J78:K78"/>
    <mergeCell ref="B77:C77"/>
    <mergeCell ref="D77:E77"/>
    <mergeCell ref="F77:G77"/>
    <mergeCell ref="H77:I77"/>
    <mergeCell ref="B76:C76"/>
    <mergeCell ref="D76:E76"/>
    <mergeCell ref="F76:G76"/>
    <mergeCell ref="H76:I76"/>
    <mergeCell ref="J75:K75"/>
    <mergeCell ref="L75:M75"/>
    <mergeCell ref="B74:C74"/>
    <mergeCell ref="D74:E74"/>
    <mergeCell ref="F74:G74"/>
    <mergeCell ref="H74:I74"/>
    <mergeCell ref="B75:C75"/>
    <mergeCell ref="D75:E75"/>
    <mergeCell ref="F75:G75"/>
    <mergeCell ref="H75:I75"/>
    <mergeCell ref="L72:M72"/>
    <mergeCell ref="B73:C73"/>
    <mergeCell ref="D73:E73"/>
    <mergeCell ref="F73:G73"/>
    <mergeCell ref="H73:I73"/>
    <mergeCell ref="J73:K73"/>
    <mergeCell ref="L73:M73"/>
    <mergeCell ref="D72:E72"/>
    <mergeCell ref="F72:G72"/>
    <mergeCell ref="H72:I72"/>
    <mergeCell ref="J114:K114"/>
    <mergeCell ref="H114:I114"/>
    <mergeCell ref="J112:K112"/>
    <mergeCell ref="H112:I112"/>
    <mergeCell ref="J113:K113"/>
    <mergeCell ref="L118:M118"/>
    <mergeCell ref="D119:E119"/>
    <mergeCell ref="B71:C71"/>
    <mergeCell ref="D71:E71"/>
    <mergeCell ref="F71:G71"/>
    <mergeCell ref="H71:I71"/>
    <mergeCell ref="J71:K71"/>
    <mergeCell ref="L71:M71"/>
    <mergeCell ref="B72:C72"/>
    <mergeCell ref="J72:K72"/>
    <mergeCell ref="B118:C118"/>
    <mergeCell ref="F118:G118"/>
    <mergeCell ref="H118:I118"/>
    <mergeCell ref="J116:K116"/>
    <mergeCell ref="H116:I116"/>
    <mergeCell ref="J118:K118"/>
    <mergeCell ref="L116:M116"/>
    <mergeCell ref="B117:C117"/>
    <mergeCell ref="D117:E117"/>
    <mergeCell ref="F117:G117"/>
    <mergeCell ref="H117:I117"/>
    <mergeCell ref="J117:K117"/>
    <mergeCell ref="L117:M117"/>
    <mergeCell ref="B116:C116"/>
    <mergeCell ref="D116:E116"/>
    <mergeCell ref="F116:G116"/>
    <mergeCell ref="L114:M114"/>
    <mergeCell ref="B115:C115"/>
    <mergeCell ref="D115:E115"/>
    <mergeCell ref="F115:G115"/>
    <mergeCell ref="H115:I115"/>
    <mergeCell ref="J115:K115"/>
    <mergeCell ref="L115:M115"/>
    <mergeCell ref="B114:C114"/>
    <mergeCell ref="D114:E114"/>
    <mergeCell ref="F114:G114"/>
    <mergeCell ref="J90:K90"/>
    <mergeCell ref="B89:C89"/>
    <mergeCell ref="L113:M113"/>
    <mergeCell ref="B112:C112"/>
    <mergeCell ref="L112:M112"/>
    <mergeCell ref="F112:G112"/>
    <mergeCell ref="F102:G102"/>
    <mergeCell ref="J99:K99"/>
    <mergeCell ref="H93:I93"/>
    <mergeCell ref="J93:K93"/>
    <mergeCell ref="B90:C90"/>
    <mergeCell ref="D90:E90"/>
    <mergeCell ref="F90:G90"/>
    <mergeCell ref="H90:I90"/>
    <mergeCell ref="A42:K42"/>
    <mergeCell ref="F154:I154"/>
    <mergeCell ref="F155:I155"/>
    <mergeCell ref="F158:I158"/>
    <mergeCell ref="A63:B63"/>
    <mergeCell ref="A64:B64"/>
    <mergeCell ref="A65:B65"/>
    <mergeCell ref="B113:C113"/>
    <mergeCell ref="D113:E113"/>
    <mergeCell ref="F113:G113"/>
    <mergeCell ref="B59:C59"/>
    <mergeCell ref="D59:E59"/>
    <mergeCell ref="F59:G59"/>
    <mergeCell ref="B43:F43"/>
    <mergeCell ref="G43:K43"/>
    <mergeCell ref="B57:C57"/>
    <mergeCell ref="D57:E57"/>
    <mergeCell ref="F57:G57"/>
    <mergeCell ref="B58:C58"/>
    <mergeCell ref="D58:E58"/>
    <mergeCell ref="F58:G58"/>
    <mergeCell ref="H55:K55"/>
    <mergeCell ref="B56:C56"/>
    <mergeCell ref="D56:E56"/>
    <mergeCell ref="F56:G56"/>
    <mergeCell ref="H145:H146"/>
    <mergeCell ref="C145:F145"/>
    <mergeCell ref="G145:G146"/>
    <mergeCell ref="C140:C141"/>
    <mergeCell ref="C130:E130"/>
    <mergeCell ref="C131:E131"/>
    <mergeCell ref="C132:E132"/>
    <mergeCell ref="C136:E136"/>
    <mergeCell ref="C133:E133"/>
    <mergeCell ref="C134:E134"/>
    <mergeCell ref="C135:E135"/>
    <mergeCell ref="C126:E126"/>
    <mergeCell ref="C127:E127"/>
    <mergeCell ref="C128:E128"/>
    <mergeCell ref="C129:E129"/>
    <mergeCell ref="I145:L145"/>
    <mergeCell ref="A145:A146"/>
    <mergeCell ref="B145:B146"/>
    <mergeCell ref="J69:K69"/>
    <mergeCell ref="B70:C70"/>
    <mergeCell ref="D70:E70"/>
    <mergeCell ref="F70:G70"/>
    <mergeCell ref="H70:I70"/>
    <mergeCell ref="J70:K70"/>
    <mergeCell ref="C125:E125"/>
    <mergeCell ref="A69:A70"/>
    <mergeCell ref="B69:C69"/>
    <mergeCell ref="D69:E69"/>
    <mergeCell ref="F69:I69"/>
    <mergeCell ref="A139:A141"/>
    <mergeCell ref="B139:B141"/>
    <mergeCell ref="A43:A44"/>
    <mergeCell ref="A55:A56"/>
    <mergeCell ref="B91:C91"/>
    <mergeCell ref="C139:H139"/>
    <mergeCell ref="D140:H140"/>
    <mergeCell ref="H98:I98"/>
    <mergeCell ref="H102:I102"/>
    <mergeCell ref="H101:I101"/>
    <mergeCell ref="G4:H4"/>
    <mergeCell ref="K5:K6"/>
    <mergeCell ref="L4:M4"/>
    <mergeCell ref="A3:A6"/>
    <mergeCell ref="B3:M3"/>
    <mergeCell ref="B4:B6"/>
    <mergeCell ref="C4:C6"/>
    <mergeCell ref="D36:F36"/>
    <mergeCell ref="B55:G55"/>
    <mergeCell ref="L90:M90"/>
    <mergeCell ref="D91:E91"/>
    <mergeCell ref="F91:G91"/>
    <mergeCell ref="H89:I89"/>
    <mergeCell ref="H91:I91"/>
    <mergeCell ref="J91:K91"/>
    <mergeCell ref="J87:K87"/>
    <mergeCell ref="F84:G84"/>
    <mergeCell ref="F92:G92"/>
    <mergeCell ref="F98:G98"/>
    <mergeCell ref="F89:G89"/>
    <mergeCell ref="D98:E98"/>
    <mergeCell ref="F105:G105"/>
    <mergeCell ref="F106:G106"/>
    <mergeCell ref="F93:G93"/>
    <mergeCell ref="F94:G94"/>
    <mergeCell ref="F95:G95"/>
    <mergeCell ref="F96:G96"/>
    <mergeCell ref="I139:I141"/>
    <mergeCell ref="J88:K88"/>
    <mergeCell ref="J98:K98"/>
    <mergeCell ref="L98:M98"/>
    <mergeCell ref="J101:K101"/>
    <mergeCell ref="L101:M101"/>
    <mergeCell ref="L91:M91"/>
    <mergeCell ref="H92:I92"/>
    <mergeCell ref="J92:K92"/>
    <mergeCell ref="L89:M89"/>
    <mergeCell ref="L93:M93"/>
    <mergeCell ref="H94:I94"/>
    <mergeCell ref="J94:K94"/>
    <mergeCell ref="L94:M94"/>
    <mergeCell ref="L96:M96"/>
    <mergeCell ref="H96:I96"/>
    <mergeCell ref="J96:K96"/>
    <mergeCell ref="B95:C95"/>
    <mergeCell ref="D95:E95"/>
    <mergeCell ref="H95:I95"/>
    <mergeCell ref="J95:K95"/>
    <mergeCell ref="L95:M95"/>
    <mergeCell ref="L97:M97"/>
    <mergeCell ref="F97:G97"/>
    <mergeCell ref="H97:I97"/>
    <mergeCell ref="J97:K97"/>
    <mergeCell ref="D105:E105"/>
    <mergeCell ref="D106:E106"/>
    <mergeCell ref="D99:E99"/>
    <mergeCell ref="D100:E100"/>
    <mergeCell ref="D101:E101"/>
    <mergeCell ref="D102:E102"/>
    <mergeCell ref="F109:G109"/>
    <mergeCell ref="H109:I109"/>
    <mergeCell ref="J109:K109"/>
    <mergeCell ref="L109:M109"/>
    <mergeCell ref="L92:M92"/>
    <mergeCell ref="A87:A88"/>
    <mergeCell ref="B87:C87"/>
    <mergeCell ref="D87:E87"/>
    <mergeCell ref="F87:I87"/>
    <mergeCell ref="B88:C88"/>
    <mergeCell ref="D88:E88"/>
    <mergeCell ref="F88:G88"/>
    <mergeCell ref="H88:I88"/>
    <mergeCell ref="J89:K89"/>
    <mergeCell ref="B98:C98"/>
    <mergeCell ref="B99:C99"/>
    <mergeCell ref="F99:G99"/>
    <mergeCell ref="B92:C92"/>
    <mergeCell ref="B93:C93"/>
    <mergeCell ref="D93:E93"/>
    <mergeCell ref="B94:C94"/>
    <mergeCell ref="D94:E94"/>
    <mergeCell ref="B97:C97"/>
    <mergeCell ref="B96:C96"/>
    <mergeCell ref="H99:I99"/>
    <mergeCell ref="B100:C100"/>
    <mergeCell ref="F100:G100"/>
    <mergeCell ref="H100:I100"/>
    <mergeCell ref="L99:M99"/>
    <mergeCell ref="J100:K100"/>
    <mergeCell ref="L100:M100"/>
    <mergeCell ref="J102:K102"/>
    <mergeCell ref="L102:M102"/>
    <mergeCell ref="B104:C104"/>
    <mergeCell ref="F104:G104"/>
    <mergeCell ref="H104:I104"/>
    <mergeCell ref="B101:C101"/>
    <mergeCell ref="B102:C102"/>
    <mergeCell ref="B103:C103"/>
    <mergeCell ref="F103:G103"/>
    <mergeCell ref="D103:E103"/>
    <mergeCell ref="D104:E104"/>
    <mergeCell ref="F101:G101"/>
    <mergeCell ref="H105:I105"/>
    <mergeCell ref="J103:K103"/>
    <mergeCell ref="L103:M103"/>
    <mergeCell ref="J104:K104"/>
    <mergeCell ref="L104:M104"/>
    <mergeCell ref="J105:K105"/>
    <mergeCell ref="L105:M105"/>
    <mergeCell ref="H103:I103"/>
    <mergeCell ref="B105:C105"/>
    <mergeCell ref="B121:C121"/>
    <mergeCell ref="D121:E121"/>
    <mergeCell ref="B106:C106"/>
    <mergeCell ref="B107:C107"/>
    <mergeCell ref="B108:C108"/>
    <mergeCell ref="D107:E107"/>
    <mergeCell ref="D108:E108"/>
    <mergeCell ref="B109:C109"/>
    <mergeCell ref="D109:E109"/>
    <mergeCell ref="B123:C123"/>
    <mergeCell ref="D123:E123"/>
    <mergeCell ref="F123:G123"/>
    <mergeCell ref="H123:I123"/>
    <mergeCell ref="J123:K123"/>
    <mergeCell ref="L123:M123"/>
    <mergeCell ref="J121:K121"/>
    <mergeCell ref="L121:M121"/>
    <mergeCell ref="H121:I121"/>
    <mergeCell ref="B110:C110"/>
    <mergeCell ref="D110:E110"/>
    <mergeCell ref="F110:G110"/>
    <mergeCell ref="H110:I110"/>
    <mergeCell ref="B119:C119"/>
    <mergeCell ref="F119:G119"/>
    <mergeCell ref="H119:I119"/>
    <mergeCell ref="H113:I113"/>
    <mergeCell ref="D118:E118"/>
    <mergeCell ref="D111:E111"/>
    <mergeCell ref="F111:G111"/>
    <mergeCell ref="H111:I111"/>
    <mergeCell ref="L111:M111"/>
    <mergeCell ref="H106:I106"/>
    <mergeCell ref="J106:K106"/>
    <mergeCell ref="L106:M106"/>
    <mergeCell ref="F107:G107"/>
    <mergeCell ref="H107:I107"/>
    <mergeCell ref="J107:K107"/>
    <mergeCell ref="L107:M107"/>
    <mergeCell ref="L119:M119"/>
    <mergeCell ref="F173:I173"/>
    <mergeCell ref="F108:G108"/>
    <mergeCell ref="H108:I108"/>
    <mergeCell ref="J108:K108"/>
    <mergeCell ref="L108:M108"/>
    <mergeCell ref="J110:K110"/>
    <mergeCell ref="L110:M110"/>
    <mergeCell ref="J111:K111"/>
    <mergeCell ref="F121:G121"/>
    <mergeCell ref="B82:C82"/>
    <mergeCell ref="D83:E83"/>
    <mergeCell ref="D112:E112"/>
    <mergeCell ref="D96:E96"/>
    <mergeCell ref="D97:E97"/>
    <mergeCell ref="D92:E92"/>
    <mergeCell ref="D89:E89"/>
    <mergeCell ref="B84:C84"/>
    <mergeCell ref="D84:E84"/>
    <mergeCell ref="B111:C111"/>
    <mergeCell ref="H84:I84"/>
    <mergeCell ref="J84:K84"/>
    <mergeCell ref="L84:M84"/>
    <mergeCell ref="B120:C120"/>
    <mergeCell ref="D120:E120"/>
    <mergeCell ref="F120:G120"/>
    <mergeCell ref="H120:I120"/>
    <mergeCell ref="J120:K120"/>
    <mergeCell ref="L120:M120"/>
    <mergeCell ref="J119:K119"/>
    <mergeCell ref="F156:I156"/>
    <mergeCell ref="F157:I157"/>
    <mergeCell ref="A186:B186"/>
    <mergeCell ref="A187:B187"/>
    <mergeCell ref="F159:I159"/>
    <mergeCell ref="F160:I160"/>
    <mergeCell ref="A177:A178"/>
    <mergeCell ref="B177:B178"/>
    <mergeCell ref="C177:H177"/>
    <mergeCell ref="F168:I168"/>
    <mergeCell ref="A163:B163"/>
    <mergeCell ref="F161:I161"/>
    <mergeCell ref="F163:I163"/>
    <mergeCell ref="F167:I167"/>
    <mergeCell ref="F162:I162"/>
    <mergeCell ref="F164:I164"/>
    <mergeCell ref="F165:I165"/>
    <mergeCell ref="F166:I166"/>
    <mergeCell ref="F169:I169"/>
    <mergeCell ref="F170:I170"/>
    <mergeCell ref="F172:I172"/>
    <mergeCell ref="A184:B185"/>
    <mergeCell ref="C184:G184"/>
    <mergeCell ref="H184:L184"/>
    <mergeCell ref="F171:I171"/>
    <mergeCell ref="F174:I174"/>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6:A207"/>
    <mergeCell ref="B206:D206"/>
    <mergeCell ref="E206:F207"/>
    <mergeCell ref="G206:I206"/>
    <mergeCell ref="J206:L206"/>
    <mergeCell ref="E208:F208"/>
    <mergeCell ref="E209:F209"/>
    <mergeCell ref="E210:F210"/>
    <mergeCell ref="E211:F211"/>
    <mergeCell ref="E212:F212"/>
    <mergeCell ref="E213:F213"/>
    <mergeCell ref="E218:F218"/>
    <mergeCell ref="E214:F214"/>
    <mergeCell ref="E215:F215"/>
    <mergeCell ref="E216:F216"/>
    <mergeCell ref="E217:F217"/>
  </mergeCells>
  <printOptions horizontalCentered="1"/>
  <pageMargins left="0.2362204724409449" right="0.2755905511811024" top="0.43" bottom="0.2362204724409449" header="0.2362204724409449" footer="0.1968503937007874"/>
  <pageSetup horizontalDpi="600" verticalDpi="600" orientation="portrait" paperSize="9" scale="68" r:id="rId1"/>
  <rowBreaks count="1" manualBreakCount="1">
    <brk id="6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Pelhřimov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Jaroslav Buřič</dc:creator>
  <cp:keywords/>
  <dc:description/>
  <cp:lastModifiedBy>jakoubkova</cp:lastModifiedBy>
  <cp:lastPrinted>2006-03-27T11:00:47Z</cp:lastPrinted>
  <dcterms:created xsi:type="dcterms:W3CDTF">2005-04-12T20:05:51Z</dcterms:created>
  <dcterms:modified xsi:type="dcterms:W3CDTF">2006-03-30T10:30:19Z</dcterms:modified>
  <cp:category/>
  <cp:version/>
  <cp:contentType/>
  <cp:contentStatus/>
</cp:coreProperties>
</file>