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24" activeTab="0"/>
  </bookViews>
  <sheets>
    <sheet name="RK-07-2006-28, př. 1" sheetId="1" r:id="rId1"/>
  </sheets>
  <definedNames>
    <definedName name="_xlnm.Print_Area" localSheetId="0">'RK-07-2006-28, př. 1'!$A$1:$M$605</definedName>
  </definedNames>
  <calcPr fullCalcOnLoad="1"/>
</workbook>
</file>

<file path=xl/sharedStrings.xml><?xml version="1.0" encoding="utf-8"?>
<sst xmlns="http://schemas.openxmlformats.org/spreadsheetml/2006/main" count="834" uniqueCount="135">
  <si>
    <t>VÝNOSY CELKEM</t>
  </si>
  <si>
    <t>Organizace</t>
  </si>
  <si>
    <t>Skutečnost</t>
  </si>
  <si>
    <t>Návrh</t>
  </si>
  <si>
    <t>Index</t>
  </si>
  <si>
    <t>NÁKLADY CELKEM</t>
  </si>
  <si>
    <t>opravy a údržba</t>
  </si>
  <si>
    <t>odpisy dlouhodobého majetku</t>
  </si>
  <si>
    <t>HOSPODÁŘSKÝ VÝSLEDEK</t>
  </si>
  <si>
    <t>Školství  celkem</t>
  </si>
  <si>
    <t>Speciální školy Nové Město na Moravě</t>
  </si>
  <si>
    <t>§ 3116 celkem</t>
  </si>
  <si>
    <t>§ 3114 celkem</t>
  </si>
  <si>
    <t>§ 3121 celkem</t>
  </si>
  <si>
    <t>Gymnázium Chotěboř</t>
  </si>
  <si>
    <t>Gymnázium Jihlava</t>
  </si>
  <si>
    <t>Gymnázium Pacov</t>
  </si>
  <si>
    <t>Gymnázium Pelhřimov</t>
  </si>
  <si>
    <t>Gymnázium Třebíč</t>
  </si>
  <si>
    <t>Gymnázium Bystřice nad Pernštejnem</t>
  </si>
  <si>
    <t>Gymnázium Velké Meziříčí</t>
  </si>
  <si>
    <t>Gymnázium Žďár nad Sázavou</t>
  </si>
  <si>
    <t>§ 3122 celkem</t>
  </si>
  <si>
    <t>VOŠ a Obchodní akademie Chotěboř</t>
  </si>
  <si>
    <t>Obchodní akademie Pelhřimov</t>
  </si>
  <si>
    <t>§ 3123 celkem</t>
  </si>
  <si>
    <t>SOU technické Chotěboř</t>
  </si>
  <si>
    <t>SOU opravárenské Jihlava</t>
  </si>
  <si>
    <t>SOU zemědělské Kamenice nad Lipou</t>
  </si>
  <si>
    <t>SOU strojírenské a U Žďár nad Sázavou</t>
  </si>
  <si>
    <t>SOU zemědělské Velké Meziříčí</t>
  </si>
  <si>
    <t>§ 3125 celkem</t>
  </si>
  <si>
    <t>§ 3145 celkem</t>
  </si>
  <si>
    <t>Domov mládeže Jihlava</t>
  </si>
  <si>
    <t>Domov mládeže Pelhřimov</t>
  </si>
  <si>
    <t>§ 3146 celkem</t>
  </si>
  <si>
    <t>Pedagog.-psycholog. poradna Jihlava</t>
  </si>
  <si>
    <t>Pedagog.-psycholog. poradna Pelhřimov</t>
  </si>
  <si>
    <t>Pedagog.-psycholog. poradna Třebič</t>
  </si>
  <si>
    <t>§ 3147 celkem</t>
  </si>
  <si>
    <t>Školní statek Humpolec</t>
  </si>
  <si>
    <t>§ 3149 celkem</t>
  </si>
  <si>
    <t>§ 3150 celkem</t>
  </si>
  <si>
    <t>Vyšší odborná škola Jihlava</t>
  </si>
  <si>
    <t>§ 3231 celkem</t>
  </si>
  <si>
    <t>ZUŠ Havlíčkův Brod</t>
  </si>
  <si>
    <t>ZUŠ Ledeč nad Sázavou</t>
  </si>
  <si>
    <t>ZUŠ Jihlava</t>
  </si>
  <si>
    <t>ZUŠ Kamenice nad Lipou</t>
  </si>
  <si>
    <t>ZUŠ Pacov</t>
  </si>
  <si>
    <t>ZUŠ Bystřice nad Pernštejnem</t>
  </si>
  <si>
    <t>§ 3421 celkem</t>
  </si>
  <si>
    <t>DDM Světlá nad Sázavou</t>
  </si>
  <si>
    <t>DDM Jihlava</t>
  </si>
  <si>
    <t>DDM Bystřice nad Pernštejnem</t>
  </si>
  <si>
    <t xml:space="preserve">DDM Žďár nad Sázavou </t>
  </si>
  <si>
    <t>§ 4322 celkem</t>
  </si>
  <si>
    <t>Plavecká škola Jihlava</t>
  </si>
  <si>
    <t>Plavecká škola Třebíč</t>
  </si>
  <si>
    <t>OA a Státní jazyková škola Jihlava</t>
  </si>
  <si>
    <t>SZŠ, VZŠ a Speciální školy Jihlava</t>
  </si>
  <si>
    <t>Speciální školy Kamenice nad Lipou</t>
  </si>
  <si>
    <t>Speciální školy Černovice</t>
  </si>
  <si>
    <t>Speciální školy Velká Biteš, U Stadionu</t>
  </si>
  <si>
    <t>Speciální školy Chotěboř</t>
  </si>
  <si>
    <t>PROVOZNÍ DOTACE</t>
  </si>
  <si>
    <t xml:space="preserve">VLASTNÍ ČINNOST </t>
  </si>
  <si>
    <t>Speciální školy Pelhřimov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</si>
  <si>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</si>
  <si>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</si>
  <si>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</si>
  <si>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</si>
  <si>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Třebíč, 9. května</t>
  </si>
  <si>
    <t>Gymnázium, VOŠ a ISŠ Ledeč nad Sázavou</t>
  </si>
  <si>
    <t>SOŠ technická, SOU a U Jihlava</t>
  </si>
  <si>
    <t>SOU řemesel a služeb a U Moravské Budějovice</t>
  </si>
  <si>
    <t>SOU řemesel Třebíč</t>
  </si>
  <si>
    <t>DOTACE ZE STÁTNÍHO  ROZPOČTU A ÚŘADU PRÁCE</t>
  </si>
  <si>
    <t>Zvláštní škola  Pacov</t>
  </si>
  <si>
    <t>Zvláštní škola Ledeč nad Sázavou</t>
  </si>
  <si>
    <t>SPŠ stavební, SOU stavební a OU Třebíč</t>
  </si>
  <si>
    <t>VOŠ,VZŠ, SOŠ zem. a ekonomická a SZŠ Třebíč</t>
  </si>
  <si>
    <t>ISŠ stavební a Učiliště Jihlava</t>
  </si>
  <si>
    <t>Střední průmyslová škola a SOU Pelhřimov</t>
  </si>
  <si>
    <t>SOŠ a SOU lesnické, dop. a sl. Nové Město na Mor.</t>
  </si>
  <si>
    <t>z toho: materiál</t>
  </si>
  <si>
    <t>energie</t>
  </si>
  <si>
    <t>mzdové prostředky</t>
  </si>
  <si>
    <t>počet stran: 12</t>
  </si>
  <si>
    <t>Pedagog.-psycholog. poradna Žďár nad Sázavou</t>
  </si>
  <si>
    <t>Pedagog.-psycholog. poradna Havlíčkův Brod</t>
  </si>
  <si>
    <t>Vybrané ukazatele finančního plánu příspěvkových organizací kapitoly Školství zřizovaných krajem  Vysočina</t>
  </si>
  <si>
    <t>Speciální škola Havlíčkův Brod</t>
  </si>
  <si>
    <t xml:space="preserve">Zvláštní a Pomocná škola Humpolec </t>
  </si>
  <si>
    <t>Speciální školy pro mentálně postižené Žďár n/S.</t>
  </si>
  <si>
    <t>Havlíčkovo gymnázium Havlíčkův Brod</t>
  </si>
  <si>
    <t>Gymnázium Otokara Březiny a SOŠ Telč</t>
  </si>
  <si>
    <t>Gymnázium dr. A. Hrdličky Humpolec</t>
  </si>
  <si>
    <t>Gymnázium a SOŠ Moravské Budějovice</t>
  </si>
  <si>
    <t>Gymnázium V. Makovského Nové Město na Moravě</t>
  </si>
  <si>
    <t>SPŠ stavební ak. St. Bechyně Havlíčkův Brod</t>
  </si>
  <si>
    <t>Střední zdravotnická škola a VZŠ Havlíčkův Brod</t>
  </si>
  <si>
    <t>Střední průmyslová škola Jihlava</t>
  </si>
  <si>
    <t>Střední průmyslová škola textilní Jihlava</t>
  </si>
  <si>
    <t>Obchodní akademie dr. Albína Bráfa Třebíč</t>
  </si>
  <si>
    <t>SPŠ technická a SOU technické Třebíč</t>
  </si>
  <si>
    <t>Hotelová škola Světlá a OA Velké Meziříčí</t>
  </si>
  <si>
    <t>VOŠ a Střední průmyslová škola Žďár nad Sázavou</t>
  </si>
  <si>
    <t>VOŠ, SZemŠ a SOU opravárenské a OU Bystřice n/P.</t>
  </si>
  <si>
    <t>Střední zdravotnická škola a VZŠ Žďár nad Sázavou</t>
  </si>
  <si>
    <t>OA a ISŠ obchodu a služeb Havlíčkův Brod</t>
  </si>
  <si>
    <t>VOŠ, G, SSŠ a SOU Světlá nad Sázavou</t>
  </si>
  <si>
    <t>SOŠ, SOU a OU  Třešť</t>
  </si>
  <si>
    <t>Střední odborná škola a SOU Jihlava</t>
  </si>
  <si>
    <t>SOŠ obchodu a služeb a SOU Třebíč</t>
  </si>
  <si>
    <t>Odborné učiliště a Praktická škola Černovice</t>
  </si>
  <si>
    <t>ZUŠ Františka Drdly Žďár nad Sázavou</t>
  </si>
  <si>
    <t>DDM u Aleje Havlíčkův Brod</t>
  </si>
  <si>
    <t>Junior - DDM, SVČ Chotěboř</t>
  </si>
  <si>
    <t>Centrum - DDM Ledeč nad Sázavou</t>
  </si>
  <si>
    <t>DDM Hrádek Třebič</t>
  </si>
  <si>
    <t>Dětský domov Nová Ves u Chotěboře</t>
  </si>
  <si>
    <t>Dětský domov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</si>
  <si>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</si>
  <si>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</si>
  <si>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</si>
  <si>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</si>
  <si>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</si>
  <si>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Náměšť nad Oslavou</t>
  </si>
  <si>
    <t>Dětský domov Rovečné</t>
  </si>
  <si>
    <t>2006/2005</t>
  </si>
  <si>
    <t>Základní škola a Mateřská škola při ZZ Havlíčkův Brod</t>
  </si>
  <si>
    <t>Zvláštní škola Pacov</t>
  </si>
  <si>
    <t>SOŠ, SOU zemědělské a technické a U Humpolec</t>
  </si>
  <si>
    <t>RK-07-2006-28, př. 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</si>
</sst>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3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6" xfId="0" applyNumberFormat="1" applyFont="1" applyFill="1" applyBorder="1" applyAlignment="1" applyProtection="1">
      <alignment/>
      <protection locked="0"/>
    </xf>
    <xf numFmtId="3" fontId="4" fillId="0" borderId="7" xfId="0" applyNumberFormat="1" applyFont="1" applyFill="1" applyBorder="1" applyAlignment="1" applyProtection="1">
      <alignment/>
      <protection locked="0"/>
    </xf>
    <xf numFmtId="3" fontId="4" fillId="0" borderId="8" xfId="0" applyNumberFormat="1" applyFont="1" applyFill="1" applyBorder="1" applyAlignment="1" applyProtection="1">
      <alignment/>
      <protection locked="0"/>
    </xf>
    <xf numFmtId="3" fontId="4" fillId="0" borderId="9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3" fontId="4" fillId="0" borderId="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4" fillId="0" borderId="33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 applyProtection="1">
      <alignment/>
      <protection locked="0"/>
    </xf>
    <xf numFmtId="3" fontId="4" fillId="0" borderId="8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3" fontId="4" fillId="0" borderId="35" xfId="0" applyNumberFormat="1" applyFont="1" applyFill="1" applyBorder="1" applyAlignment="1" applyProtection="1">
      <alignment horizontal="right"/>
      <protection locked="0"/>
    </xf>
    <xf numFmtId="3" fontId="4" fillId="0" borderId="36" xfId="0" applyNumberFormat="1" applyFont="1" applyFill="1" applyBorder="1" applyAlignment="1" applyProtection="1">
      <alignment/>
      <protection locked="0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23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Fill="1" applyBorder="1" applyAlignment="1">
      <alignment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3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3" fontId="4" fillId="0" borderId="44" xfId="0" applyNumberFormat="1" applyFont="1" applyFill="1" applyBorder="1" applyAlignment="1" applyProtection="1">
      <alignment/>
      <protection locked="0"/>
    </xf>
    <xf numFmtId="3" fontId="4" fillId="0" borderId="45" xfId="0" applyNumberFormat="1" applyFont="1" applyFill="1" applyBorder="1" applyAlignment="1" applyProtection="1">
      <alignment/>
      <protection locked="0"/>
    </xf>
    <xf numFmtId="3" fontId="4" fillId="0" borderId="46" xfId="0" applyNumberFormat="1" applyFont="1" applyFill="1" applyBorder="1" applyAlignment="1" applyProtection="1">
      <alignment/>
      <protection locked="0"/>
    </xf>
    <xf numFmtId="3" fontId="4" fillId="0" borderId="47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46" xfId="0" applyNumberFormat="1" applyFont="1" applyFill="1" applyBorder="1" applyAlignment="1" applyProtection="1">
      <alignment horizontal="right"/>
      <protection locked="0"/>
    </xf>
    <xf numFmtId="3" fontId="4" fillId="0" borderId="45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44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3" fontId="4" fillId="0" borderId="49" xfId="0" applyNumberFormat="1" applyFont="1" applyFill="1" applyBorder="1" applyAlignment="1" applyProtection="1">
      <alignment/>
      <protection locked="0"/>
    </xf>
    <xf numFmtId="4" fontId="4" fillId="0" borderId="49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49" xfId="0" applyNumberFormat="1" applyFont="1" applyFill="1" applyBorder="1" applyAlignment="1" applyProtection="1">
      <alignment horizontal="right"/>
      <protection locked="0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3" fillId="0" borderId="2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3" fontId="3" fillId="0" borderId="27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/>
      <protection locked="0"/>
    </xf>
    <xf numFmtId="3" fontId="3" fillId="0" borderId="28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3" fontId="3" fillId="0" borderId="34" xfId="0" applyNumberFormat="1" applyFont="1" applyFill="1" applyBorder="1" applyAlignment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34" xfId="0" applyNumberFormat="1" applyFont="1" applyFill="1" applyBorder="1" applyAlignment="1" applyProtection="1">
      <alignment horizontal="right"/>
      <protection locked="0"/>
    </xf>
    <xf numFmtId="3" fontId="3" fillId="0" borderId="38" xfId="0" applyNumberFormat="1" applyFont="1" applyFill="1" applyBorder="1" applyAlignment="1" applyProtection="1">
      <alignment/>
      <protection locked="0"/>
    </xf>
    <xf numFmtId="3" fontId="3" fillId="0" borderId="44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4" fillId="0" borderId="52" xfId="0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54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>
      <alignment horizontal="right"/>
    </xf>
    <xf numFmtId="4" fontId="4" fillId="0" borderId="5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56" xfId="0" applyNumberFormat="1" applyFont="1" applyFill="1" applyBorder="1" applyAlignment="1">
      <alignment horizontal="right"/>
    </xf>
    <xf numFmtId="4" fontId="3" fillId="0" borderId="57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172" fontId="3" fillId="0" borderId="38" xfId="0" applyNumberFormat="1" applyFont="1" applyFill="1" applyBorder="1" applyAlignment="1">
      <alignment horizontal="right"/>
    </xf>
    <xf numFmtId="172" fontId="4" fillId="0" borderId="39" xfId="0" applyNumberFormat="1" applyFont="1" applyFill="1" applyBorder="1" applyAlignment="1">
      <alignment horizontal="right"/>
    </xf>
    <xf numFmtId="172" fontId="4" fillId="0" borderId="9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58" xfId="0" applyNumberFormat="1" applyFont="1" applyFill="1" applyBorder="1" applyAlignment="1">
      <alignment horizontal="right"/>
    </xf>
    <xf numFmtId="172" fontId="3" fillId="0" borderId="57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172" fontId="4" fillId="0" borderId="56" xfId="0" applyNumberFormat="1" applyFont="1" applyFill="1" applyBorder="1" applyAlignment="1">
      <alignment horizontal="right"/>
    </xf>
    <xf numFmtId="172" fontId="4" fillId="0" borderId="42" xfId="0" applyNumberFormat="1" applyFont="1" applyFill="1" applyBorder="1" applyAlignment="1">
      <alignment horizontal="right"/>
    </xf>
    <xf numFmtId="172" fontId="4" fillId="0" borderId="57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3" fillId="0" borderId="59" xfId="0" applyNumberFormat="1" applyFont="1" applyFill="1" applyBorder="1" applyAlignment="1">
      <alignment horizontal="right"/>
    </xf>
    <xf numFmtId="4" fontId="4" fillId="0" borderId="60" xfId="0" applyNumberFormat="1" applyFont="1" applyFill="1" applyBorder="1" applyAlignment="1">
      <alignment horizontal="right"/>
    </xf>
    <xf numFmtId="4" fontId="4" fillId="0" borderId="61" xfId="0" applyNumberFormat="1" applyFont="1" applyFill="1" applyBorder="1" applyAlignment="1">
      <alignment horizontal="right"/>
    </xf>
    <xf numFmtId="4" fontId="4" fillId="0" borderId="62" xfId="0" applyNumberFormat="1" applyFont="1" applyFill="1" applyBorder="1" applyAlignment="1">
      <alignment horizontal="right"/>
    </xf>
    <xf numFmtId="4" fontId="4" fillId="0" borderId="6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5"/>
  <sheetViews>
    <sheetView showGridLines="0" tabSelected="1" zoomScale="85" zoomScaleNormal="85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" sqref="L1"/>
    </sheetView>
  </sheetViews>
  <sheetFormatPr defaultColWidth="9.00390625" defaultRowHeight="12.75"/>
  <cols>
    <col min="1" max="1" width="42.75390625" style="5" customWidth="1"/>
    <col min="2" max="13" width="10.75390625" style="123" customWidth="1"/>
    <col min="14" max="16384" width="9.125" style="123" customWidth="1"/>
  </cols>
  <sheetData>
    <row r="1" spans="12:13" ht="15.75">
      <c r="L1" s="24" t="s">
        <v>134</v>
      </c>
      <c r="M1" s="24"/>
    </row>
    <row r="2" spans="12:13" ht="15.75">
      <c r="L2" s="24" t="s">
        <v>88</v>
      </c>
      <c r="M2" s="24"/>
    </row>
    <row r="3" spans="1:13" s="25" customFormat="1" ht="15">
      <c r="A3" s="190" t="s">
        <v>91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2"/>
      <c r="M3" s="192"/>
    </row>
    <row r="4" s="27" customFormat="1" ht="12.75" thickBot="1">
      <c r="A4" s="26"/>
    </row>
    <row r="5" spans="1:13" s="5" customFormat="1" ht="26.25" customHeight="1">
      <c r="A5" s="214" t="s">
        <v>1</v>
      </c>
      <c r="B5" s="201" t="s">
        <v>0</v>
      </c>
      <c r="C5" s="202"/>
      <c r="D5" s="202"/>
      <c r="E5" s="203"/>
      <c r="F5" s="204" t="s">
        <v>65</v>
      </c>
      <c r="G5" s="205"/>
      <c r="H5" s="205"/>
      <c r="I5" s="205"/>
      <c r="J5" s="206" t="s">
        <v>77</v>
      </c>
      <c r="K5" s="207"/>
      <c r="L5" s="207"/>
      <c r="M5" s="208"/>
    </row>
    <row r="6" spans="1:13" s="27" customFormat="1" ht="12.75" customHeight="1">
      <c r="A6" s="215"/>
      <c r="B6" s="29" t="s">
        <v>2</v>
      </c>
      <c r="C6" s="30" t="s">
        <v>2</v>
      </c>
      <c r="D6" s="30" t="s">
        <v>3</v>
      </c>
      <c r="E6" s="31" t="s">
        <v>4</v>
      </c>
      <c r="F6" s="29" t="s">
        <v>2</v>
      </c>
      <c r="G6" s="30" t="s">
        <v>2</v>
      </c>
      <c r="H6" s="30" t="s">
        <v>3</v>
      </c>
      <c r="I6" s="31" t="s">
        <v>4</v>
      </c>
      <c r="J6" s="29" t="s">
        <v>2</v>
      </c>
      <c r="K6" s="30" t="s">
        <v>2</v>
      </c>
      <c r="L6" s="30" t="s">
        <v>3</v>
      </c>
      <c r="M6" s="31" t="s">
        <v>4</v>
      </c>
    </row>
    <row r="7" spans="1:13" s="27" customFormat="1" ht="13.5" customHeight="1" thickBot="1">
      <c r="A7" s="216"/>
      <c r="B7" s="32">
        <v>2004</v>
      </c>
      <c r="C7" s="33">
        <v>2005</v>
      </c>
      <c r="D7" s="33">
        <v>2006</v>
      </c>
      <c r="E7" s="34" t="s">
        <v>130</v>
      </c>
      <c r="F7" s="32">
        <v>2004</v>
      </c>
      <c r="G7" s="33">
        <v>2005</v>
      </c>
      <c r="H7" s="33">
        <v>2006</v>
      </c>
      <c r="I7" s="34" t="s">
        <v>130</v>
      </c>
      <c r="J7" s="32">
        <v>2004</v>
      </c>
      <c r="K7" s="33">
        <v>2005</v>
      </c>
      <c r="L7" s="33">
        <v>2006</v>
      </c>
      <c r="M7" s="34" t="s">
        <v>130</v>
      </c>
    </row>
    <row r="8" spans="1:13" s="5" customFormat="1" ht="12.75" thickBot="1">
      <c r="A8" s="35" t="s">
        <v>9</v>
      </c>
      <c r="B8" s="124">
        <f>B9+B66+B111+B170+B276+B337+B376+B379+B425+B427+B430+B432+B481+B531</f>
        <v>1951197</v>
      </c>
      <c r="C8" s="23">
        <f>C9+C66+C111+C170+C276+C337+C376+C379+C425+C427+C430+C432+C481+C531</f>
        <v>2010196</v>
      </c>
      <c r="D8" s="36">
        <f>D9+D66+D111+D170+D276+D337+D376+D379+D425+D427+D430+D432+D481+D531</f>
        <v>662954</v>
      </c>
      <c r="E8" s="37">
        <f>IF(C8=0,"0,00",(D8/C8)*100)</f>
        <v>32.97957015136833</v>
      </c>
      <c r="F8" s="124">
        <f>F9+F66+F111+F170+F276+F337+F376+F379+F425+F427+F430+F432+F481+F531</f>
        <v>324501</v>
      </c>
      <c r="G8" s="23">
        <f>G9+G66+G111+G170+G276+G337+G376+G379+G425+G427+G430+G432+G481+G531</f>
        <v>333006</v>
      </c>
      <c r="H8" s="36">
        <f>H9+H66+H111+H170+H276+H337+H376+H379+H425+H427+H430+H432+H481+H531</f>
        <v>316891</v>
      </c>
      <c r="I8" s="38">
        <f>IF(G8=0,"0,00",(H8/G8)*100)</f>
        <v>95.16074785439301</v>
      </c>
      <c r="J8" s="124">
        <f>J9+J66+J111+J170+J276+J337+J376+J379+J425+J427+J430+J432+J481+J531</f>
        <v>1262996</v>
      </c>
      <c r="K8" s="23">
        <f>K9+K66+K111+K170+K276+K337+K376+K379+K425+K427+K430+K432+K481+K531</f>
        <v>1316324</v>
      </c>
      <c r="L8" s="36">
        <f>L9+L66+L111+L170+L276+L337+L376+L379+L425+L427+L430+L432+L481+L531</f>
        <v>0</v>
      </c>
      <c r="M8" s="39">
        <f>IF(K8=0,"0,00",(L8/K8)*100)</f>
        <v>0</v>
      </c>
    </row>
    <row r="9" spans="1:13" s="5" customFormat="1" ht="12.75" thickBot="1">
      <c r="A9" s="40" t="s">
        <v>12</v>
      </c>
      <c r="B9" s="41">
        <f>SUM(B10:B17)+B59+B60+B61+B62+B63+B64+B65</f>
        <v>81214</v>
      </c>
      <c r="C9" s="23">
        <f>SUM(C10:C17)+C59+C60+C61+C62+C63+C64+C65</f>
        <v>83243</v>
      </c>
      <c r="D9" s="23">
        <f>SUM(D10:D17)+D59+D60+D61+D62+D63+D64+D65</f>
        <v>12667</v>
      </c>
      <c r="E9" s="119">
        <f aca="true" t="shared" si="0" ref="E9:E17">IF(C9=0,"0,00",(D9/C9)*100)</f>
        <v>15.216895114303904</v>
      </c>
      <c r="F9" s="42">
        <f>SUM(F10:F17)+F59+F60+F61+F62+F63+F64+F65</f>
        <v>11540</v>
      </c>
      <c r="G9" s="43">
        <f>SUM(G10:G17)+G59+G60+G61+G62+G63+G64+G65</f>
        <v>12212</v>
      </c>
      <c r="H9" s="23">
        <f>SUM(H10:H17)+H59+H60+H61+H62+H63+H64+H65</f>
        <v>11440</v>
      </c>
      <c r="I9" s="163">
        <f aca="true" t="shared" si="1" ref="I9:I17">IF(G9=0,"0,00",(H9/G9)*100)</f>
        <v>93.67834916475599</v>
      </c>
      <c r="J9" s="42">
        <f>SUM(J10:J17)+J59+J60+J61+J62+J63+J64+J65</f>
        <v>68042</v>
      </c>
      <c r="K9" s="43">
        <f>SUM(K10:K17)+K59+K60+K61+K62+K63+K64+K65</f>
        <v>69698</v>
      </c>
      <c r="L9" s="23">
        <f>SUM(L10:L17)+L59+L60+L61+L62+L63+L64+L65</f>
        <v>0</v>
      </c>
      <c r="M9" s="119">
        <f aca="true" t="shared" si="2" ref="M9:M17">IF(K9=0,"0,00",(L9/K9)*100)</f>
        <v>0</v>
      </c>
    </row>
    <row r="10" spans="1:13" s="5" customFormat="1" ht="12">
      <c r="A10" s="44" t="s">
        <v>79</v>
      </c>
      <c r="B10" s="45">
        <v>2947</v>
      </c>
      <c r="C10" s="46">
        <v>3670</v>
      </c>
      <c r="D10" s="46">
        <v>353</v>
      </c>
      <c r="E10" s="156">
        <f t="shared" si="0"/>
        <v>9.618528610354224</v>
      </c>
      <c r="F10" s="13">
        <v>306</v>
      </c>
      <c r="G10" s="47">
        <v>345</v>
      </c>
      <c r="H10" s="46">
        <v>353</v>
      </c>
      <c r="I10" s="164">
        <f t="shared" si="1"/>
        <v>102.31884057971014</v>
      </c>
      <c r="J10" s="48">
        <v>2632</v>
      </c>
      <c r="K10" s="49">
        <v>3325</v>
      </c>
      <c r="L10" s="49">
        <v>0</v>
      </c>
      <c r="M10" s="156">
        <f t="shared" si="2"/>
        <v>0</v>
      </c>
    </row>
    <row r="11" spans="1:13" s="5" customFormat="1" ht="12">
      <c r="A11" s="6" t="s">
        <v>92</v>
      </c>
      <c r="B11" s="7">
        <v>7555</v>
      </c>
      <c r="C11" s="8">
        <v>8180</v>
      </c>
      <c r="D11" s="8">
        <v>1107</v>
      </c>
      <c r="E11" s="155">
        <f t="shared" si="0"/>
        <v>13.533007334963326</v>
      </c>
      <c r="F11" s="9">
        <v>1112</v>
      </c>
      <c r="G11" s="10">
        <v>1080</v>
      </c>
      <c r="H11" s="8">
        <v>1107</v>
      </c>
      <c r="I11" s="165">
        <f t="shared" si="1"/>
        <v>102.49999999999999</v>
      </c>
      <c r="J11" s="3">
        <v>6354</v>
      </c>
      <c r="K11" s="1">
        <v>7084</v>
      </c>
      <c r="L11" s="1">
        <v>0</v>
      </c>
      <c r="M11" s="155">
        <f t="shared" si="2"/>
        <v>0</v>
      </c>
    </row>
    <row r="12" spans="1:13" s="5" customFormat="1" ht="12">
      <c r="A12" s="6" t="s">
        <v>131</v>
      </c>
      <c r="B12" s="7">
        <f>750+4708</f>
        <v>5458</v>
      </c>
      <c r="C12" s="8">
        <v>6113</v>
      </c>
      <c r="D12" s="8">
        <v>686</v>
      </c>
      <c r="E12" s="155">
        <f t="shared" si="0"/>
        <v>11.221985931621136</v>
      </c>
      <c r="F12" s="9">
        <v>750</v>
      </c>
      <c r="G12" s="10">
        <v>767</v>
      </c>
      <c r="H12" s="8">
        <v>686</v>
      </c>
      <c r="I12" s="165">
        <f t="shared" si="1"/>
        <v>89.4393741851369</v>
      </c>
      <c r="J12" s="3">
        <v>4708</v>
      </c>
      <c r="K12" s="1">
        <v>5344</v>
      </c>
      <c r="L12" s="1">
        <v>0</v>
      </c>
      <c r="M12" s="155">
        <f t="shared" si="2"/>
        <v>0</v>
      </c>
    </row>
    <row r="13" spans="1:13" s="5" customFormat="1" ht="12">
      <c r="A13" s="6" t="s">
        <v>67</v>
      </c>
      <c r="B13" s="7">
        <v>6759</v>
      </c>
      <c r="C13" s="8">
        <f>994+6431</f>
        <v>7425</v>
      </c>
      <c r="D13" s="8">
        <v>861</v>
      </c>
      <c r="E13" s="155">
        <f t="shared" si="0"/>
        <v>11.595959595959595</v>
      </c>
      <c r="F13" s="9">
        <v>889</v>
      </c>
      <c r="G13" s="10">
        <v>936</v>
      </c>
      <c r="H13" s="8">
        <v>861</v>
      </c>
      <c r="I13" s="165">
        <f t="shared" si="1"/>
        <v>91.98717948717949</v>
      </c>
      <c r="J13" s="3">
        <v>5792</v>
      </c>
      <c r="K13" s="1">
        <v>6431</v>
      </c>
      <c r="L13" s="1">
        <v>0</v>
      </c>
      <c r="M13" s="155">
        <f t="shared" si="2"/>
        <v>0</v>
      </c>
    </row>
    <row r="14" spans="1:13" s="5" customFormat="1" ht="12">
      <c r="A14" s="69" t="s">
        <v>93</v>
      </c>
      <c r="B14" s="9">
        <v>3597</v>
      </c>
      <c r="C14" s="8">
        <v>3808</v>
      </c>
      <c r="D14" s="11">
        <v>969</v>
      </c>
      <c r="E14" s="155">
        <f t="shared" si="0"/>
        <v>25.44642857142857</v>
      </c>
      <c r="F14" s="9">
        <v>864</v>
      </c>
      <c r="G14" s="8">
        <v>903</v>
      </c>
      <c r="H14" s="14">
        <v>969</v>
      </c>
      <c r="I14" s="166">
        <f t="shared" si="1"/>
        <v>107.30897009966777</v>
      </c>
      <c r="J14" s="67">
        <v>2695</v>
      </c>
      <c r="K14" s="49">
        <v>2890</v>
      </c>
      <c r="L14" s="68">
        <v>0</v>
      </c>
      <c r="M14" s="155">
        <f t="shared" si="2"/>
        <v>0</v>
      </c>
    </row>
    <row r="15" spans="1:13" s="5" customFormat="1" ht="12">
      <c r="A15" s="6" t="s">
        <v>61</v>
      </c>
      <c r="B15" s="9">
        <v>4546</v>
      </c>
      <c r="C15" s="8">
        <v>3746</v>
      </c>
      <c r="D15" s="11">
        <v>544</v>
      </c>
      <c r="E15" s="155">
        <f t="shared" si="0"/>
        <v>14.522156967431926</v>
      </c>
      <c r="F15" s="9">
        <v>688</v>
      </c>
      <c r="G15" s="8">
        <v>728</v>
      </c>
      <c r="H15" s="14">
        <v>544</v>
      </c>
      <c r="I15" s="166">
        <f t="shared" si="1"/>
        <v>74.72527472527473</v>
      </c>
      <c r="J15" s="67">
        <v>3850</v>
      </c>
      <c r="K15" s="49">
        <v>3013</v>
      </c>
      <c r="L15" s="68">
        <v>0</v>
      </c>
      <c r="M15" s="155">
        <f t="shared" si="2"/>
        <v>0</v>
      </c>
    </row>
    <row r="16" spans="1:13" s="5" customFormat="1" ht="12">
      <c r="A16" s="69" t="s">
        <v>132</v>
      </c>
      <c r="B16" s="71">
        <v>2311</v>
      </c>
      <c r="C16" s="18">
        <v>2463</v>
      </c>
      <c r="D16" s="73">
        <v>317</v>
      </c>
      <c r="E16" s="157">
        <f t="shared" si="0"/>
        <v>12.870483150629314</v>
      </c>
      <c r="F16" s="71">
        <v>292</v>
      </c>
      <c r="G16" s="18">
        <v>299</v>
      </c>
      <c r="H16" s="22">
        <v>317</v>
      </c>
      <c r="I16" s="166">
        <f t="shared" si="1"/>
        <v>106.0200668896321</v>
      </c>
      <c r="J16" s="99">
        <v>2018</v>
      </c>
      <c r="K16" s="96">
        <v>2160</v>
      </c>
      <c r="L16" s="90">
        <v>0</v>
      </c>
      <c r="M16" s="155">
        <f t="shared" si="2"/>
        <v>0</v>
      </c>
    </row>
    <row r="17" spans="1:13" s="5" customFormat="1" ht="12.75" thickBot="1">
      <c r="A17" s="50" t="s">
        <v>62</v>
      </c>
      <c r="B17" s="51">
        <v>5200</v>
      </c>
      <c r="C17" s="15">
        <v>5229</v>
      </c>
      <c r="D17" s="15">
        <v>688</v>
      </c>
      <c r="E17" s="158">
        <f t="shared" si="0"/>
        <v>13.157391470644484</v>
      </c>
      <c r="F17" s="16">
        <v>585</v>
      </c>
      <c r="G17" s="12">
        <v>648</v>
      </c>
      <c r="H17" s="15">
        <v>688</v>
      </c>
      <c r="I17" s="167">
        <f t="shared" si="1"/>
        <v>106.17283950617285</v>
      </c>
      <c r="J17" s="51">
        <v>4615</v>
      </c>
      <c r="K17" s="15">
        <v>4581</v>
      </c>
      <c r="L17" s="15">
        <v>0</v>
      </c>
      <c r="M17" s="160">
        <f t="shared" si="2"/>
        <v>0</v>
      </c>
    </row>
    <row r="18" spans="1:13" s="5" customFormat="1" ht="12.75" thickBot="1">
      <c r="A18" s="54"/>
      <c r="B18" s="91"/>
      <c r="C18" s="91"/>
      <c r="D18" s="91"/>
      <c r="E18" s="103" t="str">
        <f>IF(C18=0," ",(D18/C18)*100)</f>
        <v> </v>
      </c>
      <c r="F18" s="91"/>
      <c r="G18" s="91"/>
      <c r="H18" s="91"/>
      <c r="I18" s="103" t="str">
        <f>IF(G18=0," ",(H18/G18)*100)</f>
        <v> </v>
      </c>
      <c r="J18" s="89"/>
      <c r="K18" s="89"/>
      <c r="L18" s="89"/>
      <c r="M18" s="103" t="str">
        <f>IF(K18=0," ",(L18/K18)*100)</f>
        <v> </v>
      </c>
    </row>
    <row r="19" spans="1:13" s="5" customFormat="1" ht="13.5" customHeight="1" thickBot="1">
      <c r="A19" s="40" t="s">
        <v>1</v>
      </c>
      <c r="B19" s="193" t="s">
        <v>66</v>
      </c>
      <c r="C19" s="194"/>
      <c r="D19" s="194"/>
      <c r="E19" s="195"/>
      <c r="F19" s="196" t="s">
        <v>5</v>
      </c>
      <c r="G19" s="197"/>
      <c r="H19" s="197"/>
      <c r="I19" s="198"/>
      <c r="J19" s="193" t="s">
        <v>85</v>
      </c>
      <c r="K19" s="194"/>
      <c r="L19" s="194"/>
      <c r="M19" s="195"/>
    </row>
    <row r="20" spans="1:13" s="5" customFormat="1" ht="12.75" thickBot="1">
      <c r="A20" s="35" t="s">
        <v>9</v>
      </c>
      <c r="B20" s="124">
        <f>B21+B78+B124+B183+B289+B347+B387+B390+B437+B439+B442+B444+B493+B542</f>
        <v>363700</v>
      </c>
      <c r="C20" s="23">
        <f>C21+C78+C124+C183+C289+C347+C387+C390+C437+C439+C442+C444+C493+C542</f>
        <v>360866</v>
      </c>
      <c r="D20" s="36">
        <f>D21+D78+D124+D183+D289+D347+D387+D390+D437+D439+D442+D444+D493+D542</f>
        <v>346063</v>
      </c>
      <c r="E20" s="159">
        <f aca="true" t="shared" si="3" ref="E20:E28">IF(C20=0,"0,00",(D20/C20)*100)</f>
        <v>95.89792332888109</v>
      </c>
      <c r="F20" s="124">
        <f>F21+F78+F124+F183+F289+F347+F387+F390+F437+F439+F442+F444+F493+F542</f>
        <v>1942853</v>
      </c>
      <c r="G20" s="23">
        <f>G21+G78+G124+G183+G289+G347+G387+G390+G437+G439+G442+G444+G493+G542</f>
        <v>2002125</v>
      </c>
      <c r="H20" s="36">
        <f>H21+H78+H124+H183+H289+H347+H387+H390+H437+H439+H442+H444+H493+H542</f>
        <v>658158</v>
      </c>
      <c r="I20" s="168">
        <f aca="true" t="shared" si="4" ref="I20:I29">IF(G20=0,"0,00",(H20/G20)*100)</f>
        <v>32.87297246675408</v>
      </c>
      <c r="J20" s="124">
        <f>J21+J78+J124+J183+J289+J347+J387+J390+J437+J439+J442+J444+J493+J542</f>
        <v>283164</v>
      </c>
      <c r="K20" s="23">
        <f>K21+K78+K124+K183+K289+K347+K387+K390+K437+K439+K442+K444+K493+K542</f>
        <v>279261</v>
      </c>
      <c r="L20" s="36">
        <f>L21+L78+L124+L183+L289+L347+L387+L390+L437+L439+L442+L444+L493+L542</f>
        <v>250982</v>
      </c>
      <c r="M20" s="159">
        <f aca="true" t="shared" si="5" ref="M20:M29">IF(K20=0,"0,00",(L20/K20)*100)</f>
        <v>89.87363076118756</v>
      </c>
    </row>
    <row r="21" spans="1:13" s="5" customFormat="1" ht="12.75" thickBot="1">
      <c r="A21" s="40" t="s">
        <v>12</v>
      </c>
      <c r="B21" s="42">
        <f>SUM(B22:B29)+B71+B72+B73+B74+B75+B76+B77</f>
        <v>1632</v>
      </c>
      <c r="C21" s="43">
        <f>SUM(C22:C29)+C71+C72+C73+C74+C75+C76+C77</f>
        <v>1333</v>
      </c>
      <c r="D21" s="23">
        <f>SUM(D22:D29)+D71+D72+D73+D74+D75+D76+D77</f>
        <v>1227</v>
      </c>
      <c r="E21" s="119">
        <f t="shared" si="3"/>
        <v>92.04801200300075</v>
      </c>
      <c r="F21" s="42">
        <f>SUM(F22:F29)+F71+F72+F73+F74+F75+F76+F77</f>
        <v>81142</v>
      </c>
      <c r="G21" s="23">
        <f>SUM(G22:G29)+G71+G72+G73+G74+G75+G76+G77</f>
        <v>83047</v>
      </c>
      <c r="H21" s="55">
        <f>SUM(H22:H29)+H71+H72+H73+H74+H75+H76+H77</f>
        <v>12735</v>
      </c>
      <c r="I21" s="169">
        <f t="shared" si="4"/>
        <v>15.33468999482221</v>
      </c>
      <c r="J21" s="56">
        <f>SUM(J22:J29)+J71+J72+J73+J74+J75+J76+J77</f>
        <v>5137</v>
      </c>
      <c r="K21" s="57">
        <f>SUM(K22:K29)+K71+K72+K73+K74+K75+K76+K77</f>
        <v>5842</v>
      </c>
      <c r="L21" s="58">
        <f>SUM(L22:L29)+L71+L72+L73+L74+L75+L76+L77</f>
        <v>4310</v>
      </c>
      <c r="M21" s="119">
        <f t="shared" si="5"/>
        <v>73.77610407394728</v>
      </c>
    </row>
    <row r="22" spans="1:13" s="5" customFormat="1" ht="12">
      <c r="A22" s="44" t="s">
        <v>79</v>
      </c>
      <c r="B22" s="13">
        <f>B10-F10-J10</f>
        <v>9</v>
      </c>
      <c r="C22" s="47">
        <f>C10-G10-K10</f>
        <v>0</v>
      </c>
      <c r="D22" s="46">
        <f>D10-H10-L10</f>
        <v>0</v>
      </c>
      <c r="E22" s="156" t="str">
        <f t="shared" si="3"/>
        <v>0,00</v>
      </c>
      <c r="F22" s="13">
        <v>2947</v>
      </c>
      <c r="G22" s="46">
        <v>3669</v>
      </c>
      <c r="H22" s="59">
        <v>353</v>
      </c>
      <c r="I22" s="170">
        <f t="shared" si="4"/>
        <v>9.621150177159988</v>
      </c>
      <c r="J22" s="60">
        <v>106</v>
      </c>
      <c r="K22" s="61">
        <f>80+18</f>
        <v>98</v>
      </c>
      <c r="L22" s="62">
        <v>72</v>
      </c>
      <c r="M22" s="156">
        <f t="shared" si="5"/>
        <v>73.46938775510205</v>
      </c>
    </row>
    <row r="23" spans="1:13" s="5" customFormat="1" ht="12">
      <c r="A23" s="6" t="s">
        <v>92</v>
      </c>
      <c r="B23" s="9">
        <f aca="true" t="shared" si="6" ref="B23:B29">B11-F11-J11</f>
        <v>89</v>
      </c>
      <c r="C23" s="10">
        <f aca="true" t="shared" si="7" ref="C23:C28">C11-G11-K11</f>
        <v>16</v>
      </c>
      <c r="D23" s="8">
        <f aca="true" t="shared" si="8" ref="D23:D28">D11-H11-L11</f>
        <v>0</v>
      </c>
      <c r="E23" s="155">
        <f t="shared" si="3"/>
        <v>0</v>
      </c>
      <c r="F23" s="9">
        <v>7555</v>
      </c>
      <c r="G23" s="8">
        <v>8180</v>
      </c>
      <c r="H23" s="11">
        <v>1107</v>
      </c>
      <c r="I23" s="166">
        <f t="shared" si="4"/>
        <v>13.533007334963326</v>
      </c>
      <c r="J23" s="19">
        <v>431</v>
      </c>
      <c r="K23" s="20">
        <f>466+83</f>
        <v>549</v>
      </c>
      <c r="L23" s="21">
        <v>437</v>
      </c>
      <c r="M23" s="155">
        <f t="shared" si="5"/>
        <v>79.59927140255009</v>
      </c>
    </row>
    <row r="24" spans="1:13" s="5" customFormat="1" ht="12">
      <c r="A24" s="6" t="s">
        <v>131</v>
      </c>
      <c r="B24" s="9">
        <f t="shared" si="6"/>
        <v>0</v>
      </c>
      <c r="C24" s="10">
        <f t="shared" si="7"/>
        <v>2</v>
      </c>
      <c r="D24" s="8">
        <f t="shared" si="8"/>
        <v>0</v>
      </c>
      <c r="E24" s="155">
        <f>IF(C24=0,"0,00",(D24/C24)*100)</f>
        <v>0</v>
      </c>
      <c r="F24" s="9">
        <f>749+4709</f>
        <v>5458</v>
      </c>
      <c r="G24" s="8">
        <v>6113</v>
      </c>
      <c r="H24" s="11">
        <v>945</v>
      </c>
      <c r="I24" s="166">
        <f t="shared" si="4"/>
        <v>15.458858171110748</v>
      </c>
      <c r="J24" s="19">
        <f>341+26</f>
        <v>367</v>
      </c>
      <c r="K24" s="20">
        <v>386</v>
      </c>
      <c r="L24" s="21">
        <v>560</v>
      </c>
      <c r="M24" s="155">
        <f t="shared" si="5"/>
        <v>145.0777202072539</v>
      </c>
    </row>
    <row r="25" spans="1:13" s="5" customFormat="1" ht="12">
      <c r="A25" s="6" t="s">
        <v>67</v>
      </c>
      <c r="B25" s="9">
        <f t="shared" si="6"/>
        <v>78</v>
      </c>
      <c r="C25" s="10">
        <f t="shared" si="7"/>
        <v>58</v>
      </c>
      <c r="D25" s="8">
        <f t="shared" si="8"/>
        <v>0</v>
      </c>
      <c r="E25" s="155">
        <f t="shared" si="3"/>
        <v>0</v>
      </c>
      <c r="F25" s="9">
        <v>6759</v>
      </c>
      <c r="G25" s="8">
        <f>994+6431</f>
        <v>7425</v>
      </c>
      <c r="H25" s="11">
        <v>861</v>
      </c>
      <c r="I25" s="166">
        <f t="shared" si="4"/>
        <v>11.595959595959595</v>
      </c>
      <c r="J25" s="19">
        <v>279</v>
      </c>
      <c r="K25" s="20">
        <f>281+38</f>
        <v>319</v>
      </c>
      <c r="L25" s="21">
        <v>300</v>
      </c>
      <c r="M25" s="155">
        <f t="shared" si="5"/>
        <v>94.04388714733543</v>
      </c>
    </row>
    <row r="26" spans="1:13" s="5" customFormat="1" ht="12">
      <c r="A26" s="69" t="s">
        <v>93</v>
      </c>
      <c r="B26" s="9">
        <f t="shared" si="6"/>
        <v>38</v>
      </c>
      <c r="C26" s="10">
        <f t="shared" si="7"/>
        <v>15</v>
      </c>
      <c r="D26" s="8">
        <f t="shared" si="8"/>
        <v>0</v>
      </c>
      <c r="E26" s="155">
        <f t="shared" si="3"/>
        <v>0</v>
      </c>
      <c r="F26" s="9">
        <v>3595</v>
      </c>
      <c r="G26" s="8">
        <v>3802</v>
      </c>
      <c r="H26" s="11">
        <v>969</v>
      </c>
      <c r="I26" s="166">
        <f t="shared" si="4"/>
        <v>25.486586007364544</v>
      </c>
      <c r="J26" s="19">
        <v>397</v>
      </c>
      <c r="K26" s="20">
        <f>257+67</f>
        <v>324</v>
      </c>
      <c r="L26" s="21">
        <v>324</v>
      </c>
      <c r="M26" s="155">
        <f t="shared" si="5"/>
        <v>100</v>
      </c>
    </row>
    <row r="27" spans="1:13" s="5" customFormat="1" ht="12">
      <c r="A27" s="6" t="s">
        <v>61</v>
      </c>
      <c r="B27" s="13">
        <f t="shared" si="6"/>
        <v>8</v>
      </c>
      <c r="C27" s="46">
        <f t="shared" si="7"/>
        <v>5</v>
      </c>
      <c r="D27" s="59">
        <f t="shared" si="8"/>
        <v>0</v>
      </c>
      <c r="E27" s="156">
        <f t="shared" si="3"/>
        <v>0</v>
      </c>
      <c r="F27" s="13">
        <v>4544</v>
      </c>
      <c r="G27" s="46">
        <v>3744</v>
      </c>
      <c r="H27" s="66">
        <v>544</v>
      </c>
      <c r="I27" s="170">
        <f t="shared" si="4"/>
        <v>14.529914529914532</v>
      </c>
      <c r="J27" s="67">
        <v>242</v>
      </c>
      <c r="K27" s="49">
        <f>298+81</f>
        <v>379</v>
      </c>
      <c r="L27" s="68">
        <v>162</v>
      </c>
      <c r="M27" s="156">
        <f t="shared" si="5"/>
        <v>42.74406332453825</v>
      </c>
    </row>
    <row r="28" spans="1:13" s="5" customFormat="1" ht="12">
      <c r="A28" s="6" t="s">
        <v>78</v>
      </c>
      <c r="B28" s="9">
        <f t="shared" si="6"/>
        <v>1</v>
      </c>
      <c r="C28" s="8">
        <f t="shared" si="7"/>
        <v>4</v>
      </c>
      <c r="D28" s="11">
        <f t="shared" si="8"/>
        <v>0</v>
      </c>
      <c r="E28" s="155">
        <f t="shared" si="3"/>
        <v>0</v>
      </c>
      <c r="F28" s="9">
        <v>2306</v>
      </c>
      <c r="G28" s="8">
        <v>2449</v>
      </c>
      <c r="H28" s="14">
        <v>317</v>
      </c>
      <c r="I28" s="166">
        <f t="shared" si="4"/>
        <v>12.944058799510005</v>
      </c>
      <c r="J28" s="82">
        <v>79</v>
      </c>
      <c r="K28" s="1">
        <f>51+70</f>
        <v>121</v>
      </c>
      <c r="L28" s="4">
        <v>70</v>
      </c>
      <c r="M28" s="155">
        <f t="shared" si="5"/>
        <v>57.85123966942148</v>
      </c>
    </row>
    <row r="29" spans="1:17" s="5" customFormat="1" ht="12.75" thickBot="1">
      <c r="A29" s="147" t="s">
        <v>62</v>
      </c>
      <c r="B29" s="148">
        <f t="shared" si="6"/>
        <v>0</v>
      </c>
      <c r="C29" s="149">
        <f>C17-G17-K17</f>
        <v>0</v>
      </c>
      <c r="D29" s="150">
        <f>D17-H17-L17</f>
        <v>0</v>
      </c>
      <c r="E29" s="160" t="str">
        <f>IF(C29=0,"0,00",(D29/C29)*100)</f>
        <v>0,00</v>
      </c>
      <c r="F29" s="148">
        <v>5200</v>
      </c>
      <c r="G29" s="150">
        <v>5229</v>
      </c>
      <c r="H29" s="151">
        <v>688</v>
      </c>
      <c r="I29" s="171">
        <f t="shared" si="4"/>
        <v>13.157391470644484</v>
      </c>
      <c r="J29" s="152">
        <v>252</v>
      </c>
      <c r="K29" s="153">
        <f>223+36</f>
        <v>259</v>
      </c>
      <c r="L29" s="154">
        <v>227</v>
      </c>
      <c r="M29" s="160">
        <f t="shared" si="5"/>
        <v>87.64478764478764</v>
      </c>
      <c r="N29" s="84"/>
      <c r="O29" s="54"/>
      <c r="P29" s="54"/>
      <c r="Q29" s="54"/>
    </row>
    <row r="30" ht="13.5" thickBot="1"/>
    <row r="31" spans="1:13" s="5" customFormat="1" ht="13.5" customHeight="1" thickBot="1">
      <c r="A31" s="64" t="s">
        <v>1</v>
      </c>
      <c r="B31" s="193" t="s">
        <v>86</v>
      </c>
      <c r="C31" s="194"/>
      <c r="D31" s="194"/>
      <c r="E31" s="195"/>
      <c r="F31" s="193" t="s">
        <v>6</v>
      </c>
      <c r="G31" s="194"/>
      <c r="H31" s="194"/>
      <c r="I31" s="195"/>
      <c r="J31" s="196" t="s">
        <v>87</v>
      </c>
      <c r="K31" s="197"/>
      <c r="L31" s="197"/>
      <c r="M31" s="198"/>
    </row>
    <row r="32" spans="1:13" s="5" customFormat="1" ht="12.75" thickBot="1">
      <c r="A32" s="40" t="s">
        <v>9</v>
      </c>
      <c r="B32" s="41">
        <f>B33+B90+B137+B196+B302+B357+B398+B401+B449+B451+B454+B456+B505+B553</f>
        <v>106765</v>
      </c>
      <c r="C32" s="23">
        <f>C33+C90+C137+C196+C302+C357+C398+C401+C449+C451+C454+C456+C505+C553</f>
        <v>109763</v>
      </c>
      <c r="D32" s="43">
        <f>D33+D90+D137+D196+D302+D357+D398+D401+D449+D451+D454+D456+D505+D553</f>
        <v>118380</v>
      </c>
      <c r="E32" s="119">
        <f aca="true" t="shared" si="9" ref="E32:E41">IF(C32=0,"0,00",(D32/C32)*100)</f>
        <v>107.85055073203173</v>
      </c>
      <c r="F32" s="41">
        <f>F33+F90+F137+F196+F302+F357+F398+F401+F449+F451+F454+F456+F505+F553</f>
        <v>43691</v>
      </c>
      <c r="G32" s="23">
        <f>G33+G90+G137+G196+G302+G357+G398+G401+G449+G451+G454+G456+G505+G553</f>
        <v>45195</v>
      </c>
      <c r="H32" s="43">
        <f>H33+H90+H137+H196+H302+H357+H398+H401+H449+H451+H454+H456+H505+H553</f>
        <v>36203</v>
      </c>
      <c r="I32" s="163">
        <f aca="true" t="shared" si="10" ref="I32:I41">IF(G32=0,"0,00",(H32/G32)*100)</f>
        <v>80.10399380462441</v>
      </c>
      <c r="J32" s="41">
        <f>J33+J90+J137+J196+J302+J357+J398+J401+J449+J451+J454+J456+J505+J553</f>
        <v>946504</v>
      </c>
      <c r="K32" s="23">
        <f>K33+K90+K137+K196+K302+K357+K398+K401+K449+K451+K454+K456+K505+K553</f>
        <v>982505</v>
      </c>
      <c r="L32" s="43">
        <f>L33+L90+L137+L196+L302+L357+L398+L401+L449+L451+L454+L456+L505+L553</f>
        <v>46129</v>
      </c>
      <c r="M32" s="119">
        <f aca="true" t="shared" si="11" ref="M32:M41">IF(K32=0,"0,00",(L32/K32)*100)</f>
        <v>4.695039719899644</v>
      </c>
    </row>
    <row r="33" spans="1:13" s="5" customFormat="1" ht="12.75" thickBot="1">
      <c r="A33" s="40" t="s">
        <v>12</v>
      </c>
      <c r="B33" s="42">
        <f>SUM(B34:B41)+B83+B84+B85+B86+B87+B88+B89</f>
        <v>3107</v>
      </c>
      <c r="C33" s="23">
        <f>SUM(C34:C41)+C83+C84+C85+C86+C87+C88+C89</f>
        <v>3128</v>
      </c>
      <c r="D33" s="55">
        <f>SUM(D34:D41)+D83+D84+D85+D86+D87+D88+D89</f>
        <v>3302</v>
      </c>
      <c r="E33" s="119">
        <f t="shared" si="9"/>
        <v>105.56265984654732</v>
      </c>
      <c r="F33" s="42">
        <f>SUM(F34:F41)+F83+F84+F85+F86+F87+F88+F89</f>
        <v>1386</v>
      </c>
      <c r="G33" s="23">
        <f>SUM(G34:G41)+G83+G84+G85+G86+G87+G88+G89</f>
        <v>697</v>
      </c>
      <c r="H33" s="65">
        <f>SUM(H34:H41)+H83+H84+H85+H86+H87+H88+H89</f>
        <v>835</v>
      </c>
      <c r="I33" s="169">
        <f t="shared" si="10"/>
        <v>119.79913916786226</v>
      </c>
      <c r="J33" s="41">
        <f>SUM(J34:J41)+J83+J84+J85+J86+J87+J88+J89</f>
        <v>48537</v>
      </c>
      <c r="K33" s="23">
        <f>SUM(K34:K41)+K83+K84+K85+K86+K87+K88+K89</f>
        <v>49573</v>
      </c>
      <c r="L33" s="55">
        <f>SUM(L34:L41)+L83+L84+L85+L86+L87+L88+L89</f>
        <v>210</v>
      </c>
      <c r="M33" s="119">
        <f t="shared" si="11"/>
        <v>0.42361769511629316</v>
      </c>
    </row>
    <row r="34" spans="1:13" s="5" customFormat="1" ht="12">
      <c r="A34" s="44" t="s">
        <v>79</v>
      </c>
      <c r="B34" s="13">
        <v>92</v>
      </c>
      <c r="C34" s="46">
        <v>120</v>
      </c>
      <c r="D34" s="59">
        <v>120</v>
      </c>
      <c r="E34" s="156">
        <f t="shared" si="9"/>
        <v>100</v>
      </c>
      <c r="F34" s="13">
        <v>1</v>
      </c>
      <c r="G34" s="46">
        <v>4</v>
      </c>
      <c r="H34" s="66">
        <v>6</v>
      </c>
      <c r="I34" s="170">
        <f t="shared" si="10"/>
        <v>150</v>
      </c>
      <c r="J34" s="67">
        <v>1887</v>
      </c>
      <c r="K34" s="49">
        <v>2357</v>
      </c>
      <c r="L34" s="68">
        <v>0</v>
      </c>
      <c r="M34" s="156">
        <f t="shared" si="11"/>
        <v>0</v>
      </c>
    </row>
    <row r="35" spans="1:13" s="5" customFormat="1" ht="12">
      <c r="A35" s="6" t="s">
        <v>92</v>
      </c>
      <c r="B35" s="9">
        <v>180</v>
      </c>
      <c r="C35" s="8">
        <v>170</v>
      </c>
      <c r="D35" s="11">
        <v>185</v>
      </c>
      <c r="E35" s="155">
        <f t="shared" si="9"/>
        <v>108.8235294117647</v>
      </c>
      <c r="F35" s="9">
        <v>298</v>
      </c>
      <c r="G35" s="8">
        <v>51</v>
      </c>
      <c r="H35" s="14">
        <v>0</v>
      </c>
      <c r="I35" s="166">
        <f t="shared" si="10"/>
        <v>0</v>
      </c>
      <c r="J35" s="67">
        <v>4549</v>
      </c>
      <c r="K35" s="49">
        <v>5072</v>
      </c>
      <c r="L35" s="68">
        <v>0</v>
      </c>
      <c r="M35" s="155">
        <f t="shared" si="11"/>
        <v>0</v>
      </c>
    </row>
    <row r="36" spans="1:13" s="5" customFormat="1" ht="12">
      <c r="A36" s="6" t="s">
        <v>131</v>
      </c>
      <c r="B36" s="9">
        <v>200</v>
      </c>
      <c r="C36" s="8">
        <v>200</v>
      </c>
      <c r="D36" s="11">
        <v>150</v>
      </c>
      <c r="E36" s="155">
        <f t="shared" si="9"/>
        <v>75</v>
      </c>
      <c r="F36" s="9">
        <v>6</v>
      </c>
      <c r="G36" s="8">
        <v>9</v>
      </c>
      <c r="H36" s="14">
        <v>20</v>
      </c>
      <c r="I36" s="166">
        <f t="shared" si="10"/>
        <v>222.22222222222223</v>
      </c>
      <c r="J36" s="67">
        <v>3347</v>
      </c>
      <c r="K36" s="49">
        <v>3776</v>
      </c>
      <c r="L36" s="68">
        <v>0</v>
      </c>
      <c r="M36" s="155">
        <f t="shared" si="11"/>
        <v>0</v>
      </c>
    </row>
    <row r="37" spans="1:13" s="5" customFormat="1" ht="12">
      <c r="A37" s="6" t="s">
        <v>67</v>
      </c>
      <c r="B37" s="9">
        <v>287</v>
      </c>
      <c r="C37" s="8">
        <v>311</v>
      </c>
      <c r="D37" s="11">
        <v>320</v>
      </c>
      <c r="E37" s="155">
        <f t="shared" si="9"/>
        <v>102.89389067524115</v>
      </c>
      <c r="F37" s="9">
        <v>224</v>
      </c>
      <c r="G37" s="8">
        <v>135</v>
      </c>
      <c r="H37" s="14">
        <v>80</v>
      </c>
      <c r="I37" s="166">
        <f t="shared" si="10"/>
        <v>59.25925925925925</v>
      </c>
      <c r="J37" s="67">
        <v>4143</v>
      </c>
      <c r="K37" s="49">
        <v>4573</v>
      </c>
      <c r="L37" s="68">
        <v>0</v>
      </c>
      <c r="M37" s="155">
        <f t="shared" si="11"/>
        <v>0</v>
      </c>
    </row>
    <row r="38" spans="1:13" s="5" customFormat="1" ht="12">
      <c r="A38" s="69" t="s">
        <v>93</v>
      </c>
      <c r="B38" s="71">
        <v>257</v>
      </c>
      <c r="C38" s="18">
        <v>274</v>
      </c>
      <c r="D38" s="73">
        <v>280</v>
      </c>
      <c r="E38" s="157">
        <f t="shared" si="9"/>
        <v>102.18978102189782</v>
      </c>
      <c r="F38" s="71">
        <v>17</v>
      </c>
      <c r="G38" s="18">
        <v>59</v>
      </c>
      <c r="H38" s="22">
        <v>60</v>
      </c>
      <c r="I38" s="172">
        <f t="shared" si="10"/>
        <v>101.69491525423729</v>
      </c>
      <c r="J38" s="99">
        <v>1877</v>
      </c>
      <c r="K38" s="96">
        <v>1995</v>
      </c>
      <c r="L38" s="90">
        <v>0</v>
      </c>
      <c r="M38" s="157">
        <f t="shared" si="11"/>
        <v>0</v>
      </c>
    </row>
    <row r="39" spans="1:13" s="5" customFormat="1" ht="12">
      <c r="A39" s="6" t="s">
        <v>61</v>
      </c>
      <c r="B39" s="9">
        <v>195</v>
      </c>
      <c r="C39" s="8">
        <v>129</v>
      </c>
      <c r="D39" s="11">
        <v>135</v>
      </c>
      <c r="E39" s="155">
        <f t="shared" si="9"/>
        <v>104.65116279069768</v>
      </c>
      <c r="F39" s="9">
        <v>60</v>
      </c>
      <c r="G39" s="8">
        <v>56</v>
      </c>
      <c r="H39" s="14">
        <v>60</v>
      </c>
      <c r="I39" s="166">
        <f t="shared" si="10"/>
        <v>107.14285714285714</v>
      </c>
      <c r="J39" s="82">
        <v>2732</v>
      </c>
      <c r="K39" s="1">
        <v>2112</v>
      </c>
      <c r="L39" s="4">
        <v>0</v>
      </c>
      <c r="M39" s="155">
        <f t="shared" si="11"/>
        <v>0</v>
      </c>
    </row>
    <row r="40" spans="1:13" s="5" customFormat="1" ht="12">
      <c r="A40" s="69" t="s">
        <v>78</v>
      </c>
      <c r="B40" s="71">
        <v>112</v>
      </c>
      <c r="C40" s="18">
        <v>94</v>
      </c>
      <c r="D40" s="73">
        <v>110</v>
      </c>
      <c r="E40" s="157">
        <f>IF(C40=0,"0,00",(D40/C40)*100)</f>
        <v>117.02127659574468</v>
      </c>
      <c r="F40" s="71">
        <v>2</v>
      </c>
      <c r="G40" s="18">
        <v>10</v>
      </c>
      <c r="H40" s="22">
        <v>10</v>
      </c>
      <c r="I40" s="172">
        <f t="shared" si="10"/>
        <v>100</v>
      </c>
      <c r="J40" s="99">
        <v>1425</v>
      </c>
      <c r="K40" s="96">
        <v>1488</v>
      </c>
      <c r="L40" s="90">
        <v>0</v>
      </c>
      <c r="M40" s="157">
        <f t="shared" si="11"/>
        <v>0</v>
      </c>
    </row>
    <row r="41" spans="1:13" s="5" customFormat="1" ht="12.75" thickBot="1">
      <c r="A41" s="50" t="s">
        <v>62</v>
      </c>
      <c r="B41" s="16">
        <v>261</v>
      </c>
      <c r="C41" s="15">
        <v>298</v>
      </c>
      <c r="D41" s="63">
        <v>332</v>
      </c>
      <c r="E41" s="158">
        <f t="shared" si="9"/>
        <v>111.40939597315436</v>
      </c>
      <c r="F41" s="16">
        <v>5</v>
      </c>
      <c r="G41" s="15">
        <v>4</v>
      </c>
      <c r="H41" s="17">
        <v>10</v>
      </c>
      <c r="I41" s="173">
        <f t="shared" si="10"/>
        <v>250</v>
      </c>
      <c r="J41" s="16">
        <v>3329</v>
      </c>
      <c r="K41" s="15">
        <v>3293</v>
      </c>
      <c r="L41" s="15">
        <v>0</v>
      </c>
      <c r="M41" s="158">
        <f t="shared" si="11"/>
        <v>0</v>
      </c>
    </row>
    <row r="42" spans="1:13" s="5" customFormat="1" ht="12.75" thickBot="1">
      <c r="A42" s="54"/>
      <c r="B42" s="91"/>
      <c r="C42" s="91"/>
      <c r="D42" s="91"/>
      <c r="E42" s="103"/>
      <c r="F42" s="91"/>
      <c r="G42" s="91"/>
      <c r="H42" s="91"/>
      <c r="I42" s="103"/>
      <c r="J42" s="94"/>
      <c r="K42" s="94"/>
      <c r="L42" s="94"/>
      <c r="M42" s="103"/>
    </row>
    <row r="43" spans="1:13" s="5" customFormat="1" ht="13.5" customHeight="1" thickBot="1">
      <c r="A43" s="64" t="s">
        <v>1</v>
      </c>
      <c r="B43" s="193" t="s">
        <v>7</v>
      </c>
      <c r="C43" s="194"/>
      <c r="D43" s="194"/>
      <c r="E43" s="195"/>
      <c r="F43" s="196" t="s">
        <v>8</v>
      </c>
      <c r="G43" s="197"/>
      <c r="H43" s="197"/>
      <c r="I43" s="198"/>
      <c r="J43" s="199"/>
      <c r="K43" s="200"/>
      <c r="L43" s="200"/>
      <c r="M43" s="200"/>
    </row>
    <row r="44" spans="1:13" s="5" customFormat="1" ht="12.75" thickBot="1">
      <c r="A44" s="40" t="s">
        <v>9</v>
      </c>
      <c r="B44" s="41">
        <f>B45+B102+B150+B209+B315+B367+B409+B412+B461+B463+B466+B468+B517+B564</f>
        <v>49796</v>
      </c>
      <c r="C44" s="23">
        <f>C45+C102+C150+C209+C315+C367+C409+C412+C461+C463+C466+C468+C517+C564</f>
        <v>52149</v>
      </c>
      <c r="D44" s="43">
        <f>D45+D102+D150+D209+D315+D367+D409+D412+D461+D463+D466+D468+D517+D564</f>
        <v>53716</v>
      </c>
      <c r="E44" s="119">
        <f aca="true" t="shared" si="12" ref="E44:E53">IF(C44=0,"0,00",(D44/C44)*100)</f>
        <v>103.00485148324992</v>
      </c>
      <c r="F44" s="41">
        <f>F45+F102+F150+F209+F315+F367+F409+F412+F461+F463+F466+F468+F517+F564</f>
        <v>8344</v>
      </c>
      <c r="G44" s="23">
        <f>G45+G102+G150+G209+G315+G367+G409+G412+G461+G463+G466+G468+G517+G564</f>
        <v>8071</v>
      </c>
      <c r="H44" s="43">
        <f>H45+H102+H150+H209+H315+H367+H409+H412+H461+H463+H466+H468+H517+H564</f>
        <v>4796</v>
      </c>
      <c r="I44" s="163">
        <f aca="true" t="shared" si="13" ref="I44:I53">IF(G44=0,"0,00",(H44/G44)*100)</f>
        <v>59.422624210135055</v>
      </c>
      <c r="J44" s="107"/>
      <c r="K44" s="108"/>
      <c r="L44" s="108"/>
      <c r="M44" s="109"/>
    </row>
    <row r="45" spans="1:13" s="5" customFormat="1" ht="12.75" thickBot="1">
      <c r="A45" s="40" t="s">
        <v>12</v>
      </c>
      <c r="B45" s="42">
        <f>SUM(B46:B53)+B95+B96+B97+B98+B99+B100+B101</f>
        <v>414</v>
      </c>
      <c r="C45" s="23">
        <f>SUM(C46:C53)+C95+C96+C97+C98+C99+C100+C101</f>
        <v>512</v>
      </c>
      <c r="D45" s="55">
        <f>SUM(D46:D53)+D95+D96+D97+D98+D99+D100+D101</f>
        <v>555</v>
      </c>
      <c r="E45" s="119">
        <f t="shared" si="12"/>
        <v>108.3984375</v>
      </c>
      <c r="F45" s="42">
        <f>SUM(F46:F53)+F95+F96+F97+F98+F99+F100+F101</f>
        <v>72</v>
      </c>
      <c r="G45" s="23">
        <f>SUM(G46:G53)+G95+G96+G97+G98+G99+G100+G101</f>
        <v>196</v>
      </c>
      <c r="H45" s="65">
        <f>SUM(H46:H53)+H95+H96+H97+H98+H99+H100+H101</f>
        <v>-68</v>
      </c>
      <c r="I45" s="169">
        <f t="shared" si="13"/>
        <v>-34.69387755102041</v>
      </c>
      <c r="J45" s="107"/>
      <c r="K45" s="108"/>
      <c r="L45" s="108"/>
      <c r="M45" s="109"/>
    </row>
    <row r="46" spans="1:13" s="5" customFormat="1" ht="12">
      <c r="A46" s="44" t="s">
        <v>79</v>
      </c>
      <c r="B46" s="13">
        <v>6</v>
      </c>
      <c r="C46" s="46">
        <v>5</v>
      </c>
      <c r="D46" s="59">
        <v>6</v>
      </c>
      <c r="E46" s="156">
        <f t="shared" si="12"/>
        <v>120</v>
      </c>
      <c r="F46" s="67">
        <f>B10-F22</f>
        <v>0</v>
      </c>
      <c r="G46" s="49">
        <f>C10-G22</f>
        <v>1</v>
      </c>
      <c r="H46" s="68">
        <f aca="true" t="shared" si="14" ref="H46:H52">D10-H22</f>
        <v>0</v>
      </c>
      <c r="I46" s="170">
        <f t="shared" si="13"/>
        <v>0</v>
      </c>
      <c r="J46" s="84"/>
      <c r="K46" s="54"/>
      <c r="L46" s="54"/>
      <c r="M46" s="103"/>
    </row>
    <row r="47" spans="1:13" s="5" customFormat="1" ht="12">
      <c r="A47" s="6" t="s">
        <v>92</v>
      </c>
      <c r="B47" s="9">
        <v>82</v>
      </c>
      <c r="C47" s="8">
        <v>82</v>
      </c>
      <c r="D47" s="11">
        <v>89</v>
      </c>
      <c r="E47" s="155">
        <f t="shared" si="12"/>
        <v>108.53658536585367</v>
      </c>
      <c r="F47" s="67">
        <f aca="true" t="shared" si="15" ref="F47:F53">B11-F23</f>
        <v>0</v>
      </c>
      <c r="G47" s="49">
        <f aca="true" t="shared" si="16" ref="G47:G52">C11-G23</f>
        <v>0</v>
      </c>
      <c r="H47" s="68">
        <f t="shared" si="14"/>
        <v>0</v>
      </c>
      <c r="I47" s="166" t="str">
        <f t="shared" si="13"/>
        <v>0,00</v>
      </c>
      <c r="J47" s="84"/>
      <c r="K47" s="54"/>
      <c r="L47" s="54"/>
      <c r="M47" s="103"/>
    </row>
    <row r="48" spans="1:13" s="5" customFormat="1" ht="12">
      <c r="A48" s="6" t="s">
        <v>131</v>
      </c>
      <c r="B48" s="9">
        <v>36</v>
      </c>
      <c r="C48" s="8">
        <v>35</v>
      </c>
      <c r="D48" s="11">
        <v>35</v>
      </c>
      <c r="E48" s="155">
        <f t="shared" si="12"/>
        <v>100</v>
      </c>
      <c r="F48" s="67">
        <f t="shared" si="15"/>
        <v>0</v>
      </c>
      <c r="G48" s="49">
        <f t="shared" si="16"/>
        <v>0</v>
      </c>
      <c r="H48" s="68">
        <f t="shared" si="14"/>
        <v>-259</v>
      </c>
      <c r="I48" s="166" t="str">
        <f t="shared" si="13"/>
        <v>0,00</v>
      </c>
      <c r="J48" s="84"/>
      <c r="K48" s="54"/>
      <c r="L48" s="54"/>
      <c r="M48" s="103"/>
    </row>
    <row r="49" spans="1:13" s="5" customFormat="1" ht="12">
      <c r="A49" s="6" t="s">
        <v>67</v>
      </c>
      <c r="B49" s="9">
        <v>79</v>
      </c>
      <c r="C49" s="8">
        <v>81</v>
      </c>
      <c r="D49" s="11">
        <v>81</v>
      </c>
      <c r="E49" s="155">
        <f t="shared" si="12"/>
        <v>100</v>
      </c>
      <c r="F49" s="67">
        <f t="shared" si="15"/>
        <v>0</v>
      </c>
      <c r="G49" s="49">
        <f t="shared" si="16"/>
        <v>0</v>
      </c>
      <c r="H49" s="68">
        <f t="shared" si="14"/>
        <v>0</v>
      </c>
      <c r="I49" s="166" t="str">
        <f t="shared" si="13"/>
        <v>0,00</v>
      </c>
      <c r="J49" s="84"/>
      <c r="K49" s="54"/>
      <c r="L49" s="54"/>
      <c r="M49" s="103"/>
    </row>
    <row r="50" spans="1:13" s="5" customFormat="1" ht="12">
      <c r="A50" s="69" t="s">
        <v>93</v>
      </c>
      <c r="B50" s="71">
        <v>0</v>
      </c>
      <c r="C50" s="18">
        <v>0</v>
      </c>
      <c r="D50" s="73">
        <v>0</v>
      </c>
      <c r="E50" s="157" t="str">
        <f t="shared" si="12"/>
        <v>0,00</v>
      </c>
      <c r="F50" s="99">
        <f t="shared" si="15"/>
        <v>2</v>
      </c>
      <c r="G50" s="96">
        <f t="shared" si="16"/>
        <v>6</v>
      </c>
      <c r="H50" s="90">
        <f t="shared" si="14"/>
        <v>0</v>
      </c>
      <c r="I50" s="172">
        <f t="shared" si="13"/>
        <v>0</v>
      </c>
      <c r="J50" s="84"/>
      <c r="K50" s="54"/>
      <c r="L50" s="54"/>
      <c r="M50" s="103"/>
    </row>
    <row r="51" spans="1:9" ht="12.75">
      <c r="A51" s="6" t="s">
        <v>61</v>
      </c>
      <c r="B51" s="9">
        <v>0</v>
      </c>
      <c r="C51" s="8">
        <v>0</v>
      </c>
      <c r="D51" s="11">
        <v>0</v>
      </c>
      <c r="E51" s="155" t="str">
        <f t="shared" si="12"/>
        <v>0,00</v>
      </c>
      <c r="F51" s="82">
        <f t="shared" si="15"/>
        <v>2</v>
      </c>
      <c r="G51" s="1">
        <f t="shared" si="16"/>
        <v>2</v>
      </c>
      <c r="H51" s="4">
        <f t="shared" si="14"/>
        <v>0</v>
      </c>
      <c r="I51" s="166">
        <f t="shared" si="13"/>
        <v>0</v>
      </c>
    </row>
    <row r="52" spans="1:9" ht="12.75">
      <c r="A52" s="69" t="s">
        <v>78</v>
      </c>
      <c r="B52" s="71">
        <v>0</v>
      </c>
      <c r="C52" s="18">
        <v>0</v>
      </c>
      <c r="D52" s="73">
        <v>0</v>
      </c>
      <c r="E52" s="157" t="str">
        <f t="shared" si="12"/>
        <v>0,00</v>
      </c>
      <c r="F52" s="99">
        <f t="shared" si="15"/>
        <v>5</v>
      </c>
      <c r="G52" s="96">
        <f t="shared" si="16"/>
        <v>14</v>
      </c>
      <c r="H52" s="90">
        <f t="shared" si="14"/>
        <v>0</v>
      </c>
      <c r="I52" s="172">
        <f t="shared" si="13"/>
        <v>0</v>
      </c>
    </row>
    <row r="53" spans="1:13" ht="13.5" thickBot="1">
      <c r="A53" s="50" t="s">
        <v>62</v>
      </c>
      <c r="B53" s="16">
        <v>4</v>
      </c>
      <c r="C53" s="15">
        <v>4</v>
      </c>
      <c r="D53" s="63">
        <v>4</v>
      </c>
      <c r="E53" s="158">
        <f t="shared" si="12"/>
        <v>100</v>
      </c>
      <c r="F53" s="16">
        <f t="shared" si="15"/>
        <v>0</v>
      </c>
      <c r="G53" s="15">
        <f>C17-G29</f>
        <v>0</v>
      </c>
      <c r="H53" s="17">
        <f>D17-H29</f>
        <v>0</v>
      </c>
      <c r="I53" s="174" t="str">
        <f t="shared" si="13"/>
        <v>0,00</v>
      </c>
      <c r="J53" s="98"/>
      <c r="K53" s="89"/>
      <c r="L53" s="89"/>
      <c r="M53" s="103" t="str">
        <f>IF(K53=0," ",(L53/K53)*100)</f>
        <v> </v>
      </c>
    </row>
    <row r="54" spans="1:13" s="25" customFormat="1" ht="15">
      <c r="A54" s="192" t="s">
        <v>91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="27" customFormat="1" ht="12.75" thickBot="1">
      <c r="A55" s="26"/>
    </row>
    <row r="56" spans="1:13" s="5" customFormat="1" ht="24.75" customHeight="1">
      <c r="A56" s="214" t="s">
        <v>1</v>
      </c>
      <c r="B56" s="201" t="s">
        <v>0</v>
      </c>
      <c r="C56" s="202"/>
      <c r="D56" s="202"/>
      <c r="E56" s="203"/>
      <c r="F56" s="204" t="s">
        <v>65</v>
      </c>
      <c r="G56" s="205"/>
      <c r="H56" s="205"/>
      <c r="I56" s="205"/>
      <c r="J56" s="206" t="s">
        <v>77</v>
      </c>
      <c r="K56" s="207"/>
      <c r="L56" s="207"/>
      <c r="M56" s="208"/>
    </row>
    <row r="57" spans="1:13" s="27" customFormat="1" ht="11.25">
      <c r="A57" s="215"/>
      <c r="B57" s="29" t="s">
        <v>2</v>
      </c>
      <c r="C57" s="30" t="s">
        <v>2</v>
      </c>
      <c r="D57" s="30" t="s">
        <v>3</v>
      </c>
      <c r="E57" s="31" t="s">
        <v>4</v>
      </c>
      <c r="F57" s="29" t="s">
        <v>2</v>
      </c>
      <c r="G57" s="30" t="s">
        <v>2</v>
      </c>
      <c r="H57" s="30" t="s">
        <v>3</v>
      </c>
      <c r="I57" s="31" t="s">
        <v>4</v>
      </c>
      <c r="J57" s="29" t="s">
        <v>2</v>
      </c>
      <c r="K57" s="30" t="s">
        <v>2</v>
      </c>
      <c r="L57" s="30" t="s">
        <v>3</v>
      </c>
      <c r="M57" s="31" t="s">
        <v>4</v>
      </c>
    </row>
    <row r="58" spans="1:13" s="27" customFormat="1" ht="12" thickBot="1">
      <c r="A58" s="216"/>
      <c r="B58" s="32">
        <v>2004</v>
      </c>
      <c r="C58" s="33">
        <v>2005</v>
      </c>
      <c r="D58" s="33">
        <v>2006</v>
      </c>
      <c r="E58" s="34" t="s">
        <v>130</v>
      </c>
      <c r="F58" s="32">
        <v>2004</v>
      </c>
      <c r="G58" s="33">
        <v>2005</v>
      </c>
      <c r="H58" s="33">
        <v>2006</v>
      </c>
      <c r="I58" s="34" t="s">
        <v>130</v>
      </c>
      <c r="J58" s="32">
        <v>2004</v>
      </c>
      <c r="K58" s="33">
        <v>2005</v>
      </c>
      <c r="L58" s="33">
        <v>2006</v>
      </c>
      <c r="M58" s="34" t="s">
        <v>130</v>
      </c>
    </row>
    <row r="59" spans="1:13" s="27" customFormat="1" ht="12">
      <c r="A59" s="6" t="s">
        <v>68</v>
      </c>
      <c r="B59" s="7">
        <v>8067</v>
      </c>
      <c r="C59" s="8">
        <f>1446+7545</f>
        <v>8991</v>
      </c>
      <c r="D59" s="8">
        <f>1445</f>
        <v>1445</v>
      </c>
      <c r="E59" s="155">
        <f aca="true" t="shared" si="17" ref="E59:E68">IF(C59=0,"0,00",(D59/C59)*100)</f>
        <v>16.071627182738293</v>
      </c>
      <c r="F59" s="9">
        <v>1299</v>
      </c>
      <c r="G59" s="10">
        <v>1353</v>
      </c>
      <c r="H59" s="8">
        <v>1409</v>
      </c>
      <c r="I59" s="164">
        <f aca="true" t="shared" si="18" ref="I59:I68">IF(G59=0,"0,00",(H59/G59)*100)</f>
        <v>104.13895048041391</v>
      </c>
      <c r="J59" s="7">
        <v>6681</v>
      </c>
      <c r="K59" s="8">
        <v>7545</v>
      </c>
      <c r="L59" s="8">
        <v>0</v>
      </c>
      <c r="M59" s="156">
        <f aca="true" t="shared" si="19" ref="M59:M68">IF(K59=0,"0,00",(L59/K59)*100)</f>
        <v>0</v>
      </c>
    </row>
    <row r="60" spans="1:13" s="27" customFormat="1" ht="12">
      <c r="A60" s="83" t="s">
        <v>69</v>
      </c>
      <c r="B60" s="7">
        <v>11789</v>
      </c>
      <c r="C60" s="8">
        <f>2629+10126</f>
        <v>12755</v>
      </c>
      <c r="D60" s="8">
        <v>2505</v>
      </c>
      <c r="E60" s="155">
        <f t="shared" si="17"/>
        <v>19.63935711485692</v>
      </c>
      <c r="F60" s="9">
        <v>1446</v>
      </c>
      <c r="G60" s="10">
        <v>1582</v>
      </c>
      <c r="H60" s="8">
        <v>1485</v>
      </c>
      <c r="I60" s="164">
        <f t="shared" si="18"/>
        <v>93.8685208596713</v>
      </c>
      <c r="J60" s="7">
        <v>9264</v>
      </c>
      <c r="K60" s="8">
        <v>10126</v>
      </c>
      <c r="L60" s="8">
        <v>0</v>
      </c>
      <c r="M60" s="156">
        <f t="shared" si="19"/>
        <v>0</v>
      </c>
    </row>
    <row r="61" spans="1:13" s="27" customFormat="1" ht="12">
      <c r="A61" s="44" t="s">
        <v>70</v>
      </c>
      <c r="B61" s="45">
        <v>4806</v>
      </c>
      <c r="C61" s="46">
        <v>5556</v>
      </c>
      <c r="D61" s="46">
        <v>600</v>
      </c>
      <c r="E61" s="161">
        <f t="shared" si="17"/>
        <v>10.799136069114471</v>
      </c>
      <c r="F61" s="45">
        <v>627</v>
      </c>
      <c r="G61" s="46">
        <v>561</v>
      </c>
      <c r="H61" s="46">
        <v>580</v>
      </c>
      <c r="I61" s="164">
        <f t="shared" si="18"/>
        <v>103.38680926916221</v>
      </c>
      <c r="J61" s="45">
        <v>4117</v>
      </c>
      <c r="K61" s="46">
        <v>4934</v>
      </c>
      <c r="L61" s="46">
        <v>0</v>
      </c>
      <c r="M61" s="156">
        <f t="shared" si="19"/>
        <v>0</v>
      </c>
    </row>
    <row r="62" spans="1:13" s="5" customFormat="1" ht="12">
      <c r="A62" s="6" t="s">
        <v>71</v>
      </c>
      <c r="B62" s="7">
        <v>4836</v>
      </c>
      <c r="C62" s="8">
        <f>904+4120</f>
        <v>5024</v>
      </c>
      <c r="D62" s="8">
        <v>1049</v>
      </c>
      <c r="E62" s="155">
        <f t="shared" si="17"/>
        <v>20.879777070063692</v>
      </c>
      <c r="F62" s="9">
        <v>955</v>
      </c>
      <c r="G62" s="10">
        <v>893</v>
      </c>
      <c r="H62" s="8">
        <v>911</v>
      </c>
      <c r="I62" s="164">
        <f t="shared" si="18"/>
        <v>102.01567749160134</v>
      </c>
      <c r="J62" s="7">
        <v>3881</v>
      </c>
      <c r="K62" s="8">
        <v>4120</v>
      </c>
      <c r="L62" s="8">
        <v>0</v>
      </c>
      <c r="M62" s="156">
        <f t="shared" si="19"/>
        <v>0</v>
      </c>
    </row>
    <row r="63" spans="1:13" s="5" customFormat="1" ht="12">
      <c r="A63" s="6" t="s">
        <v>94</v>
      </c>
      <c r="B63" s="7">
        <v>7119</v>
      </c>
      <c r="C63" s="8">
        <v>3479</v>
      </c>
      <c r="D63" s="8">
        <v>505</v>
      </c>
      <c r="E63" s="155">
        <f t="shared" si="17"/>
        <v>14.515665421098017</v>
      </c>
      <c r="F63" s="9">
        <v>778</v>
      </c>
      <c r="G63" s="10">
        <v>1135</v>
      </c>
      <c r="H63" s="8">
        <v>493</v>
      </c>
      <c r="I63" s="164">
        <f t="shared" si="18"/>
        <v>43.43612334801762</v>
      </c>
      <c r="J63" s="7">
        <v>6161</v>
      </c>
      <c r="K63" s="8">
        <v>2324</v>
      </c>
      <c r="L63" s="8">
        <v>0</v>
      </c>
      <c r="M63" s="156">
        <f t="shared" si="19"/>
        <v>0</v>
      </c>
    </row>
    <row r="64" spans="1:13" s="5" customFormat="1" ht="12">
      <c r="A64" s="6" t="s">
        <v>63</v>
      </c>
      <c r="B64" s="7">
        <v>2353</v>
      </c>
      <c r="C64" s="8">
        <v>2704</v>
      </c>
      <c r="D64" s="8">
        <v>347</v>
      </c>
      <c r="E64" s="155">
        <f t="shared" si="17"/>
        <v>12.83284023668639</v>
      </c>
      <c r="F64" s="9">
        <v>320</v>
      </c>
      <c r="G64" s="10">
        <v>311</v>
      </c>
      <c r="H64" s="8">
        <v>346</v>
      </c>
      <c r="I64" s="164">
        <f t="shared" si="18"/>
        <v>111.2540192926045</v>
      </c>
      <c r="J64" s="7">
        <v>2032</v>
      </c>
      <c r="K64" s="8">
        <v>2392</v>
      </c>
      <c r="L64" s="8">
        <v>0</v>
      </c>
      <c r="M64" s="156">
        <f t="shared" si="19"/>
        <v>0</v>
      </c>
    </row>
    <row r="65" spans="1:13" s="5" customFormat="1" ht="12.75" thickBot="1">
      <c r="A65" s="69" t="s">
        <v>10</v>
      </c>
      <c r="B65" s="70">
        <v>3871</v>
      </c>
      <c r="C65" s="18">
        <v>4100</v>
      </c>
      <c r="D65" s="18">
        <v>691</v>
      </c>
      <c r="E65" s="157">
        <f t="shared" si="17"/>
        <v>16.853658536585368</v>
      </c>
      <c r="F65" s="71">
        <v>629</v>
      </c>
      <c r="G65" s="72">
        <v>671</v>
      </c>
      <c r="H65" s="18">
        <v>691</v>
      </c>
      <c r="I65" s="164">
        <f t="shared" si="18"/>
        <v>102.98062593144562</v>
      </c>
      <c r="J65" s="51">
        <v>3242</v>
      </c>
      <c r="K65" s="18">
        <v>3429</v>
      </c>
      <c r="L65" s="15">
        <v>0</v>
      </c>
      <c r="M65" s="156">
        <f t="shared" si="19"/>
        <v>0</v>
      </c>
    </row>
    <row r="66" spans="1:13" s="5" customFormat="1" ht="12.75" thickBot="1">
      <c r="A66" s="40" t="s">
        <v>11</v>
      </c>
      <c r="B66" s="41">
        <f>SUM(B67:B68)</f>
        <v>16995</v>
      </c>
      <c r="C66" s="23">
        <f>SUM(C67:C68)</f>
        <v>20662</v>
      </c>
      <c r="D66" s="23">
        <f>SUM(D67:D68)</f>
        <v>3735</v>
      </c>
      <c r="E66" s="119">
        <f t="shared" si="17"/>
        <v>18.076662472171133</v>
      </c>
      <c r="F66" s="42">
        <f>SUM(F67:F68)</f>
        <v>2938</v>
      </c>
      <c r="G66" s="43">
        <f>SUM(G67:G68)</f>
        <v>4997</v>
      </c>
      <c r="H66" s="23">
        <f>SUM(H67:H68)</f>
        <v>3233</v>
      </c>
      <c r="I66" s="163">
        <f t="shared" si="18"/>
        <v>64.69881929157495</v>
      </c>
      <c r="J66" s="42">
        <f>SUM(J67:J68)</f>
        <v>13459</v>
      </c>
      <c r="K66" s="43">
        <f>SUM(K67:K68)</f>
        <v>14454</v>
      </c>
      <c r="L66" s="23">
        <f>SUM(L67:L68)</f>
        <v>0</v>
      </c>
      <c r="M66" s="183">
        <f t="shared" si="19"/>
        <v>0</v>
      </c>
    </row>
    <row r="67" spans="1:13" s="5" customFormat="1" ht="12">
      <c r="A67" s="44" t="s">
        <v>64</v>
      </c>
      <c r="B67" s="45">
        <v>8496</v>
      </c>
      <c r="C67" s="46">
        <f>4616+6814+1</f>
        <v>11431</v>
      </c>
      <c r="D67" s="46">
        <v>2128</v>
      </c>
      <c r="E67" s="157">
        <f t="shared" si="17"/>
        <v>18.61604409063074</v>
      </c>
      <c r="F67" s="13">
        <v>1556</v>
      </c>
      <c r="G67" s="47">
        <v>3574</v>
      </c>
      <c r="H67" s="46">
        <v>1738</v>
      </c>
      <c r="I67" s="164">
        <f t="shared" si="18"/>
        <v>48.628987129266925</v>
      </c>
      <c r="J67" s="45">
        <v>6538</v>
      </c>
      <c r="K67" s="46">
        <v>6814</v>
      </c>
      <c r="L67" s="46">
        <v>0</v>
      </c>
      <c r="M67" s="156">
        <f t="shared" si="19"/>
        <v>0</v>
      </c>
    </row>
    <row r="68" spans="1:13" s="5" customFormat="1" ht="12.75" thickBot="1">
      <c r="A68" s="69" t="s">
        <v>72</v>
      </c>
      <c r="B68" s="70">
        <v>8499</v>
      </c>
      <c r="C68" s="18">
        <f>1591+7640</f>
        <v>9231</v>
      </c>
      <c r="D68" s="18">
        <v>1607</v>
      </c>
      <c r="E68" s="157">
        <f t="shared" si="17"/>
        <v>17.408731448380458</v>
      </c>
      <c r="F68" s="71">
        <v>1382</v>
      </c>
      <c r="G68" s="72">
        <v>1423</v>
      </c>
      <c r="H68" s="18">
        <v>1495</v>
      </c>
      <c r="I68" s="175">
        <f t="shared" si="18"/>
        <v>105.0597329585383</v>
      </c>
      <c r="J68" s="70">
        <v>6921</v>
      </c>
      <c r="K68" s="18">
        <v>7640</v>
      </c>
      <c r="L68" s="18">
        <v>0</v>
      </c>
      <c r="M68" s="161">
        <f t="shared" si="19"/>
        <v>0</v>
      </c>
    </row>
    <row r="69" spans="1:13" s="5" customFormat="1" ht="12.75" thickBo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s="5" customFormat="1" ht="13.5" customHeight="1" thickBot="1">
      <c r="A70" s="40" t="s">
        <v>1</v>
      </c>
      <c r="B70" s="193" t="s">
        <v>66</v>
      </c>
      <c r="C70" s="194"/>
      <c r="D70" s="194"/>
      <c r="E70" s="195"/>
      <c r="F70" s="196" t="s">
        <v>5</v>
      </c>
      <c r="G70" s="197"/>
      <c r="H70" s="197"/>
      <c r="I70" s="198"/>
      <c r="J70" s="193" t="s">
        <v>85</v>
      </c>
      <c r="K70" s="194"/>
      <c r="L70" s="194"/>
      <c r="M70" s="195"/>
    </row>
    <row r="71" spans="1:13" s="5" customFormat="1" ht="13.5" customHeight="1">
      <c r="A71" s="6" t="s">
        <v>68</v>
      </c>
      <c r="B71" s="9">
        <f aca="true" t="shared" si="20" ref="B71:D77">B59-F59-J59</f>
        <v>87</v>
      </c>
      <c r="C71" s="10">
        <f t="shared" si="20"/>
        <v>93</v>
      </c>
      <c r="D71" s="8">
        <f t="shared" si="20"/>
        <v>36</v>
      </c>
      <c r="E71" s="156">
        <f aca="true" t="shared" si="21" ref="E71:E80">IF(C71=0,"0,00",(D71/C71)*100)</f>
        <v>38.70967741935484</v>
      </c>
      <c r="F71" s="9">
        <v>8067</v>
      </c>
      <c r="G71" s="8">
        <f>1446+7545</f>
        <v>8991</v>
      </c>
      <c r="H71" s="11">
        <f>1445</f>
        <v>1445</v>
      </c>
      <c r="I71" s="170">
        <f aca="true" t="shared" si="22" ref="I71:I80">IF(G71=0,"0,00",(H71/G71)*100)</f>
        <v>16.071627182738293</v>
      </c>
      <c r="J71" s="19">
        <v>268</v>
      </c>
      <c r="K71" s="20">
        <v>394</v>
      </c>
      <c r="L71" s="21">
        <v>294</v>
      </c>
      <c r="M71" s="156">
        <f aca="true" t="shared" si="23" ref="M71:M80">IF(K71=0,"0,00",(L71/K71)*100)</f>
        <v>74.61928934010153</v>
      </c>
    </row>
    <row r="72" spans="1:13" s="5" customFormat="1" ht="13.5" customHeight="1">
      <c r="A72" s="83" t="s">
        <v>69</v>
      </c>
      <c r="B72" s="9">
        <f t="shared" si="20"/>
        <v>1079</v>
      </c>
      <c r="C72" s="10">
        <f t="shared" si="20"/>
        <v>1047</v>
      </c>
      <c r="D72" s="8">
        <f t="shared" si="20"/>
        <v>1020</v>
      </c>
      <c r="E72" s="156">
        <f t="shared" si="21"/>
        <v>97.42120343839542</v>
      </c>
      <c r="F72" s="9">
        <v>11784</v>
      </c>
      <c r="G72" s="8">
        <f>2369+10379</f>
        <v>12748</v>
      </c>
      <c r="H72" s="11">
        <f>2068+289</f>
        <v>2357</v>
      </c>
      <c r="I72" s="170">
        <f t="shared" si="22"/>
        <v>18.489174772513337</v>
      </c>
      <c r="J72" s="19">
        <v>1522</v>
      </c>
      <c r="K72" s="20">
        <v>1499</v>
      </c>
      <c r="L72" s="21">
        <v>1160</v>
      </c>
      <c r="M72" s="156">
        <f t="shared" si="23"/>
        <v>77.38492328218813</v>
      </c>
    </row>
    <row r="73" spans="1:13" s="5" customFormat="1" ht="13.5" customHeight="1">
      <c r="A73" s="44" t="s">
        <v>70</v>
      </c>
      <c r="B73" s="45">
        <f t="shared" si="20"/>
        <v>62</v>
      </c>
      <c r="C73" s="46">
        <f t="shared" si="20"/>
        <v>61</v>
      </c>
      <c r="D73" s="46">
        <f t="shared" si="20"/>
        <v>20</v>
      </c>
      <c r="E73" s="156">
        <f t="shared" si="21"/>
        <v>32.78688524590164</v>
      </c>
      <c r="F73" s="13">
        <v>4806</v>
      </c>
      <c r="G73" s="46">
        <v>5556</v>
      </c>
      <c r="H73" s="66">
        <v>600</v>
      </c>
      <c r="I73" s="170">
        <f t="shared" si="22"/>
        <v>10.799136069114471</v>
      </c>
      <c r="J73" s="13">
        <v>187</v>
      </c>
      <c r="K73" s="46">
        <f>139+70</f>
        <v>209</v>
      </c>
      <c r="L73" s="59">
        <v>150</v>
      </c>
      <c r="M73" s="156">
        <f t="shared" si="23"/>
        <v>71.77033492822966</v>
      </c>
    </row>
    <row r="74" spans="1:13" s="5" customFormat="1" ht="12">
      <c r="A74" s="6" t="s">
        <v>71</v>
      </c>
      <c r="B74" s="9">
        <f t="shared" si="20"/>
        <v>0</v>
      </c>
      <c r="C74" s="10">
        <f t="shared" si="20"/>
        <v>11</v>
      </c>
      <c r="D74" s="8">
        <f t="shared" si="20"/>
        <v>138</v>
      </c>
      <c r="E74" s="156">
        <f t="shared" si="21"/>
        <v>1254.5454545454545</v>
      </c>
      <c r="F74" s="9">
        <v>4788</v>
      </c>
      <c r="G74" s="8">
        <v>4872</v>
      </c>
      <c r="H74" s="11">
        <v>1049</v>
      </c>
      <c r="I74" s="170">
        <f t="shared" si="22"/>
        <v>21.5311986863711</v>
      </c>
      <c r="J74" s="19">
        <v>226</v>
      </c>
      <c r="K74" s="20">
        <f>236+56</f>
        <v>292</v>
      </c>
      <c r="L74" s="21">
        <v>208</v>
      </c>
      <c r="M74" s="156">
        <f t="shared" si="23"/>
        <v>71.23287671232876</v>
      </c>
    </row>
    <row r="75" spans="1:13" s="5" customFormat="1" ht="12">
      <c r="A75" s="6" t="s">
        <v>94</v>
      </c>
      <c r="B75" s="9">
        <f t="shared" si="20"/>
        <v>180</v>
      </c>
      <c r="C75" s="10">
        <f t="shared" si="20"/>
        <v>20</v>
      </c>
      <c r="D75" s="8">
        <f t="shared" si="20"/>
        <v>12</v>
      </c>
      <c r="E75" s="156">
        <f t="shared" si="21"/>
        <v>60</v>
      </c>
      <c r="F75" s="9">
        <v>7118</v>
      </c>
      <c r="G75" s="8">
        <v>3466</v>
      </c>
      <c r="H75" s="11">
        <v>505</v>
      </c>
      <c r="I75" s="170">
        <f t="shared" si="22"/>
        <v>14.570109636468551</v>
      </c>
      <c r="J75" s="19">
        <v>454</v>
      </c>
      <c r="K75" s="20">
        <f>615+24</f>
        <v>639</v>
      </c>
      <c r="L75" s="21">
        <v>86</v>
      </c>
      <c r="M75" s="156">
        <f t="shared" si="23"/>
        <v>13.458528951486699</v>
      </c>
    </row>
    <row r="76" spans="1:13" s="5" customFormat="1" ht="12">
      <c r="A76" s="6" t="s">
        <v>63</v>
      </c>
      <c r="B76" s="9">
        <f t="shared" si="20"/>
        <v>1</v>
      </c>
      <c r="C76" s="10">
        <f t="shared" si="20"/>
        <v>1</v>
      </c>
      <c r="D76" s="8">
        <f t="shared" si="20"/>
        <v>1</v>
      </c>
      <c r="E76" s="156">
        <f t="shared" si="21"/>
        <v>100</v>
      </c>
      <c r="F76" s="9">
        <v>2353</v>
      </c>
      <c r="G76" s="8">
        <v>2704</v>
      </c>
      <c r="H76" s="11">
        <v>347</v>
      </c>
      <c r="I76" s="170">
        <f t="shared" si="22"/>
        <v>12.83284023668639</v>
      </c>
      <c r="J76" s="19">
        <v>114</v>
      </c>
      <c r="K76" s="20">
        <f>51+54</f>
        <v>105</v>
      </c>
      <c r="L76" s="21">
        <v>62</v>
      </c>
      <c r="M76" s="156">
        <f t="shared" si="23"/>
        <v>59.04761904761905</v>
      </c>
    </row>
    <row r="77" spans="1:13" s="5" customFormat="1" ht="12.75" thickBot="1">
      <c r="A77" s="69" t="s">
        <v>10</v>
      </c>
      <c r="B77" s="71">
        <f t="shared" si="20"/>
        <v>0</v>
      </c>
      <c r="C77" s="72">
        <f t="shared" si="20"/>
        <v>0</v>
      </c>
      <c r="D77" s="18">
        <f t="shared" si="20"/>
        <v>0</v>
      </c>
      <c r="E77" s="156" t="str">
        <f t="shared" si="21"/>
        <v>0,00</v>
      </c>
      <c r="F77" s="71">
        <v>3862</v>
      </c>
      <c r="G77" s="18">
        <v>4099</v>
      </c>
      <c r="H77" s="73">
        <v>648</v>
      </c>
      <c r="I77" s="170">
        <f t="shared" si="22"/>
        <v>15.808733837521347</v>
      </c>
      <c r="J77" s="74">
        <v>213</v>
      </c>
      <c r="K77" s="75">
        <f>213+56</f>
        <v>269</v>
      </c>
      <c r="L77" s="76">
        <v>198</v>
      </c>
      <c r="M77" s="156">
        <f t="shared" si="23"/>
        <v>73.60594795539033</v>
      </c>
    </row>
    <row r="78" spans="1:13" s="5" customFormat="1" ht="12.75" thickBot="1">
      <c r="A78" s="40" t="s">
        <v>11</v>
      </c>
      <c r="B78" s="42">
        <f>SUM(B79:B80)</f>
        <v>598</v>
      </c>
      <c r="C78" s="43">
        <f>SUM(C79:C80)</f>
        <v>1211</v>
      </c>
      <c r="D78" s="23">
        <f>SUM(D79:D80)</f>
        <v>502</v>
      </c>
      <c r="E78" s="119">
        <f t="shared" si="21"/>
        <v>41.453344343517756</v>
      </c>
      <c r="F78" s="42">
        <f>SUM(F79:F80)</f>
        <v>16901</v>
      </c>
      <c r="G78" s="23">
        <f>SUM(G79:G80)</f>
        <v>20644</v>
      </c>
      <c r="H78" s="55">
        <f>SUM(H79:H80)</f>
        <v>3732</v>
      </c>
      <c r="I78" s="169">
        <f t="shared" si="22"/>
        <v>18.077891881418328</v>
      </c>
      <c r="J78" s="42">
        <f>SUM(J79:J80)</f>
        <v>1232</v>
      </c>
      <c r="K78" s="23">
        <f>SUM(K79:K80)</f>
        <v>1763</v>
      </c>
      <c r="L78" s="55">
        <f>SUM(L79:L80)</f>
        <v>1160</v>
      </c>
      <c r="M78" s="119">
        <f t="shared" si="23"/>
        <v>65.79693703913783</v>
      </c>
    </row>
    <row r="79" spans="1:13" s="5" customFormat="1" ht="12">
      <c r="A79" s="44" t="s">
        <v>64</v>
      </c>
      <c r="B79" s="71">
        <f aca="true" t="shared" si="24" ref="B79:D80">B67-F67-J67</f>
        <v>402</v>
      </c>
      <c r="C79" s="72">
        <f t="shared" si="24"/>
        <v>1043</v>
      </c>
      <c r="D79" s="18">
        <f t="shared" si="24"/>
        <v>390</v>
      </c>
      <c r="E79" s="156">
        <f t="shared" si="21"/>
        <v>37.392138063279</v>
      </c>
      <c r="F79" s="13">
        <v>8418</v>
      </c>
      <c r="G79" s="46">
        <f>4480+6936</f>
        <v>11416</v>
      </c>
      <c r="H79" s="59">
        <f>2101+24</f>
        <v>2125</v>
      </c>
      <c r="I79" s="170">
        <f t="shared" si="22"/>
        <v>18.614225648213033</v>
      </c>
      <c r="J79" s="60">
        <v>711</v>
      </c>
      <c r="K79" s="61">
        <f>1116+48</f>
        <v>1164</v>
      </c>
      <c r="L79" s="62">
        <v>600</v>
      </c>
      <c r="M79" s="156">
        <f t="shared" si="23"/>
        <v>51.546391752577314</v>
      </c>
    </row>
    <row r="80" spans="1:13" s="5" customFormat="1" ht="12.75" thickBot="1">
      <c r="A80" s="69" t="s">
        <v>72</v>
      </c>
      <c r="B80" s="71">
        <f t="shared" si="24"/>
        <v>196</v>
      </c>
      <c r="C80" s="72">
        <f t="shared" si="24"/>
        <v>168</v>
      </c>
      <c r="D80" s="18">
        <f t="shared" si="24"/>
        <v>112</v>
      </c>
      <c r="E80" s="161">
        <f t="shared" si="21"/>
        <v>66.66666666666666</v>
      </c>
      <c r="F80" s="71">
        <v>8483</v>
      </c>
      <c r="G80" s="18">
        <f>1588+7640</f>
        <v>9228</v>
      </c>
      <c r="H80" s="73">
        <v>1607</v>
      </c>
      <c r="I80" s="176">
        <f t="shared" si="22"/>
        <v>17.414390983961855</v>
      </c>
      <c r="J80" s="74">
        <v>521</v>
      </c>
      <c r="K80" s="75">
        <f>522+77</f>
        <v>599</v>
      </c>
      <c r="L80" s="76">
        <v>560</v>
      </c>
      <c r="M80" s="161">
        <f t="shared" si="23"/>
        <v>93.48914858096829</v>
      </c>
    </row>
    <row r="81" spans="1:13" s="5" customFormat="1" ht="12.75" thickBo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3" s="5" customFormat="1" ht="13.5" customHeight="1" thickBot="1">
      <c r="A82" s="77" t="s">
        <v>1</v>
      </c>
      <c r="B82" s="193" t="s">
        <v>86</v>
      </c>
      <c r="C82" s="194"/>
      <c r="D82" s="194"/>
      <c r="E82" s="195"/>
      <c r="F82" s="193" t="s">
        <v>6</v>
      </c>
      <c r="G82" s="194"/>
      <c r="H82" s="194"/>
      <c r="I82" s="195"/>
      <c r="J82" s="196" t="s">
        <v>87</v>
      </c>
      <c r="K82" s="197"/>
      <c r="L82" s="197"/>
      <c r="M82" s="198"/>
    </row>
    <row r="83" spans="1:13" s="5" customFormat="1" ht="13.5" customHeight="1">
      <c r="A83" s="6" t="s">
        <v>68</v>
      </c>
      <c r="B83" s="9">
        <v>399</v>
      </c>
      <c r="C83" s="8">
        <v>460</v>
      </c>
      <c r="D83" s="11">
        <v>500</v>
      </c>
      <c r="E83" s="155">
        <f aca="true" t="shared" si="25" ref="E83:E92">IF(C83=0,"0,00",(D83/C83)*100)</f>
        <v>108.69565217391303</v>
      </c>
      <c r="F83" s="9">
        <v>98</v>
      </c>
      <c r="G83" s="8">
        <v>17</v>
      </c>
      <c r="H83" s="14">
        <v>80</v>
      </c>
      <c r="I83" s="165">
        <f aca="true" t="shared" si="26" ref="I83:I92">IF(G83=0,"0,00",(H83/G83)*100)</f>
        <v>470.5882352941177</v>
      </c>
      <c r="J83" s="9">
        <v>4768</v>
      </c>
      <c r="K83" s="8">
        <v>5349</v>
      </c>
      <c r="L83" s="8">
        <v>0</v>
      </c>
      <c r="M83" s="156">
        <f aca="true" t="shared" si="27" ref="M83:M92">IF(K83=0,"0,00",(L83/K83)*100)</f>
        <v>0</v>
      </c>
    </row>
    <row r="84" spans="1:13" s="5" customFormat="1" ht="13.5" customHeight="1">
      <c r="A84" s="83" t="s">
        <v>69</v>
      </c>
      <c r="B84" s="9">
        <v>280</v>
      </c>
      <c r="C84" s="8">
        <v>328</v>
      </c>
      <c r="D84" s="11">
        <v>350</v>
      </c>
      <c r="E84" s="155">
        <f t="shared" si="25"/>
        <v>106.70731707317074</v>
      </c>
      <c r="F84" s="9">
        <v>236</v>
      </c>
      <c r="G84" s="8">
        <v>116</v>
      </c>
      <c r="H84" s="14">
        <v>130</v>
      </c>
      <c r="I84" s="165">
        <f t="shared" si="26"/>
        <v>112.06896551724137</v>
      </c>
      <c r="J84" s="9">
        <v>6711</v>
      </c>
      <c r="K84" s="8">
        <v>7410</v>
      </c>
      <c r="L84" s="8">
        <v>210</v>
      </c>
      <c r="M84" s="156">
        <f t="shared" si="27"/>
        <v>2.834008097165992</v>
      </c>
    </row>
    <row r="85" spans="1:13" s="5" customFormat="1" ht="13.5" customHeight="1">
      <c r="A85" s="44" t="s">
        <v>70</v>
      </c>
      <c r="B85" s="9">
        <v>139</v>
      </c>
      <c r="C85" s="8">
        <v>154</v>
      </c>
      <c r="D85" s="11">
        <v>160</v>
      </c>
      <c r="E85" s="155">
        <f t="shared" si="25"/>
        <v>103.89610389610388</v>
      </c>
      <c r="F85" s="9">
        <v>80</v>
      </c>
      <c r="G85" s="8">
        <v>56</v>
      </c>
      <c r="H85" s="14">
        <v>30</v>
      </c>
      <c r="I85" s="165">
        <f t="shared" si="26"/>
        <v>53.57142857142857</v>
      </c>
      <c r="J85" s="9">
        <v>2994</v>
      </c>
      <c r="K85" s="8">
        <v>3489</v>
      </c>
      <c r="L85" s="8">
        <v>0</v>
      </c>
      <c r="M85" s="156">
        <f t="shared" si="27"/>
        <v>0</v>
      </c>
    </row>
    <row r="86" spans="1:13" s="5" customFormat="1" ht="12">
      <c r="A86" s="6" t="s">
        <v>71</v>
      </c>
      <c r="B86" s="9">
        <v>127</v>
      </c>
      <c r="C86" s="8">
        <v>135</v>
      </c>
      <c r="D86" s="11">
        <v>160</v>
      </c>
      <c r="E86" s="155">
        <f t="shared" si="25"/>
        <v>118.5185185185185</v>
      </c>
      <c r="F86" s="9">
        <v>220</v>
      </c>
      <c r="G86" s="8">
        <v>98</v>
      </c>
      <c r="H86" s="14">
        <v>268</v>
      </c>
      <c r="I86" s="165">
        <f t="shared" si="26"/>
        <v>273.46938775510205</v>
      </c>
      <c r="J86" s="9">
        <v>2778</v>
      </c>
      <c r="K86" s="8">
        <v>2928</v>
      </c>
      <c r="L86" s="8">
        <v>0</v>
      </c>
      <c r="M86" s="156">
        <f t="shared" si="27"/>
        <v>0</v>
      </c>
    </row>
    <row r="87" spans="1:13" s="5" customFormat="1" ht="12">
      <c r="A87" s="6" t="s">
        <v>94</v>
      </c>
      <c r="B87" s="9">
        <v>305</v>
      </c>
      <c r="C87" s="8">
        <v>163</v>
      </c>
      <c r="D87" s="11">
        <v>175</v>
      </c>
      <c r="E87" s="155">
        <f t="shared" si="25"/>
        <v>107.36196319018406</v>
      </c>
      <c r="F87" s="9">
        <v>12</v>
      </c>
      <c r="G87" s="8">
        <v>1</v>
      </c>
      <c r="H87" s="14">
        <v>1</v>
      </c>
      <c r="I87" s="165">
        <f t="shared" si="26"/>
        <v>100</v>
      </c>
      <c r="J87" s="9">
        <v>4239</v>
      </c>
      <c r="K87" s="8">
        <v>1638</v>
      </c>
      <c r="L87" s="8">
        <v>0</v>
      </c>
      <c r="M87" s="156">
        <f t="shared" si="27"/>
        <v>0</v>
      </c>
    </row>
    <row r="88" spans="1:13" s="5" customFormat="1" ht="12">
      <c r="A88" s="6" t="s">
        <v>63</v>
      </c>
      <c r="B88" s="9">
        <v>119</v>
      </c>
      <c r="C88" s="8">
        <v>129</v>
      </c>
      <c r="D88" s="11">
        <v>145</v>
      </c>
      <c r="E88" s="155">
        <f t="shared" si="25"/>
        <v>112.40310077519379</v>
      </c>
      <c r="F88" s="9">
        <v>67</v>
      </c>
      <c r="G88" s="8">
        <v>41</v>
      </c>
      <c r="H88" s="14">
        <v>40</v>
      </c>
      <c r="I88" s="165">
        <f t="shared" si="26"/>
        <v>97.5609756097561</v>
      </c>
      <c r="J88" s="9">
        <v>1447</v>
      </c>
      <c r="K88" s="8">
        <v>1686</v>
      </c>
      <c r="L88" s="8">
        <v>0</v>
      </c>
      <c r="M88" s="156">
        <f t="shared" si="27"/>
        <v>0</v>
      </c>
    </row>
    <row r="89" spans="1:13" s="5" customFormat="1" ht="12.75" thickBot="1">
      <c r="A89" s="69" t="s">
        <v>10</v>
      </c>
      <c r="B89" s="71">
        <v>154</v>
      </c>
      <c r="C89" s="18">
        <v>163</v>
      </c>
      <c r="D89" s="73">
        <v>180</v>
      </c>
      <c r="E89" s="157">
        <f t="shared" si="25"/>
        <v>110.42944785276075</v>
      </c>
      <c r="F89" s="71">
        <v>60</v>
      </c>
      <c r="G89" s="18">
        <v>40</v>
      </c>
      <c r="H89" s="22">
        <v>40</v>
      </c>
      <c r="I89" s="177">
        <f t="shared" si="26"/>
        <v>100</v>
      </c>
      <c r="J89" s="71">
        <v>2311</v>
      </c>
      <c r="K89" s="18">
        <v>2407</v>
      </c>
      <c r="L89" s="18">
        <v>0</v>
      </c>
      <c r="M89" s="156">
        <f t="shared" si="27"/>
        <v>0</v>
      </c>
    </row>
    <row r="90" spans="1:13" s="5" customFormat="1" ht="12.75" thickBot="1">
      <c r="A90" s="40" t="s">
        <v>11</v>
      </c>
      <c r="B90" s="42">
        <f>SUM(B91:B92)</f>
        <v>785</v>
      </c>
      <c r="C90" s="23">
        <f>SUM(C91:C92)</f>
        <v>908</v>
      </c>
      <c r="D90" s="55">
        <f>SUM(D91:D92)</f>
        <v>1038</v>
      </c>
      <c r="E90" s="119">
        <f t="shared" si="25"/>
        <v>114.31718061674007</v>
      </c>
      <c r="F90" s="42">
        <f>SUM(F91:F92)</f>
        <v>493</v>
      </c>
      <c r="G90" s="23">
        <f>SUM(G91:G92)</f>
        <v>2396</v>
      </c>
      <c r="H90" s="65">
        <f>SUM(H91:H92)</f>
        <v>410</v>
      </c>
      <c r="I90" s="163">
        <f t="shared" si="26"/>
        <v>17.111853088480803</v>
      </c>
      <c r="J90" s="42">
        <f>SUM(J91:J92)</f>
        <v>9678</v>
      </c>
      <c r="K90" s="23">
        <f>SUM(K91:K92)</f>
        <v>10403</v>
      </c>
      <c r="L90" s="65">
        <f>SUM(L91:L92)</f>
        <v>18</v>
      </c>
      <c r="M90" s="119">
        <f t="shared" si="27"/>
        <v>0.17302701143900798</v>
      </c>
    </row>
    <row r="91" spans="1:13" s="5" customFormat="1" ht="12">
      <c r="A91" s="44" t="s">
        <v>64</v>
      </c>
      <c r="B91" s="13">
        <v>418</v>
      </c>
      <c r="C91" s="46">
        <v>519</v>
      </c>
      <c r="D91" s="59">
        <v>608</v>
      </c>
      <c r="E91" s="157">
        <f t="shared" si="25"/>
        <v>117.14836223506744</v>
      </c>
      <c r="F91" s="13">
        <v>189</v>
      </c>
      <c r="G91" s="46">
        <v>2181</v>
      </c>
      <c r="H91" s="66">
        <v>250</v>
      </c>
      <c r="I91" s="177">
        <f t="shared" si="26"/>
        <v>11.462631820265932</v>
      </c>
      <c r="J91" s="13">
        <v>4734</v>
      </c>
      <c r="K91" s="46">
        <v>4981</v>
      </c>
      <c r="L91" s="46">
        <v>18</v>
      </c>
      <c r="M91" s="156">
        <f t="shared" si="27"/>
        <v>0.3613732182292712</v>
      </c>
    </row>
    <row r="92" spans="1:13" s="5" customFormat="1" ht="12.75" thickBot="1">
      <c r="A92" s="69" t="s">
        <v>72</v>
      </c>
      <c r="B92" s="71">
        <v>367</v>
      </c>
      <c r="C92" s="18">
        <v>389</v>
      </c>
      <c r="D92" s="73">
        <v>430</v>
      </c>
      <c r="E92" s="157">
        <f t="shared" si="25"/>
        <v>110.53984575835476</v>
      </c>
      <c r="F92" s="71">
        <v>304</v>
      </c>
      <c r="G92" s="18">
        <v>215</v>
      </c>
      <c r="H92" s="22">
        <v>160</v>
      </c>
      <c r="I92" s="177">
        <f t="shared" si="26"/>
        <v>74.4186046511628</v>
      </c>
      <c r="J92" s="71">
        <v>4944</v>
      </c>
      <c r="K92" s="18">
        <v>5422</v>
      </c>
      <c r="L92" s="18">
        <v>0</v>
      </c>
      <c r="M92" s="161">
        <f t="shared" si="27"/>
        <v>0</v>
      </c>
    </row>
    <row r="93" spans="1:13" s="5" customFormat="1" ht="12.75" thickBo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s="5" customFormat="1" ht="13.5" customHeight="1" thickBot="1">
      <c r="A94" s="77" t="s">
        <v>1</v>
      </c>
      <c r="B94" s="193" t="s">
        <v>7</v>
      </c>
      <c r="C94" s="194"/>
      <c r="D94" s="194"/>
      <c r="E94" s="195"/>
      <c r="F94" s="196" t="s">
        <v>8</v>
      </c>
      <c r="G94" s="197"/>
      <c r="H94" s="197"/>
      <c r="I94" s="198"/>
      <c r="J94" s="199"/>
      <c r="K94" s="200"/>
      <c r="L94" s="200"/>
      <c r="M94" s="200"/>
    </row>
    <row r="95" spans="1:13" s="5" customFormat="1" ht="13.5" customHeight="1">
      <c r="A95" s="6" t="s">
        <v>68</v>
      </c>
      <c r="B95" s="9">
        <v>18</v>
      </c>
      <c r="C95" s="8">
        <v>18</v>
      </c>
      <c r="D95" s="11">
        <v>18</v>
      </c>
      <c r="E95" s="155">
        <f aca="true" t="shared" si="28" ref="E95:E104">IF(C95=0,"0,00",(D95/C95)*100)</f>
        <v>100</v>
      </c>
      <c r="F95" s="9">
        <f aca="true" t="shared" si="29" ref="F95:H101">B59-F71</f>
        <v>0</v>
      </c>
      <c r="G95" s="8">
        <f t="shared" si="29"/>
        <v>0</v>
      </c>
      <c r="H95" s="14">
        <f t="shared" si="29"/>
        <v>0</v>
      </c>
      <c r="I95" s="165" t="str">
        <f aca="true" t="shared" si="30" ref="I95:I104">IF(G95=0,"0,00",(H95/G95)*100)</f>
        <v>0,00</v>
      </c>
      <c r="J95" s="105"/>
      <c r="K95" s="106"/>
      <c r="L95" s="106"/>
      <c r="M95" s="106"/>
    </row>
    <row r="96" spans="1:13" s="5" customFormat="1" ht="13.5" customHeight="1">
      <c r="A96" s="83" t="s">
        <v>69</v>
      </c>
      <c r="B96" s="9">
        <v>131</v>
      </c>
      <c r="C96" s="8">
        <v>136</v>
      </c>
      <c r="D96" s="11">
        <v>140</v>
      </c>
      <c r="E96" s="155">
        <f t="shared" si="28"/>
        <v>102.94117647058823</v>
      </c>
      <c r="F96" s="9">
        <f t="shared" si="29"/>
        <v>5</v>
      </c>
      <c r="G96" s="8">
        <f t="shared" si="29"/>
        <v>7</v>
      </c>
      <c r="H96" s="14">
        <f t="shared" si="29"/>
        <v>148</v>
      </c>
      <c r="I96" s="165">
        <f t="shared" si="30"/>
        <v>2114.285714285714</v>
      </c>
      <c r="J96" s="105"/>
      <c r="K96" s="106"/>
      <c r="L96" s="106"/>
      <c r="M96" s="106"/>
    </row>
    <row r="97" spans="1:13" s="5" customFormat="1" ht="13.5" customHeight="1">
      <c r="A97" s="44" t="s">
        <v>70</v>
      </c>
      <c r="B97" s="9">
        <v>15</v>
      </c>
      <c r="C97" s="8">
        <v>18</v>
      </c>
      <c r="D97" s="11">
        <v>23</v>
      </c>
      <c r="E97" s="155">
        <f t="shared" si="28"/>
        <v>127.77777777777777</v>
      </c>
      <c r="F97" s="9">
        <f t="shared" si="29"/>
        <v>0</v>
      </c>
      <c r="G97" s="8">
        <f t="shared" si="29"/>
        <v>0</v>
      </c>
      <c r="H97" s="14">
        <f t="shared" si="29"/>
        <v>0</v>
      </c>
      <c r="I97" s="165" t="str">
        <f t="shared" si="30"/>
        <v>0,00</v>
      </c>
      <c r="J97" s="105"/>
      <c r="K97" s="106"/>
      <c r="L97" s="106"/>
      <c r="M97" s="106"/>
    </row>
    <row r="98" spans="1:13" s="5" customFormat="1" ht="12">
      <c r="A98" s="6" t="s">
        <v>71</v>
      </c>
      <c r="B98" s="9">
        <v>5</v>
      </c>
      <c r="C98" s="8">
        <v>5</v>
      </c>
      <c r="D98" s="11">
        <v>5</v>
      </c>
      <c r="E98" s="155">
        <f t="shared" si="28"/>
        <v>100</v>
      </c>
      <c r="F98" s="9">
        <f t="shared" si="29"/>
        <v>48</v>
      </c>
      <c r="G98" s="8">
        <f t="shared" si="29"/>
        <v>152</v>
      </c>
      <c r="H98" s="14">
        <f t="shared" si="29"/>
        <v>0</v>
      </c>
      <c r="I98" s="165">
        <f t="shared" si="30"/>
        <v>0</v>
      </c>
      <c r="J98" s="85"/>
      <c r="K98" s="91"/>
      <c r="L98" s="91"/>
      <c r="M98" s="103"/>
    </row>
    <row r="99" spans="1:13" s="5" customFormat="1" ht="12">
      <c r="A99" s="6" t="s">
        <v>94</v>
      </c>
      <c r="B99" s="9">
        <v>32</v>
      </c>
      <c r="C99" s="8">
        <v>120</v>
      </c>
      <c r="D99" s="11">
        <v>149</v>
      </c>
      <c r="E99" s="155">
        <f t="shared" si="28"/>
        <v>124.16666666666667</v>
      </c>
      <c r="F99" s="9">
        <f t="shared" si="29"/>
        <v>1</v>
      </c>
      <c r="G99" s="8">
        <f t="shared" si="29"/>
        <v>13</v>
      </c>
      <c r="H99" s="14">
        <f t="shared" si="29"/>
        <v>0</v>
      </c>
      <c r="I99" s="165">
        <f t="shared" si="30"/>
        <v>0</v>
      </c>
      <c r="J99" s="85"/>
      <c r="K99" s="91"/>
      <c r="L99" s="91"/>
      <c r="M99" s="103"/>
    </row>
    <row r="100" spans="1:13" s="5" customFormat="1" ht="12">
      <c r="A100" s="6" t="s">
        <v>63</v>
      </c>
      <c r="B100" s="9">
        <v>0</v>
      </c>
      <c r="C100" s="8">
        <v>0</v>
      </c>
      <c r="D100" s="11">
        <v>0</v>
      </c>
      <c r="E100" s="155" t="str">
        <f t="shared" si="28"/>
        <v>0,00</v>
      </c>
      <c r="F100" s="9">
        <f t="shared" si="29"/>
        <v>0</v>
      </c>
      <c r="G100" s="8">
        <f t="shared" si="29"/>
        <v>0</v>
      </c>
      <c r="H100" s="14">
        <f t="shared" si="29"/>
        <v>0</v>
      </c>
      <c r="I100" s="165" t="str">
        <f t="shared" si="30"/>
        <v>0,00</v>
      </c>
      <c r="J100" s="85"/>
      <c r="K100" s="91"/>
      <c r="L100" s="91"/>
      <c r="M100" s="103"/>
    </row>
    <row r="101" spans="1:13" s="5" customFormat="1" ht="12.75" thickBot="1">
      <c r="A101" s="69" t="s">
        <v>10</v>
      </c>
      <c r="B101" s="71">
        <v>6</v>
      </c>
      <c r="C101" s="18">
        <v>8</v>
      </c>
      <c r="D101" s="73">
        <v>5</v>
      </c>
      <c r="E101" s="157">
        <f t="shared" si="28"/>
        <v>62.5</v>
      </c>
      <c r="F101" s="71">
        <f t="shared" si="29"/>
        <v>9</v>
      </c>
      <c r="G101" s="18">
        <f t="shared" si="29"/>
        <v>1</v>
      </c>
      <c r="H101" s="22">
        <f t="shared" si="29"/>
        <v>43</v>
      </c>
      <c r="I101" s="165">
        <f t="shared" si="30"/>
        <v>4300</v>
      </c>
      <c r="J101" s="85"/>
      <c r="K101" s="91"/>
      <c r="L101" s="91"/>
      <c r="M101" s="103"/>
    </row>
    <row r="102" spans="1:13" s="5" customFormat="1" ht="12.75" thickBot="1">
      <c r="A102" s="40" t="s">
        <v>11</v>
      </c>
      <c r="B102" s="42">
        <f>SUM(B103:B104)</f>
        <v>369</v>
      </c>
      <c r="C102" s="23">
        <f>SUM(C103:C104)</f>
        <v>374</v>
      </c>
      <c r="D102" s="55">
        <f>SUM(D103:D104)</f>
        <v>387</v>
      </c>
      <c r="E102" s="119">
        <f t="shared" si="28"/>
        <v>103.475935828877</v>
      </c>
      <c r="F102" s="42">
        <f>SUM(F103:F104)</f>
        <v>94</v>
      </c>
      <c r="G102" s="23">
        <f>SUM(G103:G104)</f>
        <v>18</v>
      </c>
      <c r="H102" s="65">
        <f>SUM(H103:H104)</f>
        <v>3</v>
      </c>
      <c r="I102" s="163">
        <f t="shared" si="30"/>
        <v>16.666666666666664</v>
      </c>
      <c r="J102" s="85"/>
      <c r="K102" s="91"/>
      <c r="L102" s="91"/>
      <c r="M102" s="103"/>
    </row>
    <row r="103" spans="1:13" s="5" customFormat="1" ht="12">
      <c r="A103" s="44" t="s">
        <v>64</v>
      </c>
      <c r="B103" s="13">
        <v>337</v>
      </c>
      <c r="C103" s="46">
        <v>340</v>
      </c>
      <c r="D103" s="59">
        <v>353</v>
      </c>
      <c r="E103" s="157">
        <f t="shared" si="28"/>
        <v>103.82352941176471</v>
      </c>
      <c r="F103" s="13">
        <f aca="true" t="shared" si="31" ref="F103:H104">B67-F79</f>
        <v>78</v>
      </c>
      <c r="G103" s="46">
        <f t="shared" si="31"/>
        <v>15</v>
      </c>
      <c r="H103" s="66">
        <f t="shared" si="31"/>
        <v>3</v>
      </c>
      <c r="I103" s="165">
        <f t="shared" si="30"/>
        <v>20</v>
      </c>
      <c r="J103" s="107"/>
      <c r="K103" s="108"/>
      <c r="L103" s="108"/>
      <c r="M103" s="109"/>
    </row>
    <row r="104" spans="1:13" s="5" customFormat="1" ht="12.75" thickBot="1">
      <c r="A104" s="134" t="s">
        <v>72</v>
      </c>
      <c r="B104" s="16">
        <v>32</v>
      </c>
      <c r="C104" s="15">
        <v>34</v>
      </c>
      <c r="D104" s="63">
        <v>34</v>
      </c>
      <c r="E104" s="158">
        <f t="shared" si="28"/>
        <v>100</v>
      </c>
      <c r="F104" s="16">
        <f t="shared" si="31"/>
        <v>16</v>
      </c>
      <c r="G104" s="15">
        <f t="shared" si="31"/>
        <v>3</v>
      </c>
      <c r="H104" s="17">
        <f t="shared" si="31"/>
        <v>0</v>
      </c>
      <c r="I104" s="174">
        <f t="shared" si="30"/>
        <v>0</v>
      </c>
      <c r="J104" s="85"/>
      <c r="K104" s="91"/>
      <c r="L104" s="91"/>
      <c r="M104" s="103"/>
    </row>
    <row r="105" spans="10:13" s="5" customFormat="1" ht="12">
      <c r="J105" s="85"/>
      <c r="K105" s="91"/>
      <c r="L105" s="91"/>
      <c r="M105" s="103"/>
    </row>
    <row r="106" spans="1:13" s="25" customFormat="1" ht="15">
      <c r="A106" s="192" t="s">
        <v>91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</row>
    <row r="107" s="27" customFormat="1" ht="12.75" thickBot="1">
      <c r="A107" s="26"/>
    </row>
    <row r="108" spans="1:13" s="5" customFormat="1" ht="27.75" customHeight="1">
      <c r="A108" s="214" t="s">
        <v>1</v>
      </c>
      <c r="B108" s="201" t="s">
        <v>0</v>
      </c>
      <c r="C108" s="202"/>
      <c r="D108" s="202"/>
      <c r="E108" s="203"/>
      <c r="F108" s="204" t="s">
        <v>65</v>
      </c>
      <c r="G108" s="205"/>
      <c r="H108" s="205"/>
      <c r="I108" s="205"/>
      <c r="J108" s="206" t="s">
        <v>77</v>
      </c>
      <c r="K108" s="207"/>
      <c r="L108" s="207"/>
      <c r="M108" s="208"/>
    </row>
    <row r="109" spans="1:13" s="27" customFormat="1" ht="11.25">
      <c r="A109" s="215"/>
      <c r="B109" s="29" t="s">
        <v>2</v>
      </c>
      <c r="C109" s="30" t="s">
        <v>2</v>
      </c>
      <c r="D109" s="30" t="s">
        <v>3</v>
      </c>
      <c r="E109" s="31" t="s">
        <v>4</v>
      </c>
      <c r="F109" s="29" t="s">
        <v>2</v>
      </c>
      <c r="G109" s="30" t="s">
        <v>2</v>
      </c>
      <c r="H109" s="30" t="s">
        <v>3</v>
      </c>
      <c r="I109" s="31" t="s">
        <v>4</v>
      </c>
      <c r="J109" s="29" t="s">
        <v>2</v>
      </c>
      <c r="K109" s="30" t="s">
        <v>2</v>
      </c>
      <c r="L109" s="30" t="s">
        <v>3</v>
      </c>
      <c r="M109" s="31" t="s">
        <v>4</v>
      </c>
    </row>
    <row r="110" spans="1:13" s="27" customFormat="1" ht="12" thickBot="1">
      <c r="A110" s="216"/>
      <c r="B110" s="32">
        <v>2004</v>
      </c>
      <c r="C110" s="33">
        <v>2005</v>
      </c>
      <c r="D110" s="33">
        <v>2006</v>
      </c>
      <c r="E110" s="34" t="s">
        <v>130</v>
      </c>
      <c r="F110" s="32">
        <v>2004</v>
      </c>
      <c r="G110" s="33">
        <v>2005</v>
      </c>
      <c r="H110" s="33">
        <v>2006</v>
      </c>
      <c r="I110" s="34" t="s">
        <v>130</v>
      </c>
      <c r="J110" s="32">
        <v>2004</v>
      </c>
      <c r="K110" s="33">
        <v>2005</v>
      </c>
      <c r="L110" s="33">
        <v>2006</v>
      </c>
      <c r="M110" s="34" t="s">
        <v>130</v>
      </c>
    </row>
    <row r="111" spans="1:13" s="27" customFormat="1" ht="12.75" thickBot="1">
      <c r="A111" s="40" t="s">
        <v>13</v>
      </c>
      <c r="B111" s="42">
        <f>SUM(B112:B121)+B166+B167+B168+B169</f>
        <v>281070</v>
      </c>
      <c r="C111" s="23">
        <f>SUM(C112:C121)+C166+C167+C168+C169</f>
        <v>299392</v>
      </c>
      <c r="D111" s="55">
        <f>SUM(D112:D121)+D166+D167+D168+D169</f>
        <v>64258</v>
      </c>
      <c r="E111" s="119">
        <f aca="true" t="shared" si="32" ref="E111:E121">IF(C111=0,"0,00",(D111/C111)*100)</f>
        <v>21.46283133817871</v>
      </c>
      <c r="F111" s="42">
        <f>SUM(F112:F121)+F166+F167+F168+F169</f>
        <v>51363</v>
      </c>
      <c r="G111" s="23">
        <f>SUM(G112:G121)+G166+G167+G168+G169</f>
        <v>52692</v>
      </c>
      <c r="H111" s="65">
        <f>SUM(H112:H121)+H166+H167+H168+H169</f>
        <v>48841</v>
      </c>
      <c r="I111" s="163">
        <f aca="true" t="shared" si="33" ref="I111:I121">IF(G111=0,"0,00",(H111/G111)*100)</f>
        <v>92.69149016928566</v>
      </c>
      <c r="J111" s="56">
        <f>SUM(J112:J121)+J166+J167+J168+J169</f>
        <v>212185</v>
      </c>
      <c r="K111" s="57">
        <f>SUM(K112:K121)+K166+K167+K168+K169</f>
        <v>228965</v>
      </c>
      <c r="L111" s="57">
        <f>SUM(L112:L121)+L166+L167+L168+L169</f>
        <v>0</v>
      </c>
      <c r="M111" s="119">
        <f aca="true" t="shared" si="34" ref="M111:M121">IF(K111=0,"0,00",(L111/K111)*100)</f>
        <v>0</v>
      </c>
    </row>
    <row r="112" spans="1:13" s="27" customFormat="1" ht="12">
      <c r="A112" s="116" t="s">
        <v>95</v>
      </c>
      <c r="B112" s="45">
        <v>19676</v>
      </c>
      <c r="C112" s="46">
        <f>3324+17617</f>
        <v>20941</v>
      </c>
      <c r="D112" s="46">
        <v>3240</v>
      </c>
      <c r="E112" s="156">
        <f t="shared" si="32"/>
        <v>15.472040494723272</v>
      </c>
      <c r="F112" s="13">
        <v>2951</v>
      </c>
      <c r="G112" s="47">
        <v>3171</v>
      </c>
      <c r="H112" s="46">
        <v>3115</v>
      </c>
      <c r="I112" s="164">
        <f t="shared" si="33"/>
        <v>98.23399558498896</v>
      </c>
      <c r="J112" s="13">
        <v>16590</v>
      </c>
      <c r="K112" s="46">
        <v>17617</v>
      </c>
      <c r="L112" s="46">
        <v>0</v>
      </c>
      <c r="M112" s="156">
        <f t="shared" si="34"/>
        <v>0</v>
      </c>
    </row>
    <row r="113" spans="1:13" s="27" customFormat="1" ht="12">
      <c r="A113" s="44" t="s">
        <v>14</v>
      </c>
      <c r="B113" s="7">
        <v>13714</v>
      </c>
      <c r="C113" s="8">
        <f>2600+11453</f>
        <v>14053</v>
      </c>
      <c r="D113" s="8">
        <v>2520</v>
      </c>
      <c r="E113" s="155">
        <f t="shared" si="32"/>
        <v>17.93211413932968</v>
      </c>
      <c r="F113" s="9">
        <v>3017</v>
      </c>
      <c r="G113" s="10">
        <v>2514</v>
      </c>
      <c r="H113" s="8">
        <v>2471</v>
      </c>
      <c r="I113" s="165">
        <f t="shared" si="33"/>
        <v>98.2895783611774</v>
      </c>
      <c r="J113" s="9">
        <v>10592</v>
      </c>
      <c r="K113" s="8">
        <v>11453</v>
      </c>
      <c r="L113" s="8">
        <v>0</v>
      </c>
      <c r="M113" s="155">
        <f t="shared" si="34"/>
        <v>0</v>
      </c>
    </row>
    <row r="114" spans="1:13" s="27" customFormat="1" ht="12">
      <c r="A114" s="69" t="s">
        <v>73</v>
      </c>
      <c r="B114" s="7">
        <v>33047</v>
      </c>
      <c r="C114" s="8">
        <f>11948+25569</f>
        <v>37517</v>
      </c>
      <c r="D114" s="8">
        <f>10563</f>
        <v>10563</v>
      </c>
      <c r="E114" s="155">
        <f t="shared" si="32"/>
        <v>28.15523629288056</v>
      </c>
      <c r="F114" s="9">
        <v>4638</v>
      </c>
      <c r="G114" s="10">
        <v>6140</v>
      </c>
      <c r="H114" s="8">
        <v>5663</v>
      </c>
      <c r="I114" s="165">
        <f t="shared" si="33"/>
        <v>92.23127035830619</v>
      </c>
      <c r="J114" s="9">
        <v>23380</v>
      </c>
      <c r="K114" s="8">
        <v>25569</v>
      </c>
      <c r="L114" s="8">
        <v>0</v>
      </c>
      <c r="M114" s="155">
        <f t="shared" si="34"/>
        <v>0</v>
      </c>
    </row>
    <row r="115" spans="1:13" s="27" customFormat="1" ht="12">
      <c r="A115" s="83" t="s">
        <v>15</v>
      </c>
      <c r="B115" s="7">
        <v>29591</v>
      </c>
      <c r="C115" s="8">
        <f>4760+27112</f>
        <v>31872</v>
      </c>
      <c r="D115" s="8">
        <f>3715</f>
        <v>3715</v>
      </c>
      <c r="E115" s="155">
        <f t="shared" si="32"/>
        <v>11.655998995983936</v>
      </c>
      <c r="F115" s="9">
        <v>4125</v>
      </c>
      <c r="G115" s="10">
        <v>4465</v>
      </c>
      <c r="H115" s="8">
        <v>3640</v>
      </c>
      <c r="I115" s="165">
        <f t="shared" si="33"/>
        <v>81.52295632698768</v>
      </c>
      <c r="J115" s="9">
        <v>25224</v>
      </c>
      <c r="K115" s="8">
        <v>27099</v>
      </c>
      <c r="L115" s="8">
        <v>0</v>
      </c>
      <c r="M115" s="155">
        <f t="shared" si="34"/>
        <v>0</v>
      </c>
    </row>
    <row r="116" spans="1:16" ht="12.75">
      <c r="A116" s="44" t="s">
        <v>96</v>
      </c>
      <c r="B116" s="7">
        <v>36364</v>
      </c>
      <c r="C116" s="8">
        <f>12866+22408</f>
        <v>35274</v>
      </c>
      <c r="D116" s="8">
        <v>12530</v>
      </c>
      <c r="E116" s="155">
        <f t="shared" si="32"/>
        <v>35.521914157736575</v>
      </c>
      <c r="F116" s="9">
        <v>6367</v>
      </c>
      <c r="G116" s="10">
        <v>5953</v>
      </c>
      <c r="H116" s="8">
        <v>6160</v>
      </c>
      <c r="I116" s="165">
        <f t="shared" si="33"/>
        <v>103.47723836720981</v>
      </c>
      <c r="J116" s="9">
        <v>22669</v>
      </c>
      <c r="K116" s="8">
        <v>22408</v>
      </c>
      <c r="L116" s="8">
        <v>0</v>
      </c>
      <c r="M116" s="155">
        <f t="shared" si="34"/>
        <v>0</v>
      </c>
      <c r="N116" s="5"/>
      <c r="O116" s="5"/>
      <c r="P116" s="5"/>
    </row>
    <row r="117" spans="1:13" s="5" customFormat="1" ht="12">
      <c r="A117" s="6" t="s">
        <v>97</v>
      </c>
      <c r="B117" s="7">
        <v>14856</v>
      </c>
      <c r="C117" s="8">
        <f>3535+12305</f>
        <v>15840</v>
      </c>
      <c r="D117" s="8">
        <v>2782</v>
      </c>
      <c r="E117" s="155">
        <f t="shared" si="32"/>
        <v>17.563131313131315</v>
      </c>
      <c r="F117" s="9">
        <v>3061</v>
      </c>
      <c r="G117" s="10">
        <v>3215</v>
      </c>
      <c r="H117" s="8">
        <v>2618</v>
      </c>
      <c r="I117" s="165">
        <f t="shared" si="33"/>
        <v>81.43079315707621</v>
      </c>
      <c r="J117" s="9">
        <v>11377</v>
      </c>
      <c r="K117" s="8">
        <v>12305</v>
      </c>
      <c r="L117" s="8">
        <v>0</v>
      </c>
      <c r="M117" s="155">
        <f t="shared" si="34"/>
        <v>0</v>
      </c>
    </row>
    <row r="118" spans="1:13" s="5" customFormat="1" ht="12">
      <c r="A118" s="6" t="s">
        <v>16</v>
      </c>
      <c r="B118" s="7">
        <v>7062</v>
      </c>
      <c r="C118" s="8">
        <f>2112+5387</f>
        <v>7499</v>
      </c>
      <c r="D118" s="8">
        <v>2044</v>
      </c>
      <c r="E118" s="155">
        <f t="shared" si="32"/>
        <v>27.256967595679427</v>
      </c>
      <c r="F118" s="9">
        <v>1738</v>
      </c>
      <c r="G118" s="10">
        <v>1905</v>
      </c>
      <c r="H118" s="8">
        <v>1844</v>
      </c>
      <c r="I118" s="165">
        <f t="shared" si="33"/>
        <v>96.7979002624672</v>
      </c>
      <c r="J118" s="9">
        <v>4999</v>
      </c>
      <c r="K118" s="8">
        <v>5387</v>
      </c>
      <c r="L118" s="8">
        <v>0</v>
      </c>
      <c r="M118" s="155">
        <f t="shared" si="34"/>
        <v>0</v>
      </c>
    </row>
    <row r="119" spans="1:13" s="5" customFormat="1" ht="12">
      <c r="A119" s="6" t="s">
        <v>17</v>
      </c>
      <c r="B119" s="7">
        <v>18990</v>
      </c>
      <c r="C119" s="8">
        <f>4498+15787</f>
        <v>20285</v>
      </c>
      <c r="D119" s="8">
        <v>4009</v>
      </c>
      <c r="E119" s="155">
        <f t="shared" si="32"/>
        <v>19.76337194971654</v>
      </c>
      <c r="F119" s="9">
        <v>2365</v>
      </c>
      <c r="G119" s="10">
        <v>2991</v>
      </c>
      <c r="H119" s="8">
        <v>2509</v>
      </c>
      <c r="I119" s="165">
        <f t="shared" si="33"/>
        <v>83.88498829822801</v>
      </c>
      <c r="J119" s="9">
        <v>15118</v>
      </c>
      <c r="K119" s="8">
        <v>15787</v>
      </c>
      <c r="L119" s="8">
        <v>0</v>
      </c>
      <c r="M119" s="155">
        <f t="shared" si="34"/>
        <v>0</v>
      </c>
    </row>
    <row r="120" spans="1:13" s="5" customFormat="1" ht="12">
      <c r="A120" s="6" t="s">
        <v>98</v>
      </c>
      <c r="B120" s="7">
        <v>23177</v>
      </c>
      <c r="C120" s="8">
        <f>5541+18670</f>
        <v>24211</v>
      </c>
      <c r="D120" s="8">
        <f>4939</f>
        <v>4939</v>
      </c>
      <c r="E120" s="155">
        <f t="shared" si="32"/>
        <v>20.399818264425264</v>
      </c>
      <c r="F120" s="9">
        <v>5472</v>
      </c>
      <c r="G120" s="10">
        <v>4914</v>
      </c>
      <c r="H120" s="8">
        <v>4659</v>
      </c>
      <c r="I120" s="165">
        <f t="shared" si="33"/>
        <v>94.81074481074481</v>
      </c>
      <c r="J120" s="9">
        <v>17194</v>
      </c>
      <c r="K120" s="8">
        <v>18670</v>
      </c>
      <c r="L120" s="8">
        <v>0</v>
      </c>
      <c r="M120" s="155">
        <f t="shared" si="34"/>
        <v>0</v>
      </c>
    </row>
    <row r="121" spans="1:13" s="5" customFormat="1" ht="12.75" thickBot="1">
      <c r="A121" s="50" t="s">
        <v>18</v>
      </c>
      <c r="B121" s="51">
        <v>19078</v>
      </c>
      <c r="C121" s="15">
        <f>4138+18066</f>
        <v>22204</v>
      </c>
      <c r="D121" s="15">
        <f>3527</f>
        <v>3527</v>
      </c>
      <c r="E121" s="158">
        <f t="shared" si="32"/>
        <v>15.88452531075482</v>
      </c>
      <c r="F121" s="16">
        <v>3202</v>
      </c>
      <c r="G121" s="12">
        <v>3879</v>
      </c>
      <c r="H121" s="15">
        <v>3327</v>
      </c>
      <c r="I121" s="173">
        <f t="shared" si="33"/>
        <v>85.76952822892498</v>
      </c>
      <c r="J121" s="16">
        <v>15569</v>
      </c>
      <c r="K121" s="15">
        <v>18066</v>
      </c>
      <c r="L121" s="15">
        <v>0</v>
      </c>
      <c r="M121" s="158">
        <f t="shared" si="34"/>
        <v>0</v>
      </c>
    </row>
    <row r="122" spans="1:13" s="5" customFormat="1" ht="12.75" thickBot="1">
      <c r="A122" s="111"/>
      <c r="B122" s="108"/>
      <c r="C122" s="108"/>
      <c r="D122" s="108"/>
      <c r="E122" s="109"/>
      <c r="F122" s="108"/>
      <c r="G122" s="108"/>
      <c r="H122" s="108"/>
      <c r="I122" s="109"/>
      <c r="J122" s="108"/>
      <c r="K122" s="108"/>
      <c r="L122" s="108"/>
      <c r="M122" s="109"/>
    </row>
    <row r="123" spans="1:13" s="5" customFormat="1" ht="13.5" customHeight="1" thickBot="1">
      <c r="A123" s="40" t="s">
        <v>1</v>
      </c>
      <c r="B123" s="193" t="s">
        <v>66</v>
      </c>
      <c r="C123" s="194"/>
      <c r="D123" s="194"/>
      <c r="E123" s="195"/>
      <c r="F123" s="196" t="s">
        <v>5</v>
      </c>
      <c r="G123" s="197"/>
      <c r="H123" s="197"/>
      <c r="I123" s="198"/>
      <c r="J123" s="193" t="s">
        <v>85</v>
      </c>
      <c r="K123" s="194"/>
      <c r="L123" s="194"/>
      <c r="M123" s="195"/>
    </row>
    <row r="124" spans="1:13" s="27" customFormat="1" ht="12.75" thickBot="1">
      <c r="A124" s="40" t="s">
        <v>13</v>
      </c>
      <c r="B124" s="42">
        <f>SUM(B125:B134)+B179+B180+B181+B182</f>
        <v>17522</v>
      </c>
      <c r="C124" s="23">
        <f>SUM(C125:C134)+C179+C180+C181+C182</f>
        <v>17735</v>
      </c>
      <c r="D124" s="55">
        <f>SUM(D125:D134)+D179+D180+D181+D182</f>
        <v>15417</v>
      </c>
      <c r="E124" s="119">
        <f aca="true" t="shared" si="35" ref="E124:E134">IF(C124=0,"0,00",(D124/C124)*100)</f>
        <v>86.92979983084297</v>
      </c>
      <c r="F124" s="42">
        <f>SUM(F125:F134)+F179+F180+F181+F182</f>
        <v>280055</v>
      </c>
      <c r="G124" s="23">
        <f>SUM(G125:G134)+G179+G180+G181+G182</f>
        <v>298639</v>
      </c>
      <c r="H124" s="65">
        <f>SUM(H125:H134)+H179+H180+H181+H182</f>
        <v>64057</v>
      </c>
      <c r="I124" s="163">
        <f aca="true" t="shared" si="36" ref="I124:I134">IF(G124=0,"0,00",(H124/G124)*100)</f>
        <v>21.449643214717433</v>
      </c>
      <c r="J124" s="56">
        <f>SUM(J125:J134)+J179+J180+J181+J182</f>
        <v>23563</v>
      </c>
      <c r="K124" s="57">
        <f>SUM(K125:K134)+K179+K180+K181+K182</f>
        <v>24218</v>
      </c>
      <c r="L124" s="57">
        <f>SUM(L125:L134)+L179+L180+L181+L182</f>
        <v>17947</v>
      </c>
      <c r="M124" s="119">
        <f aca="true" t="shared" si="37" ref="M124:M134">IF(K124=0,"0,00",(L124/K124)*100)</f>
        <v>74.10603683210834</v>
      </c>
    </row>
    <row r="125" spans="1:13" s="27" customFormat="1" ht="12">
      <c r="A125" s="116" t="s">
        <v>95</v>
      </c>
      <c r="B125" s="45">
        <f>B112-F112-J112</f>
        <v>135</v>
      </c>
      <c r="C125" s="46">
        <f>C112-G112-K112</f>
        <v>153</v>
      </c>
      <c r="D125" s="46">
        <f>D112-H112-L112</f>
        <v>125</v>
      </c>
      <c r="E125" s="156">
        <f t="shared" si="35"/>
        <v>81.69934640522875</v>
      </c>
      <c r="F125" s="13">
        <v>19675</v>
      </c>
      <c r="G125" s="47">
        <f>3321+17617</f>
        <v>20938</v>
      </c>
      <c r="H125" s="46">
        <v>3240</v>
      </c>
      <c r="I125" s="164">
        <f t="shared" si="36"/>
        <v>15.474257331168213</v>
      </c>
      <c r="J125" s="13">
        <v>986</v>
      </c>
      <c r="K125" s="46">
        <f>469+229</f>
        <v>698</v>
      </c>
      <c r="L125" s="46">
        <v>420</v>
      </c>
      <c r="M125" s="156">
        <f t="shared" si="37"/>
        <v>60.17191977077364</v>
      </c>
    </row>
    <row r="126" spans="1:13" s="27" customFormat="1" ht="12">
      <c r="A126" s="44" t="s">
        <v>14</v>
      </c>
      <c r="B126" s="7">
        <f aca="true" t="shared" si="38" ref="B126:B134">B113-F113-J113</f>
        <v>105</v>
      </c>
      <c r="C126" s="8">
        <f aca="true" t="shared" si="39" ref="C126:C134">C113-G113-K113</f>
        <v>86</v>
      </c>
      <c r="D126" s="8">
        <f aca="true" t="shared" si="40" ref="D126:D134">D113-H113-L113</f>
        <v>49</v>
      </c>
      <c r="E126" s="155">
        <f t="shared" si="35"/>
        <v>56.97674418604651</v>
      </c>
      <c r="F126" s="9">
        <v>13696</v>
      </c>
      <c r="G126" s="10">
        <f>2550+11489</f>
        <v>14039</v>
      </c>
      <c r="H126" s="8">
        <v>2520</v>
      </c>
      <c r="I126" s="165">
        <f t="shared" si="36"/>
        <v>17.94999643849277</v>
      </c>
      <c r="J126" s="9">
        <v>1229</v>
      </c>
      <c r="K126" s="8">
        <f>513+204</f>
        <v>717</v>
      </c>
      <c r="L126" s="8">
        <v>500</v>
      </c>
      <c r="M126" s="155">
        <f t="shared" si="37"/>
        <v>69.7350069735007</v>
      </c>
    </row>
    <row r="127" spans="1:13" s="27" customFormat="1" ht="12">
      <c r="A127" s="69" t="s">
        <v>73</v>
      </c>
      <c r="B127" s="7">
        <f t="shared" si="38"/>
        <v>5029</v>
      </c>
      <c r="C127" s="8">
        <f t="shared" si="39"/>
        <v>5808</v>
      </c>
      <c r="D127" s="8">
        <f t="shared" si="40"/>
        <v>4900</v>
      </c>
      <c r="E127" s="155">
        <f t="shared" si="35"/>
        <v>84.366391184573</v>
      </c>
      <c r="F127" s="9">
        <v>32940</v>
      </c>
      <c r="G127" s="10">
        <f>10493+26997</f>
        <v>37490</v>
      </c>
      <c r="H127" s="8">
        <f>9072+1417</f>
        <v>10489</v>
      </c>
      <c r="I127" s="165">
        <f t="shared" si="36"/>
        <v>27.978127500666844</v>
      </c>
      <c r="J127" s="9">
        <v>3665</v>
      </c>
      <c r="K127" s="8">
        <f>4132+208</f>
        <v>4340</v>
      </c>
      <c r="L127" s="8">
        <f>3850+0</f>
        <v>3850</v>
      </c>
      <c r="M127" s="155">
        <f t="shared" si="37"/>
        <v>88.70967741935483</v>
      </c>
    </row>
    <row r="128" spans="1:13" s="27" customFormat="1" ht="12">
      <c r="A128" s="83" t="s">
        <v>15</v>
      </c>
      <c r="B128" s="7">
        <f t="shared" si="38"/>
        <v>242</v>
      </c>
      <c r="C128" s="8">
        <f t="shared" si="39"/>
        <v>308</v>
      </c>
      <c r="D128" s="8">
        <f t="shared" si="40"/>
        <v>75</v>
      </c>
      <c r="E128" s="155">
        <f t="shared" si="35"/>
        <v>24.350649350649352</v>
      </c>
      <c r="F128" s="9">
        <v>29574</v>
      </c>
      <c r="G128" s="10">
        <f>4899+26945</f>
        <v>31844</v>
      </c>
      <c r="H128" s="8">
        <f>3715</f>
        <v>3715</v>
      </c>
      <c r="I128" s="165">
        <f t="shared" si="36"/>
        <v>11.666247958799145</v>
      </c>
      <c r="J128" s="9">
        <v>1700</v>
      </c>
      <c r="K128" s="8">
        <f>1782+243</f>
        <v>2025</v>
      </c>
      <c r="L128" s="8">
        <f>750</f>
        <v>750</v>
      </c>
      <c r="M128" s="155">
        <f t="shared" si="37"/>
        <v>37.03703703703704</v>
      </c>
    </row>
    <row r="129" spans="1:13" ht="12.75">
      <c r="A129" s="44" t="s">
        <v>96</v>
      </c>
      <c r="B129" s="9">
        <f t="shared" si="38"/>
        <v>7328</v>
      </c>
      <c r="C129" s="10">
        <f t="shared" si="39"/>
        <v>6913</v>
      </c>
      <c r="D129" s="8">
        <f t="shared" si="40"/>
        <v>6370</v>
      </c>
      <c r="E129" s="155">
        <f t="shared" si="35"/>
        <v>92.1452336178215</v>
      </c>
      <c r="F129" s="9">
        <v>36047</v>
      </c>
      <c r="G129" s="8">
        <f>11494+23448</f>
        <v>34942</v>
      </c>
      <c r="H129" s="11">
        <f>11570+960</f>
        <v>12530</v>
      </c>
      <c r="I129" s="166">
        <f t="shared" si="36"/>
        <v>35.85942418865549</v>
      </c>
      <c r="J129" s="19">
        <v>5835</v>
      </c>
      <c r="K129" s="20">
        <f>5038+250</f>
        <v>5288</v>
      </c>
      <c r="L129" s="21">
        <v>4951</v>
      </c>
      <c r="M129" s="155">
        <f t="shared" si="37"/>
        <v>93.62708018154312</v>
      </c>
    </row>
    <row r="130" spans="1:13" s="5" customFormat="1" ht="12">
      <c r="A130" s="6" t="s">
        <v>97</v>
      </c>
      <c r="B130" s="9">
        <f t="shared" si="38"/>
        <v>418</v>
      </c>
      <c r="C130" s="10">
        <f t="shared" si="39"/>
        <v>320</v>
      </c>
      <c r="D130" s="8">
        <f t="shared" si="40"/>
        <v>164</v>
      </c>
      <c r="E130" s="155">
        <f t="shared" si="35"/>
        <v>51.24999999999999</v>
      </c>
      <c r="F130" s="9">
        <v>14843</v>
      </c>
      <c r="G130" s="8">
        <f>3483+12346</f>
        <v>15829</v>
      </c>
      <c r="H130" s="11">
        <v>2782</v>
      </c>
      <c r="I130" s="166">
        <f t="shared" si="36"/>
        <v>17.575336407858995</v>
      </c>
      <c r="J130" s="19">
        <v>494</v>
      </c>
      <c r="K130" s="20">
        <f>372+244</f>
        <v>616</v>
      </c>
      <c r="L130" s="21">
        <v>212</v>
      </c>
      <c r="M130" s="155">
        <f t="shared" si="37"/>
        <v>34.41558441558442</v>
      </c>
    </row>
    <row r="131" spans="1:13" s="5" customFormat="1" ht="12">
      <c r="A131" s="6" t="s">
        <v>16</v>
      </c>
      <c r="B131" s="9">
        <f t="shared" si="38"/>
        <v>325</v>
      </c>
      <c r="C131" s="10">
        <f t="shared" si="39"/>
        <v>207</v>
      </c>
      <c r="D131" s="8">
        <f t="shared" si="40"/>
        <v>200</v>
      </c>
      <c r="E131" s="155">
        <f t="shared" si="35"/>
        <v>96.61835748792271</v>
      </c>
      <c r="F131" s="9">
        <v>7046</v>
      </c>
      <c r="G131" s="8">
        <f>2064+5391</f>
        <v>7455</v>
      </c>
      <c r="H131" s="11">
        <v>2044</v>
      </c>
      <c r="I131" s="166">
        <f t="shared" si="36"/>
        <v>27.417840375586856</v>
      </c>
      <c r="J131" s="19">
        <v>525</v>
      </c>
      <c r="K131" s="20">
        <f>387+174</f>
        <v>561</v>
      </c>
      <c r="L131" s="21">
        <f>400</f>
        <v>400</v>
      </c>
      <c r="M131" s="155">
        <f t="shared" si="37"/>
        <v>71.301247771836</v>
      </c>
    </row>
    <row r="132" spans="1:13" s="5" customFormat="1" ht="12">
      <c r="A132" s="6" t="s">
        <v>17</v>
      </c>
      <c r="B132" s="9">
        <f t="shared" si="38"/>
        <v>1507</v>
      </c>
      <c r="C132" s="10">
        <f t="shared" si="39"/>
        <v>1507</v>
      </c>
      <c r="D132" s="8">
        <f t="shared" si="40"/>
        <v>1500</v>
      </c>
      <c r="E132" s="155">
        <f t="shared" si="35"/>
        <v>99.53550099535501</v>
      </c>
      <c r="F132" s="9">
        <v>18984</v>
      </c>
      <c r="G132" s="8">
        <f>4482+15791</f>
        <v>20273</v>
      </c>
      <c r="H132" s="11">
        <f>4009</f>
        <v>4009</v>
      </c>
      <c r="I132" s="166">
        <f t="shared" si="36"/>
        <v>19.77507029053421</v>
      </c>
      <c r="J132" s="19">
        <v>1982</v>
      </c>
      <c r="K132" s="20">
        <f>2205+218</f>
        <v>2423</v>
      </c>
      <c r="L132" s="21">
        <v>1920</v>
      </c>
      <c r="M132" s="155">
        <f t="shared" si="37"/>
        <v>79.24061081304168</v>
      </c>
    </row>
    <row r="133" spans="1:13" s="5" customFormat="1" ht="12">
      <c r="A133" s="6" t="s">
        <v>98</v>
      </c>
      <c r="B133" s="9">
        <f t="shared" si="38"/>
        <v>511</v>
      </c>
      <c r="C133" s="10">
        <f t="shared" si="39"/>
        <v>627</v>
      </c>
      <c r="D133" s="8">
        <f t="shared" si="40"/>
        <v>280</v>
      </c>
      <c r="E133" s="155">
        <f t="shared" si="35"/>
        <v>44.65709728867623</v>
      </c>
      <c r="F133" s="9">
        <v>23163</v>
      </c>
      <c r="G133" s="8">
        <f>5350+18821</f>
        <v>24171</v>
      </c>
      <c r="H133" s="11">
        <v>4939</v>
      </c>
      <c r="I133" s="166">
        <f t="shared" si="36"/>
        <v>20.43357742749576</v>
      </c>
      <c r="J133" s="19">
        <v>2077</v>
      </c>
      <c r="K133" s="20">
        <f>1281+266</f>
        <v>1547</v>
      </c>
      <c r="L133" s="21">
        <v>1056</v>
      </c>
      <c r="M133" s="155">
        <f t="shared" si="37"/>
        <v>68.26115061409179</v>
      </c>
    </row>
    <row r="134" spans="1:13" s="5" customFormat="1" ht="12.75" thickBot="1">
      <c r="A134" s="50" t="s">
        <v>18</v>
      </c>
      <c r="B134" s="9">
        <f t="shared" si="38"/>
        <v>307</v>
      </c>
      <c r="C134" s="10">
        <f t="shared" si="39"/>
        <v>259</v>
      </c>
      <c r="D134" s="8">
        <f t="shared" si="40"/>
        <v>200</v>
      </c>
      <c r="E134" s="155">
        <f t="shared" si="35"/>
        <v>77.22007722007721</v>
      </c>
      <c r="F134" s="9">
        <v>19076</v>
      </c>
      <c r="G134" s="8">
        <f>4110+18083</f>
        <v>22193</v>
      </c>
      <c r="H134" s="11">
        <f>3527</f>
        <v>3527</v>
      </c>
      <c r="I134" s="166">
        <f t="shared" si="36"/>
        <v>15.892398504032803</v>
      </c>
      <c r="J134" s="19">
        <v>833</v>
      </c>
      <c r="K134" s="20">
        <f>1210+104</f>
        <v>1314</v>
      </c>
      <c r="L134" s="21">
        <v>527</v>
      </c>
      <c r="M134" s="155">
        <f t="shared" si="37"/>
        <v>40.10654490106545</v>
      </c>
    </row>
    <row r="135" spans="1:13" s="5" customFormat="1" ht="12.75" thickBot="1">
      <c r="A135" s="112"/>
      <c r="B135" s="113"/>
      <c r="C135" s="113"/>
      <c r="D135" s="113"/>
      <c r="E135" s="114"/>
      <c r="F135" s="113"/>
      <c r="G135" s="113"/>
      <c r="H135" s="113"/>
      <c r="I135" s="114"/>
      <c r="J135" s="113"/>
      <c r="K135" s="113"/>
      <c r="L135" s="113"/>
      <c r="M135" s="114"/>
    </row>
    <row r="136" spans="1:13" s="5" customFormat="1" ht="13.5" customHeight="1" thickBot="1">
      <c r="A136" s="77" t="s">
        <v>1</v>
      </c>
      <c r="B136" s="193" t="s">
        <v>86</v>
      </c>
      <c r="C136" s="194"/>
      <c r="D136" s="194"/>
      <c r="E136" s="195"/>
      <c r="F136" s="193" t="s">
        <v>6</v>
      </c>
      <c r="G136" s="194"/>
      <c r="H136" s="194"/>
      <c r="I136" s="195"/>
      <c r="J136" s="196" t="s">
        <v>87</v>
      </c>
      <c r="K136" s="197"/>
      <c r="L136" s="197"/>
      <c r="M136" s="198"/>
    </row>
    <row r="137" spans="1:13" s="27" customFormat="1" ht="12.75" thickBot="1">
      <c r="A137" s="40" t="s">
        <v>13</v>
      </c>
      <c r="B137" s="42">
        <f>SUM(B138:B147)+B192+B193+B194+B195</f>
        <v>13785</v>
      </c>
      <c r="C137" s="23">
        <f>SUM(C138:C147)+C192+C193+C194+C195</f>
        <v>15015</v>
      </c>
      <c r="D137" s="55">
        <f>SUM(D138:D147)+D192+D193+D194+D195</f>
        <v>16278</v>
      </c>
      <c r="E137" s="119">
        <f aca="true" t="shared" si="41" ref="E137:E147">IF(C137=0,"0,00",(D137/C137)*100)</f>
        <v>108.41158841158843</v>
      </c>
      <c r="F137" s="42">
        <f>SUM(F138:F147)+F192+F193+F194+F195</f>
        <v>5583</v>
      </c>
      <c r="G137" s="23">
        <f>SUM(G138:G147)+G192+G193+G194+G195</f>
        <v>5256</v>
      </c>
      <c r="H137" s="65">
        <f>SUM(H138:H147)+H192+H193+H194+H195</f>
        <v>4433</v>
      </c>
      <c r="I137" s="163">
        <f aca="true" t="shared" si="42" ref="I137:I147">IF(G137=0,"0,00",(H137/G137)*100)</f>
        <v>84.34170471841705</v>
      </c>
      <c r="J137" s="56">
        <f>SUM(J138:J147)+J192+J193+J194+J195</f>
        <v>152070</v>
      </c>
      <c r="K137" s="57">
        <f>SUM(K138:K147)+K192+K193+K194+K195</f>
        <v>163440</v>
      </c>
      <c r="L137" s="57">
        <f>SUM(L138:L147)+L192+L193+L194+L195</f>
        <v>1921</v>
      </c>
      <c r="M137" s="119">
        <f aca="true" t="shared" si="43" ref="M137:M147">IF(K137=0,"0,00",(L137/K137)*100)</f>
        <v>1.175354870288791</v>
      </c>
    </row>
    <row r="138" spans="1:13" s="27" customFormat="1" ht="12">
      <c r="A138" s="116" t="s">
        <v>95</v>
      </c>
      <c r="B138" s="45">
        <v>796</v>
      </c>
      <c r="C138" s="46">
        <v>867</v>
      </c>
      <c r="D138" s="46">
        <v>886</v>
      </c>
      <c r="E138" s="156">
        <f t="shared" si="41"/>
        <v>102.19146482122261</v>
      </c>
      <c r="F138" s="13">
        <v>326</v>
      </c>
      <c r="G138" s="47">
        <v>377</v>
      </c>
      <c r="H138" s="46">
        <v>250</v>
      </c>
      <c r="I138" s="164">
        <f t="shared" si="42"/>
        <v>66.3129973474801</v>
      </c>
      <c r="J138" s="13">
        <v>11429</v>
      </c>
      <c r="K138" s="46">
        <v>12287</v>
      </c>
      <c r="L138" s="46">
        <v>0</v>
      </c>
      <c r="M138" s="156">
        <f t="shared" si="43"/>
        <v>0</v>
      </c>
    </row>
    <row r="139" spans="1:13" s="27" customFormat="1" ht="12">
      <c r="A139" s="44" t="s">
        <v>14</v>
      </c>
      <c r="B139" s="7">
        <v>518</v>
      </c>
      <c r="C139" s="8">
        <v>581</v>
      </c>
      <c r="D139" s="8">
        <v>661</v>
      </c>
      <c r="E139" s="155">
        <f t="shared" si="41"/>
        <v>113.76936316695353</v>
      </c>
      <c r="F139" s="9">
        <v>322</v>
      </c>
      <c r="G139" s="10">
        <v>285</v>
      </c>
      <c r="H139" s="8">
        <v>200</v>
      </c>
      <c r="I139" s="165">
        <f t="shared" si="42"/>
        <v>70.17543859649122</v>
      </c>
      <c r="J139" s="9">
        <v>7495</v>
      </c>
      <c r="K139" s="8">
        <v>8046</v>
      </c>
      <c r="L139" s="8">
        <v>0</v>
      </c>
      <c r="M139" s="155">
        <f t="shared" si="43"/>
        <v>0</v>
      </c>
    </row>
    <row r="140" spans="1:13" s="27" customFormat="1" ht="12">
      <c r="A140" s="69" t="s">
        <v>73</v>
      </c>
      <c r="B140" s="7">
        <v>1643</v>
      </c>
      <c r="C140" s="8">
        <v>1992</v>
      </c>
      <c r="D140" s="8">
        <v>2154</v>
      </c>
      <c r="E140" s="155">
        <f t="shared" si="41"/>
        <v>108.13253012048192</v>
      </c>
      <c r="F140" s="9">
        <v>729</v>
      </c>
      <c r="G140" s="10">
        <v>1102</v>
      </c>
      <c r="H140" s="8">
        <v>450</v>
      </c>
      <c r="I140" s="165">
        <f t="shared" si="42"/>
        <v>40.83484573502722</v>
      </c>
      <c r="J140" s="9">
        <v>17603</v>
      </c>
      <c r="K140" s="8">
        <v>19471</v>
      </c>
      <c r="L140" s="8">
        <v>1060</v>
      </c>
      <c r="M140" s="155">
        <f t="shared" si="43"/>
        <v>5.443993631554619</v>
      </c>
    </row>
    <row r="141" spans="1:13" s="27" customFormat="1" ht="12">
      <c r="A141" s="83" t="s">
        <v>15</v>
      </c>
      <c r="B141" s="7">
        <v>1381</v>
      </c>
      <c r="C141" s="8">
        <v>1177</v>
      </c>
      <c r="D141" s="8">
        <v>1328</v>
      </c>
      <c r="E141" s="155">
        <f t="shared" si="41"/>
        <v>112.82922684791843</v>
      </c>
      <c r="F141" s="9">
        <v>153</v>
      </c>
      <c r="G141" s="10">
        <v>190</v>
      </c>
      <c r="H141" s="8">
        <v>160</v>
      </c>
      <c r="I141" s="165">
        <f t="shared" si="42"/>
        <v>84.21052631578947</v>
      </c>
      <c r="J141" s="9">
        <v>17987</v>
      </c>
      <c r="K141" s="8">
        <v>19315</v>
      </c>
      <c r="L141" s="8">
        <v>0</v>
      </c>
      <c r="M141" s="155">
        <f t="shared" si="43"/>
        <v>0</v>
      </c>
    </row>
    <row r="142" spans="1:13" ht="12.75">
      <c r="A142" s="44" t="s">
        <v>96</v>
      </c>
      <c r="B142" s="9">
        <v>2554</v>
      </c>
      <c r="C142" s="8">
        <v>2799</v>
      </c>
      <c r="D142" s="11">
        <v>3020</v>
      </c>
      <c r="E142" s="155">
        <f t="shared" si="41"/>
        <v>107.89567702750982</v>
      </c>
      <c r="F142" s="9">
        <v>699</v>
      </c>
      <c r="G142" s="8">
        <v>618</v>
      </c>
      <c r="H142" s="14">
        <v>580</v>
      </c>
      <c r="I142" s="165">
        <f t="shared" si="42"/>
        <v>93.85113268608414</v>
      </c>
      <c r="J142" s="79">
        <v>17063</v>
      </c>
      <c r="K142" s="80">
        <v>16696</v>
      </c>
      <c r="L142" s="80">
        <v>701</v>
      </c>
      <c r="M142" s="155">
        <f t="shared" si="43"/>
        <v>4.198610445615716</v>
      </c>
    </row>
    <row r="143" spans="1:13" s="5" customFormat="1" ht="12">
      <c r="A143" s="6" t="s">
        <v>97</v>
      </c>
      <c r="B143" s="9">
        <v>478</v>
      </c>
      <c r="C143" s="8">
        <v>551</v>
      </c>
      <c r="D143" s="11">
        <v>620</v>
      </c>
      <c r="E143" s="155">
        <f t="shared" si="41"/>
        <v>112.52268602540836</v>
      </c>
      <c r="F143" s="9">
        <v>326</v>
      </c>
      <c r="G143" s="8">
        <v>266</v>
      </c>
      <c r="H143" s="14">
        <v>250</v>
      </c>
      <c r="I143" s="165">
        <f t="shared" si="42"/>
        <v>93.98496240601504</v>
      </c>
      <c r="J143" s="79">
        <v>7728</v>
      </c>
      <c r="K143" s="80">
        <v>8302</v>
      </c>
      <c r="L143" s="80">
        <v>0</v>
      </c>
      <c r="M143" s="155">
        <f t="shared" si="43"/>
        <v>0</v>
      </c>
    </row>
    <row r="144" spans="1:13" s="5" customFormat="1" ht="12">
      <c r="A144" s="6" t="s">
        <v>16</v>
      </c>
      <c r="B144" s="9">
        <v>370</v>
      </c>
      <c r="C144" s="8">
        <v>400</v>
      </c>
      <c r="D144" s="11">
        <v>400</v>
      </c>
      <c r="E144" s="155">
        <f t="shared" si="41"/>
        <v>100</v>
      </c>
      <c r="F144" s="9">
        <v>125</v>
      </c>
      <c r="G144" s="8">
        <v>206</v>
      </c>
      <c r="H144" s="14">
        <v>200</v>
      </c>
      <c r="I144" s="165">
        <f t="shared" si="42"/>
        <v>97.0873786407767</v>
      </c>
      <c r="J144" s="79">
        <v>3545</v>
      </c>
      <c r="K144" s="80">
        <v>3734</v>
      </c>
      <c r="L144" s="80">
        <v>0</v>
      </c>
      <c r="M144" s="155">
        <f t="shared" si="43"/>
        <v>0</v>
      </c>
    </row>
    <row r="145" spans="1:13" s="5" customFormat="1" ht="12">
      <c r="A145" s="6" t="s">
        <v>17</v>
      </c>
      <c r="B145" s="9">
        <v>923</v>
      </c>
      <c r="C145" s="8">
        <v>1075</v>
      </c>
      <c r="D145" s="11">
        <v>1100</v>
      </c>
      <c r="E145" s="155">
        <f t="shared" si="41"/>
        <v>102.32558139534885</v>
      </c>
      <c r="F145" s="9">
        <v>435</v>
      </c>
      <c r="G145" s="8">
        <v>293</v>
      </c>
      <c r="H145" s="14">
        <v>210</v>
      </c>
      <c r="I145" s="165">
        <f t="shared" si="42"/>
        <v>71.67235494880546</v>
      </c>
      <c r="J145" s="79">
        <v>10744</v>
      </c>
      <c r="K145" s="80">
        <v>11188</v>
      </c>
      <c r="L145" s="80">
        <v>0</v>
      </c>
      <c r="M145" s="155">
        <f t="shared" si="43"/>
        <v>0</v>
      </c>
    </row>
    <row r="146" spans="1:13" s="5" customFormat="1" ht="12">
      <c r="A146" s="6" t="s">
        <v>98</v>
      </c>
      <c r="B146" s="9">
        <v>1183</v>
      </c>
      <c r="C146" s="8">
        <v>1270</v>
      </c>
      <c r="D146" s="11">
        <v>1484</v>
      </c>
      <c r="E146" s="155">
        <f t="shared" si="41"/>
        <v>116.85039370078741</v>
      </c>
      <c r="F146" s="9">
        <v>494</v>
      </c>
      <c r="G146" s="8">
        <v>503</v>
      </c>
      <c r="H146" s="14">
        <v>363</v>
      </c>
      <c r="I146" s="165">
        <f t="shared" si="42"/>
        <v>72.16699801192843</v>
      </c>
      <c r="J146" s="79">
        <v>12295</v>
      </c>
      <c r="K146" s="80">
        <v>13307</v>
      </c>
      <c r="L146" s="80">
        <v>0</v>
      </c>
      <c r="M146" s="155">
        <f t="shared" si="43"/>
        <v>0</v>
      </c>
    </row>
    <row r="147" spans="1:13" s="5" customFormat="1" ht="12.75" thickBot="1">
      <c r="A147" s="50" t="s">
        <v>18</v>
      </c>
      <c r="B147" s="16">
        <v>929</v>
      </c>
      <c r="C147" s="15">
        <f>1052</f>
        <v>1052</v>
      </c>
      <c r="D147" s="63">
        <v>1200</v>
      </c>
      <c r="E147" s="158">
        <f t="shared" si="41"/>
        <v>114.06844106463878</v>
      </c>
      <c r="F147" s="16">
        <v>454</v>
      </c>
      <c r="G147" s="15">
        <v>211</v>
      </c>
      <c r="H147" s="17">
        <v>250</v>
      </c>
      <c r="I147" s="173">
        <f t="shared" si="42"/>
        <v>118.48341232227489</v>
      </c>
      <c r="J147" s="81">
        <v>11066</v>
      </c>
      <c r="K147" s="97">
        <v>12821</v>
      </c>
      <c r="L147" s="97">
        <v>0</v>
      </c>
      <c r="M147" s="158">
        <f t="shared" si="43"/>
        <v>0</v>
      </c>
    </row>
    <row r="148" spans="1:13" s="5" customFormat="1" ht="12.75" thickBot="1">
      <c r="A148" s="54"/>
      <c r="B148" s="91"/>
      <c r="C148" s="91"/>
      <c r="D148" s="91"/>
      <c r="E148" s="103"/>
      <c r="F148" s="91"/>
      <c r="G148" s="91"/>
      <c r="H148" s="91"/>
      <c r="I148" s="103"/>
      <c r="J148" s="110"/>
      <c r="K148" s="110"/>
      <c r="L148" s="110"/>
      <c r="M148" s="103"/>
    </row>
    <row r="149" spans="1:13" s="5" customFormat="1" ht="13.5" customHeight="1" thickBot="1">
      <c r="A149" s="77" t="s">
        <v>1</v>
      </c>
      <c r="B149" s="193" t="s">
        <v>7</v>
      </c>
      <c r="C149" s="194"/>
      <c r="D149" s="194"/>
      <c r="E149" s="195"/>
      <c r="F149" s="196" t="s">
        <v>8</v>
      </c>
      <c r="G149" s="197"/>
      <c r="H149" s="197"/>
      <c r="I149" s="198"/>
      <c r="J149" s="200"/>
      <c r="K149" s="200"/>
      <c r="L149" s="200"/>
      <c r="M149" s="200"/>
    </row>
    <row r="150" spans="1:14" s="27" customFormat="1" ht="12.75" thickBot="1">
      <c r="A150" s="40" t="s">
        <v>13</v>
      </c>
      <c r="B150" s="42">
        <f>SUM(B151:B160)+B205+B206+B207+B208</f>
        <v>8824</v>
      </c>
      <c r="C150" s="23">
        <f>SUM(C151:C160)+C205+C206+C207+C208</f>
        <v>9165</v>
      </c>
      <c r="D150" s="55">
        <f>SUM(D151:D160)+D205+D206+D207+D208</f>
        <v>9290</v>
      </c>
      <c r="E150" s="119">
        <f aca="true" t="shared" si="44" ref="E150:E160">IF(C150=0,"0,00",(D150/C150)*100)</f>
        <v>101.36388434260775</v>
      </c>
      <c r="F150" s="42">
        <f>SUM(F151:F160)+F205+F206+F207+F208</f>
        <v>1015</v>
      </c>
      <c r="G150" s="23">
        <f>SUM(G151:G160)+G205+G206+G207+G208</f>
        <v>753</v>
      </c>
      <c r="H150" s="65">
        <f>SUM(H151:H160)+H205+H206+H207+H208</f>
        <v>201</v>
      </c>
      <c r="I150" s="163">
        <f aca="true" t="shared" si="45" ref="I150:I160">IF(G150=0,"0,00",(H150/G150)*100)</f>
        <v>26.693227091633464</v>
      </c>
      <c r="J150" s="115"/>
      <c r="K150" s="117"/>
      <c r="L150" s="117"/>
      <c r="M150" s="117"/>
      <c r="N150" s="118"/>
    </row>
    <row r="151" spans="1:14" s="27" customFormat="1" ht="12">
      <c r="A151" s="116" t="s">
        <v>95</v>
      </c>
      <c r="B151" s="45">
        <v>378</v>
      </c>
      <c r="C151" s="46">
        <v>423</v>
      </c>
      <c r="D151" s="46">
        <v>413</v>
      </c>
      <c r="E151" s="156">
        <f t="shared" si="44"/>
        <v>97.63593380614657</v>
      </c>
      <c r="F151" s="13">
        <f>B112-F125</f>
        <v>1</v>
      </c>
      <c r="G151" s="47">
        <f>C112-G125</f>
        <v>3</v>
      </c>
      <c r="H151" s="46">
        <f>D112-H125</f>
        <v>0</v>
      </c>
      <c r="I151" s="164">
        <f t="shared" si="45"/>
        <v>0</v>
      </c>
      <c r="J151" s="85"/>
      <c r="K151" s="91"/>
      <c r="L151" s="91"/>
      <c r="M151" s="103" t="str">
        <f>IF(K151=0," ",(L151/K151)*100)</f>
        <v> </v>
      </c>
      <c r="N151" s="118"/>
    </row>
    <row r="152" spans="1:14" s="27" customFormat="1" ht="12">
      <c r="A152" s="44" t="s">
        <v>14</v>
      </c>
      <c r="B152" s="7">
        <v>283</v>
      </c>
      <c r="C152" s="8">
        <v>298</v>
      </c>
      <c r="D152" s="8">
        <v>307</v>
      </c>
      <c r="E152" s="155">
        <f t="shared" si="44"/>
        <v>103.02013422818791</v>
      </c>
      <c r="F152" s="9">
        <f aca="true" t="shared" si="46" ref="F152:F160">B113-F126</f>
        <v>18</v>
      </c>
      <c r="G152" s="10">
        <f aca="true" t="shared" si="47" ref="G152:G160">C113-G126</f>
        <v>14</v>
      </c>
      <c r="H152" s="8">
        <f aca="true" t="shared" si="48" ref="H152:H160">D113-H126</f>
        <v>0</v>
      </c>
      <c r="I152" s="165">
        <f t="shared" si="45"/>
        <v>0</v>
      </c>
      <c r="J152" s="85"/>
      <c r="K152" s="91"/>
      <c r="L152" s="91"/>
      <c r="M152" s="103" t="str">
        <f>IF(K152=0," ",(L152/K152)*100)</f>
        <v> </v>
      </c>
      <c r="N152" s="118"/>
    </row>
    <row r="153" spans="1:14" s="27" customFormat="1" ht="12">
      <c r="A153" s="69" t="s">
        <v>73</v>
      </c>
      <c r="B153" s="7">
        <v>771</v>
      </c>
      <c r="C153" s="8">
        <v>888</v>
      </c>
      <c r="D153" s="8">
        <v>853</v>
      </c>
      <c r="E153" s="155">
        <f t="shared" si="44"/>
        <v>96.05855855855856</v>
      </c>
      <c r="F153" s="9">
        <f t="shared" si="46"/>
        <v>107</v>
      </c>
      <c r="G153" s="10">
        <f t="shared" si="47"/>
        <v>27</v>
      </c>
      <c r="H153" s="8">
        <f t="shared" si="48"/>
        <v>74</v>
      </c>
      <c r="I153" s="165">
        <f t="shared" si="45"/>
        <v>274.0740740740741</v>
      </c>
      <c r="J153" s="85"/>
      <c r="K153" s="91"/>
      <c r="L153" s="91"/>
      <c r="M153" s="103" t="str">
        <f>IF(K153=0," ",(L153/K153)*100)</f>
        <v> </v>
      </c>
      <c r="N153" s="118"/>
    </row>
    <row r="154" spans="1:14" s="27" customFormat="1" ht="12">
      <c r="A154" s="83" t="s">
        <v>15</v>
      </c>
      <c r="B154" s="7">
        <v>509</v>
      </c>
      <c r="C154" s="8">
        <v>586</v>
      </c>
      <c r="D154" s="8">
        <v>632</v>
      </c>
      <c r="E154" s="155">
        <f t="shared" si="44"/>
        <v>107.84982935153585</v>
      </c>
      <c r="F154" s="9">
        <f t="shared" si="46"/>
        <v>17</v>
      </c>
      <c r="G154" s="10">
        <f t="shared" si="47"/>
        <v>28</v>
      </c>
      <c r="H154" s="8">
        <f t="shared" si="48"/>
        <v>0</v>
      </c>
      <c r="I154" s="165">
        <f t="shared" si="45"/>
        <v>0</v>
      </c>
      <c r="J154" s="85"/>
      <c r="K154" s="91"/>
      <c r="L154" s="91"/>
      <c r="M154" s="103" t="str">
        <f>IF(K154=0," ",(L154/K154)*100)</f>
        <v> </v>
      </c>
      <c r="N154" s="118"/>
    </row>
    <row r="155" spans="1:13" ht="12.75">
      <c r="A155" s="44" t="s">
        <v>96</v>
      </c>
      <c r="B155" s="9">
        <v>2214</v>
      </c>
      <c r="C155" s="8">
        <v>2200</v>
      </c>
      <c r="D155" s="11">
        <v>2209</v>
      </c>
      <c r="E155" s="155">
        <f t="shared" si="44"/>
        <v>100.40909090909092</v>
      </c>
      <c r="F155" s="9">
        <f t="shared" si="46"/>
        <v>317</v>
      </c>
      <c r="G155" s="8">
        <f t="shared" si="47"/>
        <v>332</v>
      </c>
      <c r="H155" s="14">
        <f t="shared" si="48"/>
        <v>0</v>
      </c>
      <c r="I155" s="166">
        <f t="shared" si="45"/>
        <v>0</v>
      </c>
      <c r="J155" s="110"/>
      <c r="K155" s="110"/>
      <c r="L155" s="110"/>
      <c r="M155" s="103"/>
    </row>
    <row r="156" spans="1:13" s="5" customFormat="1" ht="12">
      <c r="A156" s="6" t="s">
        <v>97</v>
      </c>
      <c r="B156" s="9">
        <v>524</v>
      </c>
      <c r="C156" s="8">
        <v>560</v>
      </c>
      <c r="D156" s="11">
        <v>600</v>
      </c>
      <c r="E156" s="155">
        <f t="shared" si="44"/>
        <v>107.14285714285714</v>
      </c>
      <c r="F156" s="9">
        <f t="shared" si="46"/>
        <v>13</v>
      </c>
      <c r="G156" s="8">
        <f t="shared" si="47"/>
        <v>11</v>
      </c>
      <c r="H156" s="14">
        <f t="shared" si="48"/>
        <v>0</v>
      </c>
      <c r="I156" s="166">
        <f t="shared" si="45"/>
        <v>0</v>
      </c>
      <c r="J156" s="110"/>
      <c r="K156" s="110"/>
      <c r="L156" s="110"/>
      <c r="M156" s="103"/>
    </row>
    <row r="157" spans="1:13" s="5" customFormat="1" ht="12">
      <c r="A157" s="6" t="s">
        <v>16</v>
      </c>
      <c r="B157" s="9">
        <v>543</v>
      </c>
      <c r="C157" s="8">
        <v>565</v>
      </c>
      <c r="D157" s="11">
        <v>585</v>
      </c>
      <c r="E157" s="155">
        <f t="shared" si="44"/>
        <v>103.53982300884957</v>
      </c>
      <c r="F157" s="9">
        <f t="shared" si="46"/>
        <v>16</v>
      </c>
      <c r="G157" s="8">
        <f t="shared" si="47"/>
        <v>44</v>
      </c>
      <c r="H157" s="14">
        <f t="shared" si="48"/>
        <v>0</v>
      </c>
      <c r="I157" s="166">
        <f t="shared" si="45"/>
        <v>0</v>
      </c>
      <c r="J157" s="110"/>
      <c r="K157" s="110"/>
      <c r="L157" s="110"/>
      <c r="M157" s="103"/>
    </row>
    <row r="158" spans="1:13" s="5" customFormat="1" ht="12">
      <c r="A158" s="6" t="s">
        <v>17</v>
      </c>
      <c r="B158" s="9">
        <v>289</v>
      </c>
      <c r="C158" s="8">
        <v>295</v>
      </c>
      <c r="D158" s="11">
        <v>328</v>
      </c>
      <c r="E158" s="155">
        <f t="shared" si="44"/>
        <v>111.1864406779661</v>
      </c>
      <c r="F158" s="9">
        <f t="shared" si="46"/>
        <v>6</v>
      </c>
      <c r="G158" s="8">
        <f t="shared" si="47"/>
        <v>12</v>
      </c>
      <c r="H158" s="14">
        <f t="shared" si="48"/>
        <v>0</v>
      </c>
      <c r="I158" s="166">
        <f t="shared" si="45"/>
        <v>0</v>
      </c>
      <c r="J158" s="110"/>
      <c r="K158" s="110"/>
      <c r="L158" s="110"/>
      <c r="M158" s="103"/>
    </row>
    <row r="159" spans="1:13" s="5" customFormat="1" ht="12">
      <c r="A159" s="6" t="s">
        <v>98</v>
      </c>
      <c r="B159" s="9">
        <v>692</v>
      </c>
      <c r="C159" s="8">
        <v>752</v>
      </c>
      <c r="D159" s="11">
        <v>796</v>
      </c>
      <c r="E159" s="155">
        <f t="shared" si="44"/>
        <v>105.85106382978724</v>
      </c>
      <c r="F159" s="9">
        <f t="shared" si="46"/>
        <v>14</v>
      </c>
      <c r="G159" s="8">
        <f t="shared" si="47"/>
        <v>40</v>
      </c>
      <c r="H159" s="14">
        <f t="shared" si="48"/>
        <v>0</v>
      </c>
      <c r="I159" s="166">
        <f t="shared" si="45"/>
        <v>0</v>
      </c>
      <c r="J159" s="110"/>
      <c r="K159" s="110"/>
      <c r="L159" s="110"/>
      <c r="M159" s="103"/>
    </row>
    <row r="160" spans="1:13" s="5" customFormat="1" ht="12.75" thickBot="1">
      <c r="A160" s="50" t="s">
        <v>18</v>
      </c>
      <c r="B160" s="16">
        <v>612</v>
      </c>
      <c r="C160" s="15">
        <v>609</v>
      </c>
      <c r="D160" s="63">
        <v>550</v>
      </c>
      <c r="E160" s="158">
        <f t="shared" si="44"/>
        <v>90.311986863711</v>
      </c>
      <c r="F160" s="16">
        <f t="shared" si="46"/>
        <v>2</v>
      </c>
      <c r="G160" s="15">
        <f t="shared" si="47"/>
        <v>11</v>
      </c>
      <c r="H160" s="17">
        <f t="shared" si="48"/>
        <v>0</v>
      </c>
      <c r="I160" s="174">
        <f t="shared" si="45"/>
        <v>0</v>
      </c>
      <c r="J160" s="110"/>
      <c r="K160" s="110"/>
      <c r="L160" s="110"/>
      <c r="M160" s="103"/>
    </row>
    <row r="161" spans="1:13" ht="15">
      <c r="A161" s="192" t="s">
        <v>91</v>
      </c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</row>
    <row r="162" spans="1:13" ht="13.5" thickBot="1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ht="27" customHeight="1">
      <c r="A163" s="214" t="s">
        <v>1</v>
      </c>
      <c r="B163" s="201" t="s">
        <v>0</v>
      </c>
      <c r="C163" s="202"/>
      <c r="D163" s="202"/>
      <c r="E163" s="203"/>
      <c r="F163" s="204" t="s">
        <v>65</v>
      </c>
      <c r="G163" s="205"/>
      <c r="H163" s="205"/>
      <c r="I163" s="205"/>
      <c r="J163" s="206" t="s">
        <v>77</v>
      </c>
      <c r="K163" s="207"/>
      <c r="L163" s="207"/>
      <c r="M163" s="208"/>
    </row>
    <row r="164" spans="1:13" ht="12.75">
      <c r="A164" s="215"/>
      <c r="B164" s="29" t="s">
        <v>2</v>
      </c>
      <c r="C164" s="30" t="s">
        <v>2</v>
      </c>
      <c r="D164" s="30" t="s">
        <v>3</v>
      </c>
      <c r="E164" s="31" t="s">
        <v>4</v>
      </c>
      <c r="F164" s="29" t="s">
        <v>2</v>
      </c>
      <c r="G164" s="30" t="s">
        <v>2</v>
      </c>
      <c r="H164" s="30" t="s">
        <v>3</v>
      </c>
      <c r="I164" s="31" t="s">
        <v>4</v>
      </c>
      <c r="J164" s="29" t="s">
        <v>2</v>
      </c>
      <c r="K164" s="30" t="s">
        <v>2</v>
      </c>
      <c r="L164" s="30" t="s">
        <v>3</v>
      </c>
      <c r="M164" s="31" t="s">
        <v>4</v>
      </c>
    </row>
    <row r="165" spans="1:13" ht="13.5" thickBot="1">
      <c r="A165" s="216"/>
      <c r="B165" s="32">
        <v>2004</v>
      </c>
      <c r="C165" s="33">
        <v>2005</v>
      </c>
      <c r="D165" s="33">
        <v>2006</v>
      </c>
      <c r="E165" s="34" t="s">
        <v>130</v>
      </c>
      <c r="F165" s="32">
        <v>2004</v>
      </c>
      <c r="G165" s="33">
        <v>2005</v>
      </c>
      <c r="H165" s="33">
        <v>2006</v>
      </c>
      <c r="I165" s="34" t="s">
        <v>130</v>
      </c>
      <c r="J165" s="32">
        <v>2004</v>
      </c>
      <c r="K165" s="33">
        <v>2005</v>
      </c>
      <c r="L165" s="33">
        <v>2006</v>
      </c>
      <c r="M165" s="34" t="s">
        <v>130</v>
      </c>
    </row>
    <row r="166" spans="1:13" ht="12.75">
      <c r="A166" s="6" t="s">
        <v>19</v>
      </c>
      <c r="B166" s="7">
        <v>15295</v>
      </c>
      <c r="C166" s="8">
        <f>4094+12035</f>
        <v>16129</v>
      </c>
      <c r="D166" s="8">
        <f>3708</f>
        <v>3708</v>
      </c>
      <c r="E166" s="155">
        <f aca="true" t="shared" si="49" ref="E166:E176">IF(C166=0,"0,00",(D166/C166)*100)</f>
        <v>22.989645979291957</v>
      </c>
      <c r="F166" s="9">
        <v>4538</v>
      </c>
      <c r="G166" s="10">
        <f>3732</f>
        <v>3732</v>
      </c>
      <c r="H166" s="8">
        <v>3439</v>
      </c>
      <c r="I166" s="165">
        <f aca="true" t="shared" si="50" ref="I166:I176">IF(G166=0,"0,00",(H166/G166)*100)</f>
        <v>92.14898177920686</v>
      </c>
      <c r="J166" s="7">
        <v>10518</v>
      </c>
      <c r="K166" s="8">
        <v>12035</v>
      </c>
      <c r="L166" s="8">
        <v>0</v>
      </c>
      <c r="M166" s="184">
        <f aca="true" t="shared" si="51" ref="M166:M176">IF(K166=0,"0,00",(L166/K166)*100)</f>
        <v>0</v>
      </c>
    </row>
    <row r="167" spans="1:13" ht="12.75">
      <c r="A167" s="6" t="s">
        <v>99</v>
      </c>
      <c r="B167" s="7">
        <v>16493</v>
      </c>
      <c r="C167" s="8">
        <f>3811+14403</f>
        <v>18214</v>
      </c>
      <c r="D167" s="8">
        <v>3746</v>
      </c>
      <c r="E167" s="155">
        <f t="shared" si="49"/>
        <v>20.566597123092127</v>
      </c>
      <c r="F167" s="9">
        <v>3444</v>
      </c>
      <c r="G167" s="10">
        <f>3039</f>
        <v>3039</v>
      </c>
      <c r="H167" s="8">
        <v>3126</v>
      </c>
      <c r="I167" s="165">
        <f t="shared" si="50"/>
        <v>102.86278381046397</v>
      </c>
      <c r="J167" s="7">
        <v>12398</v>
      </c>
      <c r="K167" s="8">
        <v>14403</v>
      </c>
      <c r="L167" s="8">
        <v>0</v>
      </c>
      <c r="M167" s="184">
        <f t="shared" si="51"/>
        <v>0</v>
      </c>
    </row>
    <row r="168" spans="1:13" ht="12.75">
      <c r="A168" s="6" t="s">
        <v>20</v>
      </c>
      <c r="B168" s="7">
        <v>15041</v>
      </c>
      <c r="C168" s="8">
        <f>3016+12190</f>
        <v>15206</v>
      </c>
      <c r="D168" s="8">
        <v>3359</v>
      </c>
      <c r="E168" s="155">
        <f t="shared" si="49"/>
        <v>22.089964487702225</v>
      </c>
      <c r="F168" s="9">
        <v>3334</v>
      </c>
      <c r="G168" s="10">
        <v>2801</v>
      </c>
      <c r="H168" s="8">
        <v>2884</v>
      </c>
      <c r="I168" s="165">
        <f t="shared" si="50"/>
        <v>102.96322741877901</v>
      </c>
      <c r="J168" s="7">
        <v>11227</v>
      </c>
      <c r="K168" s="8">
        <v>12190</v>
      </c>
      <c r="L168" s="8">
        <v>0</v>
      </c>
      <c r="M168" s="184">
        <f t="shared" si="51"/>
        <v>0</v>
      </c>
    </row>
    <row r="169" spans="1:13" ht="13.5" thickBot="1">
      <c r="A169" s="69" t="s">
        <v>21</v>
      </c>
      <c r="B169" s="85">
        <v>18686</v>
      </c>
      <c r="C169" s="86">
        <f>4171+15976</f>
        <v>20147</v>
      </c>
      <c r="D169" s="86">
        <f>3576</f>
        <v>3576</v>
      </c>
      <c r="E169" s="161">
        <f t="shared" si="49"/>
        <v>17.749540874571895</v>
      </c>
      <c r="F169" s="85">
        <v>3111</v>
      </c>
      <c r="G169" s="86">
        <v>3973</v>
      </c>
      <c r="H169" s="86">
        <v>3386</v>
      </c>
      <c r="I169" s="175">
        <f t="shared" si="50"/>
        <v>85.22527057639063</v>
      </c>
      <c r="J169" s="85">
        <v>15330</v>
      </c>
      <c r="K169" s="86">
        <v>15976</v>
      </c>
      <c r="L169" s="86">
        <v>0</v>
      </c>
      <c r="M169" s="185">
        <f t="shared" si="51"/>
        <v>0</v>
      </c>
    </row>
    <row r="170" spans="1:13" s="139" customFormat="1" ht="13.5" thickBot="1">
      <c r="A170" s="40" t="s">
        <v>22</v>
      </c>
      <c r="B170" s="135">
        <f>SUM(B171:B176)+B221+B222+B223+B224+B225+B226+B227+B228+B229+B230+B231</f>
        <v>556905</v>
      </c>
      <c r="C170" s="136">
        <f>SUM(C171:C176)+C221+C222+C223+C224+C225+C226+C227+C228+C229+C230+C231</f>
        <v>573489</v>
      </c>
      <c r="D170" s="136">
        <f>SUM(D171:D176)+D221+D222+D223+D224+D225+D226+D227+D228+D229+D230+D231</f>
        <v>169776</v>
      </c>
      <c r="E170" s="119">
        <f t="shared" si="49"/>
        <v>29.604055178041776</v>
      </c>
      <c r="F170" s="137">
        <f>SUM(F171:F176)+F221+F222+F223+F224+F225+F226+F227+F228+F229+F230+F231</f>
        <v>97911</v>
      </c>
      <c r="G170" s="138">
        <f>SUM(G171:G176)+G221+G222+G223+G224+G225+G226+G227+G228+G229+G230+G231</f>
        <v>100180</v>
      </c>
      <c r="H170" s="136">
        <f>SUM(H171:H176)+H221+H222+H223+H224+H225+H226+H227+H228+H229+H230+H231</f>
        <v>94450</v>
      </c>
      <c r="I170" s="163">
        <f t="shared" si="50"/>
        <v>94.28029546815732</v>
      </c>
      <c r="J170" s="135">
        <f>SUM(J171:J176)+J221+J222+J223+J224+J225+J226+J227+J228+J229+J230+J231</f>
        <v>378801</v>
      </c>
      <c r="K170" s="136">
        <f>SUM(K171:K176)+K221+K222+K223+K224+K225+K226+K227+K228+K229+K230+K231</f>
        <v>393104</v>
      </c>
      <c r="L170" s="136">
        <f>SUM(L171:L176)+L221+L222+L223+L224+L225+L226+L227+L228+L229+L230+L231</f>
        <v>0</v>
      </c>
      <c r="M170" s="183">
        <f t="shared" si="51"/>
        <v>0</v>
      </c>
    </row>
    <row r="171" spans="1:13" ht="12.75">
      <c r="A171" s="84" t="s">
        <v>23</v>
      </c>
      <c r="B171" s="45">
        <v>18506</v>
      </c>
      <c r="C171" s="46">
        <v>19914</v>
      </c>
      <c r="D171" s="46">
        <v>4750</v>
      </c>
      <c r="E171" s="156">
        <f t="shared" si="49"/>
        <v>23.85256603394597</v>
      </c>
      <c r="F171" s="13">
        <v>1681</v>
      </c>
      <c r="G171" s="47">
        <v>1667</v>
      </c>
      <c r="H171" s="46">
        <v>1747</v>
      </c>
      <c r="I171" s="164">
        <f t="shared" si="50"/>
        <v>104.7990401919616</v>
      </c>
      <c r="J171" s="45">
        <v>13736</v>
      </c>
      <c r="K171" s="46">
        <v>15113</v>
      </c>
      <c r="L171" s="46">
        <v>0</v>
      </c>
      <c r="M171" s="186">
        <f t="shared" si="51"/>
        <v>0</v>
      </c>
    </row>
    <row r="172" spans="1:13" ht="12.75">
      <c r="A172" s="83" t="s">
        <v>100</v>
      </c>
      <c r="B172" s="7">
        <v>14009</v>
      </c>
      <c r="C172" s="8">
        <v>13990</v>
      </c>
      <c r="D172" s="8">
        <v>2522</v>
      </c>
      <c r="E172" s="155">
        <f t="shared" si="49"/>
        <v>18.027162258756256</v>
      </c>
      <c r="F172" s="9">
        <v>2720</v>
      </c>
      <c r="G172" s="10">
        <v>2036</v>
      </c>
      <c r="H172" s="8">
        <v>2140</v>
      </c>
      <c r="I172" s="165">
        <f t="shared" si="50"/>
        <v>105.10805500982319</v>
      </c>
      <c r="J172" s="7">
        <v>10784</v>
      </c>
      <c r="K172" s="8">
        <v>11433</v>
      </c>
      <c r="L172" s="8">
        <v>0</v>
      </c>
      <c r="M172" s="184">
        <f t="shared" si="51"/>
        <v>0</v>
      </c>
    </row>
    <row r="173" spans="1:13" ht="12.75">
      <c r="A173" s="84" t="s">
        <v>101</v>
      </c>
      <c r="B173" s="70">
        <v>18939</v>
      </c>
      <c r="C173" s="18">
        <v>19530</v>
      </c>
      <c r="D173" s="18">
        <v>3343</v>
      </c>
      <c r="E173" s="157">
        <f t="shared" si="49"/>
        <v>17.117255504352276</v>
      </c>
      <c r="F173" s="71">
        <v>2340</v>
      </c>
      <c r="G173" s="72">
        <v>2657</v>
      </c>
      <c r="H173" s="18">
        <v>2496</v>
      </c>
      <c r="I173" s="177">
        <f t="shared" si="50"/>
        <v>93.94053443733534</v>
      </c>
      <c r="J173" s="70">
        <v>15745</v>
      </c>
      <c r="K173" s="18">
        <v>15941</v>
      </c>
      <c r="L173" s="18">
        <v>0</v>
      </c>
      <c r="M173" s="187">
        <f t="shared" si="51"/>
        <v>0</v>
      </c>
    </row>
    <row r="174" spans="1:13" s="122" customFormat="1" ht="12.75">
      <c r="A174" s="6" t="s">
        <v>59</v>
      </c>
      <c r="B174" s="82">
        <v>15698</v>
      </c>
      <c r="C174" s="1">
        <v>16679</v>
      </c>
      <c r="D174" s="1">
        <v>3387</v>
      </c>
      <c r="E174" s="155">
        <f t="shared" si="49"/>
        <v>20.30697284009833</v>
      </c>
      <c r="F174" s="3">
        <v>2587</v>
      </c>
      <c r="G174" s="4">
        <v>2401</v>
      </c>
      <c r="H174" s="1">
        <v>2170</v>
      </c>
      <c r="I174" s="165">
        <f t="shared" si="50"/>
        <v>90.37900874635568</v>
      </c>
      <c r="J174" s="3">
        <v>11795</v>
      </c>
      <c r="K174" s="4">
        <v>12753</v>
      </c>
      <c r="L174" s="1">
        <v>0</v>
      </c>
      <c r="M174" s="184">
        <f t="shared" si="51"/>
        <v>0</v>
      </c>
    </row>
    <row r="175" spans="1:13" ht="12.75">
      <c r="A175" s="44" t="s">
        <v>102</v>
      </c>
      <c r="B175" s="45">
        <v>24756</v>
      </c>
      <c r="C175" s="46">
        <v>26341</v>
      </c>
      <c r="D175" s="46">
        <v>5817</v>
      </c>
      <c r="E175" s="156">
        <f t="shared" si="49"/>
        <v>22.083444060589954</v>
      </c>
      <c r="F175" s="13">
        <v>5410</v>
      </c>
      <c r="G175" s="47">
        <v>5143</v>
      </c>
      <c r="H175" s="46">
        <v>5207</v>
      </c>
      <c r="I175" s="164">
        <f t="shared" si="50"/>
        <v>101.2444098775034</v>
      </c>
      <c r="J175" s="45">
        <v>18589</v>
      </c>
      <c r="K175" s="46">
        <v>20412</v>
      </c>
      <c r="L175" s="46">
        <v>0</v>
      </c>
      <c r="M175" s="186">
        <f t="shared" si="51"/>
        <v>0</v>
      </c>
    </row>
    <row r="176" spans="1:13" ht="13.5" thickBot="1">
      <c r="A176" s="69" t="s">
        <v>103</v>
      </c>
      <c r="B176" s="70">
        <v>24727</v>
      </c>
      <c r="C176" s="18">
        <v>23899</v>
      </c>
      <c r="D176" s="18">
        <v>7407</v>
      </c>
      <c r="E176" s="157">
        <f t="shared" si="49"/>
        <v>30.992928574417338</v>
      </c>
      <c r="F176" s="71">
        <v>5879</v>
      </c>
      <c r="G176" s="72">
        <v>4803</v>
      </c>
      <c r="H176" s="18">
        <v>4847</v>
      </c>
      <c r="I176" s="177">
        <f t="shared" si="50"/>
        <v>100.91609410784925</v>
      </c>
      <c r="J176" s="70">
        <v>16217</v>
      </c>
      <c r="K176" s="18">
        <v>16590</v>
      </c>
      <c r="L176" s="18">
        <v>0</v>
      </c>
      <c r="M176" s="187">
        <f t="shared" si="51"/>
        <v>0</v>
      </c>
    </row>
    <row r="177" spans="1:13" ht="13.5" thickBot="1">
      <c r="A177" s="100"/>
      <c r="B177" s="101"/>
      <c r="C177" s="101"/>
      <c r="D177" s="101"/>
      <c r="E177" s="102"/>
      <c r="F177" s="101"/>
      <c r="G177" s="101"/>
      <c r="H177" s="101"/>
      <c r="I177" s="102"/>
      <c r="J177" s="101"/>
      <c r="K177" s="101"/>
      <c r="L177" s="101"/>
      <c r="M177" s="102"/>
    </row>
    <row r="178" spans="1:13" ht="13.5" thickBot="1">
      <c r="A178" s="40" t="s">
        <v>1</v>
      </c>
      <c r="B178" s="193" t="s">
        <v>66</v>
      </c>
      <c r="C178" s="194"/>
      <c r="D178" s="194"/>
      <c r="E178" s="195"/>
      <c r="F178" s="196" t="s">
        <v>5</v>
      </c>
      <c r="G178" s="197"/>
      <c r="H178" s="197"/>
      <c r="I178" s="198"/>
      <c r="J178" s="193" t="s">
        <v>85</v>
      </c>
      <c r="K178" s="194"/>
      <c r="L178" s="194"/>
      <c r="M178" s="195"/>
    </row>
    <row r="179" spans="1:13" ht="12.75">
      <c r="A179" s="6" t="s">
        <v>19</v>
      </c>
      <c r="B179" s="9">
        <f aca="true" t="shared" si="52" ref="B179:D189">B166-F166-J166</f>
        <v>239</v>
      </c>
      <c r="C179" s="10">
        <f t="shared" si="52"/>
        <v>362</v>
      </c>
      <c r="D179" s="8">
        <f t="shared" si="52"/>
        <v>269</v>
      </c>
      <c r="E179" s="155">
        <f aca="true" t="shared" si="53" ref="E179:E189">IF(C179=0,"0,00",(D179/C179)*100)</f>
        <v>74.30939226519338</v>
      </c>
      <c r="F179" s="9">
        <v>15245</v>
      </c>
      <c r="G179" s="8">
        <f>4050+12000</f>
        <v>16050</v>
      </c>
      <c r="H179" s="11">
        <f>3583</f>
        <v>3583</v>
      </c>
      <c r="I179" s="166">
        <f aca="true" t="shared" si="54" ref="I179:I189">IF(G179=0,"0,00",(H179/G179)*100)</f>
        <v>22.32398753894081</v>
      </c>
      <c r="J179" s="19">
        <v>554</v>
      </c>
      <c r="K179" s="20">
        <f>589+257</f>
        <v>846</v>
      </c>
      <c r="L179" s="21">
        <f>449</f>
        <v>449</v>
      </c>
      <c r="M179" s="155">
        <f aca="true" t="shared" si="55" ref="M179:M189">IF(K179=0,"0,00",(L179/K179)*100)</f>
        <v>53.07328605200946</v>
      </c>
    </row>
    <row r="180" spans="1:13" ht="12.75">
      <c r="A180" s="6" t="s">
        <v>99</v>
      </c>
      <c r="B180" s="9">
        <f t="shared" si="52"/>
        <v>651</v>
      </c>
      <c r="C180" s="10">
        <f t="shared" si="52"/>
        <v>772</v>
      </c>
      <c r="D180" s="8">
        <f t="shared" si="52"/>
        <v>620</v>
      </c>
      <c r="E180" s="155">
        <f t="shared" si="53"/>
        <v>80.31088082901555</v>
      </c>
      <c r="F180" s="9">
        <v>16357</v>
      </c>
      <c r="G180" s="8">
        <f>3576+14617</f>
        <v>18193</v>
      </c>
      <c r="H180" s="11">
        <f>3561+183</f>
        <v>3744</v>
      </c>
      <c r="I180" s="166">
        <f t="shared" si="54"/>
        <v>20.57934370362227</v>
      </c>
      <c r="J180" s="19">
        <v>1172</v>
      </c>
      <c r="K180" s="20">
        <f>1016+188</f>
        <v>1204</v>
      </c>
      <c r="L180" s="21">
        <v>915</v>
      </c>
      <c r="M180" s="155">
        <f t="shared" si="55"/>
        <v>75.99667774086379</v>
      </c>
    </row>
    <row r="181" spans="1:13" ht="12.75">
      <c r="A181" s="6" t="s">
        <v>20</v>
      </c>
      <c r="B181" s="9">
        <f t="shared" si="52"/>
        <v>480</v>
      </c>
      <c r="C181" s="10">
        <f t="shared" si="52"/>
        <v>215</v>
      </c>
      <c r="D181" s="8">
        <f t="shared" si="52"/>
        <v>475</v>
      </c>
      <c r="E181" s="155">
        <f t="shared" si="53"/>
        <v>220.93023255813952</v>
      </c>
      <c r="F181" s="9">
        <v>14798</v>
      </c>
      <c r="G181" s="8">
        <f>2971+12106</f>
        <v>15077</v>
      </c>
      <c r="H181" s="11">
        <f>3359</f>
        <v>3359</v>
      </c>
      <c r="I181" s="166">
        <f t="shared" si="54"/>
        <v>22.278967964449162</v>
      </c>
      <c r="J181" s="19">
        <v>1401</v>
      </c>
      <c r="K181" s="20">
        <f>899+68</f>
        <v>967</v>
      </c>
      <c r="L181" s="21">
        <f>957</f>
        <v>957</v>
      </c>
      <c r="M181" s="155">
        <f t="shared" si="55"/>
        <v>98.96587383660807</v>
      </c>
    </row>
    <row r="182" spans="1:13" ht="13.5" thickBot="1">
      <c r="A182" s="69" t="s">
        <v>21</v>
      </c>
      <c r="B182" s="85">
        <f t="shared" si="52"/>
        <v>245</v>
      </c>
      <c r="C182" s="86">
        <f t="shared" si="52"/>
        <v>198</v>
      </c>
      <c r="D182" s="86">
        <f t="shared" si="52"/>
        <v>190</v>
      </c>
      <c r="E182" s="161">
        <f t="shared" si="53"/>
        <v>95.95959595959596</v>
      </c>
      <c r="F182" s="87">
        <v>18611</v>
      </c>
      <c r="G182" s="86">
        <f>4169+15976</f>
        <v>20145</v>
      </c>
      <c r="H182" s="78">
        <f>3576</f>
        <v>3576</v>
      </c>
      <c r="I182" s="176">
        <f t="shared" si="54"/>
        <v>17.751303052866714</v>
      </c>
      <c r="J182" s="87">
        <v>1110</v>
      </c>
      <c r="K182" s="86">
        <f>1317+355</f>
        <v>1672</v>
      </c>
      <c r="L182" s="91">
        <v>1040</v>
      </c>
      <c r="M182" s="161">
        <f t="shared" si="55"/>
        <v>62.20095693779905</v>
      </c>
    </row>
    <row r="183" spans="1:13" s="139" customFormat="1" ht="13.5" thickBot="1">
      <c r="A183" s="40" t="s">
        <v>22</v>
      </c>
      <c r="B183" s="137">
        <f>SUM(B184:B189)+B234+B235+B236+B237+B238+B239+B240+B241+B242+B243+B244</f>
        <v>80193</v>
      </c>
      <c r="C183" s="138">
        <f>SUM(C184:C189)+C234+C235+C236+C237+C238+C239+C240+C241+C242+C243+C244</f>
        <v>80205</v>
      </c>
      <c r="D183" s="136">
        <f>SUM(D184:D189)+D234+D235+D236+D237+D238+D239+D240+D241+D242+D243+D244</f>
        <v>75326</v>
      </c>
      <c r="E183" s="119">
        <f t="shared" si="53"/>
        <v>93.9168381023627</v>
      </c>
      <c r="F183" s="137">
        <f>SUM(F184:F189)+F234+F235+F236+F237+F238+F239+F240+F241+F242+F243+F244</f>
        <v>555130</v>
      </c>
      <c r="G183" s="136">
        <f>SUM(G184:G189)+G234+G235+G236+G237+G238+G239+G240+G241+G242+G243+G244</f>
        <v>571980</v>
      </c>
      <c r="H183" s="140">
        <f>SUM(H184:H189)+H234+H235+H236+H237+H238+H239+H240+H241+H242+H243+H244</f>
        <v>168333</v>
      </c>
      <c r="I183" s="169">
        <f t="shared" si="54"/>
        <v>29.429875170460505</v>
      </c>
      <c r="J183" s="141">
        <f>SUM(J184:J189)+J234+J235+J236+J237+J238+J239+J240+J241+J242+J243+J244</f>
        <v>72447</v>
      </c>
      <c r="K183" s="142">
        <f>SUM(K184:K189)+K234+K235+K236+K237+K238+K239+K240+K241+K242+K243+K244</f>
        <v>70881</v>
      </c>
      <c r="L183" s="143">
        <f>SUM(L184:L189)+L234+L235+L236+L237+L238+L239+L240+L241+L242+L243+L244</f>
        <v>60530</v>
      </c>
      <c r="M183" s="119">
        <f t="shared" si="55"/>
        <v>85.39665072445366</v>
      </c>
    </row>
    <row r="184" spans="1:13" ht="12.75">
      <c r="A184" s="84" t="s">
        <v>23</v>
      </c>
      <c r="B184" s="13">
        <v>3089</v>
      </c>
      <c r="C184" s="47">
        <f t="shared" si="52"/>
        <v>3134</v>
      </c>
      <c r="D184" s="46">
        <f t="shared" si="52"/>
        <v>3003</v>
      </c>
      <c r="E184" s="156">
        <f t="shared" si="53"/>
        <v>95.8200382897256</v>
      </c>
      <c r="F184" s="13">
        <v>18454</v>
      </c>
      <c r="G184" s="46">
        <v>19850</v>
      </c>
      <c r="H184" s="59">
        <v>4630</v>
      </c>
      <c r="I184" s="170">
        <f t="shared" si="54"/>
        <v>23.324937027707808</v>
      </c>
      <c r="J184" s="60">
        <v>1920</v>
      </c>
      <c r="K184" s="61">
        <v>1570</v>
      </c>
      <c r="L184" s="62">
        <v>1350</v>
      </c>
      <c r="M184" s="156">
        <f t="shared" si="55"/>
        <v>85.98726114649682</v>
      </c>
    </row>
    <row r="185" spans="1:13" ht="12.75">
      <c r="A185" s="83" t="s">
        <v>100</v>
      </c>
      <c r="B185" s="9">
        <v>505</v>
      </c>
      <c r="C185" s="10">
        <f t="shared" si="52"/>
        <v>521</v>
      </c>
      <c r="D185" s="8">
        <f>D172-H172-L172</f>
        <v>382</v>
      </c>
      <c r="E185" s="155">
        <f t="shared" si="53"/>
        <v>73.32053742802303</v>
      </c>
      <c r="F185" s="9">
        <v>13892</v>
      </c>
      <c r="G185" s="8">
        <v>13835</v>
      </c>
      <c r="H185" s="11">
        <v>2370</v>
      </c>
      <c r="I185" s="166">
        <f t="shared" si="54"/>
        <v>17.130466208890496</v>
      </c>
      <c r="J185" s="19">
        <v>1272</v>
      </c>
      <c r="K185" s="20">
        <f>349+79</f>
        <v>428</v>
      </c>
      <c r="L185" s="21">
        <v>310</v>
      </c>
      <c r="M185" s="155">
        <f t="shared" si="55"/>
        <v>72.42990654205607</v>
      </c>
    </row>
    <row r="186" spans="1:13" ht="12.75">
      <c r="A186" s="84" t="s">
        <v>101</v>
      </c>
      <c r="B186" s="71">
        <v>854</v>
      </c>
      <c r="C186" s="72">
        <f t="shared" si="52"/>
        <v>932</v>
      </c>
      <c r="D186" s="18">
        <f t="shared" si="52"/>
        <v>847</v>
      </c>
      <c r="E186" s="157">
        <f t="shared" si="53"/>
        <v>90.87982832618026</v>
      </c>
      <c r="F186" s="71">
        <v>18939</v>
      </c>
      <c r="G186" s="18">
        <v>19474</v>
      </c>
      <c r="H186" s="73">
        <v>3343</v>
      </c>
      <c r="I186" s="172">
        <f t="shared" si="54"/>
        <v>17.166478381431652</v>
      </c>
      <c r="J186" s="74">
        <v>1636</v>
      </c>
      <c r="K186" s="75">
        <f>1228+221</f>
        <v>1449</v>
      </c>
      <c r="L186" s="76">
        <v>962</v>
      </c>
      <c r="M186" s="157">
        <f t="shared" si="55"/>
        <v>66.39061421670117</v>
      </c>
    </row>
    <row r="187" spans="1:13" s="122" customFormat="1" ht="12.75">
      <c r="A187" s="6" t="s">
        <v>59</v>
      </c>
      <c r="B187" s="3">
        <v>1316</v>
      </c>
      <c r="C187" s="4">
        <f t="shared" si="52"/>
        <v>1525</v>
      </c>
      <c r="D187" s="1">
        <f t="shared" si="52"/>
        <v>1217</v>
      </c>
      <c r="E187" s="155">
        <f t="shared" si="53"/>
        <v>79.80327868852459</v>
      </c>
      <c r="F187" s="3">
        <v>15398</v>
      </c>
      <c r="G187" s="1">
        <v>16401</v>
      </c>
      <c r="H187" s="120">
        <v>3379</v>
      </c>
      <c r="I187" s="166">
        <f t="shared" si="54"/>
        <v>20.602402292543136</v>
      </c>
      <c r="J187" s="3">
        <v>1449</v>
      </c>
      <c r="K187" s="1">
        <f>728+124</f>
        <v>852</v>
      </c>
      <c r="L187" s="120">
        <f>1405</f>
        <v>1405</v>
      </c>
      <c r="M187" s="155">
        <f t="shared" si="55"/>
        <v>164.90610328638496</v>
      </c>
    </row>
    <row r="188" spans="1:13" ht="12.75">
      <c r="A188" s="44" t="s">
        <v>102</v>
      </c>
      <c r="B188" s="13">
        <v>757</v>
      </c>
      <c r="C188" s="47">
        <f t="shared" si="52"/>
        <v>786</v>
      </c>
      <c r="D188" s="46">
        <f t="shared" si="52"/>
        <v>610</v>
      </c>
      <c r="E188" s="156">
        <f t="shared" si="53"/>
        <v>77.60814249363868</v>
      </c>
      <c r="F188" s="13">
        <v>24606</v>
      </c>
      <c r="G188" s="46">
        <v>26185</v>
      </c>
      <c r="H188" s="59">
        <v>5663</v>
      </c>
      <c r="I188" s="170">
        <f t="shared" si="54"/>
        <v>21.62688562153905</v>
      </c>
      <c r="J188" s="60">
        <v>1952</v>
      </c>
      <c r="K188" s="61">
        <f>1396+535</f>
        <v>1931</v>
      </c>
      <c r="L188" s="62">
        <v>1141</v>
      </c>
      <c r="M188" s="156">
        <f t="shared" si="55"/>
        <v>59.08855515277058</v>
      </c>
    </row>
    <row r="189" spans="1:13" ht="13.5" thickBot="1">
      <c r="A189" s="69" t="s">
        <v>103</v>
      </c>
      <c r="B189" s="71">
        <v>2631</v>
      </c>
      <c r="C189" s="72">
        <f t="shared" si="52"/>
        <v>2506</v>
      </c>
      <c r="D189" s="18">
        <f t="shared" si="52"/>
        <v>2560</v>
      </c>
      <c r="E189" s="157">
        <f t="shared" si="53"/>
        <v>102.15482841181165</v>
      </c>
      <c r="F189" s="71">
        <v>24591</v>
      </c>
      <c r="G189" s="18">
        <v>23899</v>
      </c>
      <c r="H189" s="73">
        <v>7407</v>
      </c>
      <c r="I189" s="172">
        <f t="shared" si="54"/>
        <v>30.992928574417338</v>
      </c>
      <c r="J189" s="74">
        <v>2316</v>
      </c>
      <c r="K189" s="75">
        <f>2327+72</f>
        <v>2399</v>
      </c>
      <c r="L189" s="76">
        <v>2271</v>
      </c>
      <c r="M189" s="157">
        <f t="shared" si="55"/>
        <v>94.66444351813256</v>
      </c>
    </row>
    <row r="190" spans="1:13" ht="13.5" thickBot="1">
      <c r="A190" s="100"/>
      <c r="B190" s="101"/>
      <c r="C190" s="101"/>
      <c r="D190" s="101"/>
      <c r="E190" s="102"/>
      <c r="F190" s="101"/>
      <c r="G190" s="101"/>
      <c r="H190" s="101"/>
      <c r="I190" s="102"/>
      <c r="J190" s="104"/>
      <c r="K190" s="104"/>
      <c r="L190" s="104"/>
      <c r="M190" s="102"/>
    </row>
    <row r="191" spans="1:13" ht="13.5" thickBot="1">
      <c r="A191" s="77" t="s">
        <v>1</v>
      </c>
      <c r="B191" s="193" t="s">
        <v>86</v>
      </c>
      <c r="C191" s="194"/>
      <c r="D191" s="194"/>
      <c r="E191" s="195"/>
      <c r="F191" s="193" t="s">
        <v>6</v>
      </c>
      <c r="G191" s="194"/>
      <c r="H191" s="194"/>
      <c r="I191" s="195"/>
      <c r="J191" s="196" t="s">
        <v>87</v>
      </c>
      <c r="K191" s="197"/>
      <c r="L191" s="197"/>
      <c r="M191" s="198"/>
    </row>
    <row r="192" spans="1:13" ht="12.75">
      <c r="A192" s="6" t="s">
        <v>19</v>
      </c>
      <c r="B192" s="9">
        <v>726</v>
      </c>
      <c r="C192" s="8">
        <v>767</v>
      </c>
      <c r="D192" s="11">
        <v>770</v>
      </c>
      <c r="E192" s="155">
        <f aca="true" t="shared" si="56" ref="E192:E202">IF(C192=0,"0,00",(D192/C192)*100)</f>
        <v>100.39113428943938</v>
      </c>
      <c r="F192" s="9">
        <v>117</v>
      </c>
      <c r="G192" s="8">
        <v>148</v>
      </c>
      <c r="H192" s="14">
        <v>170</v>
      </c>
      <c r="I192" s="165">
        <f aca="true" t="shared" si="57" ref="I192:I202">IF(G192=0,"0,00",(H192/G192)*100)</f>
        <v>114.86486486486487</v>
      </c>
      <c r="J192" s="9">
        <v>7415</v>
      </c>
      <c r="K192" s="8">
        <v>8171</v>
      </c>
      <c r="L192" s="8">
        <v>0</v>
      </c>
      <c r="M192" s="155">
        <f aca="true" t="shared" si="58" ref="M192:M202">IF(K192=0,"0,00",(L192/K192)*100)</f>
        <v>0</v>
      </c>
    </row>
    <row r="193" spans="1:13" ht="12.75">
      <c r="A193" s="6" t="s">
        <v>99</v>
      </c>
      <c r="B193" s="9">
        <v>719</v>
      </c>
      <c r="C193" s="8">
        <v>763</v>
      </c>
      <c r="D193" s="11">
        <v>855</v>
      </c>
      <c r="E193" s="155">
        <f t="shared" si="56"/>
        <v>112.05766710353866</v>
      </c>
      <c r="F193" s="9">
        <v>569</v>
      </c>
      <c r="G193" s="8">
        <v>180</v>
      </c>
      <c r="H193" s="14">
        <v>350</v>
      </c>
      <c r="I193" s="165">
        <f t="shared" si="57"/>
        <v>194.44444444444443</v>
      </c>
      <c r="J193" s="9">
        <v>8843</v>
      </c>
      <c r="K193" s="8">
        <f>10308</f>
        <v>10308</v>
      </c>
      <c r="L193" s="8">
        <v>160</v>
      </c>
      <c r="M193" s="155">
        <f t="shared" si="58"/>
        <v>1.5521924718665114</v>
      </c>
    </row>
    <row r="194" spans="1:13" ht="12.75">
      <c r="A194" s="6" t="s">
        <v>20</v>
      </c>
      <c r="B194" s="9">
        <v>764</v>
      </c>
      <c r="C194" s="8">
        <v>781</v>
      </c>
      <c r="D194" s="11">
        <v>800</v>
      </c>
      <c r="E194" s="155">
        <f t="shared" si="56"/>
        <v>102.43277848911652</v>
      </c>
      <c r="F194" s="9">
        <v>452</v>
      </c>
      <c r="G194" s="8">
        <v>381</v>
      </c>
      <c r="H194" s="14">
        <v>500</v>
      </c>
      <c r="I194" s="165">
        <f t="shared" si="57"/>
        <v>131.23359580052494</v>
      </c>
      <c r="J194" s="9">
        <v>7966</v>
      </c>
      <c r="K194" s="8">
        <v>8626</v>
      </c>
      <c r="L194" s="8">
        <v>0</v>
      </c>
      <c r="M194" s="155">
        <f t="shared" si="58"/>
        <v>0</v>
      </c>
    </row>
    <row r="195" spans="1:13" ht="13.5" thickBot="1">
      <c r="A195" s="69" t="s">
        <v>21</v>
      </c>
      <c r="B195" s="71">
        <v>801</v>
      </c>
      <c r="C195" s="18">
        <v>940</v>
      </c>
      <c r="D195" s="73">
        <v>1000</v>
      </c>
      <c r="E195" s="157">
        <f t="shared" si="56"/>
        <v>106.38297872340425</v>
      </c>
      <c r="F195" s="71">
        <v>382</v>
      </c>
      <c r="G195" s="18">
        <v>496</v>
      </c>
      <c r="H195" s="22">
        <v>500</v>
      </c>
      <c r="I195" s="177">
        <f t="shared" si="57"/>
        <v>100.80645161290323</v>
      </c>
      <c r="J195" s="71">
        <v>10891</v>
      </c>
      <c r="K195" s="18">
        <v>11168</v>
      </c>
      <c r="L195" s="18">
        <v>0</v>
      </c>
      <c r="M195" s="157">
        <f t="shared" si="58"/>
        <v>0</v>
      </c>
    </row>
    <row r="196" spans="1:13" s="139" customFormat="1" ht="13.5" thickBot="1">
      <c r="A196" s="40" t="s">
        <v>22</v>
      </c>
      <c r="B196" s="137">
        <f>SUM(B197:B202)+B247+B248+B249+B250+B251+B252+B253+B254+B255+B256+B257</f>
        <v>31665</v>
      </c>
      <c r="C196" s="136">
        <f>SUM(C197:C202)+C247+C248+C249+C250+C251+C252+C253+C254+C255+C256+C257</f>
        <v>33870</v>
      </c>
      <c r="D196" s="140">
        <f>SUM(D197:D202)+D247+D248+D249+D250+D251+D252+D253+D254+D255+D256+D257</f>
        <v>35050</v>
      </c>
      <c r="E196" s="119">
        <f t="shared" si="56"/>
        <v>103.4839090640685</v>
      </c>
      <c r="F196" s="137">
        <f>SUM(F197:F202)+F247+F248+F249+F250+F251+F252+F253+F254+F255+F256+F257</f>
        <v>14442</v>
      </c>
      <c r="G196" s="136">
        <f>SUM(G197:G202)+G247+G248+G249+G250+G251+G252+G253+G254+G255+G256+G257</f>
        <v>13855</v>
      </c>
      <c r="H196" s="144">
        <f>SUM(H197:H202)+H247+H248+H249+H250+H251+H252+H253+H254+H255+H256+H257</f>
        <v>11173</v>
      </c>
      <c r="I196" s="163">
        <f t="shared" si="57"/>
        <v>80.64236737639841</v>
      </c>
      <c r="J196" s="137">
        <f>SUM(J197:J202)+J247+J248+J249+J250+J251+J252+J253+J254+J255+J256+J257</f>
        <v>280569</v>
      </c>
      <c r="K196" s="136">
        <f>SUM(K197:K202)+K247+K248+K249+K250+K251+K252+K253+K254+K255+K256+K257</f>
        <v>289628</v>
      </c>
      <c r="L196" s="136">
        <f>SUM(L197:L202)+L247+L248+L249+L250+L251+L252+L253+L254+L255+L256+L257</f>
        <v>9504</v>
      </c>
      <c r="M196" s="119">
        <f t="shared" si="58"/>
        <v>3.2814506884693473</v>
      </c>
    </row>
    <row r="197" spans="1:13" ht="12.75">
      <c r="A197" s="84" t="s">
        <v>23</v>
      </c>
      <c r="B197" s="13">
        <v>1034</v>
      </c>
      <c r="C197" s="46">
        <v>1090</v>
      </c>
      <c r="D197" s="59">
        <v>1050</v>
      </c>
      <c r="E197" s="156">
        <f t="shared" si="56"/>
        <v>96.3302752293578</v>
      </c>
      <c r="F197" s="13">
        <v>597</v>
      </c>
      <c r="G197" s="46">
        <v>938</v>
      </c>
      <c r="H197" s="66">
        <v>900</v>
      </c>
      <c r="I197" s="164">
        <f t="shared" si="57"/>
        <v>95.94882729211088</v>
      </c>
      <c r="J197" s="13">
        <v>9903</v>
      </c>
      <c r="K197" s="46">
        <v>10909</v>
      </c>
      <c r="L197" s="46">
        <v>150</v>
      </c>
      <c r="M197" s="156">
        <f t="shared" si="58"/>
        <v>1.3750114584288202</v>
      </c>
    </row>
    <row r="198" spans="1:13" ht="12.75">
      <c r="A198" s="83" t="s">
        <v>100</v>
      </c>
      <c r="B198" s="9">
        <v>484</v>
      </c>
      <c r="C198" s="8">
        <v>557</v>
      </c>
      <c r="D198" s="11">
        <v>613</v>
      </c>
      <c r="E198" s="155">
        <f t="shared" si="56"/>
        <v>110.05385996409336</v>
      </c>
      <c r="F198" s="9">
        <v>386</v>
      </c>
      <c r="G198" s="8">
        <v>423</v>
      </c>
      <c r="H198" s="14">
        <v>330</v>
      </c>
      <c r="I198" s="165">
        <f t="shared" si="57"/>
        <v>78.01418439716312</v>
      </c>
      <c r="J198" s="9">
        <v>7693</v>
      </c>
      <c r="K198" s="8">
        <v>8049</v>
      </c>
      <c r="L198" s="8">
        <v>0</v>
      </c>
      <c r="M198" s="155">
        <f t="shared" si="58"/>
        <v>0</v>
      </c>
    </row>
    <row r="199" spans="1:13" ht="12.75">
      <c r="A199" s="84" t="s">
        <v>101</v>
      </c>
      <c r="B199" s="71">
        <v>642</v>
      </c>
      <c r="C199" s="18">
        <v>800</v>
      </c>
      <c r="D199" s="73">
        <v>900</v>
      </c>
      <c r="E199" s="157">
        <f t="shared" si="56"/>
        <v>112.5</v>
      </c>
      <c r="F199" s="71">
        <v>23</v>
      </c>
      <c r="G199" s="18">
        <v>45</v>
      </c>
      <c r="H199" s="22">
        <v>40</v>
      </c>
      <c r="I199" s="177">
        <f t="shared" si="57"/>
        <v>88.88888888888889</v>
      </c>
      <c r="J199" s="71">
        <v>11274</v>
      </c>
      <c r="K199" s="18">
        <v>11413</v>
      </c>
      <c r="L199" s="18">
        <v>0</v>
      </c>
      <c r="M199" s="157">
        <f t="shared" si="58"/>
        <v>0</v>
      </c>
    </row>
    <row r="200" spans="1:13" s="122" customFormat="1" ht="12.75">
      <c r="A200" s="6" t="s">
        <v>59</v>
      </c>
      <c r="B200" s="3">
        <v>453</v>
      </c>
      <c r="C200" s="1">
        <v>527</v>
      </c>
      <c r="D200" s="120">
        <v>551</v>
      </c>
      <c r="E200" s="155">
        <f t="shared" si="56"/>
        <v>104.5540796963947</v>
      </c>
      <c r="F200" s="3">
        <v>194</v>
      </c>
      <c r="G200" s="1">
        <v>347</v>
      </c>
      <c r="H200" s="121">
        <v>381</v>
      </c>
      <c r="I200" s="165">
        <f t="shared" si="57"/>
        <v>109.79827089337175</v>
      </c>
      <c r="J200" s="3">
        <v>8995</v>
      </c>
      <c r="K200" s="1">
        <v>9749</v>
      </c>
      <c r="L200" s="121">
        <v>0</v>
      </c>
      <c r="M200" s="155">
        <f t="shared" si="58"/>
        <v>0</v>
      </c>
    </row>
    <row r="201" spans="1:13" ht="12.75">
      <c r="A201" s="44" t="s">
        <v>102</v>
      </c>
      <c r="B201" s="13">
        <v>1010</v>
      </c>
      <c r="C201" s="46">
        <v>1192</v>
      </c>
      <c r="D201" s="59">
        <v>1230</v>
      </c>
      <c r="E201" s="156">
        <f t="shared" si="56"/>
        <v>103.18791946308725</v>
      </c>
      <c r="F201" s="13">
        <v>660</v>
      </c>
      <c r="G201" s="46">
        <v>269</v>
      </c>
      <c r="H201" s="66">
        <v>340</v>
      </c>
      <c r="I201" s="164">
        <f t="shared" si="57"/>
        <v>126.39405204460968</v>
      </c>
      <c r="J201" s="13">
        <v>12914</v>
      </c>
      <c r="K201" s="46">
        <v>14327</v>
      </c>
      <c r="L201" s="46">
        <v>130</v>
      </c>
      <c r="M201" s="156">
        <f t="shared" si="58"/>
        <v>0.9073776785091087</v>
      </c>
    </row>
    <row r="202" spans="1:13" ht="13.5" thickBot="1">
      <c r="A202" s="69" t="s">
        <v>103</v>
      </c>
      <c r="B202" s="71">
        <v>2151</v>
      </c>
      <c r="C202" s="18">
        <v>2102</v>
      </c>
      <c r="D202" s="73">
        <v>2300</v>
      </c>
      <c r="E202" s="157">
        <f t="shared" si="56"/>
        <v>109.41960038058991</v>
      </c>
      <c r="F202" s="71">
        <v>1844</v>
      </c>
      <c r="G202" s="18">
        <v>658</v>
      </c>
      <c r="H202" s="22">
        <v>550</v>
      </c>
      <c r="I202" s="177">
        <f t="shared" si="57"/>
        <v>83.58662613981764</v>
      </c>
      <c r="J202" s="71">
        <v>11653</v>
      </c>
      <c r="K202" s="18">
        <v>11904</v>
      </c>
      <c r="L202" s="18">
        <v>0</v>
      </c>
      <c r="M202" s="157">
        <f t="shared" si="58"/>
        <v>0</v>
      </c>
    </row>
    <row r="203" spans="1:13" ht="13.5" thickBot="1">
      <c r="A203" s="100"/>
      <c r="B203" s="101"/>
      <c r="C203" s="101"/>
      <c r="D203" s="101"/>
      <c r="E203" s="102"/>
      <c r="F203" s="101"/>
      <c r="G203" s="101"/>
      <c r="H203" s="101"/>
      <c r="I203" s="102"/>
      <c r="J203" s="101"/>
      <c r="K203" s="101"/>
      <c r="L203" s="101"/>
      <c r="M203" s="102"/>
    </row>
    <row r="204" spans="1:13" ht="13.5" thickBot="1">
      <c r="A204" s="77" t="s">
        <v>1</v>
      </c>
      <c r="B204" s="193" t="s">
        <v>7</v>
      </c>
      <c r="C204" s="194"/>
      <c r="D204" s="194"/>
      <c r="E204" s="195"/>
      <c r="F204" s="196" t="s">
        <v>8</v>
      </c>
      <c r="G204" s="197"/>
      <c r="H204" s="197"/>
      <c r="I204" s="198"/>
      <c r="J204" s="199"/>
      <c r="K204" s="200"/>
      <c r="L204" s="200"/>
      <c r="M204" s="200"/>
    </row>
    <row r="205" spans="1:13" ht="12.75">
      <c r="A205" s="6" t="s">
        <v>19</v>
      </c>
      <c r="B205" s="9">
        <v>989</v>
      </c>
      <c r="C205" s="8">
        <v>1001</v>
      </c>
      <c r="D205" s="11">
        <v>1004</v>
      </c>
      <c r="E205" s="155">
        <f aca="true" t="shared" si="59" ref="E205:E215">IF(C205=0,"0,00",(D205/C205)*100)</f>
        <v>100.2997002997003</v>
      </c>
      <c r="F205" s="9">
        <f aca="true" t="shared" si="60" ref="F205:H208">B166-F179</f>
        <v>50</v>
      </c>
      <c r="G205" s="8">
        <f t="shared" si="60"/>
        <v>79</v>
      </c>
      <c r="H205" s="14">
        <f t="shared" si="60"/>
        <v>125</v>
      </c>
      <c r="I205" s="165">
        <f aca="true" t="shared" si="61" ref="I205:I215">IF(G205=0,"0,00",(H205/G205)*100)</f>
        <v>158.22784810126583</v>
      </c>
      <c r="J205" s="105"/>
      <c r="K205" s="106"/>
      <c r="L205" s="106"/>
      <c r="M205" s="106"/>
    </row>
    <row r="206" spans="1:13" ht="12.75">
      <c r="A206" s="6" t="s">
        <v>99</v>
      </c>
      <c r="B206" s="9">
        <v>369</v>
      </c>
      <c r="C206" s="8">
        <v>403</v>
      </c>
      <c r="D206" s="11">
        <v>427</v>
      </c>
      <c r="E206" s="155">
        <f t="shared" si="59"/>
        <v>105.95533498759305</v>
      </c>
      <c r="F206" s="9">
        <f t="shared" si="60"/>
        <v>136</v>
      </c>
      <c r="G206" s="8">
        <f t="shared" si="60"/>
        <v>21</v>
      </c>
      <c r="H206" s="14">
        <f t="shared" si="60"/>
        <v>2</v>
      </c>
      <c r="I206" s="165">
        <f t="shared" si="61"/>
        <v>9.523809523809524</v>
      </c>
      <c r="J206" s="105"/>
      <c r="K206" s="106"/>
      <c r="L206" s="106"/>
      <c r="M206" s="106"/>
    </row>
    <row r="207" spans="1:13" ht="12.75">
      <c r="A207" s="6" t="s">
        <v>20</v>
      </c>
      <c r="B207" s="9">
        <v>200</v>
      </c>
      <c r="C207" s="8">
        <v>139</v>
      </c>
      <c r="D207" s="11">
        <v>140</v>
      </c>
      <c r="E207" s="155">
        <f t="shared" si="59"/>
        <v>100.71942446043165</v>
      </c>
      <c r="F207" s="9">
        <f t="shared" si="60"/>
        <v>243</v>
      </c>
      <c r="G207" s="8">
        <f t="shared" si="60"/>
        <v>129</v>
      </c>
      <c r="H207" s="14">
        <f t="shared" si="60"/>
        <v>0</v>
      </c>
      <c r="I207" s="165">
        <f t="shared" si="61"/>
        <v>0</v>
      </c>
      <c r="J207" s="105"/>
      <c r="K207" s="106"/>
      <c r="L207" s="106"/>
      <c r="M207" s="106"/>
    </row>
    <row r="208" spans="1:13" ht="13.5" thickBot="1">
      <c r="A208" s="69" t="s">
        <v>21</v>
      </c>
      <c r="B208" s="71">
        <v>451</v>
      </c>
      <c r="C208" s="18">
        <v>446</v>
      </c>
      <c r="D208" s="73">
        <v>446</v>
      </c>
      <c r="E208" s="157">
        <f t="shared" si="59"/>
        <v>100</v>
      </c>
      <c r="F208" s="71">
        <f t="shared" si="60"/>
        <v>75</v>
      </c>
      <c r="G208" s="18">
        <f t="shared" si="60"/>
        <v>2</v>
      </c>
      <c r="H208" s="22">
        <f t="shared" si="60"/>
        <v>0</v>
      </c>
      <c r="I208" s="177">
        <f t="shared" si="61"/>
        <v>0</v>
      </c>
      <c r="J208" s="85"/>
      <c r="K208" s="91"/>
      <c r="L208" s="91"/>
      <c r="M208" s="103"/>
    </row>
    <row r="209" spans="1:13" s="139" customFormat="1" ht="13.5" thickBot="1">
      <c r="A209" s="40" t="s">
        <v>22</v>
      </c>
      <c r="B209" s="137">
        <f>SUM(B210:B215)+B260+B261+B262+B263+B264+B265+B266+B267+B268+B269+B270</f>
        <v>14566</v>
      </c>
      <c r="C209" s="136">
        <f>SUM(C210:C215)+C260+C261+C262+C263+C264+C265+C266+C267+C268+C269+C270</f>
        <v>15749</v>
      </c>
      <c r="D209" s="140">
        <f>SUM(D210:D215)+D260+D261+D262+D263+D264+D265+D266+D267+D268+D269+D270</f>
        <v>16547</v>
      </c>
      <c r="E209" s="119">
        <f t="shared" si="59"/>
        <v>105.06698838021462</v>
      </c>
      <c r="F209" s="137">
        <f>SUM(F210:F215)+F260+F261+F262+F263+F264+F265+F266+F267+F268+F269+F270</f>
        <v>1775</v>
      </c>
      <c r="G209" s="136">
        <f>SUM(G210:G215)+G260+G261+G262+G263+G264+G265+G266+G267+G268+G269+G270</f>
        <v>1509</v>
      </c>
      <c r="H209" s="144">
        <f>SUM(H210:H215)+H260+H261+H262+H263+H264+H265+H266+H267+H268+H269+H270</f>
        <v>1443</v>
      </c>
      <c r="I209" s="169">
        <f t="shared" si="61"/>
        <v>95.62624254473161</v>
      </c>
      <c r="J209" s="145"/>
      <c r="K209" s="146"/>
      <c r="L209" s="146"/>
      <c r="M209" s="109"/>
    </row>
    <row r="210" spans="1:13" ht="12.75">
      <c r="A210" s="84" t="s">
        <v>23</v>
      </c>
      <c r="B210" s="13">
        <v>346</v>
      </c>
      <c r="C210" s="46">
        <v>338</v>
      </c>
      <c r="D210" s="59">
        <v>363</v>
      </c>
      <c r="E210" s="156">
        <f t="shared" si="59"/>
        <v>107.39644970414201</v>
      </c>
      <c r="F210" s="13">
        <f aca="true" t="shared" si="62" ref="F210:G215">B171-F184</f>
        <v>52</v>
      </c>
      <c r="G210" s="46">
        <f t="shared" si="62"/>
        <v>64</v>
      </c>
      <c r="H210" s="66">
        <f aca="true" t="shared" si="63" ref="H210:H215">D171-H184</f>
        <v>120</v>
      </c>
      <c r="I210" s="164">
        <f t="shared" si="61"/>
        <v>187.5</v>
      </c>
      <c r="J210" s="85"/>
      <c r="K210" s="91"/>
      <c r="L210" s="91"/>
      <c r="M210" s="103"/>
    </row>
    <row r="211" spans="1:13" ht="12.75">
      <c r="A211" s="83" t="s">
        <v>100</v>
      </c>
      <c r="B211" s="9">
        <v>668</v>
      </c>
      <c r="C211" s="8">
        <v>717</v>
      </c>
      <c r="D211" s="11">
        <v>788</v>
      </c>
      <c r="E211" s="155">
        <f t="shared" si="59"/>
        <v>109.9023709902371</v>
      </c>
      <c r="F211" s="9">
        <f t="shared" si="62"/>
        <v>117</v>
      </c>
      <c r="G211" s="8">
        <f t="shared" si="62"/>
        <v>155</v>
      </c>
      <c r="H211" s="14">
        <f t="shared" si="63"/>
        <v>152</v>
      </c>
      <c r="I211" s="165">
        <f t="shared" si="61"/>
        <v>98.06451612903226</v>
      </c>
      <c r="J211" s="85"/>
      <c r="K211" s="91"/>
      <c r="L211" s="91"/>
      <c r="M211" s="103"/>
    </row>
    <row r="212" spans="1:13" ht="12.75">
      <c r="A212" s="84" t="s">
        <v>101</v>
      </c>
      <c r="B212" s="71">
        <v>299</v>
      </c>
      <c r="C212" s="18">
        <v>301</v>
      </c>
      <c r="D212" s="73">
        <v>320</v>
      </c>
      <c r="E212" s="157">
        <f t="shared" si="59"/>
        <v>106.312292358804</v>
      </c>
      <c r="F212" s="71">
        <f t="shared" si="62"/>
        <v>0</v>
      </c>
      <c r="G212" s="18">
        <f t="shared" si="62"/>
        <v>56</v>
      </c>
      <c r="H212" s="22">
        <f t="shared" si="63"/>
        <v>0</v>
      </c>
      <c r="I212" s="177">
        <f t="shared" si="61"/>
        <v>0</v>
      </c>
      <c r="J212" s="85"/>
      <c r="K212" s="91"/>
      <c r="L212" s="91"/>
      <c r="M212" s="103"/>
    </row>
    <row r="213" spans="1:13" s="122" customFormat="1" ht="12.75">
      <c r="A213" s="6" t="s">
        <v>59</v>
      </c>
      <c r="B213" s="3">
        <v>340</v>
      </c>
      <c r="C213" s="1">
        <v>350</v>
      </c>
      <c r="D213" s="120">
        <v>351</v>
      </c>
      <c r="E213" s="155">
        <f t="shared" si="59"/>
        <v>100.28571428571429</v>
      </c>
      <c r="F213" s="3">
        <f t="shared" si="62"/>
        <v>300</v>
      </c>
      <c r="G213" s="1">
        <f t="shared" si="62"/>
        <v>278</v>
      </c>
      <c r="H213" s="121">
        <f t="shared" si="63"/>
        <v>8</v>
      </c>
      <c r="I213" s="166">
        <f t="shared" si="61"/>
        <v>2.877697841726619</v>
      </c>
      <c r="J213" s="98"/>
      <c r="K213" s="89"/>
      <c r="L213" s="89"/>
      <c r="M213" s="103"/>
    </row>
    <row r="214" spans="1:13" ht="12.75">
      <c r="A214" s="44" t="s">
        <v>102</v>
      </c>
      <c r="B214" s="13">
        <v>692</v>
      </c>
      <c r="C214" s="46">
        <v>854</v>
      </c>
      <c r="D214" s="59">
        <v>1226</v>
      </c>
      <c r="E214" s="156">
        <f t="shared" si="59"/>
        <v>143.55971896955504</v>
      </c>
      <c r="F214" s="13">
        <f t="shared" si="62"/>
        <v>150</v>
      </c>
      <c r="G214" s="46">
        <f t="shared" si="62"/>
        <v>156</v>
      </c>
      <c r="H214" s="66">
        <f t="shared" si="63"/>
        <v>154</v>
      </c>
      <c r="I214" s="164">
        <f t="shared" si="61"/>
        <v>98.71794871794873</v>
      </c>
      <c r="J214" s="85"/>
      <c r="K214" s="91"/>
      <c r="L214" s="91"/>
      <c r="M214" s="103"/>
    </row>
    <row r="215" spans="1:13" ht="13.5" thickBot="1">
      <c r="A215" s="134" t="s">
        <v>103</v>
      </c>
      <c r="B215" s="16">
        <v>1301</v>
      </c>
      <c r="C215" s="15">
        <v>1331</v>
      </c>
      <c r="D215" s="63">
        <v>1334</v>
      </c>
      <c r="E215" s="158">
        <f t="shared" si="59"/>
        <v>100.22539444027048</v>
      </c>
      <c r="F215" s="16">
        <f t="shared" si="62"/>
        <v>136</v>
      </c>
      <c r="G215" s="15">
        <f t="shared" si="62"/>
        <v>0</v>
      </c>
      <c r="H215" s="17">
        <f t="shared" si="63"/>
        <v>0</v>
      </c>
      <c r="I215" s="174" t="str">
        <f t="shared" si="61"/>
        <v>0,00</v>
      </c>
      <c r="J215" s="85"/>
      <c r="K215" s="91"/>
      <c r="L215" s="91"/>
      <c r="M215" s="103"/>
    </row>
    <row r="216" spans="1:13" ht="15">
      <c r="A216" s="192" t="s">
        <v>91</v>
      </c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</row>
    <row r="217" spans="1:13" ht="13.5" thickBot="1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25.5" customHeight="1">
      <c r="A218" s="214" t="s">
        <v>1</v>
      </c>
      <c r="B218" s="201" t="s">
        <v>0</v>
      </c>
      <c r="C218" s="202"/>
      <c r="D218" s="202"/>
      <c r="E218" s="203"/>
      <c r="F218" s="204" t="s">
        <v>65</v>
      </c>
      <c r="G218" s="205"/>
      <c r="H218" s="205"/>
      <c r="I218" s="205"/>
      <c r="J218" s="206" t="s">
        <v>77</v>
      </c>
      <c r="K218" s="207"/>
      <c r="L218" s="207"/>
      <c r="M218" s="208"/>
    </row>
    <row r="219" spans="1:13" ht="12.75">
      <c r="A219" s="215"/>
      <c r="B219" s="29" t="s">
        <v>2</v>
      </c>
      <c r="C219" s="30" t="s">
        <v>2</v>
      </c>
      <c r="D219" s="30" t="s">
        <v>3</v>
      </c>
      <c r="E219" s="31" t="s">
        <v>4</v>
      </c>
      <c r="F219" s="29" t="s">
        <v>2</v>
      </c>
      <c r="G219" s="30" t="s">
        <v>2</v>
      </c>
      <c r="H219" s="30" t="s">
        <v>3</v>
      </c>
      <c r="I219" s="31" t="s">
        <v>4</v>
      </c>
      <c r="J219" s="29" t="s">
        <v>2</v>
      </c>
      <c r="K219" s="30" t="s">
        <v>2</v>
      </c>
      <c r="L219" s="30" t="s">
        <v>3</v>
      </c>
      <c r="M219" s="31" t="s">
        <v>4</v>
      </c>
    </row>
    <row r="220" spans="1:13" ht="13.5" thickBot="1">
      <c r="A220" s="216"/>
      <c r="B220" s="32">
        <v>2004</v>
      </c>
      <c r="C220" s="33">
        <v>2005</v>
      </c>
      <c r="D220" s="33">
        <v>2006</v>
      </c>
      <c r="E220" s="34" t="s">
        <v>130</v>
      </c>
      <c r="F220" s="32">
        <v>2004</v>
      </c>
      <c r="G220" s="33">
        <v>2005</v>
      </c>
      <c r="H220" s="33">
        <v>2006</v>
      </c>
      <c r="I220" s="34" t="s">
        <v>130</v>
      </c>
      <c r="J220" s="32">
        <v>2004</v>
      </c>
      <c r="K220" s="33">
        <v>2005</v>
      </c>
      <c r="L220" s="33">
        <v>2006</v>
      </c>
      <c r="M220" s="34" t="s">
        <v>130</v>
      </c>
    </row>
    <row r="221" spans="1:13" ht="12.75">
      <c r="A221" s="6" t="s">
        <v>60</v>
      </c>
      <c r="B221" s="7">
        <v>20724</v>
      </c>
      <c r="C221" s="8">
        <v>20187</v>
      </c>
      <c r="D221" s="8">
        <v>3174</v>
      </c>
      <c r="E221" s="155">
        <f aca="true" t="shared" si="64" ref="E221:E231">IF(C221=0,"0,00",(D221/C221)*100)</f>
        <v>15.722990043097044</v>
      </c>
      <c r="F221" s="9">
        <v>2654</v>
      </c>
      <c r="G221" s="10">
        <v>2801</v>
      </c>
      <c r="H221" s="8">
        <v>2294</v>
      </c>
      <c r="I221" s="178">
        <f aca="true" t="shared" si="65" ref="I221:I231">IF(G221=0,"0,00",(H221/G221)*100)</f>
        <v>81.89932167083185</v>
      </c>
      <c r="J221" s="7">
        <v>16591</v>
      </c>
      <c r="K221" s="8">
        <v>16245</v>
      </c>
      <c r="L221" s="8">
        <v>0</v>
      </c>
      <c r="M221" s="184">
        <f aca="true" t="shared" si="66" ref="M221:M231">IF(K221=0,"0,00",(L221/K221)*100)</f>
        <v>0</v>
      </c>
    </row>
    <row r="222" spans="1:13" ht="12.75">
      <c r="A222" s="6" t="s">
        <v>24</v>
      </c>
      <c r="B222" s="7">
        <v>13958</v>
      </c>
      <c r="C222" s="8">
        <v>14640</v>
      </c>
      <c r="D222" s="8">
        <v>2750</v>
      </c>
      <c r="E222" s="155">
        <f t="shared" si="64"/>
        <v>18.78415300546448</v>
      </c>
      <c r="F222" s="9">
        <v>2739</v>
      </c>
      <c r="G222" s="10">
        <v>2317</v>
      </c>
      <c r="H222" s="8">
        <v>2406</v>
      </c>
      <c r="I222" s="178">
        <f t="shared" si="65"/>
        <v>103.84117393180838</v>
      </c>
      <c r="J222" s="7">
        <v>10564</v>
      </c>
      <c r="K222" s="8">
        <v>11701</v>
      </c>
      <c r="L222" s="8">
        <v>0</v>
      </c>
      <c r="M222" s="184">
        <f t="shared" si="66"/>
        <v>0</v>
      </c>
    </row>
    <row r="223" spans="1:13" ht="12.75">
      <c r="A223" s="83" t="s">
        <v>133</v>
      </c>
      <c r="B223" s="7">
        <v>103157</v>
      </c>
      <c r="C223" s="8">
        <v>102079</v>
      </c>
      <c r="D223" s="8">
        <v>39666</v>
      </c>
      <c r="E223" s="155">
        <f t="shared" si="64"/>
        <v>38.85813928427982</v>
      </c>
      <c r="F223" s="9">
        <v>16329</v>
      </c>
      <c r="G223" s="10">
        <v>18562</v>
      </c>
      <c r="H223" s="8">
        <v>16841</v>
      </c>
      <c r="I223" s="178">
        <f t="shared" si="65"/>
        <v>90.72836978773839</v>
      </c>
      <c r="J223" s="7">
        <v>62572</v>
      </c>
      <c r="K223" s="8">
        <v>60453</v>
      </c>
      <c r="L223" s="8">
        <v>0</v>
      </c>
      <c r="M223" s="184">
        <f t="shared" si="66"/>
        <v>0</v>
      </c>
    </row>
    <row r="224" spans="1:13" ht="12.75">
      <c r="A224" s="44" t="s">
        <v>104</v>
      </c>
      <c r="B224" s="45">
        <v>18333</v>
      </c>
      <c r="C224" s="46">
        <v>19532</v>
      </c>
      <c r="D224" s="46">
        <v>4650</v>
      </c>
      <c r="E224" s="161">
        <f t="shared" si="64"/>
        <v>23.807085807904976</v>
      </c>
      <c r="F224" s="45">
        <v>2677</v>
      </c>
      <c r="G224" s="46">
        <v>3117</v>
      </c>
      <c r="H224" s="46">
        <v>2580</v>
      </c>
      <c r="I224" s="179">
        <f t="shared" si="65"/>
        <v>82.77189605389798</v>
      </c>
      <c r="J224" s="45">
        <v>12873</v>
      </c>
      <c r="K224" s="46">
        <v>13757</v>
      </c>
      <c r="L224" s="46">
        <v>0</v>
      </c>
      <c r="M224" s="186">
        <f t="shared" si="66"/>
        <v>0</v>
      </c>
    </row>
    <row r="225" spans="1:13" ht="12.75">
      <c r="A225" s="6" t="s">
        <v>80</v>
      </c>
      <c r="B225" s="7">
        <v>38787</v>
      </c>
      <c r="C225" s="8">
        <v>40869</v>
      </c>
      <c r="D225" s="8">
        <v>13872</v>
      </c>
      <c r="E225" s="155">
        <f t="shared" si="64"/>
        <v>33.942597078470236</v>
      </c>
      <c r="F225" s="9">
        <v>10082</v>
      </c>
      <c r="G225" s="10">
        <v>8734</v>
      </c>
      <c r="H225" s="8">
        <v>8095</v>
      </c>
      <c r="I225" s="178">
        <f t="shared" si="65"/>
        <v>92.68376459812228</v>
      </c>
      <c r="J225" s="7">
        <v>24620</v>
      </c>
      <c r="K225" s="8">
        <v>26566</v>
      </c>
      <c r="L225" s="8">
        <v>0</v>
      </c>
      <c r="M225" s="184">
        <f t="shared" si="66"/>
        <v>0</v>
      </c>
    </row>
    <row r="226" spans="1:13" ht="12.75">
      <c r="A226" s="6" t="s">
        <v>105</v>
      </c>
      <c r="B226" s="7">
        <v>61351</v>
      </c>
      <c r="C226" s="8">
        <v>66579</v>
      </c>
      <c r="D226" s="8">
        <v>18907</v>
      </c>
      <c r="E226" s="155">
        <f t="shared" si="64"/>
        <v>28.397843163760346</v>
      </c>
      <c r="F226" s="9">
        <v>10327</v>
      </c>
      <c r="G226" s="10">
        <v>11856</v>
      </c>
      <c r="H226" s="8">
        <v>10923</v>
      </c>
      <c r="I226" s="178">
        <f t="shared" si="65"/>
        <v>92.13056680161942</v>
      </c>
      <c r="J226" s="7">
        <v>40907</v>
      </c>
      <c r="K226" s="8">
        <v>44914</v>
      </c>
      <c r="L226" s="8">
        <v>0</v>
      </c>
      <c r="M226" s="184">
        <f t="shared" si="66"/>
        <v>0</v>
      </c>
    </row>
    <row r="227" spans="1:13" ht="12.75">
      <c r="A227" s="6" t="s">
        <v>81</v>
      </c>
      <c r="B227" s="7">
        <v>34999</v>
      </c>
      <c r="C227" s="8">
        <v>34909</v>
      </c>
      <c r="D227" s="8">
        <v>10771</v>
      </c>
      <c r="E227" s="155">
        <f t="shared" si="64"/>
        <v>30.854507433613108</v>
      </c>
      <c r="F227" s="9">
        <v>6173</v>
      </c>
      <c r="G227" s="10">
        <v>6246</v>
      </c>
      <c r="H227" s="8">
        <v>6362</v>
      </c>
      <c r="I227" s="178">
        <f t="shared" si="65"/>
        <v>101.85718860070445</v>
      </c>
      <c r="J227" s="7">
        <v>24900</v>
      </c>
      <c r="K227" s="8">
        <v>24554</v>
      </c>
      <c r="L227" s="8">
        <v>0</v>
      </c>
      <c r="M227" s="184">
        <f t="shared" si="66"/>
        <v>0</v>
      </c>
    </row>
    <row r="228" spans="1:13" ht="12.75">
      <c r="A228" s="69" t="s">
        <v>106</v>
      </c>
      <c r="B228" s="70">
        <v>34952</v>
      </c>
      <c r="C228" s="18">
        <v>36709</v>
      </c>
      <c r="D228" s="18">
        <v>10420</v>
      </c>
      <c r="E228" s="157">
        <f t="shared" si="64"/>
        <v>28.38540957258438</v>
      </c>
      <c r="F228" s="71">
        <v>5912</v>
      </c>
      <c r="G228" s="72">
        <v>5630</v>
      </c>
      <c r="H228" s="18">
        <v>5820</v>
      </c>
      <c r="I228" s="162">
        <f t="shared" si="65"/>
        <v>103.37477797513321</v>
      </c>
      <c r="J228" s="70">
        <v>24518</v>
      </c>
      <c r="K228" s="18">
        <v>25939</v>
      </c>
      <c r="L228" s="18">
        <v>0</v>
      </c>
      <c r="M228" s="187">
        <f t="shared" si="66"/>
        <v>0</v>
      </c>
    </row>
    <row r="229" spans="1:13" s="122" customFormat="1" ht="12.75">
      <c r="A229" s="6" t="s">
        <v>107</v>
      </c>
      <c r="B229" s="82">
        <v>50050</v>
      </c>
      <c r="C229" s="1">
        <v>52348</v>
      </c>
      <c r="D229" s="1">
        <v>16906</v>
      </c>
      <c r="E229" s="155">
        <f t="shared" si="64"/>
        <v>32.295407656452966</v>
      </c>
      <c r="F229" s="3">
        <v>7707</v>
      </c>
      <c r="G229" s="4">
        <v>8093</v>
      </c>
      <c r="H229" s="1">
        <v>7906</v>
      </c>
      <c r="I229" s="178">
        <f t="shared" si="65"/>
        <v>97.68936117632522</v>
      </c>
      <c r="J229" s="3">
        <v>32177</v>
      </c>
      <c r="K229" s="4">
        <v>35257</v>
      </c>
      <c r="L229" s="1">
        <v>0</v>
      </c>
      <c r="M229" s="184">
        <f t="shared" si="66"/>
        <v>0</v>
      </c>
    </row>
    <row r="230" spans="1:13" ht="12.75">
      <c r="A230" s="44" t="s">
        <v>108</v>
      </c>
      <c r="B230" s="45">
        <f>46303+2995</f>
        <v>49298</v>
      </c>
      <c r="C230" s="46">
        <v>50288</v>
      </c>
      <c r="D230" s="46">
        <v>18293</v>
      </c>
      <c r="E230" s="156">
        <f t="shared" si="64"/>
        <v>36.37647152402164</v>
      </c>
      <c r="F230" s="13">
        <f>9588+1294</f>
        <v>10882</v>
      </c>
      <c r="G230" s="47">
        <v>12011</v>
      </c>
      <c r="H230" s="46">
        <v>10363</v>
      </c>
      <c r="I230" s="180">
        <f t="shared" si="65"/>
        <v>86.27924402630921</v>
      </c>
      <c r="J230" s="45">
        <f>30114+0</f>
        <v>30114</v>
      </c>
      <c r="K230" s="46">
        <v>29372</v>
      </c>
      <c r="L230" s="46">
        <v>0</v>
      </c>
      <c r="M230" s="186">
        <f t="shared" si="66"/>
        <v>0</v>
      </c>
    </row>
    <row r="231" spans="1:13" ht="13.5" thickBot="1">
      <c r="A231" s="69" t="s">
        <v>109</v>
      </c>
      <c r="B231" s="70">
        <v>14661</v>
      </c>
      <c r="C231" s="18">
        <v>14996</v>
      </c>
      <c r="D231" s="18">
        <v>3141</v>
      </c>
      <c r="E231" s="157">
        <f t="shared" si="64"/>
        <v>20.94558548946386</v>
      </c>
      <c r="F231" s="71">
        <v>1812</v>
      </c>
      <c r="G231" s="72">
        <v>2106</v>
      </c>
      <c r="H231" s="18">
        <v>2253</v>
      </c>
      <c r="I231" s="162">
        <f t="shared" si="65"/>
        <v>106.98005698005697</v>
      </c>
      <c r="J231" s="70">
        <v>12099</v>
      </c>
      <c r="K231" s="18">
        <v>12104</v>
      </c>
      <c r="L231" s="18">
        <v>0</v>
      </c>
      <c r="M231" s="187">
        <f t="shared" si="66"/>
        <v>0</v>
      </c>
    </row>
    <row r="232" spans="1:13" ht="13.5" thickBot="1">
      <c r="A232" s="100"/>
      <c r="B232" s="101"/>
      <c r="C232" s="101"/>
      <c r="D232" s="101"/>
      <c r="E232" s="102"/>
      <c r="F232" s="101"/>
      <c r="G232" s="101"/>
      <c r="H232" s="101"/>
      <c r="I232" s="102"/>
      <c r="J232" s="101"/>
      <c r="K232" s="101"/>
      <c r="L232" s="101"/>
      <c r="M232" s="102"/>
    </row>
    <row r="233" spans="1:13" ht="13.5" thickBot="1">
      <c r="A233" s="40" t="s">
        <v>1</v>
      </c>
      <c r="B233" s="193" t="s">
        <v>66</v>
      </c>
      <c r="C233" s="194"/>
      <c r="D233" s="194"/>
      <c r="E233" s="195"/>
      <c r="F233" s="196" t="s">
        <v>5</v>
      </c>
      <c r="G233" s="197"/>
      <c r="H233" s="197"/>
      <c r="I233" s="198"/>
      <c r="J233" s="193" t="s">
        <v>85</v>
      </c>
      <c r="K233" s="194"/>
      <c r="L233" s="194"/>
      <c r="M233" s="195"/>
    </row>
    <row r="234" spans="1:13" ht="12.75">
      <c r="A234" s="6" t="s">
        <v>60</v>
      </c>
      <c r="B234" s="9">
        <f>B221-F221-J221</f>
        <v>1479</v>
      </c>
      <c r="C234" s="10">
        <f>C221-G221-K221</f>
        <v>1141</v>
      </c>
      <c r="D234" s="8">
        <f aca="true" t="shared" si="67" ref="D234:D244">D221-H221-L221</f>
        <v>880</v>
      </c>
      <c r="E234" s="155">
        <f aca="true" t="shared" si="68" ref="E234:E244">IF(C234=0,"0,00",(D234/C234)*100)</f>
        <v>77.12532865907099</v>
      </c>
      <c r="F234" s="9">
        <v>20714</v>
      </c>
      <c r="G234" s="8">
        <v>20011</v>
      </c>
      <c r="H234" s="11">
        <v>3100</v>
      </c>
      <c r="I234" s="155">
        <f aca="true" t="shared" si="69" ref="I234:I244">IF(G234=0,"0,00",(H234/G234)*100)</f>
        <v>15.491479686172605</v>
      </c>
      <c r="J234" s="19">
        <v>1373</v>
      </c>
      <c r="K234" s="20">
        <f>1143+153</f>
        <v>1296</v>
      </c>
      <c r="L234" s="21">
        <v>900</v>
      </c>
      <c r="M234" s="155">
        <f aca="true" t="shared" si="70" ref="M234:M244">IF(K234=0,"0,00",(L234/K234)*100)</f>
        <v>69.44444444444444</v>
      </c>
    </row>
    <row r="235" spans="1:13" ht="12.75">
      <c r="A235" s="6" t="s">
        <v>24</v>
      </c>
      <c r="B235" s="9">
        <f aca="true" t="shared" si="71" ref="B235:B244">B222-F222-J222</f>
        <v>655</v>
      </c>
      <c r="C235" s="10">
        <f aca="true" t="shared" si="72" ref="C235:C244">C222-G222-K222</f>
        <v>622</v>
      </c>
      <c r="D235" s="8">
        <f t="shared" si="67"/>
        <v>344</v>
      </c>
      <c r="E235" s="155">
        <f t="shared" si="68"/>
        <v>55.30546623794213</v>
      </c>
      <c r="F235" s="9">
        <v>13873</v>
      </c>
      <c r="G235" s="8">
        <v>14606</v>
      </c>
      <c r="H235" s="11">
        <v>2690</v>
      </c>
      <c r="I235" s="155">
        <f t="shared" si="69"/>
        <v>18.417088867588664</v>
      </c>
      <c r="J235" s="19">
        <v>1337</v>
      </c>
      <c r="K235" s="20">
        <v>725</v>
      </c>
      <c r="L235" s="21">
        <v>495</v>
      </c>
      <c r="M235" s="155">
        <f t="shared" si="70"/>
        <v>68.27586206896552</v>
      </c>
    </row>
    <row r="236" spans="1:13" ht="12.75">
      <c r="A236" s="83" t="s">
        <v>133</v>
      </c>
      <c r="B236" s="9">
        <f t="shared" si="71"/>
        <v>24256</v>
      </c>
      <c r="C236" s="10">
        <f t="shared" si="72"/>
        <v>23064</v>
      </c>
      <c r="D236" s="10">
        <f t="shared" si="67"/>
        <v>22825</v>
      </c>
      <c r="E236" s="155">
        <f t="shared" si="68"/>
        <v>98.96375303503295</v>
      </c>
      <c r="F236" s="9">
        <v>102967</v>
      </c>
      <c r="G236" s="8">
        <v>101883</v>
      </c>
      <c r="H236" s="11">
        <v>39509</v>
      </c>
      <c r="I236" s="155">
        <f t="shared" si="69"/>
        <v>38.778795284787456</v>
      </c>
      <c r="J236" s="19">
        <v>17289</v>
      </c>
      <c r="K236" s="20">
        <f>16994+830</f>
        <v>17824</v>
      </c>
      <c r="L236" s="21">
        <v>16000</v>
      </c>
      <c r="M236" s="155">
        <f t="shared" si="70"/>
        <v>89.76660682226212</v>
      </c>
    </row>
    <row r="237" spans="1:13" ht="12.75">
      <c r="A237" s="44" t="s">
        <v>104</v>
      </c>
      <c r="B237" s="45">
        <f t="shared" si="71"/>
        <v>2783</v>
      </c>
      <c r="C237" s="46">
        <f t="shared" si="72"/>
        <v>2658</v>
      </c>
      <c r="D237" s="46">
        <f t="shared" si="67"/>
        <v>2070</v>
      </c>
      <c r="E237" s="161">
        <f t="shared" si="68"/>
        <v>77.87810383747178</v>
      </c>
      <c r="F237" s="13">
        <v>18200</v>
      </c>
      <c r="G237" s="46">
        <v>19291</v>
      </c>
      <c r="H237" s="66">
        <v>4585</v>
      </c>
      <c r="I237" s="161">
        <f t="shared" si="69"/>
        <v>23.767560002073505</v>
      </c>
      <c r="J237" s="13">
        <v>1064</v>
      </c>
      <c r="K237" s="46">
        <f>1323+218</f>
        <v>1541</v>
      </c>
      <c r="L237" s="59">
        <v>530</v>
      </c>
      <c r="M237" s="161">
        <f t="shared" si="70"/>
        <v>34.393251135626215</v>
      </c>
    </row>
    <row r="238" spans="1:13" ht="12.75">
      <c r="A238" s="6" t="s">
        <v>80</v>
      </c>
      <c r="B238" s="9">
        <f t="shared" si="71"/>
        <v>4085</v>
      </c>
      <c r="C238" s="10">
        <f t="shared" si="72"/>
        <v>5569</v>
      </c>
      <c r="D238" s="8">
        <f t="shared" si="67"/>
        <v>5777</v>
      </c>
      <c r="E238" s="155">
        <f t="shared" si="68"/>
        <v>103.73496139342791</v>
      </c>
      <c r="F238" s="9">
        <v>38408</v>
      </c>
      <c r="G238" s="8">
        <v>40741</v>
      </c>
      <c r="H238" s="11">
        <v>13737</v>
      </c>
      <c r="I238" s="155">
        <f t="shared" si="69"/>
        <v>33.71787634078692</v>
      </c>
      <c r="J238" s="19">
        <v>6493</v>
      </c>
      <c r="K238" s="20">
        <f>5698+429</f>
        <v>6127</v>
      </c>
      <c r="L238" s="21">
        <v>4849</v>
      </c>
      <c r="M238" s="155">
        <f t="shared" si="70"/>
        <v>79.14150481475437</v>
      </c>
    </row>
    <row r="239" spans="1:13" ht="12.75">
      <c r="A239" s="6" t="s">
        <v>105</v>
      </c>
      <c r="B239" s="9">
        <f t="shared" si="71"/>
        <v>10117</v>
      </c>
      <c r="C239" s="10">
        <f t="shared" si="72"/>
        <v>9809</v>
      </c>
      <c r="D239" s="8">
        <f t="shared" si="67"/>
        <v>7984</v>
      </c>
      <c r="E239" s="155">
        <f t="shared" si="68"/>
        <v>81.39463757773473</v>
      </c>
      <c r="F239" s="9">
        <v>60955</v>
      </c>
      <c r="G239" s="8">
        <v>66161</v>
      </c>
      <c r="H239" s="11">
        <v>18664</v>
      </c>
      <c r="I239" s="155">
        <f t="shared" si="69"/>
        <v>28.209972642493312</v>
      </c>
      <c r="J239" s="19">
        <v>6506</v>
      </c>
      <c r="K239" s="20">
        <v>7748</v>
      </c>
      <c r="L239" s="21">
        <v>5664</v>
      </c>
      <c r="M239" s="155">
        <f t="shared" si="70"/>
        <v>73.10273618998451</v>
      </c>
    </row>
    <row r="240" spans="1:13" ht="12.75">
      <c r="A240" s="6" t="s">
        <v>81</v>
      </c>
      <c r="B240" s="9">
        <f t="shared" si="71"/>
        <v>3926</v>
      </c>
      <c r="C240" s="10">
        <f t="shared" si="72"/>
        <v>4109</v>
      </c>
      <c r="D240" s="8">
        <f t="shared" si="67"/>
        <v>4409</v>
      </c>
      <c r="E240" s="155">
        <f t="shared" si="68"/>
        <v>107.30104648332927</v>
      </c>
      <c r="F240" s="9">
        <v>34547</v>
      </c>
      <c r="G240" s="8">
        <v>34625</v>
      </c>
      <c r="H240" s="11">
        <v>10588</v>
      </c>
      <c r="I240" s="155">
        <f t="shared" si="69"/>
        <v>30.579061371841153</v>
      </c>
      <c r="J240" s="19">
        <v>4368</v>
      </c>
      <c r="K240" s="20">
        <f>4138+224</f>
        <v>4362</v>
      </c>
      <c r="L240" s="21">
        <v>4150</v>
      </c>
      <c r="M240" s="155">
        <f t="shared" si="70"/>
        <v>95.13984410820726</v>
      </c>
    </row>
    <row r="241" spans="1:13" ht="12.75">
      <c r="A241" s="69" t="s">
        <v>106</v>
      </c>
      <c r="B241" s="71">
        <f t="shared" si="71"/>
        <v>4522</v>
      </c>
      <c r="C241" s="72">
        <f t="shared" si="72"/>
        <v>5140</v>
      </c>
      <c r="D241" s="18">
        <f t="shared" si="67"/>
        <v>4600</v>
      </c>
      <c r="E241" s="157">
        <f t="shared" si="68"/>
        <v>89.49416342412452</v>
      </c>
      <c r="F241" s="71">
        <v>34952</v>
      </c>
      <c r="G241" s="18">
        <v>36659</v>
      </c>
      <c r="H241" s="73">
        <v>10420</v>
      </c>
      <c r="I241" s="157">
        <f t="shared" si="69"/>
        <v>28.424125044327454</v>
      </c>
      <c r="J241" s="74">
        <v>5101</v>
      </c>
      <c r="K241" s="75">
        <f>4501+403</f>
        <v>4904</v>
      </c>
      <c r="L241" s="76">
        <v>4914</v>
      </c>
      <c r="M241" s="157">
        <f t="shared" si="70"/>
        <v>100.20391517128874</v>
      </c>
    </row>
    <row r="242" spans="1:13" s="122" customFormat="1" ht="12.75">
      <c r="A242" s="6" t="s">
        <v>107</v>
      </c>
      <c r="B242" s="3">
        <f t="shared" si="71"/>
        <v>10166</v>
      </c>
      <c r="C242" s="4">
        <f t="shared" si="72"/>
        <v>8998</v>
      </c>
      <c r="D242" s="1">
        <f t="shared" si="67"/>
        <v>9000</v>
      </c>
      <c r="E242" s="155">
        <f t="shared" si="68"/>
        <v>100.02222716159146</v>
      </c>
      <c r="F242" s="3">
        <v>50027</v>
      </c>
      <c r="G242" s="1">
        <v>52076</v>
      </c>
      <c r="H242" s="120">
        <v>16866</v>
      </c>
      <c r="I242" s="155">
        <f t="shared" si="69"/>
        <v>32.38728012904217</v>
      </c>
      <c r="J242" s="3">
        <v>9988</v>
      </c>
      <c r="K242" s="1">
        <v>8216</v>
      </c>
      <c r="L242" s="120">
        <v>7950</v>
      </c>
      <c r="M242" s="155">
        <f t="shared" si="70"/>
        <v>96.76241480038948</v>
      </c>
    </row>
    <row r="243" spans="1:13" ht="12.75">
      <c r="A243" s="44" t="s">
        <v>108</v>
      </c>
      <c r="B243" s="13">
        <f t="shared" si="71"/>
        <v>8302</v>
      </c>
      <c r="C243" s="47">
        <f t="shared" si="72"/>
        <v>8905</v>
      </c>
      <c r="D243" s="46">
        <f t="shared" si="67"/>
        <v>7930</v>
      </c>
      <c r="E243" s="156">
        <f t="shared" si="68"/>
        <v>89.05109489051095</v>
      </c>
      <c r="F243" s="13">
        <f>46303+3671</f>
        <v>49974</v>
      </c>
      <c r="G243" s="46">
        <v>51353</v>
      </c>
      <c r="H243" s="59">
        <v>18293</v>
      </c>
      <c r="I243" s="156">
        <f t="shared" si="69"/>
        <v>35.62206687048469</v>
      </c>
      <c r="J243" s="60">
        <f>6260+915</f>
        <v>7175</v>
      </c>
      <c r="K243" s="61">
        <v>8182</v>
      </c>
      <c r="L243" s="62">
        <v>6709</v>
      </c>
      <c r="M243" s="156">
        <f t="shared" si="70"/>
        <v>81.9970667318504</v>
      </c>
    </row>
    <row r="244" spans="1:13" ht="13.5" thickBot="1">
      <c r="A244" s="69" t="s">
        <v>109</v>
      </c>
      <c r="B244" s="71">
        <f t="shared" si="71"/>
        <v>750</v>
      </c>
      <c r="C244" s="72">
        <f t="shared" si="72"/>
        <v>786</v>
      </c>
      <c r="D244" s="18">
        <f t="shared" si="67"/>
        <v>888</v>
      </c>
      <c r="E244" s="157">
        <f t="shared" si="68"/>
        <v>112.97709923664124</v>
      </c>
      <c r="F244" s="71">
        <v>14633</v>
      </c>
      <c r="G244" s="18">
        <v>14930</v>
      </c>
      <c r="H244" s="73">
        <v>3089</v>
      </c>
      <c r="I244" s="157">
        <f t="shared" si="69"/>
        <v>20.689886135298057</v>
      </c>
      <c r="J244" s="74">
        <v>1208</v>
      </c>
      <c r="K244" s="75">
        <f>1160+167</f>
        <v>1327</v>
      </c>
      <c r="L244" s="76">
        <v>930</v>
      </c>
      <c r="M244" s="157">
        <f t="shared" si="70"/>
        <v>70.08289374529014</v>
      </c>
    </row>
    <row r="245" spans="1:13" ht="13.5" thickBot="1">
      <c r="A245" s="100"/>
      <c r="B245" s="101"/>
      <c r="C245" s="101"/>
      <c r="D245" s="101"/>
      <c r="E245" s="102"/>
      <c r="F245" s="101"/>
      <c r="G245" s="101"/>
      <c r="H245" s="101"/>
      <c r="I245" s="102"/>
      <c r="J245" s="104"/>
      <c r="K245" s="104"/>
      <c r="L245" s="104"/>
      <c r="M245" s="102"/>
    </row>
    <row r="246" spans="1:13" ht="13.5" thickBot="1">
      <c r="A246" s="77" t="s">
        <v>1</v>
      </c>
      <c r="B246" s="193" t="s">
        <v>86</v>
      </c>
      <c r="C246" s="194"/>
      <c r="D246" s="194"/>
      <c r="E246" s="195"/>
      <c r="F246" s="193" t="s">
        <v>6</v>
      </c>
      <c r="G246" s="194"/>
      <c r="H246" s="194"/>
      <c r="I246" s="195"/>
      <c r="J246" s="196" t="s">
        <v>87</v>
      </c>
      <c r="K246" s="197"/>
      <c r="L246" s="197"/>
      <c r="M246" s="198"/>
    </row>
    <row r="247" spans="1:13" ht="12.75">
      <c r="A247" s="6" t="s">
        <v>60</v>
      </c>
      <c r="B247" s="9">
        <v>1194</v>
      </c>
      <c r="C247" s="8">
        <v>1006</v>
      </c>
      <c r="D247" s="11">
        <v>1000</v>
      </c>
      <c r="E247" s="155">
        <f aca="true" t="shared" si="73" ref="E247:E257">IF(C247=0,"0,00",(D247/C247)*100)</f>
        <v>99.40357852882704</v>
      </c>
      <c r="F247" s="9">
        <v>421</v>
      </c>
      <c r="G247" s="8">
        <v>383</v>
      </c>
      <c r="H247" s="14">
        <v>350</v>
      </c>
      <c r="I247" s="178">
        <f aca="true" t="shared" si="74" ref="I247:I257">IF(G247=0,"0,00",(H247/G247)*100)</f>
        <v>91.38381201044386</v>
      </c>
      <c r="J247" s="9">
        <v>11891</v>
      </c>
      <c r="K247" s="8">
        <v>11530</v>
      </c>
      <c r="L247" s="8">
        <v>0</v>
      </c>
      <c r="M247" s="155">
        <f aca="true" t="shared" si="75" ref="M247:M257">IF(K247=0,"0,00",(L247/K247)*100)</f>
        <v>0</v>
      </c>
    </row>
    <row r="248" spans="1:13" ht="12.75">
      <c r="A248" s="6" t="s">
        <v>24</v>
      </c>
      <c r="B248" s="9">
        <v>591</v>
      </c>
      <c r="C248" s="8">
        <v>653</v>
      </c>
      <c r="D248" s="11">
        <v>700</v>
      </c>
      <c r="E248" s="155">
        <f t="shared" si="73"/>
        <v>107.19754977029096</v>
      </c>
      <c r="F248" s="9">
        <v>117</v>
      </c>
      <c r="G248" s="8">
        <v>245</v>
      </c>
      <c r="H248" s="14">
        <v>145</v>
      </c>
      <c r="I248" s="178">
        <f t="shared" si="74"/>
        <v>59.183673469387756</v>
      </c>
      <c r="J248" s="9">
        <v>7635</v>
      </c>
      <c r="K248" s="8">
        <v>8459</v>
      </c>
      <c r="L248" s="8">
        <v>35</v>
      </c>
      <c r="M248" s="155">
        <f t="shared" si="75"/>
        <v>0.41376049178389884</v>
      </c>
    </row>
    <row r="249" spans="1:13" ht="12.75">
      <c r="A249" s="83" t="s">
        <v>133</v>
      </c>
      <c r="B249" s="9">
        <v>6214</v>
      </c>
      <c r="C249" s="8">
        <v>6279</v>
      </c>
      <c r="D249" s="11">
        <v>6196</v>
      </c>
      <c r="E249" s="155">
        <f t="shared" si="73"/>
        <v>98.67813346074216</v>
      </c>
      <c r="F249" s="9">
        <v>2488</v>
      </c>
      <c r="G249" s="8">
        <v>2060</v>
      </c>
      <c r="H249" s="14">
        <v>2200</v>
      </c>
      <c r="I249" s="178">
        <f t="shared" si="74"/>
        <v>106.79611650485437</v>
      </c>
      <c r="J249" s="9">
        <v>48839</v>
      </c>
      <c r="K249" s="8">
        <v>46854</v>
      </c>
      <c r="L249" s="8">
        <v>3600</v>
      </c>
      <c r="M249" s="155">
        <f t="shared" si="75"/>
        <v>7.68344218209758</v>
      </c>
    </row>
    <row r="250" spans="1:13" ht="12.75">
      <c r="A250" s="44" t="s">
        <v>104</v>
      </c>
      <c r="B250" s="9">
        <v>1166</v>
      </c>
      <c r="C250" s="8">
        <v>997</v>
      </c>
      <c r="D250" s="11">
        <v>1210</v>
      </c>
      <c r="E250" s="155">
        <f t="shared" si="73"/>
        <v>121.36409227683049</v>
      </c>
      <c r="F250" s="9">
        <v>228</v>
      </c>
      <c r="G250" s="8">
        <v>560</v>
      </c>
      <c r="H250" s="14">
        <v>140</v>
      </c>
      <c r="I250" s="178">
        <f t="shared" si="74"/>
        <v>25</v>
      </c>
      <c r="J250" s="9">
        <v>10041</v>
      </c>
      <c r="K250" s="8">
        <v>10649</v>
      </c>
      <c r="L250" s="8">
        <v>926</v>
      </c>
      <c r="M250" s="155">
        <f t="shared" si="75"/>
        <v>8.695652173913043</v>
      </c>
    </row>
    <row r="251" spans="1:13" ht="12.75">
      <c r="A251" s="6" t="s">
        <v>80</v>
      </c>
      <c r="B251" s="9">
        <v>1287</v>
      </c>
      <c r="C251" s="8">
        <v>2029</v>
      </c>
      <c r="D251" s="11">
        <v>2521</v>
      </c>
      <c r="E251" s="155">
        <f t="shared" si="73"/>
        <v>124.24839822572696</v>
      </c>
      <c r="F251" s="9">
        <v>804</v>
      </c>
      <c r="G251" s="8">
        <v>404</v>
      </c>
      <c r="H251" s="14">
        <v>650</v>
      </c>
      <c r="I251" s="178">
        <f t="shared" si="74"/>
        <v>160.8910891089109</v>
      </c>
      <c r="J251" s="9">
        <v>18403</v>
      </c>
      <c r="K251" s="8">
        <v>19975</v>
      </c>
      <c r="L251" s="8">
        <v>990</v>
      </c>
      <c r="M251" s="155">
        <f t="shared" si="75"/>
        <v>4.956195244055069</v>
      </c>
    </row>
    <row r="252" spans="1:13" ht="12.75">
      <c r="A252" s="6" t="s">
        <v>105</v>
      </c>
      <c r="B252" s="9">
        <v>5293</v>
      </c>
      <c r="C252" s="8">
        <v>5868</v>
      </c>
      <c r="D252" s="11">
        <v>5320</v>
      </c>
      <c r="E252" s="155">
        <f t="shared" si="73"/>
        <v>90.66121336059987</v>
      </c>
      <c r="F252" s="9">
        <v>1200</v>
      </c>
      <c r="G252" s="8">
        <v>1293</v>
      </c>
      <c r="H252" s="14">
        <v>1200</v>
      </c>
      <c r="I252" s="178">
        <f t="shared" si="74"/>
        <v>92.80742459396751</v>
      </c>
      <c r="J252" s="9">
        <v>29854</v>
      </c>
      <c r="K252" s="8">
        <v>32569</v>
      </c>
      <c r="L252" s="8">
        <v>607</v>
      </c>
      <c r="M252" s="155">
        <f t="shared" si="75"/>
        <v>1.8637354539592865</v>
      </c>
    </row>
    <row r="253" spans="1:13" ht="12.75">
      <c r="A253" s="6" t="s">
        <v>81</v>
      </c>
      <c r="B253" s="9">
        <v>1909</v>
      </c>
      <c r="C253" s="8">
        <v>1967</v>
      </c>
      <c r="D253" s="11">
        <v>2183</v>
      </c>
      <c r="E253" s="155">
        <f t="shared" si="73"/>
        <v>110.98118962887646</v>
      </c>
      <c r="F253" s="9">
        <v>382</v>
      </c>
      <c r="G253" s="8">
        <v>244</v>
      </c>
      <c r="H253" s="14">
        <v>311</v>
      </c>
      <c r="I253" s="178">
        <f t="shared" si="74"/>
        <v>127.45901639344261</v>
      </c>
      <c r="J253" s="9">
        <v>18209</v>
      </c>
      <c r="K253" s="8">
        <v>17966</v>
      </c>
      <c r="L253" s="8">
        <v>390</v>
      </c>
      <c r="M253" s="155">
        <f t="shared" si="75"/>
        <v>2.170767004341534</v>
      </c>
    </row>
    <row r="254" spans="1:13" ht="12.75">
      <c r="A254" s="69" t="s">
        <v>106</v>
      </c>
      <c r="B254" s="71">
        <v>1926</v>
      </c>
      <c r="C254" s="18">
        <v>2022</v>
      </c>
      <c r="D254" s="73">
        <v>2300</v>
      </c>
      <c r="E254" s="157">
        <f t="shared" si="73"/>
        <v>113.74876360039565</v>
      </c>
      <c r="F254" s="71">
        <v>1709</v>
      </c>
      <c r="G254" s="18">
        <v>2172</v>
      </c>
      <c r="H254" s="22">
        <v>1000</v>
      </c>
      <c r="I254" s="162">
        <f t="shared" si="74"/>
        <v>46.04051565377532</v>
      </c>
      <c r="J254" s="71">
        <v>17527</v>
      </c>
      <c r="K254" s="18">
        <v>18493</v>
      </c>
      <c r="L254" s="18">
        <v>0</v>
      </c>
      <c r="M254" s="157">
        <f t="shared" si="75"/>
        <v>0</v>
      </c>
    </row>
    <row r="255" spans="1:13" s="122" customFormat="1" ht="12.75">
      <c r="A255" s="6" t="s">
        <v>107</v>
      </c>
      <c r="B255" s="3">
        <v>3130</v>
      </c>
      <c r="C255" s="1">
        <v>3218</v>
      </c>
      <c r="D255" s="120">
        <v>3500</v>
      </c>
      <c r="E255" s="155">
        <f t="shared" si="73"/>
        <v>108.76320696084525</v>
      </c>
      <c r="F255" s="3">
        <v>861</v>
      </c>
      <c r="G255" s="1">
        <v>1414</v>
      </c>
      <c r="H255" s="121">
        <v>565</v>
      </c>
      <c r="I255" s="178">
        <f t="shared" si="74"/>
        <v>39.95756718528995</v>
      </c>
      <c r="J255" s="3">
        <v>23634</v>
      </c>
      <c r="K255" s="1">
        <v>25110</v>
      </c>
      <c r="L255" s="121">
        <v>750</v>
      </c>
      <c r="M255" s="155">
        <f t="shared" si="75"/>
        <v>2.986857825567503</v>
      </c>
    </row>
    <row r="256" spans="1:13" ht="12.75">
      <c r="A256" s="44" t="s">
        <v>108</v>
      </c>
      <c r="B256" s="13">
        <f>2681+37</f>
        <v>2718</v>
      </c>
      <c r="C256" s="46">
        <v>3081</v>
      </c>
      <c r="D256" s="59">
        <v>2846</v>
      </c>
      <c r="E256" s="156">
        <f t="shared" si="73"/>
        <v>92.37260629665694</v>
      </c>
      <c r="F256" s="13">
        <f>2368+33</f>
        <v>2401</v>
      </c>
      <c r="G256" s="46">
        <v>2092</v>
      </c>
      <c r="H256" s="66">
        <v>1520</v>
      </c>
      <c r="I256" s="180">
        <f t="shared" si="74"/>
        <v>72.65774378585085</v>
      </c>
      <c r="J256" s="13">
        <f>22699+696</f>
        <v>23395</v>
      </c>
      <c r="K256" s="46">
        <v>23009</v>
      </c>
      <c r="L256" s="46">
        <v>1926</v>
      </c>
      <c r="M256" s="156">
        <f t="shared" si="75"/>
        <v>8.37063757660046</v>
      </c>
    </row>
    <row r="257" spans="1:13" ht="13.5" thickBot="1">
      <c r="A257" s="69" t="s">
        <v>109</v>
      </c>
      <c r="B257" s="71">
        <v>463</v>
      </c>
      <c r="C257" s="18">
        <v>482</v>
      </c>
      <c r="D257" s="73">
        <v>630</v>
      </c>
      <c r="E257" s="157">
        <f t="shared" si="73"/>
        <v>130.70539419087137</v>
      </c>
      <c r="F257" s="71">
        <v>127</v>
      </c>
      <c r="G257" s="18">
        <v>308</v>
      </c>
      <c r="H257" s="22">
        <v>551</v>
      </c>
      <c r="I257" s="162">
        <f t="shared" si="74"/>
        <v>178.89610389610388</v>
      </c>
      <c r="J257" s="71">
        <v>8709</v>
      </c>
      <c r="K257" s="18">
        <v>8663</v>
      </c>
      <c r="L257" s="18">
        <v>0</v>
      </c>
      <c r="M257" s="157">
        <f t="shared" si="75"/>
        <v>0</v>
      </c>
    </row>
    <row r="258" spans="1:13" ht="13.5" thickBot="1">
      <c r="A258" s="100"/>
      <c r="B258" s="101"/>
      <c r="C258" s="101"/>
      <c r="D258" s="101"/>
      <c r="E258" s="102"/>
      <c r="F258" s="101"/>
      <c r="G258" s="101"/>
      <c r="H258" s="101"/>
      <c r="I258" s="102"/>
      <c r="J258" s="101"/>
      <c r="K258" s="101"/>
      <c r="L258" s="101"/>
      <c r="M258" s="102"/>
    </row>
    <row r="259" spans="1:13" ht="13.5" thickBot="1">
      <c r="A259" s="77" t="s">
        <v>1</v>
      </c>
      <c r="B259" s="193" t="s">
        <v>7</v>
      </c>
      <c r="C259" s="194"/>
      <c r="D259" s="194"/>
      <c r="E259" s="195"/>
      <c r="F259" s="196" t="s">
        <v>8</v>
      </c>
      <c r="G259" s="197"/>
      <c r="H259" s="197"/>
      <c r="I259" s="198"/>
      <c r="J259" s="199"/>
      <c r="K259" s="200"/>
      <c r="L259" s="200"/>
      <c r="M259" s="200"/>
    </row>
    <row r="260" spans="1:13" ht="12.75">
      <c r="A260" s="6" t="s">
        <v>60</v>
      </c>
      <c r="B260" s="9">
        <v>395</v>
      </c>
      <c r="C260" s="8">
        <v>398</v>
      </c>
      <c r="D260" s="11">
        <v>417</v>
      </c>
      <c r="E260" s="155">
        <f aca="true" t="shared" si="76" ref="E260:E270">IF(C260=0,"0,00",(D260/C260)*100)</f>
        <v>104.77386934673368</v>
      </c>
      <c r="F260" s="9">
        <f>B221-F234</f>
        <v>10</v>
      </c>
      <c r="G260" s="8">
        <f>C221-G234</f>
        <v>176</v>
      </c>
      <c r="H260" s="14">
        <f>D221-H234</f>
        <v>74</v>
      </c>
      <c r="I260" s="178">
        <f aca="true" t="shared" si="77" ref="I260:I270">IF(G260=0,"0,00",(H260/G260)*100)</f>
        <v>42.04545454545455</v>
      </c>
      <c r="J260" s="105"/>
      <c r="K260" s="106"/>
      <c r="L260" s="106"/>
      <c r="M260" s="106"/>
    </row>
    <row r="261" spans="1:13" ht="12.75">
      <c r="A261" s="6" t="s">
        <v>24</v>
      </c>
      <c r="B261" s="9">
        <v>367</v>
      </c>
      <c r="C261" s="8">
        <v>395</v>
      </c>
      <c r="D261" s="11">
        <v>425</v>
      </c>
      <c r="E261" s="155">
        <f t="shared" si="76"/>
        <v>107.59493670886076</v>
      </c>
      <c r="F261" s="9">
        <f aca="true" t="shared" si="78" ref="F261:F270">B222-F235</f>
        <v>85</v>
      </c>
      <c r="G261" s="8">
        <f aca="true" t="shared" si="79" ref="G261:G270">C222-G235</f>
        <v>34</v>
      </c>
      <c r="H261" s="14">
        <f aca="true" t="shared" si="80" ref="H261:H270">D222-H235</f>
        <v>60</v>
      </c>
      <c r="I261" s="178">
        <f t="shared" si="77"/>
        <v>176.47058823529412</v>
      </c>
      <c r="J261" s="105"/>
      <c r="K261" s="106"/>
      <c r="L261" s="106"/>
      <c r="M261" s="106"/>
    </row>
    <row r="262" spans="1:13" ht="12.75">
      <c r="A262" s="83" t="s">
        <v>133</v>
      </c>
      <c r="B262" s="9">
        <v>2546</v>
      </c>
      <c r="C262" s="8">
        <v>2972</v>
      </c>
      <c r="D262" s="11">
        <v>3019</v>
      </c>
      <c r="E262" s="155">
        <f t="shared" si="76"/>
        <v>101.5814266487214</v>
      </c>
      <c r="F262" s="9">
        <f t="shared" si="78"/>
        <v>190</v>
      </c>
      <c r="G262" s="8">
        <f t="shared" si="79"/>
        <v>196</v>
      </c>
      <c r="H262" s="14">
        <f t="shared" si="80"/>
        <v>157</v>
      </c>
      <c r="I262" s="178">
        <f t="shared" si="77"/>
        <v>80.10204081632652</v>
      </c>
      <c r="J262" s="105"/>
      <c r="K262" s="106"/>
      <c r="L262" s="106"/>
      <c r="M262" s="106"/>
    </row>
    <row r="263" spans="1:13" ht="12.75">
      <c r="A263" s="44" t="s">
        <v>104</v>
      </c>
      <c r="B263" s="9">
        <v>415</v>
      </c>
      <c r="C263" s="8">
        <v>398</v>
      </c>
      <c r="D263" s="11">
        <v>402</v>
      </c>
      <c r="E263" s="155">
        <f t="shared" si="76"/>
        <v>101.00502512562815</v>
      </c>
      <c r="F263" s="9">
        <f t="shared" si="78"/>
        <v>133</v>
      </c>
      <c r="G263" s="8">
        <f t="shared" si="79"/>
        <v>241</v>
      </c>
      <c r="H263" s="14">
        <f t="shared" si="80"/>
        <v>65</v>
      </c>
      <c r="I263" s="178">
        <f t="shared" si="77"/>
        <v>26.970954356846473</v>
      </c>
      <c r="J263" s="85"/>
      <c r="K263" s="91"/>
      <c r="L263" s="91"/>
      <c r="M263" s="103"/>
    </row>
    <row r="264" spans="1:13" ht="12.75">
      <c r="A264" s="6" t="s">
        <v>80</v>
      </c>
      <c r="B264" s="9">
        <v>984</v>
      </c>
      <c r="C264" s="8">
        <v>1436</v>
      </c>
      <c r="D264" s="11">
        <v>1560</v>
      </c>
      <c r="E264" s="155">
        <f t="shared" si="76"/>
        <v>108.63509749303621</v>
      </c>
      <c r="F264" s="9">
        <f t="shared" si="78"/>
        <v>379</v>
      </c>
      <c r="G264" s="8">
        <f t="shared" si="79"/>
        <v>128</v>
      </c>
      <c r="H264" s="14">
        <f t="shared" si="80"/>
        <v>135</v>
      </c>
      <c r="I264" s="178">
        <f t="shared" si="77"/>
        <v>105.46875</v>
      </c>
      <c r="J264" s="85"/>
      <c r="K264" s="91"/>
      <c r="L264" s="91"/>
      <c r="M264" s="103"/>
    </row>
    <row r="265" spans="1:13" ht="12.75">
      <c r="A265" s="6" t="s">
        <v>105</v>
      </c>
      <c r="B265" s="9">
        <v>2453</v>
      </c>
      <c r="C265" s="8">
        <v>2486</v>
      </c>
      <c r="D265" s="11">
        <v>2529</v>
      </c>
      <c r="E265" s="155">
        <f t="shared" si="76"/>
        <v>101.72968624296057</v>
      </c>
      <c r="F265" s="9">
        <f t="shared" si="78"/>
        <v>396</v>
      </c>
      <c r="G265" s="8">
        <f t="shared" si="79"/>
        <v>418</v>
      </c>
      <c r="H265" s="14">
        <f t="shared" si="80"/>
        <v>243</v>
      </c>
      <c r="I265" s="178">
        <f t="shared" si="77"/>
        <v>58.133971291866025</v>
      </c>
      <c r="J265" s="85"/>
      <c r="K265" s="91"/>
      <c r="L265" s="91"/>
      <c r="M265" s="103"/>
    </row>
    <row r="266" spans="1:13" ht="12.75">
      <c r="A266" s="6" t="s">
        <v>81</v>
      </c>
      <c r="B266" s="9">
        <v>626</v>
      </c>
      <c r="C266" s="8">
        <v>644</v>
      </c>
      <c r="D266" s="11">
        <v>700</v>
      </c>
      <c r="E266" s="155">
        <f t="shared" si="76"/>
        <v>108.69565217391303</v>
      </c>
      <c r="F266" s="9">
        <f t="shared" si="78"/>
        <v>452</v>
      </c>
      <c r="G266" s="8">
        <f t="shared" si="79"/>
        <v>284</v>
      </c>
      <c r="H266" s="14">
        <f t="shared" si="80"/>
        <v>183</v>
      </c>
      <c r="I266" s="178">
        <f t="shared" si="77"/>
        <v>64.43661971830986</v>
      </c>
      <c r="J266" s="85"/>
      <c r="K266" s="91"/>
      <c r="L266" s="91"/>
      <c r="M266" s="103"/>
    </row>
    <row r="267" spans="1:13" ht="12.75">
      <c r="A267" s="69" t="s">
        <v>106</v>
      </c>
      <c r="B267" s="71">
        <v>751</v>
      </c>
      <c r="C267" s="18">
        <v>781</v>
      </c>
      <c r="D267" s="73">
        <v>780</v>
      </c>
      <c r="E267" s="157">
        <f t="shared" si="76"/>
        <v>99.8719590268886</v>
      </c>
      <c r="F267" s="71">
        <f t="shared" si="78"/>
        <v>0</v>
      </c>
      <c r="G267" s="18">
        <f t="shared" si="79"/>
        <v>50</v>
      </c>
      <c r="H267" s="22">
        <f t="shared" si="80"/>
        <v>0</v>
      </c>
      <c r="I267" s="162">
        <f t="shared" si="77"/>
        <v>0</v>
      </c>
      <c r="J267" s="85"/>
      <c r="K267" s="91"/>
      <c r="L267" s="91"/>
      <c r="M267" s="103"/>
    </row>
    <row r="268" spans="1:13" s="122" customFormat="1" ht="12.75">
      <c r="A268" s="6" t="s">
        <v>107</v>
      </c>
      <c r="B268" s="3">
        <v>1155</v>
      </c>
      <c r="C268" s="1">
        <v>1157</v>
      </c>
      <c r="D268" s="120">
        <v>1160</v>
      </c>
      <c r="E268" s="155">
        <f t="shared" si="76"/>
        <v>100.25929127052721</v>
      </c>
      <c r="F268" s="3">
        <f t="shared" si="78"/>
        <v>23</v>
      </c>
      <c r="G268" s="1">
        <f t="shared" si="79"/>
        <v>272</v>
      </c>
      <c r="H268" s="121">
        <f t="shared" si="80"/>
        <v>40</v>
      </c>
      <c r="I268" s="155">
        <f t="shared" si="77"/>
        <v>14.705882352941178</v>
      </c>
      <c r="J268" s="98"/>
      <c r="K268" s="89"/>
      <c r="L268" s="89"/>
      <c r="M268" s="103"/>
    </row>
    <row r="269" spans="1:13" ht="12.75">
      <c r="A269" s="44" t="s">
        <v>108</v>
      </c>
      <c r="B269" s="13">
        <f>1019+144</f>
        <v>1163</v>
      </c>
      <c r="C269" s="46">
        <v>1118</v>
      </c>
      <c r="D269" s="59">
        <v>1085</v>
      </c>
      <c r="E269" s="156">
        <f t="shared" si="76"/>
        <v>97.04830053667263</v>
      </c>
      <c r="F269" s="13">
        <f>B230-F243</f>
        <v>-676</v>
      </c>
      <c r="G269" s="46">
        <f t="shared" si="79"/>
        <v>-1065</v>
      </c>
      <c r="H269" s="66">
        <f t="shared" si="80"/>
        <v>0</v>
      </c>
      <c r="I269" s="180">
        <f t="shared" si="77"/>
        <v>0</v>
      </c>
      <c r="J269" s="85"/>
      <c r="K269" s="91"/>
      <c r="L269" s="91"/>
      <c r="M269" s="103"/>
    </row>
    <row r="270" spans="1:13" ht="13.5" thickBot="1">
      <c r="A270" s="134" t="s">
        <v>109</v>
      </c>
      <c r="B270" s="16">
        <v>65</v>
      </c>
      <c r="C270" s="15">
        <v>73</v>
      </c>
      <c r="D270" s="63">
        <v>88</v>
      </c>
      <c r="E270" s="158">
        <f t="shared" si="76"/>
        <v>120.54794520547945</v>
      </c>
      <c r="F270" s="16">
        <f t="shared" si="78"/>
        <v>28</v>
      </c>
      <c r="G270" s="15">
        <f t="shared" si="79"/>
        <v>66</v>
      </c>
      <c r="H270" s="17">
        <f t="shared" si="80"/>
        <v>52</v>
      </c>
      <c r="I270" s="158">
        <f t="shared" si="77"/>
        <v>78.78787878787878</v>
      </c>
      <c r="J270" s="85"/>
      <c r="K270" s="91"/>
      <c r="L270" s="91"/>
      <c r="M270" s="103"/>
    </row>
    <row r="271" spans="1:13" ht="15">
      <c r="A271" s="192" t="s">
        <v>91</v>
      </c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</row>
    <row r="272" spans="1:13" ht="13.5" thickBot="1">
      <c r="A272" s="26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27" customHeight="1">
      <c r="A273" s="214" t="s">
        <v>1</v>
      </c>
      <c r="B273" s="201" t="s">
        <v>0</v>
      </c>
      <c r="C273" s="202"/>
      <c r="D273" s="202"/>
      <c r="E273" s="203"/>
      <c r="F273" s="204" t="s">
        <v>65</v>
      </c>
      <c r="G273" s="205"/>
      <c r="H273" s="205"/>
      <c r="I273" s="205"/>
      <c r="J273" s="206" t="s">
        <v>77</v>
      </c>
      <c r="K273" s="207"/>
      <c r="L273" s="207"/>
      <c r="M273" s="208"/>
    </row>
    <row r="274" spans="1:13" ht="12.75">
      <c r="A274" s="215"/>
      <c r="B274" s="29" t="s">
        <v>2</v>
      </c>
      <c r="C274" s="30" t="s">
        <v>2</v>
      </c>
      <c r="D274" s="30" t="s">
        <v>3</v>
      </c>
      <c r="E274" s="31" t="s">
        <v>4</v>
      </c>
      <c r="F274" s="29" t="s">
        <v>2</v>
      </c>
      <c r="G274" s="30" t="s">
        <v>2</v>
      </c>
      <c r="H274" s="30" t="s">
        <v>3</v>
      </c>
      <c r="I274" s="31" t="s">
        <v>4</v>
      </c>
      <c r="J274" s="29" t="s">
        <v>2</v>
      </c>
      <c r="K274" s="30" t="s">
        <v>2</v>
      </c>
      <c r="L274" s="30" t="s">
        <v>3</v>
      </c>
      <c r="M274" s="31" t="s">
        <v>4</v>
      </c>
    </row>
    <row r="275" spans="1:13" ht="13.5" thickBot="1">
      <c r="A275" s="216"/>
      <c r="B275" s="32">
        <v>2004</v>
      </c>
      <c r="C275" s="33">
        <v>2005</v>
      </c>
      <c r="D275" s="33">
        <v>2006</v>
      </c>
      <c r="E275" s="34" t="s">
        <v>130</v>
      </c>
      <c r="F275" s="32">
        <v>2004</v>
      </c>
      <c r="G275" s="33">
        <v>2005</v>
      </c>
      <c r="H275" s="33">
        <v>2006</v>
      </c>
      <c r="I275" s="34" t="s">
        <v>130</v>
      </c>
      <c r="J275" s="32">
        <v>2004</v>
      </c>
      <c r="K275" s="33">
        <v>2005</v>
      </c>
      <c r="L275" s="33">
        <v>2006</v>
      </c>
      <c r="M275" s="34" t="s">
        <v>130</v>
      </c>
    </row>
    <row r="276" spans="1:13" s="139" customFormat="1" ht="13.5" thickBot="1">
      <c r="A276" s="77" t="s">
        <v>25</v>
      </c>
      <c r="B276" s="135">
        <f>SUM(B277:B285)+B286+B331+B332+B333+B334+B335+B336</f>
        <v>626415</v>
      </c>
      <c r="C276" s="136">
        <f>SUM(C277:C285)+C286+C331+C332+C333+C334+C335+C336</f>
        <v>645688</v>
      </c>
      <c r="D276" s="136">
        <f>SUM(D277:D285)+D286+D331+D332+D333+D334+D335+D336</f>
        <v>213907</v>
      </c>
      <c r="E276" s="119">
        <f aca="true" t="shared" si="81" ref="E276:E286">IF(C276=0,"0,00",(D276/C276)*100)</f>
        <v>33.12853886087399</v>
      </c>
      <c r="F276" s="137">
        <f>SUM(F277:F285)+F286+F331+F332+F333+F334+F335+F336</f>
        <v>115263</v>
      </c>
      <c r="G276" s="138">
        <f>SUM(G277:G285)+G286+G331+G332+G333+G334+G335+G336</f>
        <v>119398</v>
      </c>
      <c r="H276" s="136">
        <f>SUM(H277:H285)+H286+H331+H332+H333+H334+H335+H336</f>
        <v>118139</v>
      </c>
      <c r="I276" s="181">
        <f aca="true" t="shared" si="82" ref="I276:I286">IF(G276=0,"0,00",(H276/G276)*100)</f>
        <v>98.94554347644015</v>
      </c>
      <c r="J276" s="135">
        <f>SUM(J277:J285)+J286+J331+J332+J333+J334+J335+J336</f>
        <v>405025</v>
      </c>
      <c r="K276" s="136">
        <f>SUM(K277:K285)+K286+K331+K332+K333+K334+K335+K336</f>
        <v>423936</v>
      </c>
      <c r="L276" s="136">
        <f>SUM(L277:L285)+L286+L331+L332+L333+L334+L335+L336</f>
        <v>0</v>
      </c>
      <c r="M276" s="183">
        <f aca="true" t="shared" si="83" ref="M276:M286">IF(K276=0,"0,00",(L276/K276)*100)</f>
        <v>0</v>
      </c>
    </row>
    <row r="277" spans="1:13" ht="12.75">
      <c r="A277" s="44" t="s">
        <v>26</v>
      </c>
      <c r="B277" s="45">
        <v>23294</v>
      </c>
      <c r="C277" s="46">
        <f>8523+16599</f>
        <v>25122</v>
      </c>
      <c r="D277" s="46">
        <f>8330</f>
        <v>8330</v>
      </c>
      <c r="E277" s="156">
        <f t="shared" si="81"/>
        <v>33.158188042353316</v>
      </c>
      <c r="F277" s="13">
        <v>4322</v>
      </c>
      <c r="G277" s="47">
        <v>4481</v>
      </c>
      <c r="H277" s="46">
        <v>4656</v>
      </c>
      <c r="I277" s="180">
        <f t="shared" si="82"/>
        <v>103.9053782637804</v>
      </c>
      <c r="J277" s="45">
        <v>15683</v>
      </c>
      <c r="K277" s="46">
        <f>16599</f>
        <v>16599</v>
      </c>
      <c r="L277" s="46">
        <v>0</v>
      </c>
      <c r="M277" s="186">
        <f t="shared" si="83"/>
        <v>0</v>
      </c>
    </row>
    <row r="278" spans="1:13" ht="12.75">
      <c r="A278" s="83" t="s">
        <v>110</v>
      </c>
      <c r="B278" s="7">
        <v>48030</v>
      </c>
      <c r="C278" s="8">
        <f>14901+35090</f>
        <v>49991</v>
      </c>
      <c r="D278" s="8">
        <f>15904</f>
        <v>15904</v>
      </c>
      <c r="E278" s="155">
        <f t="shared" si="81"/>
        <v>31.813726470764735</v>
      </c>
      <c r="F278" s="9">
        <v>7610</v>
      </c>
      <c r="G278" s="10">
        <v>7938</v>
      </c>
      <c r="H278" s="8">
        <v>8222</v>
      </c>
      <c r="I278" s="178">
        <f t="shared" si="82"/>
        <v>103.5777273872512</v>
      </c>
      <c r="J278" s="7">
        <v>33729</v>
      </c>
      <c r="K278" s="8">
        <v>35090</v>
      </c>
      <c r="L278" s="8">
        <v>0</v>
      </c>
      <c r="M278" s="184">
        <f t="shared" si="83"/>
        <v>0</v>
      </c>
    </row>
    <row r="279" spans="1:13" ht="12.75">
      <c r="A279" s="44" t="s">
        <v>111</v>
      </c>
      <c r="B279" s="45">
        <v>39651</v>
      </c>
      <c r="C279" s="46">
        <f>19598+21737</f>
        <v>41335</v>
      </c>
      <c r="D279" s="46">
        <v>19025</v>
      </c>
      <c r="E279" s="161">
        <f t="shared" si="81"/>
        <v>46.026369904439335</v>
      </c>
      <c r="F279" s="45">
        <v>7773</v>
      </c>
      <c r="G279" s="46">
        <v>8598</v>
      </c>
      <c r="H279" s="46">
        <v>9193</v>
      </c>
      <c r="I279" s="179">
        <f t="shared" si="82"/>
        <v>106.92021400325658</v>
      </c>
      <c r="J279" s="45">
        <v>19442</v>
      </c>
      <c r="K279" s="46">
        <v>21737</v>
      </c>
      <c r="L279" s="46">
        <v>0</v>
      </c>
      <c r="M279" s="186">
        <f t="shared" si="83"/>
        <v>0</v>
      </c>
    </row>
    <row r="280" spans="1:13" ht="12.75">
      <c r="A280" s="6" t="s">
        <v>112</v>
      </c>
      <c r="B280" s="7">
        <v>62592</v>
      </c>
      <c r="C280" s="8">
        <f>22202+43196</f>
        <v>65398</v>
      </c>
      <c r="D280" s="8">
        <f>23337+0</f>
        <v>23337</v>
      </c>
      <c r="E280" s="155">
        <f t="shared" si="81"/>
        <v>35.6845775100156</v>
      </c>
      <c r="F280" s="9">
        <v>11111</v>
      </c>
      <c r="G280" s="10">
        <v>11536</v>
      </c>
      <c r="H280" s="8">
        <v>11842</v>
      </c>
      <c r="I280" s="178">
        <f t="shared" si="82"/>
        <v>102.65256588072123</v>
      </c>
      <c r="J280" s="7">
        <v>41300</v>
      </c>
      <c r="K280" s="8">
        <v>43196</v>
      </c>
      <c r="L280" s="8">
        <v>0</v>
      </c>
      <c r="M280" s="184">
        <f t="shared" si="83"/>
        <v>0</v>
      </c>
    </row>
    <row r="281" spans="1:13" ht="12.75">
      <c r="A281" s="6" t="s">
        <v>27</v>
      </c>
      <c r="B281" s="7">
        <v>24011</v>
      </c>
      <c r="C281" s="8">
        <f>9854+15144</f>
        <v>24998</v>
      </c>
      <c r="D281" s="8">
        <f>10332</f>
        <v>10332</v>
      </c>
      <c r="E281" s="155">
        <f t="shared" si="81"/>
        <v>41.33130650452036</v>
      </c>
      <c r="F281" s="9">
        <v>4313</v>
      </c>
      <c r="G281" s="10">
        <f>4217</f>
        <v>4217</v>
      </c>
      <c r="H281" s="8">
        <v>4502</v>
      </c>
      <c r="I281" s="178">
        <f t="shared" si="82"/>
        <v>106.75835902300213</v>
      </c>
      <c r="J281" s="7">
        <v>14308</v>
      </c>
      <c r="K281" s="8">
        <v>15144</v>
      </c>
      <c r="L281" s="8">
        <v>0</v>
      </c>
      <c r="M281" s="184">
        <f t="shared" si="83"/>
        <v>0</v>
      </c>
    </row>
    <row r="282" spans="1:13" ht="12.75">
      <c r="A282" s="6" t="s">
        <v>113</v>
      </c>
      <c r="B282" s="7">
        <f>62855+19459</f>
        <v>82314</v>
      </c>
      <c r="C282" s="8">
        <f>30424+50713</f>
        <v>81137</v>
      </c>
      <c r="D282" s="8">
        <f>29092</f>
        <v>29092</v>
      </c>
      <c r="E282" s="155">
        <f t="shared" si="81"/>
        <v>35.85540505564662</v>
      </c>
      <c r="F282" s="9">
        <f>10638+3353</f>
        <v>13991</v>
      </c>
      <c r="G282" s="10">
        <f>14092</f>
        <v>14092</v>
      </c>
      <c r="H282" s="8">
        <v>12212</v>
      </c>
      <c r="I282" s="178">
        <f t="shared" si="82"/>
        <v>86.65909736020437</v>
      </c>
      <c r="J282" s="7">
        <f>36457+15892</f>
        <v>52349</v>
      </c>
      <c r="K282" s="8">
        <v>50713</v>
      </c>
      <c r="L282" s="8">
        <v>0</v>
      </c>
      <c r="M282" s="184">
        <f t="shared" si="83"/>
        <v>0</v>
      </c>
    </row>
    <row r="283" spans="1:13" ht="12.75">
      <c r="A283" s="6" t="s">
        <v>74</v>
      </c>
      <c r="B283" s="7">
        <v>22036</v>
      </c>
      <c r="C283" s="8">
        <f>6545+18333</f>
        <v>24878</v>
      </c>
      <c r="D283" s="8">
        <v>6503</v>
      </c>
      <c r="E283" s="155">
        <f t="shared" si="81"/>
        <v>26.139561057962858</v>
      </c>
      <c r="F283" s="9">
        <v>4732</v>
      </c>
      <c r="G283" s="10">
        <v>5088</v>
      </c>
      <c r="H283" s="8">
        <v>4983</v>
      </c>
      <c r="I283" s="178">
        <f t="shared" si="82"/>
        <v>97.93632075471697</v>
      </c>
      <c r="J283" s="7">
        <v>15597</v>
      </c>
      <c r="K283" s="8">
        <v>18333</v>
      </c>
      <c r="L283" s="8">
        <v>0</v>
      </c>
      <c r="M283" s="184">
        <f t="shared" si="83"/>
        <v>0</v>
      </c>
    </row>
    <row r="284" spans="1:16" s="122" customFormat="1" ht="12.75">
      <c r="A284" s="44" t="s">
        <v>82</v>
      </c>
      <c r="B284" s="45">
        <v>40177</v>
      </c>
      <c r="C284" s="46">
        <f>16251+31210</f>
        <v>47461</v>
      </c>
      <c r="D284" s="46">
        <v>14544</v>
      </c>
      <c r="E284" s="156">
        <f t="shared" si="81"/>
        <v>30.644107793767517</v>
      </c>
      <c r="F284" s="13">
        <v>8203</v>
      </c>
      <c r="G284" s="47">
        <v>9179</v>
      </c>
      <c r="H284" s="46">
        <v>10274</v>
      </c>
      <c r="I284" s="180">
        <f t="shared" si="82"/>
        <v>111.92940407451792</v>
      </c>
      <c r="J284" s="45">
        <v>27750</v>
      </c>
      <c r="K284" s="46">
        <v>31210</v>
      </c>
      <c r="L284" s="46">
        <v>0</v>
      </c>
      <c r="M284" s="186">
        <f t="shared" si="83"/>
        <v>0</v>
      </c>
      <c r="N284" s="123"/>
      <c r="O284" s="123"/>
      <c r="P284" s="123"/>
    </row>
    <row r="285" spans="1:13" ht="12.75">
      <c r="A285" s="69" t="s">
        <v>83</v>
      </c>
      <c r="B285" s="70">
        <v>48131</v>
      </c>
      <c r="C285" s="18">
        <f>13089+37106</f>
        <v>50195</v>
      </c>
      <c r="D285" s="18">
        <v>12955</v>
      </c>
      <c r="E285" s="157">
        <f t="shared" si="81"/>
        <v>25.80934356011555</v>
      </c>
      <c r="F285" s="71">
        <v>8710</v>
      </c>
      <c r="G285" s="72">
        <v>8681</v>
      </c>
      <c r="H285" s="18">
        <v>8905</v>
      </c>
      <c r="I285" s="162">
        <f t="shared" si="82"/>
        <v>102.58034788618822</v>
      </c>
      <c r="J285" s="70">
        <v>34843</v>
      </c>
      <c r="K285" s="18">
        <v>37106</v>
      </c>
      <c r="L285" s="18">
        <v>0</v>
      </c>
      <c r="M285" s="187">
        <f t="shared" si="83"/>
        <v>0</v>
      </c>
    </row>
    <row r="286" spans="1:13" ht="13.5" thickBot="1">
      <c r="A286" s="6" t="s">
        <v>28</v>
      </c>
      <c r="B286" s="7">
        <v>33729</v>
      </c>
      <c r="C286" s="8">
        <f>16223+11924</f>
        <v>28147</v>
      </c>
      <c r="D286" s="8">
        <v>13362</v>
      </c>
      <c r="E286" s="155">
        <f t="shared" si="81"/>
        <v>47.47219952392795</v>
      </c>
      <c r="F286" s="9">
        <v>6411</v>
      </c>
      <c r="G286" s="10">
        <v>6334</v>
      </c>
      <c r="H286" s="8">
        <v>5899</v>
      </c>
      <c r="I286" s="178">
        <f t="shared" si="82"/>
        <v>93.1323018629618</v>
      </c>
      <c r="J286" s="7">
        <v>13463</v>
      </c>
      <c r="K286" s="8">
        <v>11924</v>
      </c>
      <c r="L286" s="8">
        <v>0</v>
      </c>
      <c r="M286" s="184">
        <f t="shared" si="83"/>
        <v>0</v>
      </c>
    </row>
    <row r="287" spans="1:13" ht="13.5" thickBot="1">
      <c r="A287" s="100"/>
      <c r="B287" s="101"/>
      <c r="C287" s="101"/>
      <c r="D287" s="101"/>
      <c r="E287" s="102"/>
      <c r="F287" s="101"/>
      <c r="G287" s="101"/>
      <c r="H287" s="101"/>
      <c r="I287" s="102"/>
      <c r="J287" s="101"/>
      <c r="K287" s="101"/>
      <c r="L287" s="101"/>
      <c r="M287" s="102"/>
    </row>
    <row r="288" spans="1:13" ht="13.5" thickBot="1">
      <c r="A288" s="40" t="s">
        <v>1</v>
      </c>
      <c r="B288" s="193" t="s">
        <v>66</v>
      </c>
      <c r="C288" s="194"/>
      <c r="D288" s="194"/>
      <c r="E288" s="195"/>
      <c r="F288" s="196" t="s">
        <v>5</v>
      </c>
      <c r="G288" s="197"/>
      <c r="H288" s="197"/>
      <c r="I288" s="198"/>
      <c r="J288" s="193" t="s">
        <v>85</v>
      </c>
      <c r="K288" s="194"/>
      <c r="L288" s="194"/>
      <c r="M288" s="195"/>
    </row>
    <row r="289" spans="1:13" s="139" customFormat="1" ht="13.5" thickBot="1">
      <c r="A289" s="77" t="s">
        <v>25</v>
      </c>
      <c r="B289" s="137">
        <f>SUM(B290:B298)+B299+B341+B342+B343+B344+B345+B346</f>
        <v>106127</v>
      </c>
      <c r="C289" s="138">
        <f>SUM(C290:C298)+C299+C341+C342+C343+C344+C345+C346</f>
        <v>102354</v>
      </c>
      <c r="D289" s="136">
        <f>SUM(D290:D298)+D299+D341+D342+D343+D344+D345+D346</f>
        <v>95768</v>
      </c>
      <c r="E289" s="119">
        <f aca="true" t="shared" si="84" ref="E289:E299">IF(C289=0,"0,00",(D289/C289)*100)</f>
        <v>93.56546886296579</v>
      </c>
      <c r="F289" s="137">
        <f>SUM(F290:F298)+F299+F341+F342+F343+F344+F345+F346</f>
        <v>622841</v>
      </c>
      <c r="G289" s="136">
        <f>SUM(G290:G298)+G299+G341+G342+G343+G344+G345+G346</f>
        <v>641538</v>
      </c>
      <c r="H289" s="140">
        <f>SUM(H290:H298)+H299+H341+H342+H343+H344+H345+H346</f>
        <v>212748</v>
      </c>
      <c r="I289" s="119">
        <f aca="true" t="shared" si="85" ref="I289:I299">IF(G289=0,"0,00",(H289/G289)*100)</f>
        <v>33.16218213106628</v>
      </c>
      <c r="J289" s="141">
        <f>SUM(J290:J298)+J299+J341+J342+J343+J344+J345+J346</f>
        <v>85530</v>
      </c>
      <c r="K289" s="142">
        <f>SUM(K290:K298)+K299+K341+K342+K343+K344+K345+K346</f>
        <v>83677</v>
      </c>
      <c r="L289" s="143">
        <f>SUM(L290:L298)+L299+L341+L342+L343+L344+L345+L346</f>
        <v>75050</v>
      </c>
      <c r="M289" s="119">
        <f aca="true" t="shared" si="86" ref="M289:M299">IF(K289=0,"0,00",(L289/K289)*100)</f>
        <v>89.69011795355952</v>
      </c>
    </row>
    <row r="290" spans="1:13" ht="12.75">
      <c r="A290" s="44" t="s">
        <v>26</v>
      </c>
      <c r="B290" s="13">
        <f>B277-F277-J277</f>
        <v>3289</v>
      </c>
      <c r="C290" s="47">
        <f>C277-G277-K277</f>
        <v>4042</v>
      </c>
      <c r="D290" s="46">
        <f>D277-H277-L277</f>
        <v>3674</v>
      </c>
      <c r="E290" s="156">
        <f t="shared" si="84"/>
        <v>90.8955962394854</v>
      </c>
      <c r="F290" s="13">
        <v>23230</v>
      </c>
      <c r="G290" s="46">
        <f>7682+17289</f>
        <v>24971</v>
      </c>
      <c r="H290" s="59">
        <f>7720+590</f>
        <v>8310</v>
      </c>
      <c r="I290" s="156">
        <f t="shared" si="85"/>
        <v>33.27860317968844</v>
      </c>
      <c r="J290" s="60">
        <v>2964</v>
      </c>
      <c r="K290" s="61">
        <f>2440+241</f>
        <v>2681</v>
      </c>
      <c r="L290" s="62">
        <f>2500</f>
        <v>2500</v>
      </c>
      <c r="M290" s="156">
        <f t="shared" si="86"/>
        <v>93.24878776575905</v>
      </c>
    </row>
    <row r="291" spans="1:13" ht="12.75">
      <c r="A291" s="83" t="s">
        <v>110</v>
      </c>
      <c r="B291" s="9">
        <f aca="true" t="shared" si="87" ref="B291:B296">B278-F278-J278</f>
        <v>6691</v>
      </c>
      <c r="C291" s="10">
        <f aca="true" t="shared" si="88" ref="C291:C296">C278-G278-K278</f>
        <v>6963</v>
      </c>
      <c r="D291" s="8">
        <f aca="true" t="shared" si="89" ref="D291:D296">D278-H278-L278</f>
        <v>7682</v>
      </c>
      <c r="E291" s="155">
        <f t="shared" si="84"/>
        <v>110.32600890420797</v>
      </c>
      <c r="F291" s="9">
        <v>47632</v>
      </c>
      <c r="G291" s="8">
        <f>13089+36613</f>
        <v>49702</v>
      </c>
      <c r="H291" s="11">
        <f>14574+1330</f>
        <v>15904</v>
      </c>
      <c r="I291" s="155">
        <f t="shared" si="85"/>
        <v>31.99871232545974</v>
      </c>
      <c r="J291" s="19">
        <v>4614</v>
      </c>
      <c r="K291" s="20">
        <f>4739+358</f>
        <v>5097</v>
      </c>
      <c r="L291" s="21">
        <f>4850</f>
        <v>4850</v>
      </c>
      <c r="M291" s="155">
        <f t="shared" si="86"/>
        <v>95.15401216401806</v>
      </c>
    </row>
    <row r="292" spans="1:13" ht="12.75">
      <c r="A292" s="44" t="s">
        <v>111</v>
      </c>
      <c r="B292" s="45">
        <f t="shared" si="87"/>
        <v>12436</v>
      </c>
      <c r="C292" s="46">
        <f t="shared" si="88"/>
        <v>11000</v>
      </c>
      <c r="D292" s="46">
        <f t="shared" si="89"/>
        <v>9832</v>
      </c>
      <c r="E292" s="161">
        <f t="shared" si="84"/>
        <v>89.38181818181819</v>
      </c>
      <c r="F292" s="13">
        <v>39613</v>
      </c>
      <c r="G292" s="46">
        <f>17719+23581</f>
        <v>41300</v>
      </c>
      <c r="H292" s="66">
        <f>17165+1837</f>
        <v>19002</v>
      </c>
      <c r="I292" s="161">
        <f t="shared" si="85"/>
        <v>46.00968523002421</v>
      </c>
      <c r="J292" s="13">
        <v>6770</v>
      </c>
      <c r="K292" s="46">
        <f>7572+119</f>
        <v>7691</v>
      </c>
      <c r="L292" s="59">
        <f>5950</f>
        <v>5950</v>
      </c>
      <c r="M292" s="161">
        <f t="shared" si="86"/>
        <v>77.36315173579509</v>
      </c>
    </row>
    <row r="293" spans="1:13" ht="12.75">
      <c r="A293" s="6" t="s">
        <v>112</v>
      </c>
      <c r="B293" s="9">
        <f t="shared" si="87"/>
        <v>10181</v>
      </c>
      <c r="C293" s="10">
        <f t="shared" si="88"/>
        <v>10666</v>
      </c>
      <c r="D293" s="8">
        <f t="shared" si="89"/>
        <v>11495</v>
      </c>
      <c r="E293" s="155">
        <f t="shared" si="84"/>
        <v>107.77236077254828</v>
      </c>
      <c r="F293" s="9">
        <v>62404</v>
      </c>
      <c r="G293" s="8">
        <f>19868+45041</f>
        <v>64909</v>
      </c>
      <c r="H293" s="11">
        <f>21369+1816</f>
        <v>23185</v>
      </c>
      <c r="I293" s="155">
        <f t="shared" si="85"/>
        <v>35.71923770201359</v>
      </c>
      <c r="J293" s="19">
        <v>7657</v>
      </c>
      <c r="K293" s="20">
        <f>7683+513</f>
        <v>8196</v>
      </c>
      <c r="L293" s="21">
        <f>7910+0</f>
        <v>7910</v>
      </c>
      <c r="M293" s="155">
        <f t="shared" si="86"/>
        <v>96.51049292337726</v>
      </c>
    </row>
    <row r="294" spans="1:13" ht="12.75">
      <c r="A294" s="6" t="s">
        <v>27</v>
      </c>
      <c r="B294" s="9">
        <f t="shared" si="87"/>
        <v>5390</v>
      </c>
      <c r="C294" s="10">
        <f t="shared" si="88"/>
        <v>5637</v>
      </c>
      <c r="D294" s="8">
        <f t="shared" si="89"/>
        <v>5830</v>
      </c>
      <c r="E294" s="155">
        <f t="shared" si="84"/>
        <v>103.42380698953345</v>
      </c>
      <c r="F294" s="9">
        <f>23754</f>
        <v>23754</v>
      </c>
      <c r="G294" s="8">
        <f>8737+16259</f>
        <v>24996</v>
      </c>
      <c r="H294" s="11">
        <f>9244+1088</f>
        <v>10332</v>
      </c>
      <c r="I294" s="155">
        <f t="shared" si="85"/>
        <v>41.3346135381661</v>
      </c>
      <c r="J294" s="19">
        <f>3136</f>
        <v>3136</v>
      </c>
      <c r="K294" s="20">
        <v>3612</v>
      </c>
      <c r="L294" s="21">
        <f>3591</f>
        <v>3591</v>
      </c>
      <c r="M294" s="155">
        <f t="shared" si="86"/>
        <v>99.4186046511628</v>
      </c>
    </row>
    <row r="295" spans="1:13" ht="12.75">
      <c r="A295" s="6" t="s">
        <v>113</v>
      </c>
      <c r="B295" s="9">
        <f t="shared" si="87"/>
        <v>15974</v>
      </c>
      <c r="C295" s="10">
        <f t="shared" si="88"/>
        <v>16332</v>
      </c>
      <c r="D295" s="8">
        <f t="shared" si="89"/>
        <v>16880</v>
      </c>
      <c r="E295" s="155">
        <f t="shared" si="84"/>
        <v>103.35537594905706</v>
      </c>
      <c r="F295" s="9">
        <f>62598+19459</f>
        <v>82057</v>
      </c>
      <c r="G295" s="8">
        <f>28312+52022</f>
        <v>80334</v>
      </c>
      <c r="H295" s="11">
        <f>27527+1325</f>
        <v>28852</v>
      </c>
      <c r="I295" s="155">
        <f t="shared" si="85"/>
        <v>35.915054646849406</v>
      </c>
      <c r="J295" s="19">
        <f>13625+1565</f>
        <v>15190</v>
      </c>
      <c r="K295" s="20">
        <f>13427+313</f>
        <v>13740</v>
      </c>
      <c r="L295" s="21">
        <v>14598</v>
      </c>
      <c r="M295" s="155">
        <f t="shared" si="86"/>
        <v>106.24454148471617</v>
      </c>
    </row>
    <row r="296" spans="1:13" ht="12.75">
      <c r="A296" s="6" t="s">
        <v>74</v>
      </c>
      <c r="B296" s="9">
        <f t="shared" si="87"/>
        <v>1707</v>
      </c>
      <c r="C296" s="10">
        <f t="shared" si="88"/>
        <v>1457</v>
      </c>
      <c r="D296" s="8">
        <f t="shared" si="89"/>
        <v>1520</v>
      </c>
      <c r="E296" s="155">
        <f t="shared" si="84"/>
        <v>104.32395332875772</v>
      </c>
      <c r="F296" s="9">
        <v>22018</v>
      </c>
      <c r="G296" s="8">
        <f>6513+18335</f>
        <v>24848</v>
      </c>
      <c r="H296" s="11">
        <f>6287+141</f>
        <v>6428</v>
      </c>
      <c r="I296" s="155">
        <f t="shared" si="85"/>
        <v>25.869285254346426</v>
      </c>
      <c r="J296" s="19">
        <v>2381</v>
      </c>
      <c r="K296" s="20">
        <f>1903+50</f>
        <v>1953</v>
      </c>
      <c r="L296" s="21">
        <v>1510</v>
      </c>
      <c r="M296" s="155">
        <f t="shared" si="86"/>
        <v>77.31694828469023</v>
      </c>
    </row>
    <row r="297" spans="1:15" s="122" customFormat="1" ht="12.75">
      <c r="A297" s="44" t="s">
        <v>82</v>
      </c>
      <c r="B297" s="13">
        <f aca="true" t="shared" si="90" ref="B297:D299">B284-F284-J284</f>
        <v>4224</v>
      </c>
      <c r="C297" s="47">
        <f t="shared" si="90"/>
        <v>7072</v>
      </c>
      <c r="D297" s="46">
        <f t="shared" si="90"/>
        <v>4270</v>
      </c>
      <c r="E297" s="156">
        <f t="shared" si="84"/>
        <v>60.378959276018094</v>
      </c>
      <c r="F297" s="13">
        <v>40132</v>
      </c>
      <c r="G297" s="46">
        <f>14772+32546</f>
        <v>47318</v>
      </c>
      <c r="H297" s="59">
        <v>14542</v>
      </c>
      <c r="I297" s="156">
        <f t="shared" si="85"/>
        <v>30.732490806881103</v>
      </c>
      <c r="J297" s="60">
        <v>4118</v>
      </c>
      <c r="K297" s="61">
        <v>4991</v>
      </c>
      <c r="L297" s="62">
        <f>3372</f>
        <v>3372</v>
      </c>
      <c r="M297" s="156">
        <f t="shared" si="86"/>
        <v>67.56161089961932</v>
      </c>
      <c r="N297" s="123"/>
      <c r="O297" s="123"/>
    </row>
    <row r="298" spans="1:13" ht="12.75">
      <c r="A298" s="69" t="s">
        <v>83</v>
      </c>
      <c r="B298" s="71">
        <f t="shared" si="90"/>
        <v>4578</v>
      </c>
      <c r="C298" s="72">
        <f t="shared" si="90"/>
        <v>4408</v>
      </c>
      <c r="D298" s="18">
        <f t="shared" si="90"/>
        <v>4050</v>
      </c>
      <c r="E298" s="157">
        <f t="shared" si="84"/>
        <v>91.87840290381125</v>
      </c>
      <c r="F298" s="71">
        <v>48047</v>
      </c>
      <c r="G298" s="18">
        <f>11806+38325</f>
        <v>50131</v>
      </c>
      <c r="H298" s="73">
        <f>11698+1216</f>
        <v>12914</v>
      </c>
      <c r="I298" s="157">
        <f t="shared" si="85"/>
        <v>25.76050747042748</v>
      </c>
      <c r="J298" s="74">
        <v>4450</v>
      </c>
      <c r="K298" s="75">
        <f>4002+349</f>
        <v>4351</v>
      </c>
      <c r="L298" s="76">
        <v>3881</v>
      </c>
      <c r="M298" s="157">
        <f t="shared" si="86"/>
        <v>89.1978855435532</v>
      </c>
    </row>
    <row r="299" spans="1:13" ht="13.5" thickBot="1">
      <c r="A299" s="6" t="s">
        <v>28</v>
      </c>
      <c r="B299" s="9">
        <f t="shared" si="90"/>
        <v>13855</v>
      </c>
      <c r="C299" s="10">
        <f t="shared" si="90"/>
        <v>9889</v>
      </c>
      <c r="D299" s="8">
        <f t="shared" si="90"/>
        <v>7463</v>
      </c>
      <c r="E299" s="155">
        <f t="shared" si="84"/>
        <v>75.46769137425422</v>
      </c>
      <c r="F299" s="9">
        <v>32344</v>
      </c>
      <c r="G299" s="8">
        <f>11853+15128</f>
        <v>26981</v>
      </c>
      <c r="H299" s="11">
        <f>9677+3398</f>
        <v>13075</v>
      </c>
      <c r="I299" s="155">
        <f t="shared" si="85"/>
        <v>48.46002742670768</v>
      </c>
      <c r="J299" s="19">
        <v>6167</v>
      </c>
      <c r="K299" s="20">
        <f>4723+6</f>
        <v>4729</v>
      </c>
      <c r="L299" s="21">
        <f>3981</f>
        <v>3981</v>
      </c>
      <c r="M299" s="155">
        <f t="shared" si="86"/>
        <v>84.182702474096</v>
      </c>
    </row>
    <row r="300" spans="1:13" ht="13.5" thickBot="1">
      <c r="A300" s="100"/>
      <c r="B300" s="101"/>
      <c r="C300" s="101"/>
      <c r="D300" s="101"/>
      <c r="E300" s="102"/>
      <c r="F300" s="101"/>
      <c r="G300" s="101"/>
      <c r="H300" s="101"/>
      <c r="I300" s="102"/>
      <c r="J300" s="104"/>
      <c r="K300" s="104"/>
      <c r="L300" s="104"/>
      <c r="M300" s="102"/>
    </row>
    <row r="301" spans="1:13" ht="13.5" thickBot="1">
      <c r="A301" s="77" t="s">
        <v>1</v>
      </c>
      <c r="B301" s="193" t="s">
        <v>86</v>
      </c>
      <c r="C301" s="194"/>
      <c r="D301" s="194"/>
      <c r="E301" s="195"/>
      <c r="F301" s="193" t="s">
        <v>6</v>
      </c>
      <c r="G301" s="194"/>
      <c r="H301" s="194"/>
      <c r="I301" s="195"/>
      <c r="J301" s="196" t="s">
        <v>87</v>
      </c>
      <c r="K301" s="197"/>
      <c r="L301" s="197"/>
      <c r="M301" s="198"/>
    </row>
    <row r="302" spans="1:13" s="139" customFormat="1" ht="13.5" thickBot="1">
      <c r="A302" s="77" t="s">
        <v>25</v>
      </c>
      <c r="B302" s="137">
        <f>SUM(B303:B311)+B312+B351+B352+B353+B354+B355+B356</f>
        <v>40299</v>
      </c>
      <c r="C302" s="136">
        <f>SUM(C303:C311)+C312+C351+C352+C353+C354+C355+C356</f>
        <v>41684</v>
      </c>
      <c r="D302" s="140">
        <f>SUM(D303:D311)+D312+D351+D352+D353+D354+D355+D356</f>
        <v>45831</v>
      </c>
      <c r="E302" s="119">
        <f aca="true" t="shared" si="91" ref="E302:E312">IF(C302=0,"0,00",(D302/C302)*100)</f>
        <v>109.94866135687553</v>
      </c>
      <c r="F302" s="137">
        <f>SUM(F303:F311)+F312+F351+F352+F353+F354+F355+F356</f>
        <v>13504</v>
      </c>
      <c r="G302" s="136">
        <f>SUM(G303:G311)+G312+G351+G352+G353+G354+G355+G356</f>
        <v>13371</v>
      </c>
      <c r="H302" s="144">
        <f>SUM(H303:H311)+H312+H351+H352+H353+H354+H355+H356</f>
        <v>12898</v>
      </c>
      <c r="I302" s="181">
        <f aca="true" t="shared" si="92" ref="I302:I312">IF(G302=0,"0,00",(H302/G302)*100)</f>
        <v>96.46249345598684</v>
      </c>
      <c r="J302" s="137">
        <f>SUM(J303:J311)+J312+J351+J352+J353+J354+J355+J356</f>
        <v>301600</v>
      </c>
      <c r="K302" s="136">
        <f>SUM(K303:K311)+K312+K351+K352+K353+K354+K355+K356</f>
        <v>315123</v>
      </c>
      <c r="L302" s="136">
        <f>SUM(L303:L311)+L312+L351+L352+L353+L354+L355+L356</f>
        <v>13870</v>
      </c>
      <c r="M302" s="119">
        <f aca="true" t="shared" si="93" ref="M302:M312">IF(K302=0,"0,00",(L302/K302)*100)</f>
        <v>4.401455939426827</v>
      </c>
    </row>
    <row r="303" spans="1:13" ht="12.75">
      <c r="A303" s="44" t="s">
        <v>26</v>
      </c>
      <c r="B303" s="13">
        <v>2124</v>
      </c>
      <c r="C303" s="46">
        <v>2176</v>
      </c>
      <c r="D303" s="59">
        <v>2550</v>
      </c>
      <c r="E303" s="156">
        <f t="shared" si="91"/>
        <v>117.1875</v>
      </c>
      <c r="F303" s="13">
        <v>367</v>
      </c>
      <c r="G303" s="46">
        <v>653</v>
      </c>
      <c r="H303" s="66">
        <v>750</v>
      </c>
      <c r="I303" s="180">
        <f t="shared" si="92"/>
        <v>114.85451761102603</v>
      </c>
      <c r="J303" s="13">
        <v>11593</v>
      </c>
      <c r="K303" s="46">
        <v>12350</v>
      </c>
      <c r="L303" s="46">
        <v>550</v>
      </c>
      <c r="M303" s="156">
        <f t="shared" si="93"/>
        <v>4.4534412955465585</v>
      </c>
    </row>
    <row r="304" spans="1:13" ht="12.75">
      <c r="A304" s="83" t="s">
        <v>110</v>
      </c>
      <c r="B304" s="9">
        <v>3501</v>
      </c>
      <c r="C304" s="8">
        <f>3519</f>
        <v>3519</v>
      </c>
      <c r="D304" s="11">
        <v>3892</v>
      </c>
      <c r="E304" s="155">
        <f t="shared" si="91"/>
        <v>110.59960215970446</v>
      </c>
      <c r="F304" s="9">
        <v>496</v>
      </c>
      <c r="G304" s="8">
        <v>984</v>
      </c>
      <c r="H304" s="14">
        <v>1829</v>
      </c>
      <c r="I304" s="178">
        <f t="shared" si="92"/>
        <v>185.8739837398374</v>
      </c>
      <c r="J304" s="9">
        <v>24682</v>
      </c>
      <c r="K304" s="8">
        <v>25622</v>
      </c>
      <c r="L304" s="8">
        <v>855</v>
      </c>
      <c r="M304" s="155">
        <f t="shared" si="93"/>
        <v>3.336976036218874</v>
      </c>
    </row>
    <row r="305" spans="1:13" ht="12.75">
      <c r="A305" s="44" t="s">
        <v>111</v>
      </c>
      <c r="B305" s="9">
        <v>4942</v>
      </c>
      <c r="C305" s="8">
        <v>5057</v>
      </c>
      <c r="D305" s="11">
        <v>5200</v>
      </c>
      <c r="E305" s="155">
        <f t="shared" si="91"/>
        <v>102.82776349614396</v>
      </c>
      <c r="F305" s="9">
        <v>1276</v>
      </c>
      <c r="G305" s="8">
        <v>964</v>
      </c>
      <c r="H305" s="14">
        <v>1120</v>
      </c>
      <c r="I305" s="178">
        <f t="shared" si="92"/>
        <v>116.1825726141079</v>
      </c>
      <c r="J305" s="9">
        <v>15899</v>
      </c>
      <c r="K305" s="8">
        <v>17041</v>
      </c>
      <c r="L305" s="8">
        <v>1450</v>
      </c>
      <c r="M305" s="155">
        <f t="shared" si="93"/>
        <v>8.508890323337832</v>
      </c>
    </row>
    <row r="306" spans="1:13" ht="12.75">
      <c r="A306" s="6" t="s">
        <v>112</v>
      </c>
      <c r="B306" s="9">
        <v>3374</v>
      </c>
      <c r="C306" s="8">
        <v>4352</v>
      </c>
      <c r="D306" s="11">
        <v>5180</v>
      </c>
      <c r="E306" s="155">
        <f t="shared" si="91"/>
        <v>119.02573529411764</v>
      </c>
      <c r="F306" s="9">
        <v>1007</v>
      </c>
      <c r="G306" s="8">
        <v>691</v>
      </c>
      <c r="H306" s="14">
        <v>710</v>
      </c>
      <c r="I306" s="178">
        <f t="shared" si="92"/>
        <v>102.74963820549927</v>
      </c>
      <c r="J306" s="9">
        <v>30171</v>
      </c>
      <c r="K306" s="8">
        <v>31713</v>
      </c>
      <c r="L306" s="8">
        <v>1430</v>
      </c>
      <c r="M306" s="155">
        <f t="shared" si="93"/>
        <v>4.509191814082553</v>
      </c>
    </row>
    <row r="307" spans="1:13" ht="12.75">
      <c r="A307" s="6" t="s">
        <v>27</v>
      </c>
      <c r="B307" s="9">
        <v>1420</v>
      </c>
      <c r="C307" s="8">
        <v>1392</v>
      </c>
      <c r="D307" s="11">
        <v>1540</v>
      </c>
      <c r="E307" s="155">
        <f t="shared" si="91"/>
        <v>110.63218390804596</v>
      </c>
      <c r="F307" s="9">
        <v>362</v>
      </c>
      <c r="G307" s="8">
        <v>369</v>
      </c>
      <c r="H307" s="14">
        <v>400</v>
      </c>
      <c r="I307" s="178">
        <f t="shared" si="92"/>
        <v>108.4010840108401</v>
      </c>
      <c r="J307" s="9">
        <v>10838</v>
      </c>
      <c r="K307" s="8">
        <v>11653</v>
      </c>
      <c r="L307" s="8">
        <v>829</v>
      </c>
      <c r="M307" s="155">
        <f t="shared" si="93"/>
        <v>7.114047884664894</v>
      </c>
    </row>
    <row r="308" spans="1:13" ht="12.75">
      <c r="A308" s="6" t="s">
        <v>113</v>
      </c>
      <c r="B308" s="9">
        <f>4265+305</f>
        <v>4570</v>
      </c>
      <c r="C308" s="8">
        <v>4456</v>
      </c>
      <c r="D308" s="11">
        <v>4924</v>
      </c>
      <c r="E308" s="155">
        <f t="shared" si="91"/>
        <v>110.50269299820468</v>
      </c>
      <c r="F308" s="9">
        <f>1147+329</f>
        <v>1476</v>
      </c>
      <c r="G308" s="8">
        <v>930</v>
      </c>
      <c r="H308" s="14">
        <v>1260</v>
      </c>
      <c r="I308" s="178">
        <f t="shared" si="92"/>
        <v>135.48387096774192</v>
      </c>
      <c r="J308" s="9">
        <f>27028+11350</f>
        <v>38378</v>
      </c>
      <c r="K308" s="8">
        <v>37280</v>
      </c>
      <c r="L308" s="8">
        <v>1185</v>
      </c>
      <c r="M308" s="155">
        <f t="shared" si="93"/>
        <v>3.1786480686695278</v>
      </c>
    </row>
    <row r="309" spans="1:13" ht="12.75">
      <c r="A309" s="6" t="s">
        <v>74</v>
      </c>
      <c r="B309" s="9">
        <v>732</v>
      </c>
      <c r="C309" s="8">
        <v>1080</v>
      </c>
      <c r="D309" s="11">
        <v>1218</v>
      </c>
      <c r="E309" s="155">
        <f t="shared" si="91"/>
        <v>112.77777777777777</v>
      </c>
      <c r="F309" s="9">
        <v>302</v>
      </c>
      <c r="G309" s="8">
        <v>469</v>
      </c>
      <c r="H309" s="14">
        <v>470</v>
      </c>
      <c r="I309" s="178">
        <f t="shared" si="92"/>
        <v>100.21321961620468</v>
      </c>
      <c r="J309" s="9">
        <v>10905</v>
      </c>
      <c r="K309" s="8">
        <v>13042</v>
      </c>
      <c r="L309" s="8">
        <v>100</v>
      </c>
      <c r="M309" s="155">
        <f t="shared" si="93"/>
        <v>0.7667535654040791</v>
      </c>
    </row>
    <row r="310" spans="1:15" s="122" customFormat="1" ht="12.75">
      <c r="A310" s="44" t="s">
        <v>82</v>
      </c>
      <c r="B310" s="13">
        <v>1428</v>
      </c>
      <c r="C310" s="46">
        <v>1839</v>
      </c>
      <c r="D310" s="59">
        <v>1784</v>
      </c>
      <c r="E310" s="156">
        <f t="shared" si="91"/>
        <v>97.00924415443176</v>
      </c>
      <c r="F310" s="13">
        <v>1507</v>
      </c>
      <c r="G310" s="46">
        <v>2302</v>
      </c>
      <c r="H310" s="66">
        <v>530</v>
      </c>
      <c r="I310" s="180">
        <f t="shared" si="92"/>
        <v>23.023457862728065</v>
      </c>
      <c r="J310" s="13">
        <v>20233</v>
      </c>
      <c r="K310" s="46">
        <v>23357</v>
      </c>
      <c r="L310" s="46">
        <v>2369</v>
      </c>
      <c r="M310" s="156">
        <f t="shared" si="93"/>
        <v>10.142569679325256</v>
      </c>
      <c r="N310" s="123"/>
      <c r="O310" s="123"/>
    </row>
    <row r="311" spans="1:13" ht="12.75">
      <c r="A311" s="69" t="s">
        <v>83</v>
      </c>
      <c r="B311" s="71">
        <v>2752</v>
      </c>
      <c r="C311" s="18">
        <v>2927</v>
      </c>
      <c r="D311" s="73">
        <v>2945</v>
      </c>
      <c r="E311" s="157">
        <f t="shared" si="91"/>
        <v>100.61496412709259</v>
      </c>
      <c r="F311" s="71">
        <v>1564</v>
      </c>
      <c r="G311" s="18">
        <v>783</v>
      </c>
      <c r="H311" s="22">
        <v>1102</v>
      </c>
      <c r="I311" s="162">
        <f t="shared" si="92"/>
        <v>140.74074074074073</v>
      </c>
      <c r="J311" s="71">
        <v>25855</v>
      </c>
      <c r="K311" s="18">
        <v>27452</v>
      </c>
      <c r="L311" s="18">
        <v>1040</v>
      </c>
      <c r="M311" s="157">
        <f t="shared" si="93"/>
        <v>3.78843071543057</v>
      </c>
    </row>
    <row r="312" spans="1:13" ht="13.5" thickBot="1">
      <c r="A312" s="6" t="s">
        <v>28</v>
      </c>
      <c r="B312" s="9">
        <v>2317</v>
      </c>
      <c r="C312" s="8">
        <v>1796</v>
      </c>
      <c r="D312" s="11">
        <v>2207</v>
      </c>
      <c r="E312" s="155">
        <f t="shared" si="91"/>
        <v>122.88418708240533</v>
      </c>
      <c r="F312" s="9">
        <v>849</v>
      </c>
      <c r="G312" s="8">
        <v>986</v>
      </c>
      <c r="H312" s="14">
        <v>580</v>
      </c>
      <c r="I312" s="178">
        <f t="shared" si="92"/>
        <v>58.82352941176471</v>
      </c>
      <c r="J312" s="9">
        <v>12505</v>
      </c>
      <c r="K312" s="8">
        <v>11046</v>
      </c>
      <c r="L312" s="8">
        <v>2490</v>
      </c>
      <c r="M312" s="155">
        <f t="shared" si="93"/>
        <v>22.542096686583378</v>
      </c>
    </row>
    <row r="313" spans="1:13" ht="13.5" thickBot="1">
      <c r="A313" s="100"/>
      <c r="B313" s="101"/>
      <c r="C313" s="101"/>
      <c r="D313" s="101"/>
      <c r="E313" s="102"/>
      <c r="F313" s="101"/>
      <c r="G313" s="101"/>
      <c r="H313" s="101"/>
      <c r="I313" s="102"/>
      <c r="J313" s="101"/>
      <c r="K313" s="101"/>
      <c r="L313" s="101"/>
      <c r="M313" s="102"/>
    </row>
    <row r="314" spans="1:13" ht="13.5" thickBot="1">
      <c r="A314" s="77" t="s">
        <v>1</v>
      </c>
      <c r="B314" s="193" t="s">
        <v>7</v>
      </c>
      <c r="C314" s="194"/>
      <c r="D314" s="194"/>
      <c r="E314" s="195"/>
      <c r="F314" s="196" t="s">
        <v>8</v>
      </c>
      <c r="G314" s="197"/>
      <c r="H314" s="197"/>
      <c r="I314" s="198"/>
      <c r="J314" s="199"/>
      <c r="K314" s="200"/>
      <c r="L314" s="200"/>
      <c r="M314" s="200"/>
    </row>
    <row r="315" spans="1:13" s="139" customFormat="1" ht="13.5" thickBot="1">
      <c r="A315" s="77" t="s">
        <v>25</v>
      </c>
      <c r="B315" s="137">
        <f>SUM(B316:B324)+B325+B361+B362+B363+B364+B365+B366</f>
        <v>18106</v>
      </c>
      <c r="C315" s="136">
        <f>SUM(C316:C324)+C325+C361+C362+C363+C364+C365+C366</f>
        <v>18875</v>
      </c>
      <c r="D315" s="140">
        <f>SUM(D316:D324)+D325+D361+D362+D363+D364+D365+D366</f>
        <v>19453</v>
      </c>
      <c r="E315" s="119">
        <f aca="true" t="shared" si="94" ref="E315:E325">IF(C315=0,"0,00",(D315/C315)*100)</f>
        <v>103.06225165562914</v>
      </c>
      <c r="F315" s="137">
        <f>SUM(F316:F324)+F325+F361+F362+F363+F364+F365+F366</f>
        <v>3574</v>
      </c>
      <c r="G315" s="136">
        <f>SUM(G316:G324)+G325+G361+G362+G363+G364+G365+G366</f>
        <v>4150</v>
      </c>
      <c r="H315" s="144">
        <f>SUM(H316:H324)+H325+H361+H362+H363+H364+H365+H366</f>
        <v>1159</v>
      </c>
      <c r="I315" s="119">
        <f aca="true" t="shared" si="95" ref="I315:I325">IF(G315=0,"0,00",(H315/G315)*100)</f>
        <v>27.927710843373493</v>
      </c>
      <c r="J315" s="105"/>
      <c r="K315" s="106"/>
      <c r="L315" s="106"/>
      <c r="M315" s="106"/>
    </row>
    <row r="316" spans="1:13" ht="12.75">
      <c r="A316" s="44" t="s">
        <v>26</v>
      </c>
      <c r="B316" s="13">
        <v>568</v>
      </c>
      <c r="C316" s="46">
        <v>587</v>
      </c>
      <c r="D316" s="59">
        <v>615</v>
      </c>
      <c r="E316" s="156">
        <f t="shared" si="94"/>
        <v>104.77001703577513</v>
      </c>
      <c r="F316" s="13">
        <f>B277-F290</f>
        <v>64</v>
      </c>
      <c r="G316" s="46">
        <f>C277-G290</f>
        <v>151</v>
      </c>
      <c r="H316" s="66">
        <f>D277-H290</f>
        <v>20</v>
      </c>
      <c r="I316" s="180">
        <f t="shared" si="95"/>
        <v>13.245033112582782</v>
      </c>
      <c r="J316" s="105"/>
      <c r="K316" s="106"/>
      <c r="L316" s="106"/>
      <c r="M316" s="106"/>
    </row>
    <row r="317" spans="1:13" ht="12.75">
      <c r="A317" s="83" t="s">
        <v>110</v>
      </c>
      <c r="B317" s="9">
        <v>1587</v>
      </c>
      <c r="C317" s="8">
        <v>1816</v>
      </c>
      <c r="D317" s="11">
        <v>1820</v>
      </c>
      <c r="E317" s="155">
        <f t="shared" si="94"/>
        <v>100.22026431718061</v>
      </c>
      <c r="F317" s="9">
        <f aca="true" t="shared" si="96" ref="F317:F322">B278-F291</f>
        <v>398</v>
      </c>
      <c r="G317" s="8">
        <f aca="true" t="shared" si="97" ref="G317:G322">C278-G291</f>
        <v>289</v>
      </c>
      <c r="H317" s="14">
        <f aca="true" t="shared" si="98" ref="H317:H322">D278-H291</f>
        <v>0</v>
      </c>
      <c r="I317" s="178">
        <f t="shared" si="95"/>
        <v>0</v>
      </c>
      <c r="J317" s="105"/>
      <c r="K317" s="106"/>
      <c r="L317" s="106"/>
      <c r="M317" s="106"/>
    </row>
    <row r="318" spans="1:13" ht="12.75">
      <c r="A318" s="44" t="s">
        <v>111</v>
      </c>
      <c r="B318" s="9">
        <v>1354</v>
      </c>
      <c r="C318" s="8">
        <v>1385</v>
      </c>
      <c r="D318" s="11">
        <v>1559</v>
      </c>
      <c r="E318" s="155">
        <f t="shared" si="94"/>
        <v>112.56317689530687</v>
      </c>
      <c r="F318" s="9">
        <f t="shared" si="96"/>
        <v>38</v>
      </c>
      <c r="G318" s="8">
        <f t="shared" si="97"/>
        <v>35</v>
      </c>
      <c r="H318" s="14">
        <f t="shared" si="98"/>
        <v>23</v>
      </c>
      <c r="I318" s="178">
        <f t="shared" si="95"/>
        <v>65.71428571428571</v>
      </c>
      <c r="J318" s="85"/>
      <c r="K318" s="91"/>
      <c r="L318" s="91"/>
      <c r="M318" s="103"/>
    </row>
    <row r="319" spans="1:13" ht="12.75">
      <c r="A319" s="6" t="s">
        <v>112</v>
      </c>
      <c r="B319" s="9">
        <v>1113</v>
      </c>
      <c r="C319" s="8">
        <v>1217</v>
      </c>
      <c r="D319" s="11">
        <v>1220</v>
      </c>
      <c r="E319" s="155">
        <f t="shared" si="94"/>
        <v>100.24650780608053</v>
      </c>
      <c r="F319" s="9">
        <f t="shared" si="96"/>
        <v>188</v>
      </c>
      <c r="G319" s="8">
        <f t="shared" si="97"/>
        <v>489</v>
      </c>
      <c r="H319" s="14">
        <f t="shared" si="98"/>
        <v>152</v>
      </c>
      <c r="I319" s="178">
        <f t="shared" si="95"/>
        <v>31.083844580777097</v>
      </c>
      <c r="J319" s="85"/>
      <c r="K319" s="91"/>
      <c r="L319" s="91"/>
      <c r="M319" s="103"/>
    </row>
    <row r="320" spans="1:13" ht="12.75">
      <c r="A320" s="6" t="s">
        <v>27</v>
      </c>
      <c r="B320" s="9">
        <v>470</v>
      </c>
      <c r="C320" s="8">
        <v>531</v>
      </c>
      <c r="D320" s="11">
        <v>609</v>
      </c>
      <c r="E320" s="155">
        <f t="shared" si="94"/>
        <v>114.68926553672316</v>
      </c>
      <c r="F320" s="9">
        <f>B281-F294</f>
        <v>257</v>
      </c>
      <c r="G320" s="8">
        <f t="shared" si="97"/>
        <v>2</v>
      </c>
      <c r="H320" s="14">
        <f t="shared" si="98"/>
        <v>0</v>
      </c>
      <c r="I320" s="178">
        <f t="shared" si="95"/>
        <v>0</v>
      </c>
      <c r="J320" s="85"/>
      <c r="K320" s="91"/>
      <c r="L320" s="91"/>
      <c r="M320" s="103"/>
    </row>
    <row r="321" spans="1:13" ht="12.75">
      <c r="A321" s="6" t="s">
        <v>113</v>
      </c>
      <c r="B321" s="9">
        <f>2052+119</f>
        <v>2171</v>
      </c>
      <c r="C321" s="8">
        <v>2343</v>
      </c>
      <c r="D321" s="11">
        <v>2407</v>
      </c>
      <c r="E321" s="155">
        <f t="shared" si="94"/>
        <v>102.73154075970979</v>
      </c>
      <c r="F321" s="9">
        <f t="shared" si="96"/>
        <v>257</v>
      </c>
      <c r="G321" s="8">
        <f t="shared" si="97"/>
        <v>803</v>
      </c>
      <c r="H321" s="14">
        <f t="shared" si="98"/>
        <v>240</v>
      </c>
      <c r="I321" s="178">
        <f t="shared" si="95"/>
        <v>29.8879202988792</v>
      </c>
      <c r="J321" s="85"/>
      <c r="K321" s="91"/>
      <c r="L321" s="91"/>
      <c r="M321" s="103"/>
    </row>
    <row r="322" spans="1:13" ht="12.75">
      <c r="A322" s="6" t="s">
        <v>74</v>
      </c>
      <c r="B322" s="9">
        <v>612</v>
      </c>
      <c r="C322" s="8">
        <v>731</v>
      </c>
      <c r="D322" s="11">
        <v>929</v>
      </c>
      <c r="E322" s="155">
        <f t="shared" si="94"/>
        <v>127.08618331053351</v>
      </c>
      <c r="F322" s="9">
        <f t="shared" si="96"/>
        <v>18</v>
      </c>
      <c r="G322" s="8">
        <f t="shared" si="97"/>
        <v>30</v>
      </c>
      <c r="H322" s="14">
        <f t="shared" si="98"/>
        <v>75</v>
      </c>
      <c r="I322" s="155">
        <f t="shared" si="95"/>
        <v>250</v>
      </c>
      <c r="J322" s="85"/>
      <c r="K322" s="91"/>
      <c r="L322" s="91"/>
      <c r="M322" s="103"/>
    </row>
    <row r="323" spans="1:13" s="122" customFormat="1" ht="12.75">
      <c r="A323" s="44" t="s">
        <v>82</v>
      </c>
      <c r="B323" s="13">
        <v>1281</v>
      </c>
      <c r="C323" s="46">
        <v>1364</v>
      </c>
      <c r="D323" s="59">
        <v>1411</v>
      </c>
      <c r="E323" s="156">
        <f t="shared" si="94"/>
        <v>103.4457478005865</v>
      </c>
      <c r="F323" s="13">
        <f aca="true" t="shared" si="99" ref="F323:H325">B284-F297</f>
        <v>45</v>
      </c>
      <c r="G323" s="46">
        <f t="shared" si="99"/>
        <v>143</v>
      </c>
      <c r="H323" s="66">
        <f t="shared" si="99"/>
        <v>2</v>
      </c>
      <c r="I323" s="180">
        <f t="shared" si="95"/>
        <v>1.3986013986013985</v>
      </c>
      <c r="J323" s="98"/>
      <c r="K323" s="89"/>
      <c r="L323" s="89"/>
      <c r="M323" s="103"/>
    </row>
    <row r="324" spans="1:13" ht="12.75">
      <c r="A324" s="95" t="s">
        <v>83</v>
      </c>
      <c r="B324" s="71">
        <v>1115</v>
      </c>
      <c r="C324" s="18">
        <v>1251</v>
      </c>
      <c r="D324" s="73">
        <v>1235</v>
      </c>
      <c r="E324" s="157">
        <f t="shared" si="94"/>
        <v>98.72102318145484</v>
      </c>
      <c r="F324" s="71">
        <f t="shared" si="99"/>
        <v>84</v>
      </c>
      <c r="G324" s="18">
        <f t="shared" si="99"/>
        <v>64</v>
      </c>
      <c r="H324" s="22">
        <f t="shared" si="99"/>
        <v>41</v>
      </c>
      <c r="I324" s="157">
        <f t="shared" si="95"/>
        <v>64.0625</v>
      </c>
      <c r="J324" s="85"/>
      <c r="K324" s="91"/>
      <c r="L324" s="91"/>
      <c r="M324" s="103"/>
    </row>
    <row r="325" spans="1:13" ht="13.5" thickBot="1">
      <c r="A325" s="50" t="s">
        <v>28</v>
      </c>
      <c r="B325" s="16">
        <v>1471</v>
      </c>
      <c r="C325" s="15">
        <v>1159</v>
      </c>
      <c r="D325" s="63">
        <v>1000</v>
      </c>
      <c r="E325" s="158">
        <f t="shared" si="94"/>
        <v>86.28127696289906</v>
      </c>
      <c r="F325" s="16">
        <f t="shared" si="99"/>
        <v>1385</v>
      </c>
      <c r="G325" s="15">
        <f t="shared" si="99"/>
        <v>1166</v>
      </c>
      <c r="H325" s="17">
        <f t="shared" si="99"/>
        <v>287</v>
      </c>
      <c r="I325" s="158">
        <f t="shared" si="95"/>
        <v>24.614065180102916</v>
      </c>
      <c r="J325" s="91"/>
      <c r="K325" s="91"/>
      <c r="L325" s="91"/>
      <c r="M325" s="103"/>
    </row>
    <row r="326" spans="1:13" ht="15">
      <c r="A326" s="192" t="s">
        <v>91</v>
      </c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</row>
    <row r="327" spans="1:13" ht="13.5" thickBot="1">
      <c r="A327" s="26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25.5" customHeight="1">
      <c r="A328" s="214" t="s">
        <v>1</v>
      </c>
      <c r="B328" s="201" t="s">
        <v>0</v>
      </c>
      <c r="C328" s="202"/>
      <c r="D328" s="202"/>
      <c r="E328" s="203"/>
      <c r="F328" s="204" t="s">
        <v>65</v>
      </c>
      <c r="G328" s="205"/>
      <c r="H328" s="205"/>
      <c r="I328" s="205"/>
      <c r="J328" s="206" t="s">
        <v>77</v>
      </c>
      <c r="K328" s="207"/>
      <c r="L328" s="207"/>
      <c r="M328" s="208"/>
    </row>
    <row r="329" spans="1:13" ht="12.75">
      <c r="A329" s="215"/>
      <c r="B329" s="29" t="s">
        <v>2</v>
      </c>
      <c r="C329" s="30" t="s">
        <v>2</v>
      </c>
      <c r="D329" s="30" t="s">
        <v>3</v>
      </c>
      <c r="E329" s="31" t="s">
        <v>4</v>
      </c>
      <c r="F329" s="29" t="s">
        <v>2</v>
      </c>
      <c r="G329" s="30" t="s">
        <v>2</v>
      </c>
      <c r="H329" s="30" t="s">
        <v>3</v>
      </c>
      <c r="I329" s="31" t="s">
        <v>4</v>
      </c>
      <c r="J329" s="29" t="s">
        <v>2</v>
      </c>
      <c r="K329" s="30" t="s">
        <v>2</v>
      </c>
      <c r="L329" s="30" t="s">
        <v>3</v>
      </c>
      <c r="M329" s="31" t="s">
        <v>4</v>
      </c>
    </row>
    <row r="330" spans="1:13" ht="13.5" thickBot="1">
      <c r="A330" s="216"/>
      <c r="B330" s="32">
        <v>2004</v>
      </c>
      <c r="C330" s="33">
        <v>2005</v>
      </c>
      <c r="D330" s="33">
        <v>2006</v>
      </c>
      <c r="E330" s="34" t="s">
        <v>130</v>
      </c>
      <c r="F330" s="32">
        <v>2004</v>
      </c>
      <c r="G330" s="33">
        <v>2005</v>
      </c>
      <c r="H330" s="33">
        <v>2006</v>
      </c>
      <c r="I330" s="34" t="s">
        <v>130</v>
      </c>
      <c r="J330" s="32">
        <v>2004</v>
      </c>
      <c r="K330" s="33">
        <v>2005</v>
      </c>
      <c r="L330" s="33">
        <v>2006</v>
      </c>
      <c r="M330" s="34" t="s">
        <v>130</v>
      </c>
    </row>
    <row r="331" spans="1:13" ht="12.75">
      <c r="A331" s="6" t="s">
        <v>114</v>
      </c>
      <c r="B331" s="7">
        <v>39597</v>
      </c>
      <c r="C331" s="8">
        <f>10809+31440</f>
        <v>42249</v>
      </c>
      <c r="D331" s="8">
        <v>9708</v>
      </c>
      <c r="E331" s="155">
        <f aca="true" t="shared" si="100" ref="E331:E338">IF(C331=0,"0,00",(D331/C331)*100)</f>
        <v>22.97805865227579</v>
      </c>
      <c r="F331" s="9">
        <v>6705</v>
      </c>
      <c r="G331" s="10">
        <v>7291</v>
      </c>
      <c r="H331" s="8">
        <v>6328</v>
      </c>
      <c r="I331" s="178">
        <f aca="true" t="shared" si="101" ref="I331:I338">IF(G331=0,"0,00",(H331/G331)*100)</f>
        <v>86.79193526265259</v>
      </c>
      <c r="J331" s="7">
        <v>29133</v>
      </c>
      <c r="K331" s="8">
        <v>31440</v>
      </c>
      <c r="L331" s="8">
        <v>0</v>
      </c>
      <c r="M331" s="184">
        <f aca="true" t="shared" si="102" ref="M331:M338">IF(K331=0,"0,00",(L331/K331)*100)</f>
        <v>0</v>
      </c>
    </row>
    <row r="332" spans="1:13" ht="12.75">
      <c r="A332" s="83" t="s">
        <v>75</v>
      </c>
      <c r="B332" s="7">
        <v>38355</v>
      </c>
      <c r="C332" s="8">
        <f>13149+23903</f>
        <v>37052</v>
      </c>
      <c r="D332" s="8">
        <f>12045</f>
        <v>12045</v>
      </c>
      <c r="E332" s="155">
        <f t="shared" si="100"/>
        <v>32.508366619885564</v>
      </c>
      <c r="F332" s="9">
        <v>8075</v>
      </c>
      <c r="G332" s="10">
        <v>8425</v>
      </c>
      <c r="H332" s="8">
        <v>7545</v>
      </c>
      <c r="I332" s="178">
        <f t="shared" si="101"/>
        <v>89.55489614243324</v>
      </c>
      <c r="J332" s="7">
        <v>24944</v>
      </c>
      <c r="K332" s="8">
        <v>23903</v>
      </c>
      <c r="L332" s="8">
        <v>0</v>
      </c>
      <c r="M332" s="184">
        <f t="shared" si="102"/>
        <v>0</v>
      </c>
    </row>
    <row r="333" spans="1:13" ht="12.75">
      <c r="A333" s="44" t="s">
        <v>76</v>
      </c>
      <c r="B333" s="45">
        <v>25800</v>
      </c>
      <c r="C333" s="46">
        <f>8665+18837</f>
        <v>27502</v>
      </c>
      <c r="D333" s="46">
        <f>8387</f>
        <v>8387</v>
      </c>
      <c r="E333" s="161">
        <f t="shared" si="100"/>
        <v>30.495963929896007</v>
      </c>
      <c r="F333" s="45">
        <v>4698</v>
      </c>
      <c r="G333" s="46">
        <v>4691</v>
      </c>
      <c r="H333" s="46">
        <v>4697</v>
      </c>
      <c r="I333" s="179">
        <f t="shared" si="101"/>
        <v>100.12790449797484</v>
      </c>
      <c r="J333" s="45">
        <v>17593</v>
      </c>
      <c r="K333" s="46">
        <v>18837</v>
      </c>
      <c r="L333" s="46">
        <v>0</v>
      </c>
      <c r="M333" s="186">
        <f t="shared" si="102"/>
        <v>0</v>
      </c>
    </row>
    <row r="334" spans="1:13" ht="12.75">
      <c r="A334" s="6" t="s">
        <v>84</v>
      </c>
      <c r="B334" s="7">
        <v>41809</v>
      </c>
      <c r="C334" s="8">
        <f>14099+27350</f>
        <v>41449</v>
      </c>
      <c r="D334" s="8">
        <f>13644</f>
        <v>13644</v>
      </c>
      <c r="E334" s="155">
        <f t="shared" si="100"/>
        <v>32.91756134044247</v>
      </c>
      <c r="F334" s="9">
        <v>8142</v>
      </c>
      <c r="G334" s="10">
        <v>8277</v>
      </c>
      <c r="H334" s="8">
        <v>8484</v>
      </c>
      <c r="I334" s="178">
        <f t="shared" si="101"/>
        <v>102.50090612540777</v>
      </c>
      <c r="J334" s="7">
        <v>26963</v>
      </c>
      <c r="K334" s="8">
        <v>27350</v>
      </c>
      <c r="L334" s="8">
        <v>0</v>
      </c>
      <c r="M334" s="184">
        <f t="shared" si="102"/>
        <v>0</v>
      </c>
    </row>
    <row r="335" spans="1:13" ht="12.75">
      <c r="A335" s="6" t="s">
        <v>29</v>
      </c>
      <c r="B335" s="7">
        <v>35670</v>
      </c>
      <c r="C335" s="8">
        <f>11004+26187</f>
        <v>37191</v>
      </c>
      <c r="D335" s="8">
        <v>10035</v>
      </c>
      <c r="E335" s="155">
        <f t="shared" si="100"/>
        <v>26.982334435750584</v>
      </c>
      <c r="F335" s="9">
        <v>6359</v>
      </c>
      <c r="G335" s="10">
        <v>6445</v>
      </c>
      <c r="H335" s="8">
        <v>6087</v>
      </c>
      <c r="I335" s="178">
        <f t="shared" si="101"/>
        <v>94.44530643910008</v>
      </c>
      <c r="J335" s="7">
        <v>23546</v>
      </c>
      <c r="K335" s="8">
        <v>26187</v>
      </c>
      <c r="L335" s="8">
        <v>0</v>
      </c>
      <c r="M335" s="184">
        <f t="shared" si="102"/>
        <v>0</v>
      </c>
    </row>
    <row r="336" spans="1:13" ht="13.5" thickBot="1">
      <c r="A336" s="69" t="s">
        <v>30</v>
      </c>
      <c r="B336" s="70">
        <v>21219</v>
      </c>
      <c r="C336" s="18">
        <f>6416+15167</f>
        <v>21583</v>
      </c>
      <c r="D336" s="18">
        <f>6704</f>
        <v>6704</v>
      </c>
      <c r="E336" s="157">
        <f t="shared" si="100"/>
        <v>31.061483575035908</v>
      </c>
      <c r="F336" s="71">
        <v>4108</v>
      </c>
      <c r="G336" s="72">
        <v>4125</v>
      </c>
      <c r="H336" s="18">
        <v>4310</v>
      </c>
      <c r="I336" s="162">
        <f t="shared" si="101"/>
        <v>104.4848484848485</v>
      </c>
      <c r="J336" s="70">
        <v>14382</v>
      </c>
      <c r="K336" s="18">
        <v>15167</v>
      </c>
      <c r="L336" s="18">
        <v>0</v>
      </c>
      <c r="M336" s="187">
        <f t="shared" si="102"/>
        <v>0</v>
      </c>
    </row>
    <row r="337" spans="1:13" s="139" customFormat="1" ht="13.5" thickBot="1">
      <c r="A337" s="40" t="s">
        <v>31</v>
      </c>
      <c r="B337" s="135">
        <f>B338</f>
        <v>15432</v>
      </c>
      <c r="C337" s="136">
        <f>C338</f>
        <v>16074</v>
      </c>
      <c r="D337" s="136">
        <f>D338</f>
        <v>4698</v>
      </c>
      <c r="E337" s="119">
        <f t="shared" si="100"/>
        <v>29.227323628219487</v>
      </c>
      <c r="F337" s="137">
        <f>F338</f>
        <v>3149</v>
      </c>
      <c r="G337" s="138">
        <f>G338</f>
        <v>3223</v>
      </c>
      <c r="H337" s="136">
        <f>H338</f>
        <v>3324</v>
      </c>
      <c r="I337" s="181">
        <f t="shared" si="101"/>
        <v>103.13372634191747</v>
      </c>
      <c r="J337" s="135">
        <f>J338</f>
        <v>11233</v>
      </c>
      <c r="K337" s="136">
        <f>K338</f>
        <v>11560</v>
      </c>
      <c r="L337" s="136">
        <f>L338</f>
        <v>0</v>
      </c>
      <c r="M337" s="183">
        <f t="shared" si="102"/>
        <v>0</v>
      </c>
    </row>
    <row r="338" spans="1:13" s="122" customFormat="1" ht="13.5" thickBot="1">
      <c r="A338" s="84" t="s">
        <v>115</v>
      </c>
      <c r="B338" s="98">
        <v>15432</v>
      </c>
      <c r="C338" s="125">
        <f>4403+11560+111</f>
        <v>16074</v>
      </c>
      <c r="D338" s="125">
        <f>4584+114</f>
        <v>4698</v>
      </c>
      <c r="E338" s="161">
        <f t="shared" si="100"/>
        <v>29.227323628219487</v>
      </c>
      <c r="F338" s="126">
        <v>3149</v>
      </c>
      <c r="G338" s="127">
        <v>3223</v>
      </c>
      <c r="H338" s="125">
        <v>3324</v>
      </c>
      <c r="I338" s="179">
        <f t="shared" si="101"/>
        <v>103.13372634191747</v>
      </c>
      <c r="J338" s="126">
        <v>11233</v>
      </c>
      <c r="K338" s="127">
        <v>11560</v>
      </c>
      <c r="L338" s="125">
        <v>0</v>
      </c>
      <c r="M338" s="185">
        <f t="shared" si="102"/>
        <v>0</v>
      </c>
    </row>
    <row r="339" spans="1:13" ht="13.5" thickBot="1">
      <c r="A339" s="100"/>
      <c r="B339" s="101"/>
      <c r="C339" s="101"/>
      <c r="D339" s="101"/>
      <c r="E339" s="102"/>
      <c r="F339" s="101"/>
      <c r="G339" s="101"/>
      <c r="H339" s="101"/>
      <c r="I339" s="102"/>
      <c r="J339" s="101"/>
      <c r="K339" s="101"/>
      <c r="L339" s="101"/>
      <c r="M339" s="102"/>
    </row>
    <row r="340" spans="1:13" ht="13.5" thickBot="1">
      <c r="A340" s="40" t="s">
        <v>1</v>
      </c>
      <c r="B340" s="193" t="s">
        <v>66</v>
      </c>
      <c r="C340" s="194"/>
      <c r="D340" s="194"/>
      <c r="E340" s="195"/>
      <c r="F340" s="196" t="s">
        <v>5</v>
      </c>
      <c r="G340" s="197"/>
      <c r="H340" s="197"/>
      <c r="I340" s="198"/>
      <c r="J340" s="193" t="s">
        <v>85</v>
      </c>
      <c r="K340" s="194"/>
      <c r="L340" s="194"/>
      <c r="M340" s="195"/>
    </row>
    <row r="341" spans="1:13" ht="12.75">
      <c r="A341" s="6" t="s">
        <v>114</v>
      </c>
      <c r="B341" s="9">
        <f aca="true" t="shared" si="103" ref="B341:B346">B331-F331-J331</f>
        <v>3759</v>
      </c>
      <c r="C341" s="10">
        <f aca="true" t="shared" si="104" ref="C341:C346">C331-G331-K331</f>
        <v>3518</v>
      </c>
      <c r="D341" s="8">
        <f aca="true" t="shared" si="105" ref="D341:D346">D331-H331-L331</f>
        <v>3380</v>
      </c>
      <c r="E341" s="155">
        <f aca="true" t="shared" si="106" ref="E341:E348">IF(C341=0,"0,00",(D341/C341)*100)</f>
        <v>96.07731665719159</v>
      </c>
      <c r="F341" s="9">
        <v>39523</v>
      </c>
      <c r="G341" s="8">
        <f>10347+31825</f>
        <v>42172</v>
      </c>
      <c r="H341" s="11">
        <f>9472+183</f>
        <v>9655</v>
      </c>
      <c r="I341" s="155">
        <f aca="true" t="shared" si="107" ref="I341:I348">IF(G341=0,"0,00",(H341/G341)*100)</f>
        <v>22.894337475101963</v>
      </c>
      <c r="J341" s="19">
        <v>5261</v>
      </c>
      <c r="K341" s="20">
        <f>4310+465</f>
        <v>4775</v>
      </c>
      <c r="L341" s="21">
        <f>3865+20</f>
        <v>3885</v>
      </c>
      <c r="M341" s="155">
        <f aca="true" t="shared" si="108" ref="M341:M348">IF(K341=0,"0,00",(L341/K341)*100)</f>
        <v>81.36125654450261</v>
      </c>
    </row>
    <row r="342" spans="1:13" ht="12.75">
      <c r="A342" s="83" t="s">
        <v>75</v>
      </c>
      <c r="B342" s="9">
        <f t="shared" si="103"/>
        <v>5336</v>
      </c>
      <c r="C342" s="10">
        <f t="shared" si="104"/>
        <v>4724</v>
      </c>
      <c r="D342" s="8">
        <f t="shared" si="105"/>
        <v>4500</v>
      </c>
      <c r="E342" s="155">
        <f t="shared" si="106"/>
        <v>95.25825571549534</v>
      </c>
      <c r="F342" s="9">
        <v>38287</v>
      </c>
      <c r="G342" s="8">
        <f>12504+24508</f>
        <v>37012</v>
      </c>
      <c r="H342" s="11">
        <f>11489+503</f>
        <v>11992</v>
      </c>
      <c r="I342" s="155">
        <f t="shared" si="107"/>
        <v>32.40030260456068</v>
      </c>
      <c r="J342" s="19">
        <v>6093</v>
      </c>
      <c r="K342" s="20">
        <f>5625+240</f>
        <v>5865</v>
      </c>
      <c r="L342" s="21">
        <f>4595</f>
        <v>4595</v>
      </c>
      <c r="M342" s="155">
        <f t="shared" si="108"/>
        <v>78.3461210571185</v>
      </c>
    </row>
    <row r="343" spans="1:13" ht="12.75">
      <c r="A343" s="44" t="s">
        <v>76</v>
      </c>
      <c r="B343" s="45">
        <f t="shared" si="103"/>
        <v>3509</v>
      </c>
      <c r="C343" s="46">
        <f t="shared" si="104"/>
        <v>3974</v>
      </c>
      <c r="D343" s="46">
        <f t="shared" si="105"/>
        <v>3690</v>
      </c>
      <c r="E343" s="161">
        <f t="shared" si="106"/>
        <v>92.85354806240564</v>
      </c>
      <c r="F343" s="13">
        <v>25641</v>
      </c>
      <c r="G343" s="46">
        <f>8315+19154</f>
        <v>27469</v>
      </c>
      <c r="H343" s="66">
        <f>8189+160</f>
        <v>8349</v>
      </c>
      <c r="I343" s="161">
        <f t="shared" si="107"/>
        <v>30.394262623320834</v>
      </c>
      <c r="J343" s="13">
        <v>3443</v>
      </c>
      <c r="K343" s="46">
        <f>3449+162</f>
        <v>3611</v>
      </c>
      <c r="L343" s="59">
        <f>3143</f>
        <v>3143</v>
      </c>
      <c r="M343" s="161">
        <f t="shared" si="108"/>
        <v>87.03960121849903</v>
      </c>
    </row>
    <row r="344" spans="1:13" ht="12.75">
      <c r="A344" s="6" t="s">
        <v>84</v>
      </c>
      <c r="B344" s="9">
        <f t="shared" si="103"/>
        <v>6704</v>
      </c>
      <c r="C344" s="10">
        <f t="shared" si="104"/>
        <v>5822</v>
      </c>
      <c r="D344" s="8">
        <f t="shared" si="105"/>
        <v>5160</v>
      </c>
      <c r="E344" s="155">
        <f t="shared" si="106"/>
        <v>88.62933699759533</v>
      </c>
      <c r="F344" s="9">
        <v>41600</v>
      </c>
      <c r="G344" s="8">
        <f>12874+28353</f>
        <v>41227</v>
      </c>
      <c r="H344" s="11">
        <f>12908+693</f>
        <v>13601</v>
      </c>
      <c r="I344" s="155">
        <f t="shared" si="107"/>
        <v>32.99051592403037</v>
      </c>
      <c r="J344" s="19">
        <v>5709</v>
      </c>
      <c r="K344" s="20">
        <f>5225+240</f>
        <v>5465</v>
      </c>
      <c r="L344" s="21">
        <v>4969</v>
      </c>
      <c r="M344" s="155">
        <f t="shared" si="108"/>
        <v>90.92406221408966</v>
      </c>
    </row>
    <row r="345" spans="1:13" ht="12.75">
      <c r="A345" s="6" t="s">
        <v>29</v>
      </c>
      <c r="B345" s="9">
        <f t="shared" si="103"/>
        <v>5765</v>
      </c>
      <c r="C345" s="10">
        <f t="shared" si="104"/>
        <v>4559</v>
      </c>
      <c r="D345" s="8">
        <f t="shared" si="105"/>
        <v>3948</v>
      </c>
      <c r="E345" s="155">
        <f t="shared" si="106"/>
        <v>86.5979381443299</v>
      </c>
      <c r="F345" s="9">
        <v>35476</v>
      </c>
      <c r="G345" s="8">
        <f>9594+27111</f>
        <v>36705</v>
      </c>
      <c r="H345" s="11">
        <f>9928+82</f>
        <v>10010</v>
      </c>
      <c r="I345" s="155">
        <f t="shared" si="107"/>
        <v>27.271488897970304</v>
      </c>
      <c r="J345" s="19">
        <v>4480</v>
      </c>
      <c r="K345" s="20">
        <f>4011+369</f>
        <v>4380</v>
      </c>
      <c r="L345" s="21">
        <f>3895</f>
        <v>3895</v>
      </c>
      <c r="M345" s="155">
        <f t="shared" si="108"/>
        <v>88.9269406392694</v>
      </c>
    </row>
    <row r="346" spans="1:13" ht="13.5" thickBot="1">
      <c r="A346" s="69" t="s">
        <v>30</v>
      </c>
      <c r="B346" s="71">
        <f t="shared" si="103"/>
        <v>2729</v>
      </c>
      <c r="C346" s="72">
        <f t="shared" si="104"/>
        <v>2291</v>
      </c>
      <c r="D346" s="18">
        <f t="shared" si="105"/>
        <v>2394</v>
      </c>
      <c r="E346" s="157">
        <f t="shared" si="106"/>
        <v>104.49585333915321</v>
      </c>
      <c r="F346" s="71">
        <v>21083</v>
      </c>
      <c r="G346" s="18">
        <f>6087+15376</f>
        <v>21463</v>
      </c>
      <c r="H346" s="73">
        <f>6384+213</f>
        <v>6597</v>
      </c>
      <c r="I346" s="157">
        <f t="shared" si="107"/>
        <v>30.736616502818805</v>
      </c>
      <c r="J346" s="74">
        <v>3097</v>
      </c>
      <c r="K346" s="75">
        <f>2342+198</f>
        <v>2540</v>
      </c>
      <c r="L346" s="76">
        <f>2420</f>
        <v>2420</v>
      </c>
      <c r="M346" s="157">
        <f t="shared" si="108"/>
        <v>95.2755905511811</v>
      </c>
    </row>
    <row r="347" spans="1:13" s="139" customFormat="1" ht="13.5" thickBot="1">
      <c r="A347" s="40" t="s">
        <v>31</v>
      </c>
      <c r="B347" s="137">
        <f>B348</f>
        <v>1050</v>
      </c>
      <c r="C347" s="138">
        <f>C348</f>
        <v>1291</v>
      </c>
      <c r="D347" s="136">
        <f>D348</f>
        <v>1374</v>
      </c>
      <c r="E347" s="119">
        <f t="shared" si="106"/>
        <v>106.4291247095275</v>
      </c>
      <c r="F347" s="137">
        <f>F348</f>
        <v>15426</v>
      </c>
      <c r="G347" s="136">
        <f>G348</f>
        <v>16072</v>
      </c>
      <c r="H347" s="140">
        <f>H348</f>
        <v>4693</v>
      </c>
      <c r="I347" s="119">
        <f t="shared" si="107"/>
        <v>29.199850671976108</v>
      </c>
      <c r="J347" s="141">
        <f>J348</f>
        <v>1853</v>
      </c>
      <c r="K347" s="142">
        <f>K348</f>
        <v>2266</v>
      </c>
      <c r="L347" s="143">
        <f>L348</f>
        <v>2007</v>
      </c>
      <c r="M347" s="119">
        <f t="shared" si="108"/>
        <v>88.57016769638129</v>
      </c>
    </row>
    <row r="348" spans="1:13" s="122" customFormat="1" ht="13.5" thickBot="1">
      <c r="A348" s="84" t="s">
        <v>115</v>
      </c>
      <c r="B348" s="71">
        <f>B338-F338-J338</f>
        <v>1050</v>
      </c>
      <c r="C348" s="72">
        <f>C338-G338-K338</f>
        <v>1291</v>
      </c>
      <c r="D348" s="18">
        <f>D338-H338-L338</f>
        <v>1374</v>
      </c>
      <c r="E348" s="161">
        <f t="shared" si="106"/>
        <v>106.4291247095275</v>
      </c>
      <c r="F348" s="126">
        <v>15426</v>
      </c>
      <c r="G348" s="125">
        <f>4232+11731+109</f>
        <v>16072</v>
      </c>
      <c r="H348" s="89">
        <f>4544+109+40</f>
        <v>4693</v>
      </c>
      <c r="I348" s="161">
        <f t="shared" si="107"/>
        <v>29.199850671976108</v>
      </c>
      <c r="J348" s="126">
        <v>1853</v>
      </c>
      <c r="K348" s="125">
        <f>1991+231+44</f>
        <v>2266</v>
      </c>
      <c r="L348" s="89">
        <v>2007</v>
      </c>
      <c r="M348" s="161">
        <f t="shared" si="108"/>
        <v>88.57016769638129</v>
      </c>
    </row>
    <row r="349" spans="1:13" ht="13.5" thickBot="1">
      <c r="A349" s="100"/>
      <c r="B349" s="101"/>
      <c r="C349" s="101"/>
      <c r="D349" s="101"/>
      <c r="E349" s="102" t="str">
        <f>IF(C349=0," ",(D349/C349)*100)</f>
        <v> </v>
      </c>
      <c r="F349" s="101"/>
      <c r="G349" s="101"/>
      <c r="H349" s="101"/>
      <c r="I349" s="102"/>
      <c r="J349" s="104"/>
      <c r="K349" s="104"/>
      <c r="L349" s="104"/>
      <c r="M349" s="102"/>
    </row>
    <row r="350" spans="1:13" ht="13.5" thickBot="1">
      <c r="A350" s="77" t="s">
        <v>1</v>
      </c>
      <c r="B350" s="193" t="s">
        <v>86</v>
      </c>
      <c r="C350" s="194"/>
      <c r="D350" s="194"/>
      <c r="E350" s="195"/>
      <c r="F350" s="193" t="s">
        <v>6</v>
      </c>
      <c r="G350" s="194"/>
      <c r="H350" s="194"/>
      <c r="I350" s="195"/>
      <c r="J350" s="196" t="s">
        <v>87</v>
      </c>
      <c r="K350" s="197"/>
      <c r="L350" s="197"/>
      <c r="M350" s="198"/>
    </row>
    <row r="351" spans="1:13" ht="12.75">
      <c r="A351" s="6" t="s">
        <v>114</v>
      </c>
      <c r="B351" s="9">
        <v>1736</v>
      </c>
      <c r="C351" s="8">
        <v>1964</v>
      </c>
      <c r="D351" s="11">
        <v>2290</v>
      </c>
      <c r="E351" s="155">
        <f aca="true" t="shared" si="109" ref="E351:E358">IF(C351=0,"0,00",(D351/C351)*100)</f>
        <v>116.59877800407332</v>
      </c>
      <c r="F351" s="9">
        <v>556</v>
      </c>
      <c r="G351" s="8">
        <v>701</v>
      </c>
      <c r="H351" s="14">
        <v>605</v>
      </c>
      <c r="I351" s="178">
        <f aca="true" t="shared" si="110" ref="I351:I358">IF(G351=0,"0,00",(H351/G351)*100)</f>
        <v>86.3052781740371</v>
      </c>
      <c r="J351" s="9">
        <v>21073</v>
      </c>
      <c r="K351" s="8">
        <v>22648</v>
      </c>
      <c r="L351" s="8">
        <v>152</v>
      </c>
      <c r="M351" s="155">
        <f aca="true" t="shared" si="111" ref="M351:M358">IF(K351=0,"0,00",(L351/K351)*100)</f>
        <v>0.6711409395973155</v>
      </c>
    </row>
    <row r="352" spans="1:13" ht="12.75">
      <c r="A352" s="83" t="s">
        <v>75</v>
      </c>
      <c r="B352" s="9">
        <v>2689</v>
      </c>
      <c r="C352" s="8">
        <v>2615</v>
      </c>
      <c r="D352" s="11">
        <v>2749</v>
      </c>
      <c r="E352" s="155">
        <f t="shared" si="109"/>
        <v>105.1242829827916</v>
      </c>
      <c r="F352" s="9">
        <v>422</v>
      </c>
      <c r="G352" s="8">
        <v>753</v>
      </c>
      <c r="H352" s="14">
        <v>503</v>
      </c>
      <c r="I352" s="178">
        <f t="shared" si="110"/>
        <v>66.79946879150066</v>
      </c>
      <c r="J352" s="9">
        <v>18679</v>
      </c>
      <c r="K352" s="8">
        <v>17644</v>
      </c>
      <c r="L352" s="8">
        <v>500</v>
      </c>
      <c r="M352" s="155">
        <f t="shared" si="111"/>
        <v>2.833824529585128</v>
      </c>
    </row>
    <row r="353" spans="1:13" ht="12.75">
      <c r="A353" s="44" t="s">
        <v>76</v>
      </c>
      <c r="B353" s="9">
        <v>1821</v>
      </c>
      <c r="C353" s="8">
        <v>1994</v>
      </c>
      <c r="D353" s="11">
        <v>2273</v>
      </c>
      <c r="E353" s="155">
        <f t="shared" si="109"/>
        <v>113.99197592778334</v>
      </c>
      <c r="F353" s="9">
        <v>824</v>
      </c>
      <c r="G353" s="8">
        <v>708</v>
      </c>
      <c r="H353" s="14">
        <v>702</v>
      </c>
      <c r="I353" s="178">
        <f t="shared" si="110"/>
        <v>99.15254237288136</v>
      </c>
      <c r="J353" s="9">
        <v>12697</v>
      </c>
      <c r="K353" s="8">
        <v>13751</v>
      </c>
      <c r="L353" s="8">
        <v>135</v>
      </c>
      <c r="M353" s="155">
        <f t="shared" si="111"/>
        <v>0.9817467820522143</v>
      </c>
    </row>
    <row r="354" spans="1:13" ht="12.75">
      <c r="A354" s="6" t="s">
        <v>84</v>
      </c>
      <c r="B354" s="9">
        <v>2505</v>
      </c>
      <c r="C354" s="8">
        <v>2656</v>
      </c>
      <c r="D354" s="11">
        <v>2900</v>
      </c>
      <c r="E354" s="155">
        <f t="shared" si="109"/>
        <v>109.1867469879518</v>
      </c>
      <c r="F354" s="9">
        <v>1168</v>
      </c>
      <c r="G354" s="8">
        <v>1194</v>
      </c>
      <c r="H354" s="14">
        <v>1255</v>
      </c>
      <c r="I354" s="178">
        <f t="shared" si="110"/>
        <v>105.10887772194305</v>
      </c>
      <c r="J354" s="9">
        <v>20126</v>
      </c>
      <c r="K354" s="8">
        <v>20281</v>
      </c>
      <c r="L354" s="8">
        <v>557</v>
      </c>
      <c r="M354" s="155">
        <f t="shared" si="111"/>
        <v>2.74641289877225</v>
      </c>
    </row>
    <row r="355" spans="1:13" ht="12.75">
      <c r="A355" s="6" t="s">
        <v>29</v>
      </c>
      <c r="B355" s="9">
        <v>2760</v>
      </c>
      <c r="C355" s="8">
        <v>2084</v>
      </c>
      <c r="D355" s="11">
        <v>2225</v>
      </c>
      <c r="E355" s="155">
        <f t="shared" si="109"/>
        <v>106.7658349328215</v>
      </c>
      <c r="F355" s="9">
        <v>841</v>
      </c>
      <c r="G355" s="8">
        <v>330</v>
      </c>
      <c r="H355" s="14">
        <v>602</v>
      </c>
      <c r="I355" s="178">
        <f t="shared" si="110"/>
        <v>182.42424242424244</v>
      </c>
      <c r="J355" s="9">
        <v>17551</v>
      </c>
      <c r="K355" s="8">
        <f>19268</f>
        <v>19268</v>
      </c>
      <c r="L355" s="8">
        <v>58</v>
      </c>
      <c r="M355" s="155">
        <f t="shared" si="111"/>
        <v>0.3010172306414781</v>
      </c>
    </row>
    <row r="356" spans="1:13" ht="13.5" thickBot="1">
      <c r="A356" s="69" t="s">
        <v>30</v>
      </c>
      <c r="B356" s="71">
        <v>1628</v>
      </c>
      <c r="C356" s="18">
        <v>1777</v>
      </c>
      <c r="D356" s="73">
        <v>1954</v>
      </c>
      <c r="E356" s="157">
        <f t="shared" si="109"/>
        <v>109.96060776589758</v>
      </c>
      <c r="F356" s="71">
        <v>487</v>
      </c>
      <c r="G356" s="18">
        <v>554</v>
      </c>
      <c r="H356" s="22">
        <v>480</v>
      </c>
      <c r="I356" s="162">
        <f t="shared" si="110"/>
        <v>86.64259927797833</v>
      </c>
      <c r="J356" s="71">
        <v>10415</v>
      </c>
      <c r="K356" s="18">
        <f>10975</f>
        <v>10975</v>
      </c>
      <c r="L356" s="18">
        <v>170</v>
      </c>
      <c r="M356" s="157">
        <f t="shared" si="111"/>
        <v>1.5489749430523918</v>
      </c>
    </row>
    <row r="357" spans="1:13" s="139" customFormat="1" ht="13.5" thickBot="1">
      <c r="A357" s="40" t="s">
        <v>31</v>
      </c>
      <c r="B357" s="137">
        <f>B358</f>
        <v>926</v>
      </c>
      <c r="C357" s="136">
        <f>C358</f>
        <v>809</v>
      </c>
      <c r="D357" s="140">
        <f>D358</f>
        <v>1029</v>
      </c>
      <c r="E357" s="119">
        <f t="shared" si="109"/>
        <v>127.19406674907292</v>
      </c>
      <c r="F357" s="137">
        <f>F358</f>
        <v>536</v>
      </c>
      <c r="G357" s="136">
        <f>G358</f>
        <v>319</v>
      </c>
      <c r="H357" s="144">
        <f>H358</f>
        <v>569</v>
      </c>
      <c r="I357" s="181">
        <f t="shared" si="110"/>
        <v>178.36990595611286</v>
      </c>
      <c r="J357" s="137">
        <f>J358</f>
        <v>8125</v>
      </c>
      <c r="K357" s="136">
        <f>K358</f>
        <v>8350</v>
      </c>
      <c r="L357" s="136">
        <f>L358</f>
        <v>40</v>
      </c>
      <c r="M357" s="119">
        <f t="shared" si="111"/>
        <v>0.47904191616766467</v>
      </c>
    </row>
    <row r="358" spans="1:13" s="122" customFormat="1" ht="13.5" thickBot="1">
      <c r="A358" s="84" t="s">
        <v>115</v>
      </c>
      <c r="B358" s="126">
        <v>926</v>
      </c>
      <c r="C358" s="125">
        <v>809</v>
      </c>
      <c r="D358" s="89">
        <v>1029</v>
      </c>
      <c r="E358" s="161">
        <f t="shared" si="109"/>
        <v>127.19406674907292</v>
      </c>
      <c r="F358" s="126">
        <v>536</v>
      </c>
      <c r="G358" s="125">
        <v>319</v>
      </c>
      <c r="H358" s="128">
        <v>569</v>
      </c>
      <c r="I358" s="179">
        <f t="shared" si="110"/>
        <v>178.36990595611286</v>
      </c>
      <c r="J358" s="126">
        <v>8125</v>
      </c>
      <c r="K358" s="125">
        <v>8350</v>
      </c>
      <c r="L358" s="128">
        <v>40</v>
      </c>
      <c r="M358" s="161">
        <f t="shared" si="111"/>
        <v>0.47904191616766467</v>
      </c>
    </row>
    <row r="359" spans="1:13" ht="13.5" thickBot="1">
      <c r="A359" s="100"/>
      <c r="B359" s="101"/>
      <c r="C359" s="101"/>
      <c r="D359" s="101"/>
      <c r="E359" s="102"/>
      <c r="F359" s="101"/>
      <c r="G359" s="101"/>
      <c r="H359" s="101"/>
      <c r="I359" s="102"/>
      <c r="J359" s="101"/>
      <c r="K359" s="101"/>
      <c r="L359" s="101"/>
      <c r="M359" s="102"/>
    </row>
    <row r="360" spans="1:13" ht="13.5" thickBot="1">
      <c r="A360" s="77" t="s">
        <v>1</v>
      </c>
      <c r="B360" s="193" t="s">
        <v>7</v>
      </c>
      <c r="C360" s="194"/>
      <c r="D360" s="194"/>
      <c r="E360" s="195"/>
      <c r="F360" s="196" t="s">
        <v>8</v>
      </c>
      <c r="G360" s="197"/>
      <c r="H360" s="197"/>
      <c r="I360" s="198"/>
      <c r="J360" s="199"/>
      <c r="K360" s="200"/>
      <c r="L360" s="200"/>
      <c r="M360" s="200"/>
    </row>
    <row r="361" spans="1:13" ht="12.75">
      <c r="A361" s="6" t="s">
        <v>114</v>
      </c>
      <c r="B361" s="9">
        <v>886</v>
      </c>
      <c r="C361" s="8">
        <v>880</v>
      </c>
      <c r="D361" s="11">
        <v>901</v>
      </c>
      <c r="E361" s="155">
        <f aca="true" t="shared" si="112" ref="E361:E368">IF(C361=0,"0,00",(D361/C361)*100)</f>
        <v>102.38636363636364</v>
      </c>
      <c r="F361" s="9">
        <f aca="true" t="shared" si="113" ref="F361:H366">B331-F341</f>
        <v>74</v>
      </c>
      <c r="G361" s="8">
        <f t="shared" si="113"/>
        <v>77</v>
      </c>
      <c r="H361" s="14">
        <f t="shared" si="113"/>
        <v>53</v>
      </c>
      <c r="I361" s="178">
        <f aca="true" t="shared" si="114" ref="I361:I368">IF(G361=0,"0,00",(H361/G361)*100)</f>
        <v>68.83116883116884</v>
      </c>
      <c r="J361" s="105"/>
      <c r="K361" s="106"/>
      <c r="L361" s="106"/>
      <c r="M361" s="106"/>
    </row>
    <row r="362" spans="1:13" ht="12.75">
      <c r="A362" s="83" t="s">
        <v>75</v>
      </c>
      <c r="B362" s="9">
        <v>1498</v>
      </c>
      <c r="C362" s="8">
        <v>1508</v>
      </c>
      <c r="D362" s="11">
        <v>1441</v>
      </c>
      <c r="E362" s="155">
        <f t="shared" si="112"/>
        <v>95.55702917771883</v>
      </c>
      <c r="F362" s="9">
        <f t="shared" si="113"/>
        <v>68</v>
      </c>
      <c r="G362" s="8">
        <f t="shared" si="113"/>
        <v>40</v>
      </c>
      <c r="H362" s="14">
        <f t="shared" si="113"/>
        <v>53</v>
      </c>
      <c r="I362" s="178">
        <f t="shared" si="114"/>
        <v>132.5</v>
      </c>
      <c r="J362" s="105"/>
      <c r="K362" s="106"/>
      <c r="L362" s="106"/>
      <c r="M362" s="106"/>
    </row>
    <row r="363" spans="1:13" ht="12.75">
      <c r="A363" s="44" t="s">
        <v>76</v>
      </c>
      <c r="B363" s="9">
        <v>900</v>
      </c>
      <c r="C363" s="8">
        <v>925</v>
      </c>
      <c r="D363" s="11">
        <v>932</v>
      </c>
      <c r="E363" s="155">
        <f t="shared" si="112"/>
        <v>100.75675675675674</v>
      </c>
      <c r="F363" s="9">
        <f t="shared" si="113"/>
        <v>159</v>
      </c>
      <c r="G363" s="8">
        <v>33</v>
      </c>
      <c r="H363" s="14">
        <f t="shared" si="113"/>
        <v>38</v>
      </c>
      <c r="I363" s="178">
        <f t="shared" si="114"/>
        <v>115.15151515151516</v>
      </c>
      <c r="J363" s="85"/>
      <c r="K363" s="91"/>
      <c r="L363" s="91"/>
      <c r="M363" s="103"/>
    </row>
    <row r="364" spans="1:13" ht="12.75">
      <c r="A364" s="6" t="s">
        <v>84</v>
      </c>
      <c r="B364" s="9">
        <v>1383</v>
      </c>
      <c r="C364" s="8">
        <v>1419</v>
      </c>
      <c r="D364" s="11">
        <v>1442</v>
      </c>
      <c r="E364" s="155">
        <f t="shared" si="112"/>
        <v>101.62085976039465</v>
      </c>
      <c r="F364" s="9">
        <f t="shared" si="113"/>
        <v>209</v>
      </c>
      <c r="G364" s="8">
        <f t="shared" si="113"/>
        <v>222</v>
      </c>
      <c r="H364" s="14">
        <f t="shared" si="113"/>
        <v>43</v>
      </c>
      <c r="I364" s="178">
        <f t="shared" si="114"/>
        <v>19.36936936936937</v>
      </c>
      <c r="J364" s="85"/>
      <c r="K364" s="91"/>
      <c r="L364" s="91"/>
      <c r="M364" s="103"/>
    </row>
    <row r="365" spans="1:13" ht="12.75">
      <c r="A365" s="6" t="s">
        <v>29</v>
      </c>
      <c r="B365" s="9">
        <v>1081</v>
      </c>
      <c r="C365" s="8">
        <v>1154</v>
      </c>
      <c r="D365" s="11">
        <v>1322</v>
      </c>
      <c r="E365" s="155">
        <f t="shared" si="112"/>
        <v>114.55805892547662</v>
      </c>
      <c r="F365" s="9">
        <f t="shared" si="113"/>
        <v>194</v>
      </c>
      <c r="G365" s="8">
        <f t="shared" si="113"/>
        <v>486</v>
      </c>
      <c r="H365" s="14">
        <f t="shared" si="113"/>
        <v>25</v>
      </c>
      <c r="I365" s="178">
        <f t="shared" si="114"/>
        <v>5.1440329218107</v>
      </c>
      <c r="J365" s="85"/>
      <c r="K365" s="91"/>
      <c r="L365" s="91"/>
      <c r="M365" s="103"/>
    </row>
    <row r="366" spans="1:13" ht="13.5" thickBot="1">
      <c r="A366" s="69" t="s">
        <v>30</v>
      </c>
      <c r="B366" s="71">
        <v>616</v>
      </c>
      <c r="C366" s="18">
        <v>605</v>
      </c>
      <c r="D366" s="73">
        <v>610</v>
      </c>
      <c r="E366" s="157">
        <f t="shared" si="112"/>
        <v>100.82644628099173</v>
      </c>
      <c r="F366" s="71">
        <f t="shared" si="113"/>
        <v>136</v>
      </c>
      <c r="G366" s="18">
        <f t="shared" si="113"/>
        <v>120</v>
      </c>
      <c r="H366" s="22">
        <f t="shared" si="113"/>
        <v>107</v>
      </c>
      <c r="I366" s="162">
        <f t="shared" si="114"/>
        <v>89.16666666666667</v>
      </c>
      <c r="J366" s="85"/>
      <c r="K366" s="91"/>
      <c r="L366" s="91"/>
      <c r="M366" s="103"/>
    </row>
    <row r="367" spans="1:13" s="139" customFormat="1" ht="13.5" thickBot="1">
      <c r="A367" s="40" t="s">
        <v>31</v>
      </c>
      <c r="B367" s="137">
        <f>B368</f>
        <v>329</v>
      </c>
      <c r="C367" s="136">
        <f>C368</f>
        <v>367</v>
      </c>
      <c r="D367" s="140">
        <f>D368</f>
        <v>332</v>
      </c>
      <c r="E367" s="119">
        <f t="shared" si="112"/>
        <v>90.46321525885558</v>
      </c>
      <c r="F367" s="137">
        <f>F368</f>
        <v>6</v>
      </c>
      <c r="G367" s="136">
        <f>G368</f>
        <v>2</v>
      </c>
      <c r="H367" s="144">
        <f>H368</f>
        <v>5</v>
      </c>
      <c r="I367" s="119">
        <f t="shared" si="114"/>
        <v>250</v>
      </c>
      <c r="J367" s="145"/>
      <c r="K367" s="146"/>
      <c r="L367" s="146"/>
      <c r="M367" s="109"/>
    </row>
    <row r="368" spans="1:13" s="122" customFormat="1" ht="13.5" thickBot="1">
      <c r="A368" s="84" t="s">
        <v>115</v>
      </c>
      <c r="B368" s="126">
        <v>329</v>
      </c>
      <c r="C368" s="125">
        <v>367</v>
      </c>
      <c r="D368" s="89">
        <v>332</v>
      </c>
      <c r="E368" s="161">
        <f t="shared" si="112"/>
        <v>90.46321525885558</v>
      </c>
      <c r="F368" s="126">
        <f>B338-F348</f>
        <v>6</v>
      </c>
      <c r="G368" s="125">
        <f>C338-G348</f>
        <v>2</v>
      </c>
      <c r="H368" s="128">
        <f>D338-H348</f>
        <v>5</v>
      </c>
      <c r="I368" s="161">
        <f t="shared" si="114"/>
        <v>250</v>
      </c>
      <c r="J368" s="98"/>
      <c r="K368" s="89"/>
      <c r="L368" s="89"/>
      <c r="M368" s="103"/>
    </row>
    <row r="369" spans="1:13" ht="12.75">
      <c r="A369" s="100"/>
      <c r="B369" s="101"/>
      <c r="C369" s="101"/>
      <c r="D369" s="101"/>
      <c r="E369" s="102"/>
      <c r="F369" s="101"/>
      <c r="G369" s="101"/>
      <c r="H369" s="101"/>
      <c r="I369" s="102"/>
      <c r="J369" s="91"/>
      <c r="K369" s="91"/>
      <c r="L369" s="91"/>
      <c r="M369" s="103"/>
    </row>
    <row r="370" spans="1:13" ht="12.75">
      <c r="A370" s="54"/>
      <c r="B370" s="91"/>
      <c r="C370" s="91"/>
      <c r="D370" s="91"/>
      <c r="E370" s="103"/>
      <c r="F370" s="91"/>
      <c r="G370" s="91"/>
      <c r="H370" s="91"/>
      <c r="I370" s="103"/>
      <c r="J370" s="91"/>
      <c r="K370" s="91"/>
      <c r="L370" s="91"/>
      <c r="M370" s="103"/>
    </row>
    <row r="371" spans="1:13" ht="15">
      <c r="A371" s="192" t="s">
        <v>91</v>
      </c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</row>
    <row r="372" spans="1:13" ht="13.5" thickBot="1">
      <c r="A372" s="2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27" customHeight="1">
      <c r="A373" s="214" t="s">
        <v>1</v>
      </c>
      <c r="B373" s="201" t="s">
        <v>0</v>
      </c>
      <c r="C373" s="202"/>
      <c r="D373" s="202"/>
      <c r="E373" s="203"/>
      <c r="F373" s="204" t="s">
        <v>65</v>
      </c>
      <c r="G373" s="205"/>
      <c r="H373" s="205"/>
      <c r="I373" s="205"/>
      <c r="J373" s="206" t="s">
        <v>77</v>
      </c>
      <c r="K373" s="207"/>
      <c r="L373" s="207"/>
      <c r="M373" s="208"/>
    </row>
    <row r="374" spans="1:13" ht="12.75">
      <c r="A374" s="215"/>
      <c r="B374" s="29" t="s">
        <v>2</v>
      </c>
      <c r="C374" s="30" t="s">
        <v>2</v>
      </c>
      <c r="D374" s="30" t="s">
        <v>3</v>
      </c>
      <c r="E374" s="31" t="s">
        <v>4</v>
      </c>
      <c r="F374" s="29" t="s">
        <v>2</v>
      </c>
      <c r="G374" s="30" t="s">
        <v>2</v>
      </c>
      <c r="H374" s="30" t="s">
        <v>3</v>
      </c>
      <c r="I374" s="31" t="s">
        <v>4</v>
      </c>
      <c r="J374" s="29" t="s">
        <v>2</v>
      </c>
      <c r="K374" s="30" t="s">
        <v>2</v>
      </c>
      <c r="L374" s="30" t="s">
        <v>3</v>
      </c>
      <c r="M374" s="31" t="s">
        <v>4</v>
      </c>
    </row>
    <row r="375" spans="1:13" ht="13.5" thickBot="1">
      <c r="A375" s="216"/>
      <c r="B375" s="32">
        <v>2004</v>
      </c>
      <c r="C375" s="33">
        <v>2005</v>
      </c>
      <c r="D375" s="33">
        <v>2006</v>
      </c>
      <c r="E375" s="34" t="s">
        <v>130</v>
      </c>
      <c r="F375" s="32">
        <v>2004</v>
      </c>
      <c r="G375" s="33">
        <v>2005</v>
      </c>
      <c r="H375" s="33">
        <v>2006</v>
      </c>
      <c r="I375" s="34" t="s">
        <v>130</v>
      </c>
      <c r="J375" s="32">
        <v>2004</v>
      </c>
      <c r="K375" s="33">
        <v>2005</v>
      </c>
      <c r="L375" s="33">
        <v>2006</v>
      </c>
      <c r="M375" s="34" t="s">
        <v>130</v>
      </c>
    </row>
    <row r="376" spans="1:13" s="139" customFormat="1" ht="13.5" thickBot="1">
      <c r="A376" s="40" t="s">
        <v>32</v>
      </c>
      <c r="B376" s="135">
        <f>SUM(B377:B378)</f>
        <v>38074</v>
      </c>
      <c r="C376" s="136">
        <f>SUM(C377:C378)</f>
        <v>40677</v>
      </c>
      <c r="D376" s="136">
        <f>SUM(D377:D378)</f>
        <v>21039</v>
      </c>
      <c r="E376" s="119">
        <f aca="true" t="shared" si="115" ref="E376:E384">IF(C376=0,"0,00",(D376/C376)*100)</f>
        <v>51.722103399955756</v>
      </c>
      <c r="F376" s="137">
        <f>SUM(F377:F378)</f>
        <v>3429</v>
      </c>
      <c r="G376" s="138">
        <f>SUM(G377:G378)</f>
        <v>3253</v>
      </c>
      <c r="H376" s="136">
        <f>SUM(H377:H378)</f>
        <v>3649</v>
      </c>
      <c r="I376" s="181">
        <f aca="true" t="shared" si="116" ref="I376:I384">IF(G376=0,"0,00",(H376/G376)*100)</f>
        <v>112.17337841992008</v>
      </c>
      <c r="J376" s="135">
        <f>SUM(J377:J378)</f>
        <v>17756</v>
      </c>
      <c r="K376" s="136">
        <f>SUM(K377:K378)</f>
        <v>18125</v>
      </c>
      <c r="L376" s="136">
        <f>SUM(L377:L378)</f>
        <v>0</v>
      </c>
      <c r="M376" s="119">
        <f aca="true" t="shared" si="117" ref="M376:M384">IF(K376=0,"0,00",(L376/K376)*100)</f>
        <v>0</v>
      </c>
    </row>
    <row r="377" spans="1:13" ht="12.75">
      <c r="A377" s="44" t="s">
        <v>33</v>
      </c>
      <c r="B377" s="45">
        <v>20303</v>
      </c>
      <c r="C377" s="46">
        <v>22795</v>
      </c>
      <c r="D377" s="46">
        <v>9869</v>
      </c>
      <c r="E377" s="156">
        <f t="shared" si="115"/>
        <v>43.294582145207286</v>
      </c>
      <c r="F377" s="13">
        <v>1984</v>
      </c>
      <c r="G377" s="47">
        <v>1834</v>
      </c>
      <c r="H377" s="46">
        <v>2100</v>
      </c>
      <c r="I377" s="180">
        <f t="shared" si="116"/>
        <v>114.50381679389312</v>
      </c>
      <c r="J377" s="45">
        <v>11132</v>
      </c>
      <c r="K377" s="46">
        <v>11396</v>
      </c>
      <c r="L377" s="46">
        <v>0</v>
      </c>
      <c r="M377" s="186">
        <f t="shared" si="117"/>
        <v>0</v>
      </c>
    </row>
    <row r="378" spans="1:13" ht="13.5" thickBot="1">
      <c r="A378" s="95" t="s">
        <v>34</v>
      </c>
      <c r="B378" s="70">
        <v>17771</v>
      </c>
      <c r="C378" s="18">
        <v>17882</v>
      </c>
      <c r="D378" s="18">
        <v>11170</v>
      </c>
      <c r="E378" s="157">
        <f t="shared" si="115"/>
        <v>62.46504865227603</v>
      </c>
      <c r="F378" s="71">
        <v>1445</v>
      </c>
      <c r="G378" s="72">
        <v>1419</v>
      </c>
      <c r="H378" s="18">
        <v>1549</v>
      </c>
      <c r="I378" s="162">
        <f t="shared" si="116"/>
        <v>109.16138125440452</v>
      </c>
      <c r="J378" s="70">
        <v>6624</v>
      </c>
      <c r="K378" s="18">
        <v>6729</v>
      </c>
      <c r="L378" s="18">
        <v>0</v>
      </c>
      <c r="M378" s="184">
        <f t="shared" si="117"/>
        <v>0</v>
      </c>
    </row>
    <row r="379" spans="1:13" s="139" customFormat="1" ht="13.5" thickBot="1">
      <c r="A379" s="40" t="s">
        <v>35</v>
      </c>
      <c r="B379" s="135">
        <f>SUM(B380:B384)</f>
        <v>18933</v>
      </c>
      <c r="C379" s="136">
        <f>SUM(C380:C384)</f>
        <v>21086</v>
      </c>
      <c r="D379" s="136">
        <f>SUM(D380:D384)</f>
        <v>4058</v>
      </c>
      <c r="E379" s="119">
        <f t="shared" si="115"/>
        <v>19.244996680261785</v>
      </c>
      <c r="F379" s="135">
        <f>SUM(F380:F384)</f>
        <v>4201</v>
      </c>
      <c r="G379" s="136">
        <f>SUM(G380:G384)</f>
        <v>4214</v>
      </c>
      <c r="H379" s="136">
        <f>SUM(H380:H384)</f>
        <v>4053</v>
      </c>
      <c r="I379" s="181">
        <f t="shared" si="116"/>
        <v>96.17940199335548</v>
      </c>
      <c r="J379" s="135">
        <f>SUM(J380:J384)</f>
        <v>14537</v>
      </c>
      <c r="K379" s="136">
        <f>SUM(K380:K384)</f>
        <v>16804</v>
      </c>
      <c r="L379" s="136">
        <f>SUM(L380:L384)</f>
        <v>0</v>
      </c>
      <c r="M379" s="183">
        <f t="shared" si="117"/>
        <v>0</v>
      </c>
    </row>
    <row r="380" spans="1:13" ht="12.75">
      <c r="A380" s="44" t="s">
        <v>90</v>
      </c>
      <c r="B380" s="45">
        <v>2891</v>
      </c>
      <c r="C380" s="46">
        <f>558+2636</f>
        <v>3194</v>
      </c>
      <c r="D380" s="46">
        <v>571</v>
      </c>
      <c r="E380" s="156">
        <f t="shared" si="115"/>
        <v>17.877269881026926</v>
      </c>
      <c r="F380" s="13">
        <v>585</v>
      </c>
      <c r="G380" s="47">
        <v>558</v>
      </c>
      <c r="H380" s="46">
        <v>571</v>
      </c>
      <c r="I380" s="180">
        <f t="shared" si="116"/>
        <v>102.32974910394266</v>
      </c>
      <c r="J380" s="45">
        <v>2266</v>
      </c>
      <c r="K380" s="46">
        <v>2636</v>
      </c>
      <c r="L380" s="46">
        <v>0</v>
      </c>
      <c r="M380" s="184">
        <f t="shared" si="117"/>
        <v>0</v>
      </c>
    </row>
    <row r="381" spans="1:13" ht="12.75">
      <c r="A381" s="6" t="s">
        <v>36</v>
      </c>
      <c r="B381" s="7">
        <v>3541</v>
      </c>
      <c r="C381" s="8">
        <f>608+3537</f>
        <v>4145</v>
      </c>
      <c r="D381" s="8">
        <v>621</v>
      </c>
      <c r="E381" s="155">
        <f t="shared" si="115"/>
        <v>14.981905910735826</v>
      </c>
      <c r="F381" s="9">
        <v>653</v>
      </c>
      <c r="G381" s="10">
        <v>604</v>
      </c>
      <c r="H381" s="8">
        <v>616</v>
      </c>
      <c r="I381" s="178">
        <f t="shared" si="116"/>
        <v>101.98675496688743</v>
      </c>
      <c r="J381" s="7">
        <v>2885</v>
      </c>
      <c r="K381" s="8">
        <v>3537</v>
      </c>
      <c r="L381" s="8">
        <v>0</v>
      </c>
      <c r="M381" s="184">
        <f t="shared" si="117"/>
        <v>0</v>
      </c>
    </row>
    <row r="382" spans="1:13" ht="12.75">
      <c r="A382" s="6" t="s">
        <v>37</v>
      </c>
      <c r="B382" s="7">
        <v>2632</v>
      </c>
      <c r="C382" s="8">
        <f>587+2326</f>
        <v>2913</v>
      </c>
      <c r="D382" s="8">
        <v>508</v>
      </c>
      <c r="E382" s="155">
        <f t="shared" si="115"/>
        <v>17.43906625472022</v>
      </c>
      <c r="F382" s="9">
        <v>471</v>
      </c>
      <c r="G382" s="10">
        <v>565</v>
      </c>
      <c r="H382" s="8">
        <v>508</v>
      </c>
      <c r="I382" s="178">
        <f t="shared" si="116"/>
        <v>89.91150442477877</v>
      </c>
      <c r="J382" s="7">
        <v>2158</v>
      </c>
      <c r="K382" s="8">
        <v>2326</v>
      </c>
      <c r="L382" s="8">
        <v>0</v>
      </c>
      <c r="M382" s="184">
        <f t="shared" si="117"/>
        <v>0</v>
      </c>
    </row>
    <row r="383" spans="1:13" ht="12.75">
      <c r="A383" s="69" t="s">
        <v>38</v>
      </c>
      <c r="B383" s="70">
        <v>4987</v>
      </c>
      <c r="C383" s="18">
        <f>1168+4157</f>
        <v>5325</v>
      </c>
      <c r="D383" s="18">
        <v>1148</v>
      </c>
      <c r="E383" s="157">
        <f t="shared" si="115"/>
        <v>21.55868544600939</v>
      </c>
      <c r="F383" s="71">
        <v>1143</v>
      </c>
      <c r="G383" s="72">
        <v>1168</v>
      </c>
      <c r="H383" s="18">
        <v>1148</v>
      </c>
      <c r="I383" s="162">
        <f t="shared" si="116"/>
        <v>98.28767123287672</v>
      </c>
      <c r="J383" s="70">
        <v>3829</v>
      </c>
      <c r="K383" s="18">
        <v>4157</v>
      </c>
      <c r="L383" s="18">
        <v>0</v>
      </c>
      <c r="M383" s="184">
        <f t="shared" si="117"/>
        <v>0</v>
      </c>
    </row>
    <row r="384" spans="1:13" s="122" customFormat="1" ht="13.5" thickBot="1">
      <c r="A384" s="69" t="s">
        <v>89</v>
      </c>
      <c r="B384" s="82">
        <v>4882</v>
      </c>
      <c r="C384" s="1">
        <f>1361+4148</f>
        <v>5509</v>
      </c>
      <c r="D384" s="1">
        <v>1210</v>
      </c>
      <c r="E384" s="155">
        <f t="shared" si="115"/>
        <v>21.964058812851697</v>
      </c>
      <c r="F384" s="3">
        <v>1349</v>
      </c>
      <c r="G384" s="4">
        <v>1319</v>
      </c>
      <c r="H384" s="1">
        <v>1210</v>
      </c>
      <c r="I384" s="178">
        <f t="shared" si="116"/>
        <v>91.73616376042456</v>
      </c>
      <c r="J384" s="3">
        <v>3399</v>
      </c>
      <c r="K384" s="4">
        <v>4148</v>
      </c>
      <c r="L384" s="1">
        <v>0</v>
      </c>
      <c r="M384" s="184">
        <f t="shared" si="117"/>
        <v>0</v>
      </c>
    </row>
    <row r="385" spans="1:13" ht="13.5" thickBot="1">
      <c r="A385" s="100"/>
      <c r="B385" s="101"/>
      <c r="C385" s="101"/>
      <c r="D385" s="101"/>
      <c r="E385" s="102"/>
      <c r="F385" s="101"/>
      <c r="G385" s="101"/>
      <c r="H385" s="101"/>
      <c r="I385" s="102"/>
      <c r="J385" s="101"/>
      <c r="K385" s="101"/>
      <c r="L385" s="101"/>
      <c r="M385" s="102"/>
    </row>
    <row r="386" spans="1:13" ht="13.5" thickBot="1">
      <c r="A386" s="28" t="s">
        <v>1</v>
      </c>
      <c r="B386" s="209" t="s">
        <v>66</v>
      </c>
      <c r="C386" s="210"/>
      <c r="D386" s="210"/>
      <c r="E386" s="211"/>
      <c r="F386" s="191" t="s">
        <v>5</v>
      </c>
      <c r="G386" s="212"/>
      <c r="H386" s="212"/>
      <c r="I386" s="213"/>
      <c r="J386" s="209" t="s">
        <v>85</v>
      </c>
      <c r="K386" s="210"/>
      <c r="L386" s="210"/>
      <c r="M386" s="211"/>
    </row>
    <row r="387" spans="1:13" s="139" customFormat="1" ht="13.5" thickBot="1">
      <c r="A387" s="40" t="s">
        <v>32</v>
      </c>
      <c r="B387" s="137">
        <f>SUM(B388:B389)</f>
        <v>16889</v>
      </c>
      <c r="C387" s="138">
        <f>SUM(C388:C389)</f>
        <v>19299</v>
      </c>
      <c r="D387" s="136">
        <f>SUM(D388:D389)</f>
        <v>17390</v>
      </c>
      <c r="E387" s="119">
        <f aca="true" t="shared" si="118" ref="E387:E395">IF(C387=0,"0,00",(D387/C387)*100)</f>
        <v>90.10829576662003</v>
      </c>
      <c r="F387" s="137">
        <f>SUM(F388:F389)</f>
        <v>37674</v>
      </c>
      <c r="G387" s="136">
        <f>SUM(G388:G389)</f>
        <v>40404</v>
      </c>
      <c r="H387" s="140">
        <f>SUM(H388:H389)</f>
        <v>20739</v>
      </c>
      <c r="I387" s="119">
        <f aca="true" t="shared" si="119" ref="I387:I395">IF(G387=0,"0,00",(H387/G387)*100)</f>
        <v>51.32907632907633</v>
      </c>
      <c r="J387" s="141">
        <f>SUM(J388:J389)</f>
        <v>12034</v>
      </c>
      <c r="K387" s="142">
        <f>SUM(K388:K389)</f>
        <v>11305</v>
      </c>
      <c r="L387" s="143">
        <f>SUM(L388:L389)</f>
        <v>11546</v>
      </c>
      <c r="M387" s="119">
        <f aca="true" t="shared" si="120" ref="M387:M395">IF(K387=0,"0,00",(L387/K387)*100)</f>
        <v>102.13180008845643</v>
      </c>
    </row>
    <row r="388" spans="1:13" ht="12.75">
      <c r="A388" s="44" t="s">
        <v>33</v>
      </c>
      <c r="B388" s="13">
        <f aca="true" t="shared" si="121" ref="B388:D389">B377-F377-J377</f>
        <v>7187</v>
      </c>
      <c r="C388" s="47">
        <f t="shared" si="121"/>
        <v>9565</v>
      </c>
      <c r="D388" s="46">
        <f t="shared" si="121"/>
        <v>7769</v>
      </c>
      <c r="E388" s="156">
        <f t="shared" si="118"/>
        <v>81.22320961840042</v>
      </c>
      <c r="F388" s="13">
        <v>20122</v>
      </c>
      <c r="G388" s="46">
        <v>22720</v>
      </c>
      <c r="H388" s="59">
        <v>9769</v>
      </c>
      <c r="I388" s="156">
        <f t="shared" si="119"/>
        <v>42.997359154929576</v>
      </c>
      <c r="J388" s="60">
        <v>5378</v>
      </c>
      <c r="K388" s="61">
        <v>4885</v>
      </c>
      <c r="L388" s="62">
        <v>5246</v>
      </c>
      <c r="M388" s="155">
        <f t="shared" si="120"/>
        <v>107.3899692937564</v>
      </c>
    </row>
    <row r="389" spans="1:13" ht="13.5" thickBot="1">
      <c r="A389" s="95" t="s">
        <v>34</v>
      </c>
      <c r="B389" s="71">
        <f t="shared" si="121"/>
        <v>9702</v>
      </c>
      <c r="C389" s="72">
        <f t="shared" si="121"/>
        <v>9734</v>
      </c>
      <c r="D389" s="18">
        <f t="shared" si="121"/>
        <v>9621</v>
      </c>
      <c r="E389" s="157">
        <f t="shared" si="118"/>
        <v>98.83912060817752</v>
      </c>
      <c r="F389" s="71">
        <v>17552</v>
      </c>
      <c r="G389" s="18">
        <v>17684</v>
      </c>
      <c r="H389" s="73">
        <v>10970</v>
      </c>
      <c r="I389" s="157">
        <f t="shared" si="119"/>
        <v>62.03347658900701</v>
      </c>
      <c r="J389" s="74">
        <v>6656</v>
      </c>
      <c r="K389" s="75">
        <v>6420</v>
      </c>
      <c r="L389" s="76">
        <v>6300</v>
      </c>
      <c r="M389" s="158">
        <f t="shared" si="120"/>
        <v>98.13084112149532</v>
      </c>
    </row>
    <row r="390" spans="1:13" s="139" customFormat="1" ht="13.5" thickBot="1">
      <c r="A390" s="40" t="s">
        <v>35</v>
      </c>
      <c r="B390" s="135">
        <f>SUM(B391:B395)</f>
        <v>195</v>
      </c>
      <c r="C390" s="136">
        <f>SUM(C391:C395)</f>
        <v>68</v>
      </c>
      <c r="D390" s="136">
        <f>SUM(D391:D395)</f>
        <v>5</v>
      </c>
      <c r="E390" s="119">
        <f t="shared" si="118"/>
        <v>7.352941176470589</v>
      </c>
      <c r="F390" s="137">
        <f>SUM(F391:F395)</f>
        <v>18933</v>
      </c>
      <c r="G390" s="136">
        <f>SUM(G391:G395)</f>
        <v>21060</v>
      </c>
      <c r="H390" s="144">
        <f>SUM(H391:H395)</f>
        <v>4058</v>
      </c>
      <c r="I390" s="119">
        <f t="shared" si="119"/>
        <v>19.2687559354226</v>
      </c>
      <c r="J390" s="137">
        <f>SUM(J391:J395)</f>
        <v>1910</v>
      </c>
      <c r="K390" s="136">
        <f>SUM(K391:K395)</f>
        <v>1827</v>
      </c>
      <c r="L390" s="140">
        <f>SUM(L391:L395)</f>
        <v>1354</v>
      </c>
      <c r="M390" s="188">
        <f t="shared" si="120"/>
        <v>74.11056376573619</v>
      </c>
    </row>
    <row r="391" spans="1:13" ht="12.75">
      <c r="A391" s="44" t="s">
        <v>90</v>
      </c>
      <c r="B391" s="71">
        <f aca="true" t="shared" si="122" ref="B391:D395">B380-F380-J380</f>
        <v>40</v>
      </c>
      <c r="C391" s="72">
        <f t="shared" si="122"/>
        <v>0</v>
      </c>
      <c r="D391" s="18">
        <f t="shared" si="122"/>
        <v>0</v>
      </c>
      <c r="E391" s="156" t="str">
        <f t="shared" si="118"/>
        <v>0,00</v>
      </c>
      <c r="F391" s="13">
        <v>2891</v>
      </c>
      <c r="G391" s="46">
        <f>558+2636</f>
        <v>3194</v>
      </c>
      <c r="H391" s="59">
        <v>571</v>
      </c>
      <c r="I391" s="156">
        <f t="shared" si="119"/>
        <v>17.877269881026926</v>
      </c>
      <c r="J391" s="60">
        <f>197+16</f>
        <v>213</v>
      </c>
      <c r="K391" s="61">
        <f>182+31</f>
        <v>213</v>
      </c>
      <c r="L391" s="62">
        <v>195</v>
      </c>
      <c r="M391" s="156">
        <f t="shared" si="120"/>
        <v>91.54929577464789</v>
      </c>
    </row>
    <row r="392" spans="1:13" ht="12.75">
      <c r="A392" s="6" t="s">
        <v>36</v>
      </c>
      <c r="B392" s="71">
        <f t="shared" si="122"/>
        <v>3</v>
      </c>
      <c r="C392" s="72">
        <f t="shared" si="122"/>
        <v>4</v>
      </c>
      <c r="D392" s="18">
        <f t="shared" si="122"/>
        <v>5</v>
      </c>
      <c r="E392" s="155">
        <f t="shared" si="118"/>
        <v>125</v>
      </c>
      <c r="F392" s="9">
        <v>3541</v>
      </c>
      <c r="G392" s="8">
        <f>608+3537</f>
        <v>4145</v>
      </c>
      <c r="H392" s="11">
        <v>621</v>
      </c>
      <c r="I392" s="156">
        <f t="shared" si="119"/>
        <v>14.981905910735826</v>
      </c>
      <c r="J392" s="19">
        <f>291+21</f>
        <v>312</v>
      </c>
      <c r="K392" s="20">
        <f>276+9</f>
        <v>285</v>
      </c>
      <c r="L392" s="21">
        <v>279</v>
      </c>
      <c r="M392" s="155">
        <f t="shared" si="120"/>
        <v>97.89473684210527</v>
      </c>
    </row>
    <row r="393" spans="1:13" ht="12.75">
      <c r="A393" s="6" t="s">
        <v>37</v>
      </c>
      <c r="B393" s="71">
        <f t="shared" si="122"/>
        <v>3</v>
      </c>
      <c r="C393" s="72">
        <f t="shared" si="122"/>
        <v>22</v>
      </c>
      <c r="D393" s="18">
        <f t="shared" si="122"/>
        <v>0</v>
      </c>
      <c r="E393" s="155">
        <f t="shared" si="118"/>
        <v>0</v>
      </c>
      <c r="F393" s="9">
        <v>2632</v>
      </c>
      <c r="G393" s="8">
        <f>569+2341</f>
        <v>2910</v>
      </c>
      <c r="H393" s="11">
        <v>508</v>
      </c>
      <c r="I393" s="156">
        <f t="shared" si="119"/>
        <v>17.457044673539517</v>
      </c>
      <c r="J393" s="19">
        <f>206+17</f>
        <v>223</v>
      </c>
      <c r="K393" s="20">
        <f>291+30</f>
        <v>321</v>
      </c>
      <c r="L393" s="21">
        <v>230</v>
      </c>
      <c r="M393" s="155">
        <f t="shared" si="120"/>
        <v>71.65109034267913</v>
      </c>
    </row>
    <row r="394" spans="1:13" ht="12.75">
      <c r="A394" s="69" t="s">
        <v>38</v>
      </c>
      <c r="B394" s="71">
        <f t="shared" si="122"/>
        <v>15</v>
      </c>
      <c r="C394" s="72">
        <f t="shared" si="122"/>
        <v>0</v>
      </c>
      <c r="D394" s="18">
        <f t="shared" si="122"/>
        <v>0</v>
      </c>
      <c r="E394" s="157" t="str">
        <f t="shared" si="118"/>
        <v>0,00</v>
      </c>
      <c r="F394" s="71">
        <v>4987</v>
      </c>
      <c r="G394" s="18">
        <v>5302</v>
      </c>
      <c r="H394" s="73">
        <v>1148</v>
      </c>
      <c r="I394" s="156">
        <f t="shared" si="119"/>
        <v>21.652206714447377</v>
      </c>
      <c r="J394" s="74">
        <f>342+41</f>
        <v>383</v>
      </c>
      <c r="K394" s="75">
        <f>352+53</f>
        <v>405</v>
      </c>
      <c r="L394" s="76">
        <v>293</v>
      </c>
      <c r="M394" s="155">
        <f t="shared" si="120"/>
        <v>72.34567901234567</v>
      </c>
    </row>
    <row r="395" spans="1:13" s="122" customFormat="1" ht="13.5" thickBot="1">
      <c r="A395" s="50" t="s">
        <v>89</v>
      </c>
      <c r="B395" s="16">
        <f t="shared" si="122"/>
        <v>134</v>
      </c>
      <c r="C395" s="12">
        <f t="shared" si="122"/>
        <v>42</v>
      </c>
      <c r="D395" s="15">
        <f t="shared" si="122"/>
        <v>0</v>
      </c>
      <c r="E395" s="158">
        <f t="shared" si="118"/>
        <v>0</v>
      </c>
      <c r="F395" s="52">
        <v>4882</v>
      </c>
      <c r="G395" s="53">
        <f>1361+4148</f>
        <v>5509</v>
      </c>
      <c r="H395" s="129">
        <v>1210</v>
      </c>
      <c r="I395" s="158">
        <f t="shared" si="119"/>
        <v>21.964058812851697</v>
      </c>
      <c r="J395" s="52">
        <f>757+22</f>
        <v>779</v>
      </c>
      <c r="K395" s="53">
        <f>577+26</f>
        <v>603</v>
      </c>
      <c r="L395" s="129">
        <f>357</f>
        <v>357</v>
      </c>
      <c r="M395" s="158">
        <f t="shared" si="120"/>
        <v>59.20398009950249</v>
      </c>
    </row>
    <row r="396" spans="1:13" ht="13.5" thickBot="1">
      <c r="A396" s="54"/>
      <c r="B396" s="91"/>
      <c r="C396" s="91"/>
      <c r="D396" s="91"/>
      <c r="E396" s="103"/>
      <c r="F396" s="91"/>
      <c r="G396" s="91"/>
      <c r="H396" s="91"/>
      <c r="I396" s="103"/>
      <c r="J396" s="94"/>
      <c r="K396" s="94"/>
      <c r="L396" s="94"/>
      <c r="M396" s="103"/>
    </row>
    <row r="397" spans="1:13" ht="13.5" thickBot="1">
      <c r="A397" s="64" t="s">
        <v>1</v>
      </c>
      <c r="B397" s="209" t="s">
        <v>86</v>
      </c>
      <c r="C397" s="210"/>
      <c r="D397" s="210"/>
      <c r="E397" s="211"/>
      <c r="F397" s="209" t="s">
        <v>6</v>
      </c>
      <c r="G397" s="210"/>
      <c r="H397" s="210"/>
      <c r="I397" s="211"/>
      <c r="J397" s="191" t="s">
        <v>87</v>
      </c>
      <c r="K397" s="212"/>
      <c r="L397" s="212"/>
      <c r="M397" s="213"/>
    </row>
    <row r="398" spans="1:13" s="139" customFormat="1" ht="13.5" thickBot="1">
      <c r="A398" s="40" t="s">
        <v>32</v>
      </c>
      <c r="B398" s="137">
        <f>SUM(B399:B400)</f>
        <v>3475</v>
      </c>
      <c r="C398" s="136">
        <f>SUM(C399:C400)</f>
        <v>3221</v>
      </c>
      <c r="D398" s="140">
        <f>SUM(D399:D400)</f>
        <v>3535</v>
      </c>
      <c r="E398" s="119">
        <f aca="true" t="shared" si="123" ref="E398:E406">IF(C398=0,"0,00",(D398/C398)*100)</f>
        <v>109.74852530270103</v>
      </c>
      <c r="F398" s="137">
        <f>SUM(F399:F400)</f>
        <v>497</v>
      </c>
      <c r="G398" s="136">
        <f>SUM(G399:G400)</f>
        <v>2939</v>
      </c>
      <c r="H398" s="144">
        <f>SUM(H399:H400)</f>
        <v>525</v>
      </c>
      <c r="I398" s="181">
        <f aca="true" t="shared" si="124" ref="I398:I406">IF(G398=0,"0,00",(H398/G398)*100)</f>
        <v>17.863218781898603</v>
      </c>
      <c r="J398" s="137">
        <f>SUM(J399:J400)</f>
        <v>13988</v>
      </c>
      <c r="K398" s="136">
        <f>SUM(K399:K400)</f>
        <v>14515</v>
      </c>
      <c r="L398" s="136">
        <f>SUM(L399:L400)</f>
        <v>1450</v>
      </c>
      <c r="M398" s="119">
        <f aca="true" t="shared" si="125" ref="M398:M406">IF(K398=0,"0,00",(L398/K398)*100)</f>
        <v>9.989665862900447</v>
      </c>
    </row>
    <row r="399" spans="1:13" ht="12.75">
      <c r="A399" s="44" t="s">
        <v>33</v>
      </c>
      <c r="B399" s="13">
        <v>1711</v>
      </c>
      <c r="C399" s="46">
        <v>1812</v>
      </c>
      <c r="D399" s="59">
        <v>1935</v>
      </c>
      <c r="E399" s="156">
        <f t="shared" si="123"/>
        <v>106.78807947019868</v>
      </c>
      <c r="F399" s="13">
        <v>407</v>
      </c>
      <c r="G399" s="46">
        <v>2542</v>
      </c>
      <c r="H399" s="66">
        <v>325</v>
      </c>
      <c r="I399" s="180">
        <f t="shared" si="124"/>
        <v>12.785208497246261</v>
      </c>
      <c r="J399" s="13">
        <v>8244</v>
      </c>
      <c r="K399" s="46">
        <v>8578</v>
      </c>
      <c r="L399" s="46">
        <v>400</v>
      </c>
      <c r="M399" s="156">
        <f t="shared" si="125"/>
        <v>4.663091629750524</v>
      </c>
    </row>
    <row r="400" spans="1:13" ht="13.5" thickBot="1">
      <c r="A400" s="95" t="s">
        <v>34</v>
      </c>
      <c r="B400" s="71">
        <v>1764</v>
      </c>
      <c r="C400" s="18">
        <v>1409</v>
      </c>
      <c r="D400" s="73">
        <v>1600</v>
      </c>
      <c r="E400" s="157">
        <f t="shared" si="123"/>
        <v>113.55571327182399</v>
      </c>
      <c r="F400" s="71">
        <v>90</v>
      </c>
      <c r="G400" s="18">
        <v>397</v>
      </c>
      <c r="H400" s="22">
        <v>200</v>
      </c>
      <c r="I400" s="162">
        <f t="shared" si="124"/>
        <v>50.377833753148614</v>
      </c>
      <c r="J400" s="71">
        <v>5744</v>
      </c>
      <c r="K400" s="18">
        <v>5937</v>
      </c>
      <c r="L400" s="18">
        <v>1050</v>
      </c>
      <c r="M400" s="157">
        <f t="shared" si="125"/>
        <v>17.685699848408287</v>
      </c>
    </row>
    <row r="401" spans="1:13" s="139" customFormat="1" ht="13.5" thickBot="1">
      <c r="A401" s="40" t="s">
        <v>35</v>
      </c>
      <c r="B401" s="137">
        <f>SUM(B402:B406)</f>
        <v>491</v>
      </c>
      <c r="C401" s="136">
        <f>SUM(C402:C406)</f>
        <v>453</v>
      </c>
      <c r="D401" s="140">
        <f>SUM(D402:D406)</f>
        <v>468</v>
      </c>
      <c r="E401" s="119">
        <f t="shared" si="123"/>
        <v>103.31125827814569</v>
      </c>
      <c r="F401" s="137">
        <f>SUM(F402:F406)</f>
        <v>294</v>
      </c>
      <c r="G401" s="136">
        <f>SUM(G402:G406)</f>
        <v>260</v>
      </c>
      <c r="H401" s="144">
        <f>SUM(H402:H406)</f>
        <v>210</v>
      </c>
      <c r="I401" s="181">
        <f t="shared" si="124"/>
        <v>80.76923076923077</v>
      </c>
      <c r="J401" s="137">
        <f>SUM(J402:J406)</f>
        <v>10125</v>
      </c>
      <c r="K401" s="136">
        <f>SUM(K402:K406)</f>
        <v>11774</v>
      </c>
      <c r="L401" s="136">
        <f>SUM(L402:L406)</f>
        <v>0</v>
      </c>
      <c r="M401" s="119">
        <f t="shared" si="125"/>
        <v>0</v>
      </c>
    </row>
    <row r="402" spans="1:13" ht="12.75">
      <c r="A402" s="44" t="s">
        <v>90</v>
      </c>
      <c r="B402" s="13">
        <v>118</v>
      </c>
      <c r="C402" s="46">
        <v>66</v>
      </c>
      <c r="D402" s="59">
        <v>90</v>
      </c>
      <c r="E402" s="156">
        <f t="shared" si="123"/>
        <v>136.36363636363635</v>
      </c>
      <c r="F402" s="13">
        <v>77</v>
      </c>
      <c r="G402" s="46">
        <v>37</v>
      </c>
      <c r="H402" s="66">
        <v>0</v>
      </c>
      <c r="I402" s="180">
        <f t="shared" si="124"/>
        <v>0</v>
      </c>
      <c r="J402" s="13">
        <v>1576</v>
      </c>
      <c r="K402" s="46">
        <v>1841</v>
      </c>
      <c r="L402" s="46">
        <v>0</v>
      </c>
      <c r="M402" s="156">
        <f t="shared" si="125"/>
        <v>0</v>
      </c>
    </row>
    <row r="403" spans="1:13" ht="12.75">
      <c r="A403" s="6" t="s">
        <v>36</v>
      </c>
      <c r="B403" s="9">
        <v>89</v>
      </c>
      <c r="C403" s="8">
        <v>71</v>
      </c>
      <c r="D403" s="11">
        <v>80</v>
      </c>
      <c r="E403" s="155">
        <f t="shared" si="123"/>
        <v>112.67605633802818</v>
      </c>
      <c r="F403" s="9">
        <v>70</v>
      </c>
      <c r="G403" s="8">
        <v>46</v>
      </c>
      <c r="H403" s="14">
        <v>48</v>
      </c>
      <c r="I403" s="178">
        <f t="shared" si="124"/>
        <v>104.34782608695652</v>
      </c>
      <c r="J403" s="9">
        <v>2013</v>
      </c>
      <c r="K403" s="8">
        <v>2484</v>
      </c>
      <c r="L403" s="8">
        <v>0</v>
      </c>
      <c r="M403" s="155">
        <f t="shared" si="125"/>
        <v>0</v>
      </c>
    </row>
    <row r="404" spans="1:13" ht="12.75">
      <c r="A404" s="6" t="s">
        <v>37</v>
      </c>
      <c r="B404" s="9">
        <v>49</v>
      </c>
      <c r="C404" s="8">
        <v>54</v>
      </c>
      <c r="D404" s="11">
        <v>57</v>
      </c>
      <c r="E404" s="155">
        <f t="shared" si="123"/>
        <v>105.55555555555556</v>
      </c>
      <c r="F404" s="9">
        <v>8</v>
      </c>
      <c r="G404" s="8">
        <v>22</v>
      </c>
      <c r="H404" s="14">
        <v>20</v>
      </c>
      <c r="I404" s="178">
        <f t="shared" si="124"/>
        <v>90.9090909090909</v>
      </c>
      <c r="J404" s="9">
        <v>1474</v>
      </c>
      <c r="K404" s="8">
        <v>1612</v>
      </c>
      <c r="L404" s="8">
        <v>0</v>
      </c>
      <c r="M404" s="155">
        <f t="shared" si="125"/>
        <v>0</v>
      </c>
    </row>
    <row r="405" spans="1:13" ht="12.75">
      <c r="A405" s="69" t="s">
        <v>38</v>
      </c>
      <c r="B405" s="71">
        <v>83</v>
      </c>
      <c r="C405" s="18">
        <v>130</v>
      </c>
      <c r="D405" s="73">
        <v>86</v>
      </c>
      <c r="E405" s="157">
        <f t="shared" si="123"/>
        <v>66.15384615384615</v>
      </c>
      <c r="F405" s="71">
        <v>92</v>
      </c>
      <c r="G405" s="18">
        <v>90</v>
      </c>
      <c r="H405" s="22">
        <v>92</v>
      </c>
      <c r="I405" s="162">
        <f t="shared" si="124"/>
        <v>102.22222222222221</v>
      </c>
      <c r="J405" s="71">
        <v>2686</v>
      </c>
      <c r="K405" s="18">
        <v>2920</v>
      </c>
      <c r="L405" s="18">
        <v>0</v>
      </c>
      <c r="M405" s="157">
        <f t="shared" si="125"/>
        <v>0</v>
      </c>
    </row>
    <row r="406" spans="1:13" s="122" customFormat="1" ht="13.5" thickBot="1">
      <c r="A406" s="50" t="s">
        <v>89</v>
      </c>
      <c r="B406" s="52">
        <v>152</v>
      </c>
      <c r="C406" s="53">
        <v>132</v>
      </c>
      <c r="D406" s="129">
        <v>155</v>
      </c>
      <c r="E406" s="158">
        <f t="shared" si="123"/>
        <v>117.42424242424244</v>
      </c>
      <c r="F406" s="52">
        <v>47</v>
      </c>
      <c r="G406" s="53">
        <v>65</v>
      </c>
      <c r="H406" s="130">
        <v>50</v>
      </c>
      <c r="I406" s="182">
        <f t="shared" si="124"/>
        <v>76.92307692307693</v>
      </c>
      <c r="J406" s="52">
        <v>2376</v>
      </c>
      <c r="K406" s="53">
        <v>2917</v>
      </c>
      <c r="L406" s="130">
        <v>0</v>
      </c>
      <c r="M406" s="158">
        <f t="shared" si="125"/>
        <v>0</v>
      </c>
    </row>
    <row r="407" spans="1:13" ht="13.5" thickBot="1">
      <c r="A407" s="54"/>
      <c r="B407" s="91"/>
      <c r="C407" s="91"/>
      <c r="D407" s="91"/>
      <c r="E407" s="103"/>
      <c r="F407" s="91"/>
      <c r="G407" s="91"/>
      <c r="H407" s="91"/>
      <c r="I407" s="103"/>
      <c r="J407" s="91"/>
      <c r="K407" s="91"/>
      <c r="L407" s="91"/>
      <c r="M407" s="103"/>
    </row>
    <row r="408" spans="1:13" ht="13.5" thickBot="1">
      <c r="A408" s="64" t="s">
        <v>1</v>
      </c>
      <c r="B408" s="209" t="s">
        <v>7</v>
      </c>
      <c r="C408" s="210"/>
      <c r="D408" s="210"/>
      <c r="E408" s="211"/>
      <c r="F408" s="191" t="s">
        <v>8</v>
      </c>
      <c r="G408" s="212"/>
      <c r="H408" s="212"/>
      <c r="I408" s="213"/>
      <c r="J408" s="199"/>
      <c r="K408" s="200"/>
      <c r="L408" s="200"/>
      <c r="M408" s="200"/>
    </row>
    <row r="409" spans="1:13" s="139" customFormat="1" ht="13.5" thickBot="1">
      <c r="A409" s="40" t="s">
        <v>32</v>
      </c>
      <c r="B409" s="137">
        <f>SUM(B410:B411)</f>
        <v>670</v>
      </c>
      <c r="C409" s="136">
        <f>SUM(C410:C411)</f>
        <v>689</v>
      </c>
      <c r="D409" s="140">
        <f>SUM(D410:D411)</f>
        <v>688</v>
      </c>
      <c r="E409" s="119">
        <f aca="true" t="shared" si="126" ref="E409:E417">IF(C409=0,"0,00",(D409/C409)*100)</f>
        <v>99.85486211901306</v>
      </c>
      <c r="F409" s="137">
        <f>SUM(F410:F411)</f>
        <v>400</v>
      </c>
      <c r="G409" s="136">
        <f>SUM(G410:G411)</f>
        <v>273</v>
      </c>
      <c r="H409" s="144">
        <f>SUM(H410:H411)</f>
        <v>300</v>
      </c>
      <c r="I409" s="119">
        <f aca="true" t="shared" si="127" ref="I409:I417">IF(G409=0,"0,00",(H409/G409)*100)</f>
        <v>109.8901098901099</v>
      </c>
      <c r="J409" s="105"/>
      <c r="K409" s="106"/>
      <c r="L409" s="106"/>
      <c r="M409" s="106"/>
    </row>
    <row r="410" spans="1:13" ht="12.75">
      <c r="A410" s="44" t="s">
        <v>33</v>
      </c>
      <c r="B410" s="13">
        <v>306</v>
      </c>
      <c r="C410" s="46">
        <v>319</v>
      </c>
      <c r="D410" s="59">
        <v>318</v>
      </c>
      <c r="E410" s="156">
        <f t="shared" si="126"/>
        <v>99.68652037617555</v>
      </c>
      <c r="F410" s="13">
        <f aca="true" t="shared" si="128" ref="F410:H411">B377-F388</f>
        <v>181</v>
      </c>
      <c r="G410" s="46">
        <f t="shared" si="128"/>
        <v>75</v>
      </c>
      <c r="H410" s="66">
        <f t="shared" si="128"/>
        <v>100</v>
      </c>
      <c r="I410" s="180">
        <f t="shared" si="127"/>
        <v>133.33333333333331</v>
      </c>
      <c r="J410" s="105"/>
      <c r="K410" s="106"/>
      <c r="L410" s="106"/>
      <c r="M410" s="106"/>
    </row>
    <row r="411" spans="1:13" ht="13.5" thickBot="1">
      <c r="A411" s="95" t="s">
        <v>34</v>
      </c>
      <c r="B411" s="71">
        <v>364</v>
      </c>
      <c r="C411" s="18">
        <v>370</v>
      </c>
      <c r="D411" s="73">
        <v>370</v>
      </c>
      <c r="E411" s="157">
        <f t="shared" si="126"/>
        <v>100</v>
      </c>
      <c r="F411" s="71">
        <f t="shared" si="128"/>
        <v>219</v>
      </c>
      <c r="G411" s="18">
        <f>C378-G389</f>
        <v>198</v>
      </c>
      <c r="H411" s="22">
        <f t="shared" si="128"/>
        <v>200</v>
      </c>
      <c r="I411" s="162">
        <f t="shared" si="127"/>
        <v>101.01010101010101</v>
      </c>
      <c r="J411" s="105"/>
      <c r="K411" s="106"/>
      <c r="L411" s="106"/>
      <c r="M411" s="106"/>
    </row>
    <row r="412" spans="1:13" s="139" customFormat="1" ht="13.5" thickBot="1">
      <c r="A412" s="40" t="s">
        <v>35</v>
      </c>
      <c r="B412" s="137">
        <f>SUM(B413:B417)</f>
        <v>127</v>
      </c>
      <c r="C412" s="136">
        <f>SUM(C413:C417)</f>
        <v>124</v>
      </c>
      <c r="D412" s="140">
        <f>SUM(D413:D417)</f>
        <v>123</v>
      </c>
      <c r="E412" s="119">
        <f t="shared" si="126"/>
        <v>99.19354838709677</v>
      </c>
      <c r="F412" s="137">
        <f>SUM(F413:F417)</f>
        <v>0</v>
      </c>
      <c r="G412" s="136">
        <f>SUM(G413:G417)</f>
        <v>26</v>
      </c>
      <c r="H412" s="144">
        <f>SUM(H413:H417)</f>
        <v>0</v>
      </c>
      <c r="I412" s="119">
        <f t="shared" si="127"/>
        <v>0</v>
      </c>
      <c r="J412" s="145"/>
      <c r="K412" s="146"/>
      <c r="L412" s="146"/>
      <c r="M412" s="109"/>
    </row>
    <row r="413" spans="1:13" ht="12.75">
      <c r="A413" s="44" t="s">
        <v>90</v>
      </c>
      <c r="B413" s="13">
        <v>36</v>
      </c>
      <c r="C413" s="46">
        <v>33</v>
      </c>
      <c r="D413" s="59">
        <v>32</v>
      </c>
      <c r="E413" s="156">
        <f t="shared" si="126"/>
        <v>96.96969696969697</v>
      </c>
      <c r="F413" s="13">
        <f aca="true" t="shared" si="129" ref="F413:H417">B380-F391</f>
        <v>0</v>
      </c>
      <c r="G413" s="46">
        <f t="shared" si="129"/>
        <v>0</v>
      </c>
      <c r="H413" s="66">
        <f t="shared" si="129"/>
        <v>0</v>
      </c>
      <c r="I413" s="180" t="str">
        <f t="shared" si="127"/>
        <v>0,00</v>
      </c>
      <c r="J413" s="85"/>
      <c r="K413" s="91"/>
      <c r="L413" s="91"/>
      <c r="M413" s="103"/>
    </row>
    <row r="414" spans="1:13" ht="12.75">
      <c r="A414" s="6" t="s">
        <v>36</v>
      </c>
      <c r="B414" s="9">
        <v>33</v>
      </c>
      <c r="C414" s="8">
        <v>33</v>
      </c>
      <c r="D414" s="11">
        <v>33</v>
      </c>
      <c r="E414" s="155">
        <f t="shared" si="126"/>
        <v>100</v>
      </c>
      <c r="F414" s="9">
        <f t="shared" si="129"/>
        <v>0</v>
      </c>
      <c r="G414" s="8">
        <f t="shared" si="129"/>
        <v>0</v>
      </c>
      <c r="H414" s="14">
        <f>D381-H392</f>
        <v>0</v>
      </c>
      <c r="I414" s="178" t="str">
        <f t="shared" si="127"/>
        <v>0,00</v>
      </c>
      <c r="J414" s="85"/>
      <c r="K414" s="91"/>
      <c r="L414" s="91"/>
      <c r="M414" s="103"/>
    </row>
    <row r="415" spans="1:13" ht="12.75">
      <c r="A415" s="6" t="s">
        <v>37</v>
      </c>
      <c r="B415" s="9">
        <v>0</v>
      </c>
      <c r="C415" s="8">
        <v>0</v>
      </c>
      <c r="D415" s="11">
        <v>0</v>
      </c>
      <c r="E415" s="155" t="str">
        <f t="shared" si="126"/>
        <v>0,00</v>
      </c>
      <c r="F415" s="9">
        <f t="shared" si="129"/>
        <v>0</v>
      </c>
      <c r="G415" s="8">
        <f t="shared" si="129"/>
        <v>3</v>
      </c>
      <c r="H415" s="14">
        <f t="shared" si="129"/>
        <v>0</v>
      </c>
      <c r="I415" s="178">
        <f t="shared" si="127"/>
        <v>0</v>
      </c>
      <c r="J415" s="85"/>
      <c r="K415" s="91"/>
      <c r="L415" s="91"/>
      <c r="M415" s="103"/>
    </row>
    <row r="416" spans="1:13" ht="12.75">
      <c r="A416" s="69" t="s">
        <v>38</v>
      </c>
      <c r="B416" s="71">
        <v>37</v>
      </c>
      <c r="C416" s="18">
        <v>37</v>
      </c>
      <c r="D416" s="73">
        <v>37</v>
      </c>
      <c r="E416" s="157">
        <f t="shared" si="126"/>
        <v>100</v>
      </c>
      <c r="F416" s="71">
        <f t="shared" si="129"/>
        <v>0</v>
      </c>
      <c r="G416" s="18">
        <f t="shared" si="129"/>
        <v>23</v>
      </c>
      <c r="H416" s="22">
        <f t="shared" si="129"/>
        <v>0</v>
      </c>
      <c r="I416" s="162">
        <f t="shared" si="127"/>
        <v>0</v>
      </c>
      <c r="J416" s="85"/>
      <c r="K416" s="91"/>
      <c r="L416" s="91"/>
      <c r="M416" s="103"/>
    </row>
    <row r="417" spans="1:13" s="122" customFormat="1" ht="13.5" thickBot="1">
      <c r="A417" s="69" t="s">
        <v>89</v>
      </c>
      <c r="B417" s="131">
        <v>21</v>
      </c>
      <c r="C417" s="96">
        <v>21</v>
      </c>
      <c r="D417" s="132">
        <v>21</v>
      </c>
      <c r="E417" s="157">
        <f t="shared" si="126"/>
        <v>100</v>
      </c>
      <c r="F417" s="131">
        <f t="shared" si="129"/>
        <v>0</v>
      </c>
      <c r="G417" s="96">
        <f t="shared" si="129"/>
        <v>0</v>
      </c>
      <c r="H417" s="133">
        <f t="shared" si="129"/>
        <v>0</v>
      </c>
      <c r="I417" s="157" t="str">
        <f t="shared" si="127"/>
        <v>0,00</v>
      </c>
      <c r="J417" s="98"/>
      <c r="K417" s="89"/>
      <c r="L417" s="89"/>
      <c r="M417" s="103"/>
    </row>
    <row r="418" spans="1:13" ht="12.75">
      <c r="A418" s="100"/>
      <c r="B418" s="101"/>
      <c r="C418" s="101"/>
      <c r="D418" s="101"/>
      <c r="E418" s="102"/>
      <c r="F418" s="101"/>
      <c r="G418" s="101"/>
      <c r="H418" s="101"/>
      <c r="I418" s="102"/>
      <c r="J418" s="91"/>
      <c r="K418" s="91"/>
      <c r="L418" s="91"/>
      <c r="M418" s="103"/>
    </row>
    <row r="419" spans="1:13" ht="12.75">
      <c r="A419" s="54"/>
      <c r="B419" s="91"/>
      <c r="C419" s="91"/>
      <c r="D419" s="91"/>
      <c r="E419" s="103"/>
      <c r="F419" s="91"/>
      <c r="G419" s="91"/>
      <c r="H419" s="91"/>
      <c r="I419" s="103"/>
      <c r="J419" s="91"/>
      <c r="K419" s="91"/>
      <c r="L419" s="91"/>
      <c r="M419" s="103"/>
    </row>
    <row r="420" spans="1:13" ht="15">
      <c r="A420" s="192" t="s">
        <v>91</v>
      </c>
      <c r="B420" s="192"/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</row>
    <row r="421" spans="1:13" ht="13.5" thickBot="1">
      <c r="A421" s="26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1:13" ht="24.75" customHeight="1">
      <c r="A422" s="214" t="s">
        <v>1</v>
      </c>
      <c r="B422" s="201" t="s">
        <v>0</v>
      </c>
      <c r="C422" s="202"/>
      <c r="D422" s="202"/>
      <c r="E422" s="203"/>
      <c r="F422" s="204" t="s">
        <v>65</v>
      </c>
      <c r="G422" s="205"/>
      <c r="H422" s="205"/>
      <c r="I422" s="205"/>
      <c r="J422" s="206" t="s">
        <v>77</v>
      </c>
      <c r="K422" s="207"/>
      <c r="L422" s="207"/>
      <c r="M422" s="208"/>
    </row>
    <row r="423" spans="1:13" ht="12.75">
      <c r="A423" s="215"/>
      <c r="B423" s="29" t="s">
        <v>2</v>
      </c>
      <c r="C423" s="30" t="s">
        <v>2</v>
      </c>
      <c r="D423" s="30" t="s">
        <v>3</v>
      </c>
      <c r="E423" s="31" t="s">
        <v>4</v>
      </c>
      <c r="F423" s="29" t="s">
        <v>2</v>
      </c>
      <c r="G423" s="30" t="s">
        <v>2</v>
      </c>
      <c r="H423" s="30" t="s">
        <v>3</v>
      </c>
      <c r="I423" s="31" t="s">
        <v>4</v>
      </c>
      <c r="J423" s="29" t="s">
        <v>2</v>
      </c>
      <c r="K423" s="30" t="s">
        <v>2</v>
      </c>
      <c r="L423" s="30" t="s">
        <v>3</v>
      </c>
      <c r="M423" s="31" t="s">
        <v>4</v>
      </c>
    </row>
    <row r="424" spans="1:13" ht="13.5" thickBot="1">
      <c r="A424" s="216"/>
      <c r="B424" s="32">
        <v>2004</v>
      </c>
      <c r="C424" s="33">
        <v>2005</v>
      </c>
      <c r="D424" s="33">
        <v>2006</v>
      </c>
      <c r="E424" s="34" t="s">
        <v>130</v>
      </c>
      <c r="F424" s="32">
        <v>2004</v>
      </c>
      <c r="G424" s="33">
        <v>2005</v>
      </c>
      <c r="H424" s="33">
        <v>2006</v>
      </c>
      <c r="I424" s="34" t="s">
        <v>130</v>
      </c>
      <c r="J424" s="32">
        <v>2004</v>
      </c>
      <c r="K424" s="33">
        <v>2005</v>
      </c>
      <c r="L424" s="33">
        <v>2006</v>
      </c>
      <c r="M424" s="34" t="s">
        <v>130</v>
      </c>
    </row>
    <row r="425" spans="1:13" s="139" customFormat="1" ht="13.5" thickBot="1">
      <c r="A425" s="40" t="s">
        <v>39</v>
      </c>
      <c r="B425" s="135">
        <f>SUM(B426:B426)</f>
        <v>98751</v>
      </c>
      <c r="C425" s="136">
        <f>SUM(C426:C426)</f>
        <v>100950</v>
      </c>
      <c r="D425" s="136">
        <f>SUM(D426:D426)</f>
        <v>103448</v>
      </c>
      <c r="E425" s="119">
        <f aca="true" t="shared" si="130" ref="E425:E434">IF(C425=0,"0,00",(D425/C425)*100)</f>
        <v>102.47449232293215</v>
      </c>
      <c r="F425" s="137">
        <f>SUM(F426:F426)</f>
        <v>2668</v>
      </c>
      <c r="G425" s="138">
        <f>SUM(G426:G426)</f>
        <v>2391</v>
      </c>
      <c r="H425" s="136">
        <f>SUM(H426:H426)</f>
        <v>1920</v>
      </c>
      <c r="I425" s="181">
        <f aca="true" t="shared" si="131" ref="I425:I434">IF(G425=0,"0,00",(H425/G425)*100)</f>
        <v>80.30112923462987</v>
      </c>
      <c r="J425" s="135">
        <f>SUM(J426:J426)</f>
        <v>0</v>
      </c>
      <c r="K425" s="136">
        <f>SUM(K426:K426)</f>
        <v>0</v>
      </c>
      <c r="L425" s="136">
        <f>SUM(L426:L426)</f>
        <v>0</v>
      </c>
      <c r="M425" s="183" t="str">
        <f aca="true" t="shared" si="132" ref="M425:M434">IF(K425=0,"0,00",(L425/K425)*100)</f>
        <v>0,00</v>
      </c>
    </row>
    <row r="426" spans="1:13" ht="13.5" thickBot="1">
      <c r="A426" s="44" t="s">
        <v>40</v>
      </c>
      <c r="B426" s="45">
        <v>98751</v>
      </c>
      <c r="C426" s="46">
        <f>100950</f>
        <v>100950</v>
      </c>
      <c r="D426" s="46">
        <v>103448</v>
      </c>
      <c r="E426" s="156">
        <f t="shared" si="130"/>
        <v>102.47449232293215</v>
      </c>
      <c r="F426" s="13">
        <v>2668</v>
      </c>
      <c r="G426" s="47">
        <v>2391</v>
      </c>
      <c r="H426" s="46">
        <v>1920</v>
      </c>
      <c r="I426" s="180">
        <f t="shared" si="131"/>
        <v>80.30112923462987</v>
      </c>
      <c r="J426" s="45">
        <v>0</v>
      </c>
      <c r="K426" s="46">
        <v>0</v>
      </c>
      <c r="L426" s="46">
        <v>0</v>
      </c>
      <c r="M426" s="186" t="str">
        <f t="shared" si="132"/>
        <v>0,00</v>
      </c>
    </row>
    <row r="427" spans="1:13" s="139" customFormat="1" ht="13.5" thickBot="1">
      <c r="A427" s="40" t="s">
        <v>41</v>
      </c>
      <c r="B427" s="135">
        <f>SUM(B428:B429)</f>
        <v>7008</v>
      </c>
      <c r="C427" s="136">
        <f>SUM(C428:C429)</f>
        <v>7070</v>
      </c>
      <c r="D427" s="136">
        <f>SUM(D428:D429)</f>
        <v>7486</v>
      </c>
      <c r="E427" s="119">
        <f t="shared" si="130"/>
        <v>105.88401697312588</v>
      </c>
      <c r="F427" s="135">
        <f>SUM(F428:F429)</f>
        <v>0</v>
      </c>
      <c r="G427" s="136">
        <f>SUM(G428:G429)</f>
        <v>0</v>
      </c>
      <c r="H427" s="136">
        <f>SUM(H428:H429)</f>
        <v>0</v>
      </c>
      <c r="I427" s="181" t="str">
        <f t="shared" si="131"/>
        <v>0,00</v>
      </c>
      <c r="J427" s="135">
        <f>SUM(J428:J429)</f>
        <v>0</v>
      </c>
      <c r="K427" s="136">
        <f>SUM(K428:K429)</f>
        <v>0</v>
      </c>
      <c r="L427" s="136">
        <f>SUM(L428:L429)</f>
        <v>0</v>
      </c>
      <c r="M427" s="183" t="str">
        <f t="shared" si="132"/>
        <v>0,00</v>
      </c>
    </row>
    <row r="428" spans="1:13" ht="12.75">
      <c r="A428" s="44" t="s">
        <v>57</v>
      </c>
      <c r="B428" s="45">
        <v>4109</v>
      </c>
      <c r="C428" s="46">
        <f>3852</f>
        <v>3852</v>
      </c>
      <c r="D428" s="46">
        <v>4050</v>
      </c>
      <c r="E428" s="156">
        <f t="shared" si="130"/>
        <v>105.14018691588785</v>
      </c>
      <c r="F428" s="13">
        <v>0</v>
      </c>
      <c r="G428" s="47">
        <v>0</v>
      </c>
      <c r="H428" s="46">
        <v>0</v>
      </c>
      <c r="I428" s="180" t="str">
        <f t="shared" si="131"/>
        <v>0,00</v>
      </c>
      <c r="J428" s="45">
        <v>0</v>
      </c>
      <c r="K428" s="46">
        <v>0</v>
      </c>
      <c r="L428" s="46">
        <v>0</v>
      </c>
      <c r="M428" s="186" t="str">
        <f t="shared" si="132"/>
        <v>0,00</v>
      </c>
    </row>
    <row r="429" spans="1:13" ht="13.5" thickBot="1">
      <c r="A429" s="69" t="s">
        <v>58</v>
      </c>
      <c r="B429" s="70">
        <v>2899</v>
      </c>
      <c r="C429" s="18">
        <v>3218</v>
      </c>
      <c r="D429" s="18">
        <v>3436</v>
      </c>
      <c r="E429" s="157">
        <f t="shared" si="130"/>
        <v>106.77439403356121</v>
      </c>
      <c r="F429" s="71">
        <v>0</v>
      </c>
      <c r="G429" s="72">
        <v>0</v>
      </c>
      <c r="H429" s="18">
        <v>0</v>
      </c>
      <c r="I429" s="162" t="str">
        <f t="shared" si="131"/>
        <v>0,00</v>
      </c>
      <c r="J429" s="70">
        <v>0</v>
      </c>
      <c r="K429" s="18">
        <v>0</v>
      </c>
      <c r="L429" s="18">
        <v>0</v>
      </c>
      <c r="M429" s="187" t="str">
        <f t="shared" si="132"/>
        <v>0,00</v>
      </c>
    </row>
    <row r="430" spans="1:13" s="139" customFormat="1" ht="13.5" thickBot="1">
      <c r="A430" s="40" t="s">
        <v>42</v>
      </c>
      <c r="B430" s="135">
        <f>B431</f>
        <v>45441</v>
      </c>
      <c r="C430" s="136">
        <f>C431</f>
        <v>29421</v>
      </c>
      <c r="D430" s="136">
        <f>D431</f>
        <v>3979</v>
      </c>
      <c r="E430" s="119">
        <f t="shared" si="130"/>
        <v>13.524353353047145</v>
      </c>
      <c r="F430" s="137">
        <f>F431</f>
        <v>6160</v>
      </c>
      <c r="G430" s="138">
        <f>G431</f>
        <v>3947</v>
      </c>
      <c r="H430" s="136">
        <f>H431</f>
        <v>2519</v>
      </c>
      <c r="I430" s="181">
        <f t="shared" si="131"/>
        <v>63.82062325817076</v>
      </c>
      <c r="J430" s="135">
        <f>J431</f>
        <v>30496</v>
      </c>
      <c r="K430" s="136">
        <f>K431</f>
        <v>22611</v>
      </c>
      <c r="L430" s="136">
        <f>L431</f>
        <v>0</v>
      </c>
      <c r="M430" s="183">
        <f t="shared" si="132"/>
        <v>0</v>
      </c>
    </row>
    <row r="431" spans="1:13" ht="13.5" thickBot="1">
      <c r="A431" s="84" t="s">
        <v>43</v>
      </c>
      <c r="B431" s="85">
        <v>45441</v>
      </c>
      <c r="C431" s="86">
        <v>29421</v>
      </c>
      <c r="D431" s="86">
        <v>3979</v>
      </c>
      <c r="E431" s="161">
        <f t="shared" si="130"/>
        <v>13.524353353047145</v>
      </c>
      <c r="F431" s="87">
        <v>6160</v>
      </c>
      <c r="G431" s="88">
        <v>3947</v>
      </c>
      <c r="H431" s="86">
        <v>2519</v>
      </c>
      <c r="I431" s="179">
        <f t="shared" si="131"/>
        <v>63.82062325817076</v>
      </c>
      <c r="J431" s="85">
        <v>30496</v>
      </c>
      <c r="K431" s="86">
        <v>22611</v>
      </c>
      <c r="L431" s="86">
        <v>0</v>
      </c>
      <c r="M431" s="185">
        <f t="shared" si="132"/>
        <v>0</v>
      </c>
    </row>
    <row r="432" spans="1:13" ht="13.5" thickBot="1">
      <c r="A432" s="40" t="s">
        <v>44</v>
      </c>
      <c r="B432" s="41">
        <f>SUM(B433:B434)+B476+B477+B478+B479+B480</f>
        <v>50417</v>
      </c>
      <c r="C432" s="23">
        <f>SUM(C433:C434)+C476+C477+C478+C479+C480</f>
        <v>53948</v>
      </c>
      <c r="D432" s="23">
        <f>SUM(D433:D434)+D476+D477+D478+D479+D480</f>
        <v>8043</v>
      </c>
      <c r="E432" s="119">
        <f t="shared" si="130"/>
        <v>14.908801067694819</v>
      </c>
      <c r="F432" s="42">
        <f>SUM(F433:F434)+F476+F477+F478+F479+F480</f>
        <v>29</v>
      </c>
      <c r="G432" s="43">
        <f>SUM(G433:G434)+G476+G477+G478+G479+G480</f>
        <v>623</v>
      </c>
      <c r="H432" s="23">
        <f>SUM(H433:H434)+H476+H477+H478+H479+H480</f>
        <v>0</v>
      </c>
      <c r="I432" s="181">
        <f t="shared" si="131"/>
        <v>0</v>
      </c>
      <c r="J432" s="42">
        <f>SUM(J433:J434)+J476+J477+J478+J479+J480</f>
        <v>42504</v>
      </c>
      <c r="K432" s="43">
        <f>SUM(K433:K434)+K476+K477+K478+K479+K480</f>
        <v>45249</v>
      </c>
      <c r="L432" s="23">
        <f>SUM(L433:L434)+L476+L477+L478+L479+L480</f>
        <v>0</v>
      </c>
      <c r="M432" s="183">
        <f t="shared" si="132"/>
        <v>0</v>
      </c>
    </row>
    <row r="433" spans="1:13" ht="12.75">
      <c r="A433" s="44" t="s">
        <v>45</v>
      </c>
      <c r="B433" s="45">
        <v>7450</v>
      </c>
      <c r="C433" s="46">
        <v>8008</v>
      </c>
      <c r="D433" s="46">
        <v>1388</v>
      </c>
      <c r="E433" s="156">
        <f t="shared" si="130"/>
        <v>17.33266733266733</v>
      </c>
      <c r="F433" s="13">
        <v>0</v>
      </c>
      <c r="G433" s="47">
        <v>0</v>
      </c>
      <c r="H433" s="46">
        <v>0</v>
      </c>
      <c r="I433" s="180" t="str">
        <f t="shared" si="131"/>
        <v>0,00</v>
      </c>
      <c r="J433" s="45">
        <v>6075</v>
      </c>
      <c r="K433" s="46">
        <v>6642</v>
      </c>
      <c r="L433" s="46">
        <v>0</v>
      </c>
      <c r="M433" s="186">
        <f t="shared" si="132"/>
        <v>0</v>
      </c>
    </row>
    <row r="434" spans="1:13" ht="13.5" thickBot="1">
      <c r="A434" s="69" t="s">
        <v>46</v>
      </c>
      <c r="B434" s="70">
        <v>4093</v>
      </c>
      <c r="C434" s="18">
        <v>4800</v>
      </c>
      <c r="D434" s="18">
        <v>550</v>
      </c>
      <c r="E434" s="157">
        <f t="shared" si="130"/>
        <v>11.458333333333332</v>
      </c>
      <c r="F434" s="71">
        <v>3</v>
      </c>
      <c r="G434" s="72">
        <v>88</v>
      </c>
      <c r="H434" s="18">
        <v>0</v>
      </c>
      <c r="I434" s="162">
        <f t="shared" si="131"/>
        <v>0</v>
      </c>
      <c r="J434" s="70">
        <v>3536</v>
      </c>
      <c r="K434" s="18">
        <v>4104</v>
      </c>
      <c r="L434" s="18">
        <v>0</v>
      </c>
      <c r="M434" s="187">
        <f t="shared" si="132"/>
        <v>0</v>
      </c>
    </row>
    <row r="435" spans="1:13" ht="13.5" thickBot="1">
      <c r="A435" s="100"/>
      <c r="B435" s="101"/>
      <c r="C435" s="101"/>
      <c r="D435" s="101"/>
      <c r="E435" s="102"/>
      <c r="F435" s="101"/>
      <c r="G435" s="101"/>
      <c r="H435" s="101"/>
      <c r="I435" s="102"/>
      <c r="J435" s="101"/>
      <c r="K435" s="101"/>
      <c r="L435" s="101"/>
      <c r="M435" s="102"/>
    </row>
    <row r="436" spans="1:13" ht="13.5" thickBot="1">
      <c r="A436" s="28" t="s">
        <v>1</v>
      </c>
      <c r="B436" s="209" t="s">
        <v>66</v>
      </c>
      <c r="C436" s="210"/>
      <c r="D436" s="210"/>
      <c r="E436" s="211"/>
      <c r="F436" s="191" t="s">
        <v>5</v>
      </c>
      <c r="G436" s="212"/>
      <c r="H436" s="212"/>
      <c r="I436" s="213"/>
      <c r="J436" s="209" t="s">
        <v>85</v>
      </c>
      <c r="K436" s="210"/>
      <c r="L436" s="210"/>
      <c r="M436" s="211"/>
    </row>
    <row r="437" spans="1:13" s="139" customFormat="1" ht="13.5" thickBot="1">
      <c r="A437" s="40" t="s">
        <v>39</v>
      </c>
      <c r="B437" s="137">
        <f>SUM(B438:B438)</f>
        <v>96083</v>
      </c>
      <c r="C437" s="138">
        <f>SUM(C438:C438)</f>
        <v>98559</v>
      </c>
      <c r="D437" s="136">
        <f>SUM(D438:D438)</f>
        <v>101528</v>
      </c>
      <c r="E437" s="119">
        <f aca="true" t="shared" si="133" ref="E437:E446">IF(C437=0,"0,00",(D437/C437)*100)</f>
        <v>103.01240881096602</v>
      </c>
      <c r="F437" s="137">
        <f>SUM(F438:F438)</f>
        <v>98710</v>
      </c>
      <c r="G437" s="136">
        <f>SUM(G438:G438)</f>
        <v>100879</v>
      </c>
      <c r="H437" s="140">
        <f>SUM(H438:H438)</f>
        <v>103420</v>
      </c>
      <c r="I437" s="119">
        <f aca="true" t="shared" si="134" ref="I437:I446">IF(G437=0,"0,00",(H437/G437)*100)</f>
        <v>102.51885922739123</v>
      </c>
      <c r="J437" s="141">
        <f>SUM(J438:J438)</f>
        <v>54498</v>
      </c>
      <c r="K437" s="142">
        <f>SUM(K438:K438)</f>
        <v>56226</v>
      </c>
      <c r="L437" s="143">
        <f>SUM(L438:L438)</f>
        <v>57913</v>
      </c>
      <c r="M437" s="119">
        <f aca="true" t="shared" si="135" ref="M437:M446">IF(K437=0,"0,00",(L437/K437)*100)</f>
        <v>103.00039127805643</v>
      </c>
    </row>
    <row r="438" spans="1:13" ht="13.5" thickBot="1">
      <c r="A438" s="44" t="s">
        <v>40</v>
      </c>
      <c r="B438" s="13">
        <f>B426-F426-J426</f>
        <v>96083</v>
      </c>
      <c r="C438" s="47">
        <f>C426-G426-K426</f>
        <v>98559</v>
      </c>
      <c r="D438" s="46">
        <f>D426-H426-L426</f>
        <v>101528</v>
      </c>
      <c r="E438" s="156">
        <f t="shared" si="133"/>
        <v>103.01240881096602</v>
      </c>
      <c r="F438" s="13">
        <v>98710</v>
      </c>
      <c r="G438" s="46">
        <f>80344+20535</f>
        <v>100879</v>
      </c>
      <c r="H438" s="59">
        <v>103420</v>
      </c>
      <c r="I438" s="156">
        <f t="shared" si="134"/>
        <v>102.51885922739123</v>
      </c>
      <c r="J438" s="60">
        <v>54498</v>
      </c>
      <c r="K438" s="61">
        <f>56226</f>
        <v>56226</v>
      </c>
      <c r="L438" s="62">
        <v>57913</v>
      </c>
      <c r="M438" s="156">
        <f t="shared" si="135"/>
        <v>103.00039127805643</v>
      </c>
    </row>
    <row r="439" spans="1:13" s="139" customFormat="1" ht="13.5" thickBot="1">
      <c r="A439" s="40" t="s">
        <v>41</v>
      </c>
      <c r="B439" s="135">
        <f>SUM(B440:B441)</f>
        <v>7008</v>
      </c>
      <c r="C439" s="136">
        <f>SUM(C440:C441)</f>
        <v>7070</v>
      </c>
      <c r="D439" s="136">
        <f>SUM(D440:D441)</f>
        <v>7486</v>
      </c>
      <c r="E439" s="119">
        <f t="shared" si="133"/>
        <v>105.88401697312588</v>
      </c>
      <c r="F439" s="137">
        <f>SUM(F440:F441)</f>
        <v>6991</v>
      </c>
      <c r="G439" s="136">
        <f>SUM(G440:G441)</f>
        <v>7046</v>
      </c>
      <c r="H439" s="144">
        <f>SUM(H440:H441)</f>
        <v>7486</v>
      </c>
      <c r="I439" s="119">
        <f t="shared" si="134"/>
        <v>106.2446778313937</v>
      </c>
      <c r="J439" s="137">
        <f>SUM(J440:J441)</f>
        <v>152</v>
      </c>
      <c r="K439" s="136">
        <f>SUM(K440:K441)</f>
        <v>204</v>
      </c>
      <c r="L439" s="140">
        <f>SUM(L440:L441)</f>
        <v>255</v>
      </c>
      <c r="M439" s="119">
        <f t="shared" si="135"/>
        <v>125</v>
      </c>
    </row>
    <row r="440" spans="1:13" ht="12.75">
      <c r="A440" s="44" t="s">
        <v>57</v>
      </c>
      <c r="B440" s="13">
        <f aca="true" t="shared" si="136" ref="B440:D441">B428-F428-J428</f>
        <v>4109</v>
      </c>
      <c r="C440" s="47">
        <f t="shared" si="136"/>
        <v>3852</v>
      </c>
      <c r="D440" s="46">
        <f t="shared" si="136"/>
        <v>4050</v>
      </c>
      <c r="E440" s="156">
        <f t="shared" si="133"/>
        <v>105.14018691588785</v>
      </c>
      <c r="F440" s="13">
        <v>4109</v>
      </c>
      <c r="G440" s="46">
        <f>2039+1813</f>
        <v>3852</v>
      </c>
      <c r="H440" s="59">
        <f>2121+1929</f>
        <v>4050</v>
      </c>
      <c r="I440" s="156">
        <f t="shared" si="134"/>
        <v>105.14018691588785</v>
      </c>
      <c r="J440" s="60">
        <v>105</v>
      </c>
      <c r="K440" s="61">
        <v>141</v>
      </c>
      <c r="L440" s="62">
        <v>200</v>
      </c>
      <c r="M440" s="156">
        <f t="shared" si="135"/>
        <v>141.84397163120568</v>
      </c>
    </row>
    <row r="441" spans="1:13" ht="13.5" thickBot="1">
      <c r="A441" s="69" t="s">
        <v>58</v>
      </c>
      <c r="B441" s="71">
        <f t="shared" si="136"/>
        <v>2899</v>
      </c>
      <c r="C441" s="72">
        <f t="shared" si="136"/>
        <v>3218</v>
      </c>
      <c r="D441" s="18">
        <f t="shared" si="136"/>
        <v>3436</v>
      </c>
      <c r="E441" s="157">
        <f t="shared" si="133"/>
        <v>106.77439403356121</v>
      </c>
      <c r="F441" s="71">
        <v>2882</v>
      </c>
      <c r="G441" s="18">
        <f>1051+2143</f>
        <v>3194</v>
      </c>
      <c r="H441" s="73">
        <f>1045+2391</f>
        <v>3436</v>
      </c>
      <c r="I441" s="157">
        <f t="shared" si="134"/>
        <v>107.57670632435816</v>
      </c>
      <c r="J441" s="74">
        <v>47</v>
      </c>
      <c r="K441" s="75">
        <f>55+8</f>
        <v>63</v>
      </c>
      <c r="L441" s="76">
        <v>55</v>
      </c>
      <c r="M441" s="157">
        <f t="shared" si="135"/>
        <v>87.3015873015873</v>
      </c>
    </row>
    <row r="442" spans="1:13" s="139" customFormat="1" ht="13.5" thickBot="1">
      <c r="A442" s="40" t="s">
        <v>42</v>
      </c>
      <c r="B442" s="137">
        <f>B443</f>
        <v>8785</v>
      </c>
      <c r="C442" s="138">
        <f>C443</f>
        <v>2863</v>
      </c>
      <c r="D442" s="136">
        <f>D443</f>
        <v>1460</v>
      </c>
      <c r="E442" s="119">
        <f t="shared" si="133"/>
        <v>50.99545930841774</v>
      </c>
      <c r="F442" s="137">
        <f>F443</f>
        <v>44951</v>
      </c>
      <c r="G442" s="136">
        <f>G443</f>
        <v>29119</v>
      </c>
      <c r="H442" s="140">
        <f>H443</f>
        <v>3891</v>
      </c>
      <c r="I442" s="119">
        <f t="shared" si="134"/>
        <v>13.362409423400528</v>
      </c>
      <c r="J442" s="141">
        <f>J443</f>
        <v>5009</v>
      </c>
      <c r="K442" s="142">
        <f>K443</f>
        <v>1964</v>
      </c>
      <c r="L442" s="143">
        <f>L443</f>
        <v>865</v>
      </c>
      <c r="M442" s="119">
        <f t="shared" si="135"/>
        <v>44.04276985743381</v>
      </c>
    </row>
    <row r="443" spans="1:13" ht="13.5" thickBot="1">
      <c r="A443" s="84" t="s">
        <v>43</v>
      </c>
      <c r="B443" s="87">
        <f>B431-F431-J431</f>
        <v>8785</v>
      </c>
      <c r="C443" s="88">
        <f>C431-G431-K431</f>
        <v>2863</v>
      </c>
      <c r="D443" s="86">
        <f>D431-H431-L431</f>
        <v>1460</v>
      </c>
      <c r="E443" s="161">
        <f t="shared" si="133"/>
        <v>50.99545930841774</v>
      </c>
      <c r="F443" s="87">
        <v>44951</v>
      </c>
      <c r="G443" s="86">
        <v>29119</v>
      </c>
      <c r="H443" s="91">
        <v>3891</v>
      </c>
      <c r="I443" s="161">
        <f t="shared" si="134"/>
        <v>13.362409423400528</v>
      </c>
      <c r="J443" s="92">
        <v>5009</v>
      </c>
      <c r="K443" s="93">
        <f>1520+444</f>
        <v>1964</v>
      </c>
      <c r="L443" s="94">
        <v>865</v>
      </c>
      <c r="M443" s="161">
        <f t="shared" si="135"/>
        <v>44.04276985743381</v>
      </c>
    </row>
    <row r="444" spans="1:13" ht="13.5" thickBot="1">
      <c r="A444" s="40" t="s">
        <v>44</v>
      </c>
      <c r="B444" s="42">
        <f>SUM(B445:B446)+B488+B489+B490+B491+B492</f>
        <v>7884</v>
      </c>
      <c r="C444" s="43">
        <f>SUM(C445:C446)+C488+C489+C490+C491+C492</f>
        <v>8076</v>
      </c>
      <c r="D444" s="23">
        <f>SUM(D445:D446)+D488+D489+D490+D491+D492</f>
        <v>8043</v>
      </c>
      <c r="E444" s="119">
        <f t="shared" si="133"/>
        <v>99.59138187221397</v>
      </c>
      <c r="F444" s="42">
        <f>SUM(F445:F446)+F488+F489+F490+F491+F492</f>
        <v>50306</v>
      </c>
      <c r="G444" s="23">
        <f>SUM(G445:G446)+G488+G489+G490+G491+G492</f>
        <v>53592</v>
      </c>
      <c r="H444" s="55">
        <f>SUM(H445:H446)+H488+H489+H490+H491+H492</f>
        <v>8043</v>
      </c>
      <c r="I444" s="119">
        <f t="shared" si="134"/>
        <v>15.00783699059561</v>
      </c>
      <c r="J444" s="42">
        <f>SUM(J445:J446)+J488+J489+J490+J491+J492</f>
        <v>2745</v>
      </c>
      <c r="K444" s="23">
        <f>SUM(K445:K446)+K488+K489+K490+K491+K492</f>
        <v>2422</v>
      </c>
      <c r="L444" s="55">
        <f>SUM(L445:L446)+L488+L489+L490+L491+L492</f>
        <v>2464</v>
      </c>
      <c r="M444" s="119">
        <f t="shared" si="135"/>
        <v>101.73410404624276</v>
      </c>
    </row>
    <row r="445" spans="1:13" ht="12.75">
      <c r="A445" s="44" t="s">
        <v>45</v>
      </c>
      <c r="B445" s="13">
        <f aca="true" t="shared" si="137" ref="B445:D446">B433-F433-J433</f>
        <v>1375</v>
      </c>
      <c r="C445" s="47">
        <f t="shared" si="137"/>
        <v>1366</v>
      </c>
      <c r="D445" s="46">
        <f t="shared" si="137"/>
        <v>1388</v>
      </c>
      <c r="E445" s="156">
        <f t="shared" si="133"/>
        <v>101.61054172767203</v>
      </c>
      <c r="F445" s="13">
        <v>7419</v>
      </c>
      <c r="G445" s="46">
        <v>7998</v>
      </c>
      <c r="H445" s="59">
        <v>1388</v>
      </c>
      <c r="I445" s="156">
        <f t="shared" si="134"/>
        <v>17.35433858464616</v>
      </c>
      <c r="J445" s="60">
        <f>592+29</f>
        <v>621</v>
      </c>
      <c r="K445" s="61">
        <f>471+25</f>
        <v>496</v>
      </c>
      <c r="L445" s="62">
        <f>450+28</f>
        <v>478</v>
      </c>
      <c r="M445" s="156">
        <f t="shared" si="135"/>
        <v>96.37096774193549</v>
      </c>
    </row>
    <row r="446" spans="1:13" ht="13.5" thickBot="1">
      <c r="A446" s="69" t="s">
        <v>46</v>
      </c>
      <c r="B446" s="71">
        <f t="shared" si="137"/>
        <v>554</v>
      </c>
      <c r="C446" s="72">
        <f t="shared" si="137"/>
        <v>608</v>
      </c>
      <c r="D446" s="18">
        <f t="shared" si="137"/>
        <v>550</v>
      </c>
      <c r="E446" s="157">
        <f t="shared" si="133"/>
        <v>90.46052631578947</v>
      </c>
      <c r="F446" s="71">
        <v>4092</v>
      </c>
      <c r="G446" s="18">
        <v>4742</v>
      </c>
      <c r="H446" s="73">
        <v>550</v>
      </c>
      <c r="I446" s="157">
        <f t="shared" si="134"/>
        <v>11.59848165331084</v>
      </c>
      <c r="J446" s="74">
        <v>236</v>
      </c>
      <c r="K446" s="75">
        <f>298+14</f>
        <v>312</v>
      </c>
      <c r="L446" s="76">
        <f>254+19</f>
        <v>273</v>
      </c>
      <c r="M446" s="157">
        <f t="shared" si="135"/>
        <v>87.5</v>
      </c>
    </row>
    <row r="447" spans="1:13" ht="13.5" thickBot="1">
      <c r="A447" s="100"/>
      <c r="B447" s="101"/>
      <c r="C447" s="101"/>
      <c r="D447" s="101"/>
      <c r="E447" s="102"/>
      <c r="F447" s="101"/>
      <c r="G447" s="101"/>
      <c r="H447" s="101"/>
      <c r="I447" s="102"/>
      <c r="J447" s="104"/>
      <c r="K447" s="104"/>
      <c r="L447" s="104"/>
      <c r="M447" s="102"/>
    </row>
    <row r="448" spans="1:13" ht="13.5" thickBot="1">
      <c r="A448" s="64" t="s">
        <v>1</v>
      </c>
      <c r="B448" s="209" t="s">
        <v>86</v>
      </c>
      <c r="C448" s="210"/>
      <c r="D448" s="210"/>
      <c r="E448" s="211"/>
      <c r="F448" s="209" t="s">
        <v>6</v>
      </c>
      <c r="G448" s="210"/>
      <c r="H448" s="210"/>
      <c r="I448" s="211"/>
      <c r="J448" s="191" t="s">
        <v>87</v>
      </c>
      <c r="K448" s="212"/>
      <c r="L448" s="212"/>
      <c r="M448" s="213"/>
    </row>
    <row r="449" spans="1:13" s="139" customFormat="1" ht="13.5" thickBot="1">
      <c r="A449" s="40" t="s">
        <v>39</v>
      </c>
      <c r="B449" s="137">
        <f>SUM(B450:B450)</f>
        <v>2257</v>
      </c>
      <c r="C449" s="136">
        <f>SUM(C450:C450)</f>
        <v>2344</v>
      </c>
      <c r="D449" s="140">
        <f>SUM(D450:D450)</f>
        <v>2485</v>
      </c>
      <c r="E449" s="119">
        <f aca="true" t="shared" si="138" ref="E449:E458">IF(C449=0,"0,00",(D449/C449)*100)</f>
        <v>106.01535836177473</v>
      </c>
      <c r="F449" s="137">
        <f>SUM(F450:F450)</f>
        <v>1955</v>
      </c>
      <c r="G449" s="136">
        <f>SUM(G450:G450)</f>
        <v>1598</v>
      </c>
      <c r="H449" s="144">
        <f>SUM(H450:H450)</f>
        <v>1700</v>
      </c>
      <c r="I449" s="181">
        <f aca="true" t="shared" si="139" ref="I449:I458">IF(G449=0,"0,00",(H449/G449)*100)</f>
        <v>106.38297872340425</v>
      </c>
      <c r="J449" s="137">
        <f>SUM(J450:J450)</f>
        <v>14325</v>
      </c>
      <c r="K449" s="136">
        <f>SUM(K450:K450)</f>
        <v>14713</v>
      </c>
      <c r="L449" s="136">
        <f>SUM(L450:L450)</f>
        <v>15302</v>
      </c>
      <c r="M449" s="119">
        <f aca="true" t="shared" si="140" ref="M449:M458">IF(K449=0,"0,00",(L449/K449)*100)</f>
        <v>104.00326242098825</v>
      </c>
    </row>
    <row r="450" spans="1:13" ht="13.5" thickBot="1">
      <c r="A450" s="44" t="s">
        <v>40</v>
      </c>
      <c r="B450" s="13">
        <v>2257</v>
      </c>
      <c r="C450" s="46">
        <v>2344</v>
      </c>
      <c r="D450" s="59">
        <v>2485</v>
      </c>
      <c r="E450" s="156">
        <f t="shared" si="138"/>
        <v>106.01535836177473</v>
      </c>
      <c r="F450" s="13">
        <v>1955</v>
      </c>
      <c r="G450" s="46">
        <v>1598</v>
      </c>
      <c r="H450" s="66">
        <v>1700</v>
      </c>
      <c r="I450" s="180">
        <f t="shared" si="139"/>
        <v>106.38297872340425</v>
      </c>
      <c r="J450" s="13">
        <v>14325</v>
      </c>
      <c r="K450" s="46">
        <v>14713</v>
      </c>
      <c r="L450" s="46">
        <v>15302</v>
      </c>
      <c r="M450" s="156">
        <f t="shared" si="140"/>
        <v>104.00326242098825</v>
      </c>
    </row>
    <row r="451" spans="1:13" s="139" customFormat="1" ht="13.5" thickBot="1">
      <c r="A451" s="40" t="s">
        <v>41</v>
      </c>
      <c r="B451" s="137">
        <f>SUM(B452:B453)</f>
        <v>16</v>
      </c>
      <c r="C451" s="136">
        <f>SUM(C452:C453)</f>
        <v>17</v>
      </c>
      <c r="D451" s="140">
        <f>SUM(D452:D453)</f>
        <v>20</v>
      </c>
      <c r="E451" s="119">
        <f t="shared" si="138"/>
        <v>117.64705882352942</v>
      </c>
      <c r="F451" s="137">
        <f>SUM(F452:F453)</f>
        <v>8</v>
      </c>
      <c r="G451" s="136">
        <f>SUM(G452:G453)</f>
        <v>40</v>
      </c>
      <c r="H451" s="144">
        <f>SUM(H452:H453)</f>
        <v>50</v>
      </c>
      <c r="I451" s="181">
        <f t="shared" si="139"/>
        <v>125</v>
      </c>
      <c r="J451" s="137">
        <f>SUM(J452:J453)</f>
        <v>2624</v>
      </c>
      <c r="K451" s="136">
        <f>SUM(K452:K453)</f>
        <v>2879</v>
      </c>
      <c r="L451" s="136">
        <f>SUM(L452:L453)</f>
        <v>3130</v>
      </c>
      <c r="M451" s="119">
        <f t="shared" si="140"/>
        <v>108.71830496700244</v>
      </c>
    </row>
    <row r="452" spans="1:13" ht="12.75">
      <c r="A452" s="44" t="s">
        <v>57</v>
      </c>
      <c r="B452" s="13">
        <v>16</v>
      </c>
      <c r="C452" s="46">
        <v>17</v>
      </c>
      <c r="D452" s="59">
        <v>20</v>
      </c>
      <c r="E452" s="156">
        <f t="shared" si="138"/>
        <v>117.64705882352942</v>
      </c>
      <c r="F452" s="13">
        <v>7</v>
      </c>
      <c r="G452" s="46">
        <v>40</v>
      </c>
      <c r="H452" s="66">
        <v>50</v>
      </c>
      <c r="I452" s="180">
        <f t="shared" si="139"/>
        <v>125</v>
      </c>
      <c r="J452" s="13">
        <v>1229</v>
      </c>
      <c r="K452" s="46">
        <f>1329</f>
        <v>1329</v>
      </c>
      <c r="L452" s="46">
        <v>1400</v>
      </c>
      <c r="M452" s="156">
        <f t="shared" si="140"/>
        <v>105.3423626787058</v>
      </c>
    </row>
    <row r="453" spans="1:13" ht="13.5" thickBot="1">
      <c r="A453" s="69" t="s">
        <v>58</v>
      </c>
      <c r="B453" s="71">
        <v>0</v>
      </c>
      <c r="C453" s="18">
        <v>0</v>
      </c>
      <c r="D453" s="73">
        <v>0</v>
      </c>
      <c r="E453" s="157" t="str">
        <f t="shared" si="138"/>
        <v>0,00</v>
      </c>
      <c r="F453" s="71">
        <v>1</v>
      </c>
      <c r="G453" s="18">
        <v>0</v>
      </c>
      <c r="H453" s="22">
        <v>0</v>
      </c>
      <c r="I453" s="162" t="str">
        <f t="shared" si="139"/>
        <v>0,00</v>
      </c>
      <c r="J453" s="71">
        <v>1395</v>
      </c>
      <c r="K453" s="18">
        <v>1550</v>
      </c>
      <c r="L453" s="18">
        <v>1730</v>
      </c>
      <c r="M453" s="157">
        <f t="shared" si="140"/>
        <v>111.61290322580646</v>
      </c>
    </row>
    <row r="454" spans="1:13" s="139" customFormat="1" ht="13.5" thickBot="1">
      <c r="A454" s="40" t="s">
        <v>42</v>
      </c>
      <c r="B454" s="137">
        <f>B455</f>
        <v>2609</v>
      </c>
      <c r="C454" s="136">
        <f>C455</f>
        <v>399</v>
      </c>
      <c r="D454" s="140">
        <f>D455</f>
        <v>574</v>
      </c>
      <c r="E454" s="119">
        <f t="shared" si="138"/>
        <v>143.859649122807</v>
      </c>
      <c r="F454" s="137">
        <f>F455</f>
        <v>362</v>
      </c>
      <c r="G454" s="136">
        <f>G455</f>
        <v>113</v>
      </c>
      <c r="H454" s="144">
        <f>H455</f>
        <v>100</v>
      </c>
      <c r="I454" s="181">
        <f t="shared" si="139"/>
        <v>88.49557522123894</v>
      </c>
      <c r="J454" s="137">
        <f>J455</f>
        <v>23483</v>
      </c>
      <c r="K454" s="136">
        <f>K455</f>
        <v>15660</v>
      </c>
      <c r="L454" s="136">
        <f>L455</f>
        <v>5</v>
      </c>
      <c r="M454" s="119">
        <f t="shared" si="140"/>
        <v>0.031928480204342274</v>
      </c>
    </row>
    <row r="455" spans="1:13" ht="13.5" thickBot="1">
      <c r="A455" s="84" t="s">
        <v>43</v>
      </c>
      <c r="B455" s="87">
        <v>2609</v>
      </c>
      <c r="C455" s="86">
        <v>399</v>
      </c>
      <c r="D455" s="91">
        <v>574</v>
      </c>
      <c r="E455" s="161">
        <f t="shared" si="138"/>
        <v>143.859649122807</v>
      </c>
      <c r="F455" s="87">
        <v>362</v>
      </c>
      <c r="G455" s="86">
        <v>113</v>
      </c>
      <c r="H455" s="78">
        <v>100</v>
      </c>
      <c r="I455" s="179">
        <f t="shared" si="139"/>
        <v>88.49557522123894</v>
      </c>
      <c r="J455" s="87">
        <v>23483</v>
      </c>
      <c r="K455" s="86">
        <v>15660</v>
      </c>
      <c r="L455" s="86">
        <v>5</v>
      </c>
      <c r="M455" s="161">
        <f t="shared" si="140"/>
        <v>0.031928480204342274</v>
      </c>
    </row>
    <row r="456" spans="1:13" ht="13.5" thickBot="1">
      <c r="A456" s="40" t="s">
        <v>44</v>
      </c>
      <c r="B456" s="42">
        <f>SUM(B457:B458)+B500+B501+B502+B503+B504</f>
        <v>1275</v>
      </c>
      <c r="C456" s="23">
        <f>SUM(C457:C458)+C500+C501+C502+C503+C504</f>
        <v>1351</v>
      </c>
      <c r="D456" s="55">
        <f>SUM(D457:D458)+D500+D501+D502+D503+D504</f>
        <v>1473</v>
      </c>
      <c r="E456" s="119">
        <f t="shared" si="138"/>
        <v>109.03034789045152</v>
      </c>
      <c r="F456" s="42">
        <f>SUM(F457:F458)+F500+F501+F502+F503+F504</f>
        <v>966</v>
      </c>
      <c r="G456" s="23">
        <f>SUM(G457:G458)+G500+G501+G502+G503+G504</f>
        <v>1117</v>
      </c>
      <c r="H456" s="65">
        <f>SUM(H457:H458)+H500+H501+H502+H503+H504</f>
        <v>995</v>
      </c>
      <c r="I456" s="181">
        <f t="shared" si="139"/>
        <v>89.0778871978514</v>
      </c>
      <c r="J456" s="42">
        <f>SUM(J457:J458)+J500+J501+J502+J503+J504</f>
        <v>30885</v>
      </c>
      <c r="K456" s="23">
        <f>SUM(K457:K458)+K500+K501+K502+K503+K504</f>
        <v>32976</v>
      </c>
      <c r="L456" s="65">
        <f>SUM(L457:L458)+L500+L501+L502+L503+L504</f>
        <v>0</v>
      </c>
      <c r="M456" s="119">
        <f t="shared" si="140"/>
        <v>0</v>
      </c>
    </row>
    <row r="457" spans="1:13" ht="12.75">
      <c r="A457" s="44" t="s">
        <v>45</v>
      </c>
      <c r="B457" s="13">
        <v>170</v>
      </c>
      <c r="C457" s="46">
        <v>198</v>
      </c>
      <c r="D457" s="59">
        <v>235</v>
      </c>
      <c r="E457" s="156">
        <f t="shared" si="138"/>
        <v>118.68686868686868</v>
      </c>
      <c r="F457" s="13">
        <v>157</v>
      </c>
      <c r="G457" s="46">
        <v>152</v>
      </c>
      <c r="H457" s="66">
        <v>210</v>
      </c>
      <c r="I457" s="180">
        <f t="shared" si="139"/>
        <v>138.1578947368421</v>
      </c>
      <c r="J457" s="13">
        <v>4419</v>
      </c>
      <c r="K457" s="46">
        <v>4848</v>
      </c>
      <c r="L457" s="46">
        <v>0</v>
      </c>
      <c r="M457" s="156">
        <f t="shared" si="140"/>
        <v>0</v>
      </c>
    </row>
    <row r="458" spans="1:13" ht="13.5" thickBot="1">
      <c r="A458" s="69" t="s">
        <v>46</v>
      </c>
      <c r="B458" s="71">
        <v>28</v>
      </c>
      <c r="C458" s="18">
        <v>38</v>
      </c>
      <c r="D458" s="73">
        <v>40</v>
      </c>
      <c r="E458" s="157">
        <f t="shared" si="138"/>
        <v>105.26315789473684</v>
      </c>
      <c r="F458" s="71">
        <v>22</v>
      </c>
      <c r="G458" s="18">
        <v>7</v>
      </c>
      <c r="H458" s="22">
        <v>10</v>
      </c>
      <c r="I458" s="162">
        <f t="shared" si="139"/>
        <v>142.85714285714286</v>
      </c>
      <c r="J458" s="71">
        <v>2577</v>
      </c>
      <c r="K458" s="18">
        <v>2978</v>
      </c>
      <c r="L458" s="18">
        <v>0</v>
      </c>
      <c r="M458" s="157">
        <f t="shared" si="140"/>
        <v>0</v>
      </c>
    </row>
    <row r="459" spans="1:13" ht="13.5" thickBot="1">
      <c r="A459" s="100"/>
      <c r="B459" s="101"/>
      <c r="C459" s="101"/>
      <c r="D459" s="101"/>
      <c r="E459" s="102"/>
      <c r="F459" s="101"/>
      <c r="G459" s="101"/>
      <c r="H459" s="101"/>
      <c r="I459" s="102"/>
      <c r="J459" s="101"/>
      <c r="K459" s="101"/>
      <c r="L459" s="101"/>
      <c r="M459" s="102"/>
    </row>
    <row r="460" spans="1:13" ht="13.5" thickBot="1">
      <c r="A460" s="64" t="s">
        <v>1</v>
      </c>
      <c r="B460" s="209" t="s">
        <v>7</v>
      </c>
      <c r="C460" s="210"/>
      <c r="D460" s="210"/>
      <c r="E460" s="211"/>
      <c r="F460" s="191" t="s">
        <v>8</v>
      </c>
      <c r="G460" s="212"/>
      <c r="H460" s="212"/>
      <c r="I460" s="213"/>
      <c r="J460" s="199"/>
      <c r="K460" s="200"/>
      <c r="L460" s="200"/>
      <c r="M460" s="200"/>
    </row>
    <row r="461" spans="1:13" s="139" customFormat="1" ht="13.5" thickBot="1">
      <c r="A461" s="40" t="s">
        <v>39</v>
      </c>
      <c r="B461" s="137">
        <f>SUM(B462:B462)</f>
        <v>3149</v>
      </c>
      <c r="C461" s="136">
        <f>SUM(C462:C462)</f>
        <v>3278</v>
      </c>
      <c r="D461" s="140">
        <f>SUM(D462:D462)</f>
        <v>3442</v>
      </c>
      <c r="E461" s="119">
        <f aca="true" t="shared" si="141" ref="E461:E470">IF(C461=0,"0,00",(D461/C461)*100)</f>
        <v>105.00305064063453</v>
      </c>
      <c r="F461" s="137">
        <f>SUM(F462:F462)</f>
        <v>41</v>
      </c>
      <c r="G461" s="136">
        <f>SUM(G462:G462)</f>
        <v>71</v>
      </c>
      <c r="H461" s="144">
        <f>SUM(H462:H462)</f>
        <v>28</v>
      </c>
      <c r="I461" s="119">
        <f aca="true" t="shared" si="142" ref="I461:I470">IF(G461=0,"0,00",(H461/G461)*100)</f>
        <v>39.436619718309856</v>
      </c>
      <c r="J461" s="105"/>
      <c r="K461" s="106"/>
      <c r="L461" s="106"/>
      <c r="M461" s="106"/>
    </row>
    <row r="462" spans="1:13" ht="13.5" thickBot="1">
      <c r="A462" s="44" t="s">
        <v>40</v>
      </c>
      <c r="B462" s="13">
        <v>3149</v>
      </c>
      <c r="C462" s="46">
        <v>3278</v>
      </c>
      <c r="D462" s="59">
        <v>3442</v>
      </c>
      <c r="E462" s="156">
        <f t="shared" si="141"/>
        <v>105.00305064063453</v>
      </c>
      <c r="F462" s="13">
        <f>B426-F438</f>
        <v>41</v>
      </c>
      <c r="G462" s="46">
        <f>C426-G438</f>
        <v>71</v>
      </c>
      <c r="H462" s="66">
        <f>D426-H438</f>
        <v>28</v>
      </c>
      <c r="I462" s="180">
        <f t="shared" si="142"/>
        <v>39.436619718309856</v>
      </c>
      <c r="J462" s="105"/>
      <c r="K462" s="106"/>
      <c r="L462" s="106"/>
      <c r="M462" s="106"/>
    </row>
    <row r="463" spans="1:13" s="139" customFormat="1" ht="13.5" thickBot="1">
      <c r="A463" s="40" t="s">
        <v>41</v>
      </c>
      <c r="B463" s="137">
        <f>SUM(B464:B465)</f>
        <v>0</v>
      </c>
      <c r="C463" s="136">
        <f>SUM(C464:C465)</f>
        <v>0</v>
      </c>
      <c r="D463" s="140">
        <f>SUM(D464:D465)</f>
        <v>0</v>
      </c>
      <c r="E463" s="119" t="str">
        <f t="shared" si="141"/>
        <v>0,00</v>
      </c>
      <c r="F463" s="137">
        <f>SUM(F464:F465)</f>
        <v>17</v>
      </c>
      <c r="G463" s="136">
        <f>SUM(G464:G465)</f>
        <v>24</v>
      </c>
      <c r="H463" s="144">
        <f>SUM(H464:H465)</f>
        <v>0</v>
      </c>
      <c r="I463" s="119">
        <f t="shared" si="142"/>
        <v>0</v>
      </c>
      <c r="J463" s="145"/>
      <c r="K463" s="146"/>
      <c r="L463" s="146"/>
      <c r="M463" s="109"/>
    </row>
    <row r="464" spans="1:13" ht="12.75">
      <c r="A464" s="44" t="s">
        <v>57</v>
      </c>
      <c r="B464" s="13">
        <v>0</v>
      </c>
      <c r="C464" s="46">
        <v>0</v>
      </c>
      <c r="D464" s="59">
        <v>0</v>
      </c>
      <c r="E464" s="156" t="str">
        <f t="shared" si="141"/>
        <v>0,00</v>
      </c>
      <c r="F464" s="13">
        <f aca="true" t="shared" si="143" ref="F464:H465">B428-F440</f>
        <v>0</v>
      </c>
      <c r="G464" s="46">
        <f t="shared" si="143"/>
        <v>0</v>
      </c>
      <c r="H464" s="66">
        <f t="shared" si="143"/>
        <v>0</v>
      </c>
      <c r="I464" s="180" t="str">
        <f t="shared" si="142"/>
        <v>0,00</v>
      </c>
      <c r="J464" s="85"/>
      <c r="K464" s="91"/>
      <c r="L464" s="91"/>
      <c r="M464" s="103"/>
    </row>
    <row r="465" spans="1:13" ht="13.5" thickBot="1">
      <c r="A465" s="69" t="s">
        <v>58</v>
      </c>
      <c r="B465" s="71">
        <v>0</v>
      </c>
      <c r="C465" s="18">
        <v>0</v>
      </c>
      <c r="D465" s="73">
        <v>0</v>
      </c>
      <c r="E465" s="157" t="str">
        <f t="shared" si="141"/>
        <v>0,00</v>
      </c>
      <c r="F465" s="71">
        <f t="shared" si="143"/>
        <v>17</v>
      </c>
      <c r="G465" s="18">
        <f t="shared" si="143"/>
        <v>24</v>
      </c>
      <c r="H465" s="22">
        <f t="shared" si="143"/>
        <v>0</v>
      </c>
      <c r="I465" s="162">
        <f t="shared" si="142"/>
        <v>0</v>
      </c>
      <c r="J465" s="85"/>
      <c r="K465" s="91"/>
      <c r="L465" s="91"/>
      <c r="M465" s="103"/>
    </row>
    <row r="466" spans="1:13" s="139" customFormat="1" ht="13.5" thickBot="1">
      <c r="A466" s="40" t="s">
        <v>42</v>
      </c>
      <c r="B466" s="137">
        <f>B467</f>
        <v>906</v>
      </c>
      <c r="C466" s="136">
        <f>C467</f>
        <v>361</v>
      </c>
      <c r="D466" s="140">
        <f>D467</f>
        <v>455</v>
      </c>
      <c r="E466" s="119">
        <f t="shared" si="141"/>
        <v>126.0387811634349</v>
      </c>
      <c r="F466" s="137">
        <f>F467</f>
        <v>490</v>
      </c>
      <c r="G466" s="136">
        <f>G467</f>
        <v>302</v>
      </c>
      <c r="H466" s="144">
        <f>H467</f>
        <v>88</v>
      </c>
      <c r="I466" s="119">
        <f t="shared" si="142"/>
        <v>29.13907284768212</v>
      </c>
      <c r="J466" s="145"/>
      <c r="K466" s="146"/>
      <c r="L466" s="146"/>
      <c r="M466" s="109"/>
    </row>
    <row r="467" spans="1:13" ht="13.5" thickBot="1">
      <c r="A467" s="84" t="s">
        <v>43</v>
      </c>
      <c r="B467" s="87">
        <v>906</v>
      </c>
      <c r="C467" s="86">
        <v>361</v>
      </c>
      <c r="D467" s="91">
        <v>455</v>
      </c>
      <c r="E467" s="161">
        <f t="shared" si="141"/>
        <v>126.0387811634349</v>
      </c>
      <c r="F467" s="87">
        <f>B431-F443</f>
        <v>490</v>
      </c>
      <c r="G467" s="86">
        <f>C431-G443</f>
        <v>302</v>
      </c>
      <c r="H467" s="78">
        <f>D431-H443</f>
        <v>88</v>
      </c>
      <c r="I467" s="179">
        <f t="shared" si="142"/>
        <v>29.13907284768212</v>
      </c>
      <c r="J467" s="85"/>
      <c r="K467" s="91"/>
      <c r="L467" s="91"/>
      <c r="M467" s="103"/>
    </row>
    <row r="468" spans="1:13" ht="13.5" thickBot="1">
      <c r="A468" s="40" t="s">
        <v>44</v>
      </c>
      <c r="B468" s="42">
        <f>SUM(B469:B470)+B512+B513+B514+B515+B516</f>
        <v>230</v>
      </c>
      <c r="C468" s="23">
        <f>SUM(C469:C470)+C512+C513+C514+C515+C516</f>
        <v>264</v>
      </c>
      <c r="D468" s="55">
        <f>SUM(D469:D470)+D512+D513+D514+D515+D516</f>
        <v>274</v>
      </c>
      <c r="E468" s="119">
        <f t="shared" si="141"/>
        <v>103.78787878787878</v>
      </c>
      <c r="F468" s="42">
        <f>SUM(F469:F470)+F512+F513+F514+F515+F516</f>
        <v>111</v>
      </c>
      <c r="G468" s="23">
        <f>SUM(G469:G470)+G512+G513+G514+G515+G516</f>
        <v>356</v>
      </c>
      <c r="H468" s="65">
        <f>SUM(H469:H470)+H512+H513+H514+H515+H516</f>
        <v>0</v>
      </c>
      <c r="I468" s="119">
        <f t="shared" si="142"/>
        <v>0</v>
      </c>
      <c r="J468" s="107"/>
      <c r="K468" s="108"/>
      <c r="L468" s="108"/>
      <c r="M468" s="109"/>
    </row>
    <row r="469" spans="1:13" ht="12.75">
      <c r="A469" s="44" t="s">
        <v>45</v>
      </c>
      <c r="B469" s="13">
        <v>110</v>
      </c>
      <c r="C469" s="46">
        <v>113</v>
      </c>
      <c r="D469" s="59">
        <v>129</v>
      </c>
      <c r="E469" s="156">
        <f t="shared" si="141"/>
        <v>114.15929203539822</v>
      </c>
      <c r="F469" s="13">
        <f aca="true" t="shared" si="144" ref="F469:H470">B433-F445</f>
        <v>31</v>
      </c>
      <c r="G469" s="46">
        <f t="shared" si="144"/>
        <v>10</v>
      </c>
      <c r="H469" s="66">
        <f t="shared" si="144"/>
        <v>0</v>
      </c>
      <c r="I469" s="180">
        <f t="shared" si="142"/>
        <v>0</v>
      </c>
      <c r="J469" s="85"/>
      <c r="K469" s="91"/>
      <c r="L469" s="91"/>
      <c r="M469" s="103"/>
    </row>
    <row r="470" spans="1:13" ht="13.5" thickBot="1">
      <c r="A470" s="50" t="s">
        <v>46</v>
      </c>
      <c r="B470" s="16">
        <v>14</v>
      </c>
      <c r="C470" s="15">
        <v>39</v>
      </c>
      <c r="D470" s="63">
        <v>5</v>
      </c>
      <c r="E470" s="158">
        <f t="shared" si="141"/>
        <v>12.82051282051282</v>
      </c>
      <c r="F470" s="16">
        <f t="shared" si="144"/>
        <v>1</v>
      </c>
      <c r="G470" s="15">
        <f t="shared" si="144"/>
        <v>58</v>
      </c>
      <c r="H470" s="17">
        <f t="shared" si="144"/>
        <v>0</v>
      </c>
      <c r="I470" s="158">
        <f t="shared" si="142"/>
        <v>0</v>
      </c>
      <c r="J470" s="85"/>
      <c r="K470" s="91"/>
      <c r="L470" s="91"/>
      <c r="M470" s="103"/>
    </row>
    <row r="471" spans="1:13" ht="15">
      <c r="A471" s="192" t="s">
        <v>91</v>
      </c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</row>
    <row r="472" spans="1:13" ht="13.5" thickBot="1">
      <c r="A472" s="26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</row>
    <row r="473" spans="1:13" ht="24.75" customHeight="1">
      <c r="A473" s="214" t="s">
        <v>1</v>
      </c>
      <c r="B473" s="201" t="s">
        <v>0</v>
      </c>
      <c r="C473" s="202"/>
      <c r="D473" s="202"/>
      <c r="E473" s="203"/>
      <c r="F473" s="204" t="s">
        <v>65</v>
      </c>
      <c r="G473" s="205"/>
      <c r="H473" s="205"/>
      <c r="I473" s="205"/>
      <c r="J473" s="206" t="s">
        <v>77</v>
      </c>
      <c r="K473" s="207"/>
      <c r="L473" s="207"/>
      <c r="M473" s="208"/>
    </row>
    <row r="474" spans="1:13" ht="12.75">
      <c r="A474" s="215"/>
      <c r="B474" s="29" t="s">
        <v>2</v>
      </c>
      <c r="C474" s="30" t="s">
        <v>2</v>
      </c>
      <c r="D474" s="30" t="s">
        <v>3</v>
      </c>
      <c r="E474" s="31" t="s">
        <v>4</v>
      </c>
      <c r="F474" s="29" t="s">
        <v>2</v>
      </c>
      <c r="G474" s="30" t="s">
        <v>2</v>
      </c>
      <c r="H474" s="30" t="s">
        <v>3</v>
      </c>
      <c r="I474" s="31" t="s">
        <v>4</v>
      </c>
      <c r="J474" s="29" t="s">
        <v>2</v>
      </c>
      <c r="K474" s="30" t="s">
        <v>2</v>
      </c>
      <c r="L474" s="30" t="s">
        <v>3</v>
      </c>
      <c r="M474" s="31" t="s">
        <v>4</v>
      </c>
    </row>
    <row r="475" spans="1:13" ht="13.5" thickBot="1">
      <c r="A475" s="216"/>
      <c r="B475" s="32">
        <v>2004</v>
      </c>
      <c r="C475" s="33">
        <v>2005</v>
      </c>
      <c r="D475" s="33">
        <v>2006</v>
      </c>
      <c r="E475" s="34" t="s">
        <v>130</v>
      </c>
      <c r="F475" s="32">
        <v>2004</v>
      </c>
      <c r="G475" s="33">
        <v>2005</v>
      </c>
      <c r="H475" s="33">
        <v>2006</v>
      </c>
      <c r="I475" s="34" t="s">
        <v>130</v>
      </c>
      <c r="J475" s="32">
        <v>2004</v>
      </c>
      <c r="K475" s="33">
        <v>2005</v>
      </c>
      <c r="L475" s="33">
        <v>2006</v>
      </c>
      <c r="M475" s="34" t="s">
        <v>130</v>
      </c>
    </row>
    <row r="476" spans="1:13" ht="12.75">
      <c r="A476" s="6" t="s">
        <v>47</v>
      </c>
      <c r="B476" s="7">
        <v>14262</v>
      </c>
      <c r="C476" s="8">
        <v>15420</v>
      </c>
      <c r="D476" s="8">
        <v>2260</v>
      </c>
      <c r="E476" s="155">
        <f aca="true" t="shared" si="145" ref="E476:E485">IF(C476=0,"0,00",(D476/C476)*100)</f>
        <v>14.656290531776914</v>
      </c>
      <c r="F476" s="9">
        <v>15</v>
      </c>
      <c r="G476" s="10">
        <v>120</v>
      </c>
      <c r="H476" s="8">
        <v>0</v>
      </c>
      <c r="I476" s="178">
        <f aca="true" t="shared" si="146" ref="I476:I485">IF(G476=0,"0,00",(H476/G476)*100)</f>
        <v>0</v>
      </c>
      <c r="J476" s="7">
        <v>12325</v>
      </c>
      <c r="K476" s="8">
        <v>13114</v>
      </c>
      <c r="L476" s="8">
        <v>0</v>
      </c>
      <c r="M476" s="184">
        <f aca="true" t="shared" si="147" ref="M476:M485">IF(K476=0,"0,00",(L476/K476)*100)</f>
        <v>0</v>
      </c>
    </row>
    <row r="477" spans="1:13" ht="12.75">
      <c r="A477" s="6" t="s">
        <v>48</v>
      </c>
      <c r="B477" s="7">
        <v>4566</v>
      </c>
      <c r="C477" s="8">
        <v>5162</v>
      </c>
      <c r="D477" s="8">
        <v>693</v>
      </c>
      <c r="E477" s="155">
        <f t="shared" si="145"/>
        <v>13.425029058504457</v>
      </c>
      <c r="F477" s="9">
        <v>0</v>
      </c>
      <c r="G477" s="10">
        <v>95</v>
      </c>
      <c r="H477" s="8">
        <v>0</v>
      </c>
      <c r="I477" s="178">
        <f t="shared" si="146"/>
        <v>0</v>
      </c>
      <c r="J477" s="7">
        <v>3883</v>
      </c>
      <c r="K477" s="8">
        <v>4414</v>
      </c>
      <c r="L477" s="8">
        <v>0</v>
      </c>
      <c r="M477" s="184">
        <f t="shared" si="147"/>
        <v>0</v>
      </c>
    </row>
    <row r="478" spans="1:13" ht="12.75">
      <c r="A478" s="83" t="s">
        <v>49</v>
      </c>
      <c r="B478" s="7">
        <v>3047</v>
      </c>
      <c r="C478" s="8">
        <v>3428</v>
      </c>
      <c r="D478" s="8">
        <v>440</v>
      </c>
      <c r="E478" s="155">
        <f t="shared" si="145"/>
        <v>12.835472578763127</v>
      </c>
      <c r="F478" s="9">
        <v>0</v>
      </c>
      <c r="G478" s="10">
        <v>144</v>
      </c>
      <c r="H478" s="8">
        <v>0</v>
      </c>
      <c r="I478" s="178">
        <f t="shared" si="146"/>
        <v>0</v>
      </c>
      <c r="J478" s="7">
        <v>2596</v>
      </c>
      <c r="K478" s="8">
        <v>2840</v>
      </c>
      <c r="L478" s="8">
        <v>0</v>
      </c>
      <c r="M478" s="184">
        <f t="shared" si="147"/>
        <v>0</v>
      </c>
    </row>
    <row r="479" spans="1:13" ht="12.75">
      <c r="A479" s="6" t="s">
        <v>50</v>
      </c>
      <c r="B479" s="45">
        <v>7353</v>
      </c>
      <c r="C479" s="46">
        <v>6338</v>
      </c>
      <c r="D479" s="46">
        <v>960</v>
      </c>
      <c r="E479" s="161">
        <f t="shared" si="145"/>
        <v>15.146733985484378</v>
      </c>
      <c r="F479" s="45">
        <v>11</v>
      </c>
      <c r="G479" s="46">
        <v>103</v>
      </c>
      <c r="H479" s="46">
        <v>0</v>
      </c>
      <c r="I479" s="179">
        <f t="shared" si="146"/>
        <v>0</v>
      </c>
      <c r="J479" s="45">
        <v>6195</v>
      </c>
      <c r="K479" s="46">
        <v>5313</v>
      </c>
      <c r="L479" s="46">
        <v>0</v>
      </c>
      <c r="M479" s="186">
        <f t="shared" si="147"/>
        <v>0</v>
      </c>
    </row>
    <row r="480" spans="1:13" ht="13.5" thickBot="1">
      <c r="A480" s="69" t="s">
        <v>116</v>
      </c>
      <c r="B480" s="70">
        <v>9646</v>
      </c>
      <c r="C480" s="18">
        <v>10792</v>
      </c>
      <c r="D480" s="18">
        <v>1752</v>
      </c>
      <c r="E480" s="157">
        <f t="shared" si="145"/>
        <v>16.234247590808007</v>
      </c>
      <c r="F480" s="71">
        <v>0</v>
      </c>
      <c r="G480" s="72">
        <v>73</v>
      </c>
      <c r="H480" s="18">
        <v>0</v>
      </c>
      <c r="I480" s="162">
        <f t="shared" si="146"/>
        <v>0</v>
      </c>
      <c r="J480" s="70">
        <v>7894</v>
      </c>
      <c r="K480" s="18">
        <v>8822</v>
      </c>
      <c r="L480" s="18">
        <v>0</v>
      </c>
      <c r="M480" s="187">
        <f t="shared" si="147"/>
        <v>0</v>
      </c>
    </row>
    <row r="481" spans="1:13" s="139" customFormat="1" ht="13.5" thickBot="1">
      <c r="A481" s="40" t="s">
        <v>51</v>
      </c>
      <c r="B481" s="135">
        <f>SUM(B482:B485)+B527+B528+B529+B530</f>
        <v>41418</v>
      </c>
      <c r="C481" s="136">
        <f>SUM(C482:C485)+C527+C528+C529+C530</f>
        <v>41831</v>
      </c>
      <c r="D481" s="136">
        <f>SUM(D482:D485)+D527+D528+D529+D530</f>
        <v>20339</v>
      </c>
      <c r="E481" s="119">
        <f t="shared" si="145"/>
        <v>48.621835480863474</v>
      </c>
      <c r="F481" s="137">
        <f>SUM(F482:F485)+F527+F528+F529+F530</f>
        <v>6399</v>
      </c>
      <c r="G481" s="138">
        <f>SUM(G482:G485)+G527+G528+G529+G530</f>
        <v>6085</v>
      </c>
      <c r="H481" s="136">
        <f>SUM(H482:H485)+H527+H528+H529+H530</f>
        <v>5069</v>
      </c>
      <c r="I481" s="181">
        <f t="shared" si="146"/>
        <v>83.30320460147904</v>
      </c>
      <c r="J481" s="135">
        <f>SUM(J482:J485)+J527+J528+J529+J530</f>
        <v>21499</v>
      </c>
      <c r="K481" s="136">
        <f>SUM(K482:K485)+K527+K528+K529+K530</f>
        <v>19986</v>
      </c>
      <c r="L481" s="136">
        <f>SUM(L482:L485)+L527+L528+L529+L530</f>
        <v>0</v>
      </c>
      <c r="M481" s="183">
        <f t="shared" si="147"/>
        <v>0</v>
      </c>
    </row>
    <row r="482" spans="1:13" ht="12.75">
      <c r="A482" s="84" t="s">
        <v>117</v>
      </c>
      <c r="B482" s="85">
        <v>5012</v>
      </c>
      <c r="C482" s="86">
        <v>4771</v>
      </c>
      <c r="D482" s="86">
        <v>2196</v>
      </c>
      <c r="E482" s="161">
        <f t="shared" si="145"/>
        <v>46.02808635506183</v>
      </c>
      <c r="F482" s="87">
        <v>526</v>
      </c>
      <c r="G482" s="88">
        <v>478</v>
      </c>
      <c r="H482" s="86">
        <v>376</v>
      </c>
      <c r="I482" s="179">
        <f t="shared" si="146"/>
        <v>78.66108786610879</v>
      </c>
      <c r="J482" s="85">
        <v>2706</v>
      </c>
      <c r="K482" s="86">
        <v>2407</v>
      </c>
      <c r="L482" s="86">
        <v>0</v>
      </c>
      <c r="M482" s="185">
        <f t="shared" si="147"/>
        <v>0</v>
      </c>
    </row>
    <row r="483" spans="1:13" s="122" customFormat="1" ht="12.75">
      <c r="A483" s="6" t="s">
        <v>118</v>
      </c>
      <c r="B483" s="82">
        <v>4749</v>
      </c>
      <c r="C483" s="1">
        <v>5014</v>
      </c>
      <c r="D483" s="1">
        <v>2591</v>
      </c>
      <c r="E483" s="155">
        <f t="shared" si="145"/>
        <v>51.67530913442362</v>
      </c>
      <c r="F483" s="3">
        <v>786</v>
      </c>
      <c r="G483" s="4">
        <v>776</v>
      </c>
      <c r="H483" s="1">
        <v>666</v>
      </c>
      <c r="I483" s="178">
        <f t="shared" si="146"/>
        <v>85.82474226804123</v>
      </c>
      <c r="J483" s="3">
        <v>2253</v>
      </c>
      <c r="K483" s="4">
        <v>2303</v>
      </c>
      <c r="L483" s="1">
        <v>0</v>
      </c>
      <c r="M483" s="184">
        <f t="shared" si="147"/>
        <v>0</v>
      </c>
    </row>
    <row r="484" spans="1:13" ht="12.75">
      <c r="A484" s="44" t="s">
        <v>119</v>
      </c>
      <c r="B484" s="45">
        <v>2889</v>
      </c>
      <c r="C484" s="46">
        <v>2835</v>
      </c>
      <c r="D484" s="46">
        <v>1208</v>
      </c>
      <c r="E484" s="156">
        <f t="shared" si="145"/>
        <v>42.61022927689594</v>
      </c>
      <c r="F484" s="13">
        <v>347</v>
      </c>
      <c r="G484" s="47">
        <v>347</v>
      </c>
      <c r="H484" s="46">
        <v>353</v>
      </c>
      <c r="I484" s="180">
        <f t="shared" si="146"/>
        <v>101.72910662824208</v>
      </c>
      <c r="J484" s="45">
        <v>1654</v>
      </c>
      <c r="K484" s="46">
        <v>1587</v>
      </c>
      <c r="L484" s="46">
        <v>0</v>
      </c>
      <c r="M484" s="186">
        <f t="shared" si="147"/>
        <v>0</v>
      </c>
    </row>
    <row r="485" spans="1:13" ht="13.5" thickBot="1">
      <c r="A485" s="69" t="s">
        <v>52</v>
      </c>
      <c r="B485" s="70">
        <v>1398</v>
      </c>
      <c r="C485" s="18">
        <v>1386</v>
      </c>
      <c r="D485" s="18">
        <v>599</v>
      </c>
      <c r="E485" s="157">
        <f t="shared" si="145"/>
        <v>43.21789321789321</v>
      </c>
      <c r="F485" s="71">
        <v>496</v>
      </c>
      <c r="G485" s="72">
        <v>496</v>
      </c>
      <c r="H485" s="18">
        <v>509</v>
      </c>
      <c r="I485" s="162">
        <f t="shared" si="146"/>
        <v>102.62096774193547</v>
      </c>
      <c r="J485" s="70">
        <v>740</v>
      </c>
      <c r="K485" s="18">
        <v>779</v>
      </c>
      <c r="L485" s="18">
        <v>0</v>
      </c>
      <c r="M485" s="187">
        <f t="shared" si="147"/>
        <v>0</v>
      </c>
    </row>
    <row r="486" spans="1:13" ht="13.5" thickBot="1">
      <c r="A486" s="100"/>
      <c r="B486" s="101"/>
      <c r="C486" s="101"/>
      <c r="D486" s="101"/>
      <c r="E486" s="102"/>
      <c r="F486" s="101"/>
      <c r="G486" s="101"/>
      <c r="H486" s="101"/>
      <c r="I486" s="102"/>
      <c r="J486" s="101"/>
      <c r="K486" s="101"/>
      <c r="L486" s="101"/>
      <c r="M486" s="102"/>
    </row>
    <row r="487" spans="1:13" ht="13.5" thickBot="1">
      <c r="A487" s="40" t="s">
        <v>1</v>
      </c>
      <c r="B487" s="193" t="s">
        <v>66</v>
      </c>
      <c r="C487" s="194"/>
      <c r="D487" s="194"/>
      <c r="E487" s="195"/>
      <c r="F487" s="196" t="s">
        <v>5</v>
      </c>
      <c r="G487" s="197"/>
      <c r="H487" s="197"/>
      <c r="I487" s="198"/>
      <c r="J487" s="193" t="s">
        <v>85</v>
      </c>
      <c r="K487" s="194"/>
      <c r="L487" s="194"/>
      <c r="M487" s="195"/>
    </row>
    <row r="488" spans="1:13" ht="12.75">
      <c r="A488" s="6" t="s">
        <v>47</v>
      </c>
      <c r="B488" s="9">
        <f aca="true" t="shared" si="148" ref="B488:D492">B476-F476-J476</f>
        <v>1922</v>
      </c>
      <c r="C488" s="10">
        <f t="shared" si="148"/>
        <v>2186</v>
      </c>
      <c r="D488" s="8">
        <f t="shared" si="148"/>
        <v>2260</v>
      </c>
      <c r="E488" s="155">
        <f aca="true" t="shared" si="149" ref="E488:E497">IF(C488=0,"0,00",(D488/C488)*100)</f>
        <v>103.38517840805123</v>
      </c>
      <c r="F488" s="9">
        <v>14252</v>
      </c>
      <c r="G488" s="8">
        <v>15203</v>
      </c>
      <c r="H488" s="11">
        <v>2260</v>
      </c>
      <c r="I488" s="155">
        <f aca="true" t="shared" si="150" ref="I488:I497">IF(G488=0,"0,00",(H488/G488)*100)</f>
        <v>14.865487074919423</v>
      </c>
      <c r="J488" s="19">
        <v>725</v>
      </c>
      <c r="K488" s="20">
        <f>800</f>
        <v>800</v>
      </c>
      <c r="L488" s="21">
        <v>800</v>
      </c>
      <c r="M488" s="2">
        <f>IF(K488=0,"0,00",(L488/K488)*100)</f>
        <v>100</v>
      </c>
    </row>
    <row r="489" spans="1:13" ht="12.75">
      <c r="A489" s="6" t="s">
        <v>48</v>
      </c>
      <c r="B489" s="9">
        <f t="shared" si="148"/>
        <v>683</v>
      </c>
      <c r="C489" s="10">
        <f t="shared" si="148"/>
        <v>653</v>
      </c>
      <c r="D489" s="8">
        <f t="shared" si="148"/>
        <v>693</v>
      </c>
      <c r="E489" s="155">
        <f t="shared" si="149"/>
        <v>106.12557427258807</v>
      </c>
      <c r="F489" s="9">
        <v>4566</v>
      </c>
      <c r="G489" s="8">
        <v>5162</v>
      </c>
      <c r="H489" s="11">
        <v>693</v>
      </c>
      <c r="I489" s="155">
        <f t="shared" si="150"/>
        <v>13.425029058504457</v>
      </c>
      <c r="J489" s="19">
        <v>172</v>
      </c>
      <c r="K489" s="20">
        <f>42+137</f>
        <v>179</v>
      </c>
      <c r="L489" s="21">
        <f>40+78</f>
        <v>118</v>
      </c>
      <c r="M489" s="155">
        <f aca="true" t="shared" si="151" ref="M489:M497">IF(K489=0,"0,00",(L489/K489)*100)</f>
        <v>65.92178770949721</v>
      </c>
    </row>
    <row r="490" spans="1:13" ht="12.75">
      <c r="A490" s="83" t="s">
        <v>49</v>
      </c>
      <c r="B490" s="9">
        <f t="shared" si="148"/>
        <v>451</v>
      </c>
      <c r="C490" s="10">
        <f t="shared" si="148"/>
        <v>444</v>
      </c>
      <c r="D490" s="8">
        <f t="shared" si="148"/>
        <v>440</v>
      </c>
      <c r="E490" s="155">
        <f t="shared" si="149"/>
        <v>99.09909909909909</v>
      </c>
      <c r="F490" s="9">
        <v>3037</v>
      </c>
      <c r="G490" s="8">
        <v>3428</v>
      </c>
      <c r="H490" s="11">
        <v>440</v>
      </c>
      <c r="I490" s="155">
        <f t="shared" si="150"/>
        <v>12.835472578763127</v>
      </c>
      <c r="J490" s="19">
        <v>166</v>
      </c>
      <c r="K490" s="20">
        <f>51+72</f>
        <v>123</v>
      </c>
      <c r="L490" s="21">
        <f>50+60</f>
        <v>110</v>
      </c>
      <c r="M490" s="155">
        <f t="shared" si="151"/>
        <v>89.43089430894308</v>
      </c>
    </row>
    <row r="491" spans="1:13" ht="12.75">
      <c r="A491" s="6" t="s">
        <v>50</v>
      </c>
      <c r="B491" s="45">
        <f t="shared" si="148"/>
        <v>1147</v>
      </c>
      <c r="C491" s="46">
        <f t="shared" si="148"/>
        <v>922</v>
      </c>
      <c r="D491" s="46">
        <f t="shared" si="148"/>
        <v>960</v>
      </c>
      <c r="E491" s="161">
        <f t="shared" si="149"/>
        <v>104.12147505422993</v>
      </c>
      <c r="F491" s="9">
        <v>7315</v>
      </c>
      <c r="G491" s="8">
        <v>6267</v>
      </c>
      <c r="H491" s="11">
        <v>960</v>
      </c>
      <c r="I491" s="155">
        <f t="shared" si="150"/>
        <v>15.318334131163237</v>
      </c>
      <c r="J491" s="19">
        <v>376</v>
      </c>
      <c r="K491" s="20">
        <f>227+25</f>
        <v>252</v>
      </c>
      <c r="L491" s="21">
        <f>240</f>
        <v>240</v>
      </c>
      <c r="M491" s="155">
        <f t="shared" si="151"/>
        <v>95.23809523809523</v>
      </c>
    </row>
    <row r="492" spans="1:13" ht="13.5" thickBot="1">
      <c r="A492" s="69" t="s">
        <v>116</v>
      </c>
      <c r="B492" s="71">
        <f t="shared" si="148"/>
        <v>1752</v>
      </c>
      <c r="C492" s="72">
        <f t="shared" si="148"/>
        <v>1897</v>
      </c>
      <c r="D492" s="18">
        <f t="shared" si="148"/>
        <v>1752</v>
      </c>
      <c r="E492" s="157">
        <f t="shared" si="149"/>
        <v>92.35635213494993</v>
      </c>
      <c r="F492" s="71">
        <v>9625</v>
      </c>
      <c r="G492" s="18">
        <v>10792</v>
      </c>
      <c r="H492" s="73">
        <v>1752</v>
      </c>
      <c r="I492" s="157">
        <f t="shared" si="150"/>
        <v>16.234247590808007</v>
      </c>
      <c r="J492" s="74">
        <v>449</v>
      </c>
      <c r="K492" s="75">
        <f>260</f>
        <v>260</v>
      </c>
      <c r="L492" s="76">
        <v>445</v>
      </c>
      <c r="M492" s="157">
        <f t="shared" si="151"/>
        <v>171.15384615384613</v>
      </c>
    </row>
    <row r="493" spans="1:13" s="139" customFormat="1" ht="13.5" thickBot="1">
      <c r="A493" s="40" t="s">
        <v>51</v>
      </c>
      <c r="B493" s="137">
        <f>SUM(B494:B497)+B538+B539+B540+B541</f>
        <v>13520</v>
      </c>
      <c r="C493" s="138">
        <f>SUM(C494:C497)+C538+C539+C540+C541</f>
        <v>15760</v>
      </c>
      <c r="D493" s="136">
        <f>SUM(D494:D497)+D538+D539+D540+D541</f>
        <v>15270</v>
      </c>
      <c r="E493" s="119">
        <f t="shared" si="149"/>
        <v>96.89086294416244</v>
      </c>
      <c r="F493" s="137">
        <f>SUM(F494:F497)+F538+F539+F540+F541</f>
        <v>40825</v>
      </c>
      <c r="G493" s="136">
        <f>SUM(G494:G497)+G538+G539+G540+G541</f>
        <v>41694</v>
      </c>
      <c r="H493" s="140">
        <f>SUM(H494:H497)+H538+H539+H540+H541</f>
        <v>18702</v>
      </c>
      <c r="I493" s="119">
        <f t="shared" si="150"/>
        <v>44.85537487408261</v>
      </c>
      <c r="J493" s="141">
        <f>SUM(J494:J497)+J538+J539+J540+J541</f>
        <v>5117</v>
      </c>
      <c r="K493" s="142">
        <f>SUM(K494:K497)+K538+K539+K540+K541</f>
        <v>5351</v>
      </c>
      <c r="L493" s="143">
        <f>SUM(L494:L497)+L538+L539+L540+L541</f>
        <v>4125</v>
      </c>
      <c r="M493" s="119">
        <f t="shared" si="151"/>
        <v>77.08839469258083</v>
      </c>
    </row>
    <row r="494" spans="1:13" ht="12.75">
      <c r="A494" s="84" t="s">
        <v>117</v>
      </c>
      <c r="B494" s="87">
        <f aca="true" t="shared" si="152" ref="B494:D497">B482-F482-J482</f>
        <v>1780</v>
      </c>
      <c r="C494" s="88">
        <f t="shared" si="152"/>
        <v>1886</v>
      </c>
      <c r="D494" s="86">
        <f t="shared" si="152"/>
        <v>1820</v>
      </c>
      <c r="E494" s="161">
        <f t="shared" si="149"/>
        <v>96.50053022269353</v>
      </c>
      <c r="F494" s="87">
        <v>4999</v>
      </c>
      <c r="G494" s="86">
        <v>4711</v>
      </c>
      <c r="H494" s="91">
        <v>2196</v>
      </c>
      <c r="I494" s="161">
        <f t="shared" si="150"/>
        <v>46.61430694120144</v>
      </c>
      <c r="J494" s="92">
        <v>557</v>
      </c>
      <c r="K494" s="93">
        <f>579+30</f>
        <v>609</v>
      </c>
      <c r="L494" s="94">
        <f>590</f>
        <v>590</v>
      </c>
      <c r="M494" s="161">
        <f t="shared" si="151"/>
        <v>96.88013136288998</v>
      </c>
    </row>
    <row r="495" spans="1:13" s="122" customFormat="1" ht="12.75">
      <c r="A495" s="6" t="s">
        <v>118</v>
      </c>
      <c r="B495" s="3">
        <f t="shared" si="152"/>
        <v>1710</v>
      </c>
      <c r="C495" s="4">
        <f t="shared" si="152"/>
        <v>1935</v>
      </c>
      <c r="D495" s="1">
        <f t="shared" si="152"/>
        <v>1925</v>
      </c>
      <c r="E495" s="155">
        <f t="shared" si="149"/>
        <v>99.48320413436691</v>
      </c>
      <c r="F495" s="3">
        <v>4739</v>
      </c>
      <c r="G495" s="1">
        <v>5008</v>
      </c>
      <c r="H495" s="120">
        <v>2591</v>
      </c>
      <c r="I495" s="155">
        <f t="shared" si="150"/>
        <v>51.73722044728435</v>
      </c>
      <c r="J495" s="3">
        <v>426</v>
      </c>
      <c r="K495" s="1">
        <f>377</f>
        <v>377</v>
      </c>
      <c r="L495" s="120">
        <v>400</v>
      </c>
      <c r="M495" s="155">
        <f t="shared" si="151"/>
        <v>106.10079575596818</v>
      </c>
    </row>
    <row r="496" spans="1:13" ht="12.75">
      <c r="A496" s="44" t="s">
        <v>119</v>
      </c>
      <c r="B496" s="13">
        <f t="shared" si="152"/>
        <v>888</v>
      </c>
      <c r="C496" s="47">
        <f t="shared" si="152"/>
        <v>901</v>
      </c>
      <c r="D496" s="46">
        <f t="shared" si="152"/>
        <v>855</v>
      </c>
      <c r="E496" s="156">
        <f t="shared" si="149"/>
        <v>94.89456159822419</v>
      </c>
      <c r="F496" s="13">
        <v>2780</v>
      </c>
      <c r="G496" s="46">
        <v>2803</v>
      </c>
      <c r="H496" s="59">
        <v>1171</v>
      </c>
      <c r="I496" s="156">
        <f t="shared" si="150"/>
        <v>41.77666785586871</v>
      </c>
      <c r="J496" s="60">
        <v>306</v>
      </c>
      <c r="K496" s="61">
        <f>255</f>
        <v>255</v>
      </c>
      <c r="L496" s="62">
        <v>265</v>
      </c>
      <c r="M496" s="156">
        <f t="shared" si="151"/>
        <v>103.921568627451</v>
      </c>
    </row>
    <row r="497" spans="1:13" ht="13.5" thickBot="1">
      <c r="A497" s="69" t="s">
        <v>52</v>
      </c>
      <c r="B497" s="71">
        <f t="shared" si="152"/>
        <v>162</v>
      </c>
      <c r="C497" s="72">
        <f t="shared" si="152"/>
        <v>111</v>
      </c>
      <c r="D497" s="18">
        <f t="shared" si="152"/>
        <v>90</v>
      </c>
      <c r="E497" s="157">
        <f t="shared" si="149"/>
        <v>81.08108108108108</v>
      </c>
      <c r="F497" s="71">
        <v>1355</v>
      </c>
      <c r="G497" s="18">
        <v>1380</v>
      </c>
      <c r="H497" s="73">
        <v>599</v>
      </c>
      <c r="I497" s="157">
        <f t="shared" si="150"/>
        <v>43.405797101449274</v>
      </c>
      <c r="J497" s="74">
        <v>41</v>
      </c>
      <c r="K497" s="75">
        <f>76+1</f>
        <v>77</v>
      </c>
      <c r="L497" s="76">
        <f>44</f>
        <v>44</v>
      </c>
      <c r="M497" s="157">
        <f t="shared" si="151"/>
        <v>57.14285714285714</v>
      </c>
    </row>
    <row r="498" spans="1:13" ht="13.5" thickBot="1">
      <c r="A498" s="100"/>
      <c r="B498" s="101"/>
      <c r="C498" s="101"/>
      <c r="D498" s="101"/>
      <c r="E498" s="102"/>
      <c r="F498" s="101"/>
      <c r="G498" s="101"/>
      <c r="H498" s="101"/>
      <c r="I498" s="102"/>
      <c r="J498" s="104"/>
      <c r="K498" s="104"/>
      <c r="L498" s="104"/>
      <c r="M498" s="102"/>
    </row>
    <row r="499" spans="1:13" ht="13.5" thickBot="1">
      <c r="A499" s="77" t="s">
        <v>1</v>
      </c>
      <c r="B499" s="193" t="s">
        <v>86</v>
      </c>
      <c r="C499" s="194"/>
      <c r="D499" s="194"/>
      <c r="E499" s="195"/>
      <c r="F499" s="193" t="s">
        <v>6</v>
      </c>
      <c r="G499" s="194"/>
      <c r="H499" s="194"/>
      <c r="I499" s="195"/>
      <c r="J499" s="196" t="s">
        <v>87</v>
      </c>
      <c r="K499" s="197"/>
      <c r="L499" s="197"/>
      <c r="M499" s="198"/>
    </row>
    <row r="500" spans="1:13" ht="12.75">
      <c r="A500" s="6" t="s">
        <v>47</v>
      </c>
      <c r="B500" s="9">
        <v>393</v>
      </c>
      <c r="C500" s="8">
        <v>410</v>
      </c>
      <c r="D500" s="11">
        <v>450</v>
      </c>
      <c r="E500" s="155">
        <f aca="true" t="shared" si="153" ref="E500:E509">IF(C500=0,"0,00",(D500/C500)*100)</f>
        <v>109.75609756097562</v>
      </c>
      <c r="F500" s="9">
        <v>386</v>
      </c>
      <c r="G500" s="8">
        <v>236</v>
      </c>
      <c r="H500" s="14">
        <v>400</v>
      </c>
      <c r="I500" s="178">
        <f aca="true" t="shared" si="154" ref="I500:I509">IF(G500=0,"0,00",(H500/G500)*100)</f>
        <v>169.4915254237288</v>
      </c>
      <c r="J500" s="9">
        <v>8905</v>
      </c>
      <c r="K500" s="8">
        <v>9571</v>
      </c>
      <c r="L500" s="8">
        <v>0</v>
      </c>
      <c r="M500" s="155">
        <f aca="true" t="shared" si="155" ref="M500:M509">IF(K500=0,"0,00",(L500/K500)*100)</f>
        <v>0</v>
      </c>
    </row>
    <row r="501" spans="1:13" ht="12.75">
      <c r="A501" s="6" t="s">
        <v>48</v>
      </c>
      <c r="B501" s="9">
        <v>78</v>
      </c>
      <c r="C501" s="8">
        <v>64</v>
      </c>
      <c r="D501" s="11">
        <v>88</v>
      </c>
      <c r="E501" s="155">
        <f t="shared" si="153"/>
        <v>137.5</v>
      </c>
      <c r="F501" s="9">
        <v>79</v>
      </c>
      <c r="G501" s="8">
        <v>164</v>
      </c>
      <c r="H501" s="14">
        <v>85</v>
      </c>
      <c r="I501" s="178">
        <f t="shared" si="154"/>
        <v>51.829268292682926</v>
      </c>
      <c r="J501" s="9">
        <v>2835</v>
      </c>
      <c r="K501" s="8">
        <v>3222</v>
      </c>
      <c r="L501" s="8">
        <v>0</v>
      </c>
      <c r="M501" s="155">
        <f t="shared" si="155"/>
        <v>0</v>
      </c>
    </row>
    <row r="502" spans="1:13" ht="12.75">
      <c r="A502" s="83" t="s">
        <v>49</v>
      </c>
      <c r="B502" s="9">
        <v>61</v>
      </c>
      <c r="C502" s="8">
        <v>71</v>
      </c>
      <c r="D502" s="11">
        <v>70</v>
      </c>
      <c r="E502" s="155">
        <f t="shared" si="153"/>
        <v>98.59154929577466</v>
      </c>
      <c r="F502" s="9">
        <v>38</v>
      </c>
      <c r="G502" s="8">
        <v>194</v>
      </c>
      <c r="H502" s="14">
        <v>20</v>
      </c>
      <c r="I502" s="178">
        <f t="shared" si="154"/>
        <v>10.309278350515463</v>
      </c>
      <c r="J502" s="9">
        <v>1889</v>
      </c>
      <c r="K502" s="8">
        <v>2055</v>
      </c>
      <c r="L502" s="8">
        <v>0</v>
      </c>
      <c r="M502" s="155">
        <f t="shared" si="155"/>
        <v>0</v>
      </c>
    </row>
    <row r="503" spans="1:13" ht="12.75">
      <c r="A503" s="6" t="s">
        <v>50</v>
      </c>
      <c r="B503" s="9">
        <v>142</v>
      </c>
      <c r="C503" s="8">
        <v>164</v>
      </c>
      <c r="D503" s="11">
        <v>170</v>
      </c>
      <c r="E503" s="155">
        <f t="shared" si="153"/>
        <v>103.65853658536585</v>
      </c>
      <c r="F503" s="9">
        <v>22</v>
      </c>
      <c r="G503" s="8">
        <v>22</v>
      </c>
      <c r="H503" s="14">
        <v>40</v>
      </c>
      <c r="I503" s="178">
        <f t="shared" si="154"/>
        <v>181.8181818181818</v>
      </c>
      <c r="J503" s="9">
        <v>4509</v>
      </c>
      <c r="K503" s="8">
        <v>3862</v>
      </c>
      <c r="L503" s="8">
        <v>0</v>
      </c>
      <c r="M503" s="155">
        <f t="shared" si="155"/>
        <v>0</v>
      </c>
    </row>
    <row r="504" spans="1:13" ht="13.5" thickBot="1">
      <c r="A504" s="69" t="s">
        <v>116</v>
      </c>
      <c r="B504" s="71">
        <v>403</v>
      </c>
      <c r="C504" s="18">
        <v>406</v>
      </c>
      <c r="D504" s="73">
        <v>420</v>
      </c>
      <c r="E504" s="157">
        <f t="shared" si="153"/>
        <v>103.44827586206897</v>
      </c>
      <c r="F504" s="71">
        <v>262</v>
      </c>
      <c r="G504" s="18">
        <v>342</v>
      </c>
      <c r="H504" s="22">
        <v>230</v>
      </c>
      <c r="I504" s="162">
        <f t="shared" si="154"/>
        <v>67.2514619883041</v>
      </c>
      <c r="J504" s="71">
        <v>5751</v>
      </c>
      <c r="K504" s="18">
        <v>6440</v>
      </c>
      <c r="L504" s="18">
        <v>0</v>
      </c>
      <c r="M504" s="157">
        <f t="shared" si="155"/>
        <v>0</v>
      </c>
    </row>
    <row r="505" spans="1:13" s="139" customFormat="1" ht="13.5" thickBot="1">
      <c r="A505" s="40" t="s">
        <v>51</v>
      </c>
      <c r="B505" s="137">
        <f>SUM(B506:B509)+B549+B550+B551+B552</f>
        <v>2612</v>
      </c>
      <c r="C505" s="136">
        <f>SUM(C506:C509)+C549+C550+C551+C552</f>
        <v>2908</v>
      </c>
      <c r="D505" s="140">
        <f>SUM(D506:D509)+D549+D550+D551+D552</f>
        <v>3132</v>
      </c>
      <c r="E505" s="119">
        <f t="shared" si="153"/>
        <v>107.70288858321871</v>
      </c>
      <c r="F505" s="137">
        <f>SUM(F506:F509)+F549+F550+F551+F552</f>
        <v>967</v>
      </c>
      <c r="G505" s="136">
        <f>SUM(G506:G509)+G549+G550+G551+G552</f>
        <v>1338</v>
      </c>
      <c r="H505" s="144">
        <f>SUM(H506:H509)+H549+H550+H551+H552</f>
        <v>685</v>
      </c>
      <c r="I505" s="181">
        <f t="shared" si="154"/>
        <v>51.195814648729446</v>
      </c>
      <c r="J505" s="137">
        <f>SUM(J506:J509)+J549+J550+J551+J552</f>
        <v>16211</v>
      </c>
      <c r="K505" s="136">
        <f>SUM(K506:K509)+K549+K550+K551+K552</f>
        <v>15843</v>
      </c>
      <c r="L505" s="136">
        <f>SUM(L506:L509)+L549+L550+L551+L552</f>
        <v>679</v>
      </c>
      <c r="M505" s="119">
        <f t="shared" si="155"/>
        <v>4.285804456226725</v>
      </c>
    </row>
    <row r="506" spans="1:13" ht="12.75">
      <c r="A506" s="84" t="s">
        <v>117</v>
      </c>
      <c r="B506" s="87">
        <v>192</v>
      </c>
      <c r="C506" s="86">
        <v>174</v>
      </c>
      <c r="D506" s="91">
        <v>120</v>
      </c>
      <c r="E506" s="161">
        <f t="shared" si="153"/>
        <v>68.96551724137932</v>
      </c>
      <c r="F506" s="87">
        <v>104</v>
      </c>
      <c r="G506" s="86">
        <v>248</v>
      </c>
      <c r="H506" s="78">
        <v>190</v>
      </c>
      <c r="I506" s="179">
        <f t="shared" si="154"/>
        <v>76.61290322580645</v>
      </c>
      <c r="J506" s="87">
        <v>2063</v>
      </c>
      <c r="K506" s="86">
        <v>1924</v>
      </c>
      <c r="L506" s="86">
        <v>256</v>
      </c>
      <c r="M506" s="161">
        <f t="shared" si="155"/>
        <v>13.305613305613306</v>
      </c>
    </row>
    <row r="507" spans="1:13" s="122" customFormat="1" ht="12.75">
      <c r="A507" s="6" t="s">
        <v>118</v>
      </c>
      <c r="B507" s="3">
        <v>334</v>
      </c>
      <c r="C507" s="1">
        <v>335</v>
      </c>
      <c r="D507" s="120">
        <v>400</v>
      </c>
      <c r="E507" s="155">
        <f t="shared" si="153"/>
        <v>119.40298507462686</v>
      </c>
      <c r="F507" s="3">
        <v>26</v>
      </c>
      <c r="G507" s="1">
        <v>8</v>
      </c>
      <c r="H507" s="121">
        <v>30</v>
      </c>
      <c r="I507" s="178">
        <f t="shared" si="154"/>
        <v>375</v>
      </c>
      <c r="J507" s="3">
        <v>1751</v>
      </c>
      <c r="K507" s="1">
        <v>1853</v>
      </c>
      <c r="L507" s="121">
        <v>68</v>
      </c>
      <c r="M507" s="155">
        <f t="shared" si="155"/>
        <v>3.669724770642202</v>
      </c>
    </row>
    <row r="508" spans="1:13" ht="12.75">
      <c r="A508" s="44" t="s">
        <v>119</v>
      </c>
      <c r="B508" s="13">
        <v>127</v>
      </c>
      <c r="C508" s="46">
        <v>96</v>
      </c>
      <c r="D508" s="59">
        <v>116</v>
      </c>
      <c r="E508" s="156">
        <f t="shared" si="153"/>
        <v>120.83333333333333</v>
      </c>
      <c r="F508" s="13">
        <v>14</v>
      </c>
      <c r="G508" s="46">
        <v>31</v>
      </c>
      <c r="H508" s="66">
        <v>40</v>
      </c>
      <c r="I508" s="180">
        <f t="shared" si="154"/>
        <v>129.03225806451613</v>
      </c>
      <c r="J508" s="13">
        <v>1273</v>
      </c>
      <c r="K508" s="46">
        <v>1229</v>
      </c>
      <c r="L508" s="46">
        <v>0</v>
      </c>
      <c r="M508" s="156">
        <f t="shared" si="155"/>
        <v>0</v>
      </c>
    </row>
    <row r="509" spans="1:13" ht="13.5" thickBot="1">
      <c r="A509" s="69" t="s">
        <v>52</v>
      </c>
      <c r="B509" s="71">
        <v>95</v>
      </c>
      <c r="C509" s="18">
        <v>95</v>
      </c>
      <c r="D509" s="73">
        <v>110</v>
      </c>
      <c r="E509" s="157">
        <f t="shared" si="153"/>
        <v>115.78947368421053</v>
      </c>
      <c r="F509" s="71">
        <v>52</v>
      </c>
      <c r="G509" s="18">
        <v>21</v>
      </c>
      <c r="H509" s="22">
        <v>15</v>
      </c>
      <c r="I509" s="162">
        <f t="shared" si="154"/>
        <v>71.42857142857143</v>
      </c>
      <c r="J509" s="71">
        <v>538</v>
      </c>
      <c r="K509" s="18">
        <v>580</v>
      </c>
      <c r="L509" s="18">
        <v>0</v>
      </c>
      <c r="M509" s="157">
        <f t="shared" si="155"/>
        <v>0</v>
      </c>
    </row>
    <row r="510" spans="1:13" ht="13.5" thickBot="1">
      <c r="A510" s="100"/>
      <c r="B510" s="101"/>
      <c r="C510" s="101"/>
      <c r="D510" s="101"/>
      <c r="E510" s="102"/>
      <c r="F510" s="101"/>
      <c r="G510" s="101"/>
      <c r="H510" s="101"/>
      <c r="I510" s="102"/>
      <c r="J510" s="101"/>
      <c r="K510" s="101"/>
      <c r="L510" s="101"/>
      <c r="M510" s="102"/>
    </row>
    <row r="511" spans="1:13" ht="13.5" thickBot="1">
      <c r="A511" s="77" t="s">
        <v>1</v>
      </c>
      <c r="B511" s="193" t="s">
        <v>7</v>
      </c>
      <c r="C511" s="194"/>
      <c r="D511" s="194"/>
      <c r="E511" s="195"/>
      <c r="F511" s="196" t="s">
        <v>8</v>
      </c>
      <c r="G511" s="197"/>
      <c r="H511" s="197"/>
      <c r="I511" s="198"/>
      <c r="J511" s="199"/>
      <c r="K511" s="200"/>
      <c r="L511" s="200"/>
      <c r="M511" s="200"/>
    </row>
    <row r="512" spans="1:13" ht="12.75">
      <c r="A512" s="6" t="s">
        <v>47</v>
      </c>
      <c r="B512" s="9">
        <v>84</v>
      </c>
      <c r="C512" s="8">
        <v>90</v>
      </c>
      <c r="D512" s="11">
        <v>105</v>
      </c>
      <c r="E512" s="155">
        <f aca="true" t="shared" si="156" ref="E512:E521">IF(C512=0,"0,00",(D512/C512)*100)</f>
        <v>116.66666666666667</v>
      </c>
      <c r="F512" s="9">
        <f aca="true" t="shared" si="157" ref="F512:H516">B476-F488</f>
        <v>10</v>
      </c>
      <c r="G512" s="8">
        <f t="shared" si="157"/>
        <v>217</v>
      </c>
      <c r="H512" s="14">
        <f t="shared" si="157"/>
        <v>0</v>
      </c>
      <c r="I512" s="178">
        <f aca="true" t="shared" si="158" ref="I512:I521">IF(G512=0,"0,00",(H512/G512)*100)</f>
        <v>0</v>
      </c>
      <c r="J512" s="105"/>
      <c r="K512" s="106"/>
      <c r="L512" s="106"/>
      <c r="M512" s="106"/>
    </row>
    <row r="513" spans="1:13" ht="12.75">
      <c r="A513" s="6" t="s">
        <v>48</v>
      </c>
      <c r="B513" s="9">
        <v>12</v>
      </c>
      <c r="C513" s="8">
        <v>12</v>
      </c>
      <c r="D513" s="11">
        <v>25</v>
      </c>
      <c r="E513" s="155">
        <f t="shared" si="156"/>
        <v>208.33333333333334</v>
      </c>
      <c r="F513" s="9">
        <f t="shared" si="157"/>
        <v>0</v>
      </c>
      <c r="G513" s="8">
        <f t="shared" si="157"/>
        <v>0</v>
      </c>
      <c r="H513" s="14">
        <f t="shared" si="157"/>
        <v>0</v>
      </c>
      <c r="I513" s="178" t="str">
        <f t="shared" si="158"/>
        <v>0,00</v>
      </c>
      <c r="J513" s="105"/>
      <c r="K513" s="106"/>
      <c r="L513" s="106"/>
      <c r="M513" s="106"/>
    </row>
    <row r="514" spans="1:13" ht="12.75">
      <c r="A514" s="83" t="s">
        <v>49</v>
      </c>
      <c r="B514" s="9">
        <v>0</v>
      </c>
      <c r="C514" s="8">
        <v>0</v>
      </c>
      <c r="D514" s="11">
        <v>0</v>
      </c>
      <c r="E514" s="155" t="str">
        <f t="shared" si="156"/>
        <v>0,00</v>
      </c>
      <c r="F514" s="9">
        <f t="shared" si="157"/>
        <v>10</v>
      </c>
      <c r="G514" s="8">
        <f t="shared" si="157"/>
        <v>0</v>
      </c>
      <c r="H514" s="14">
        <f t="shared" si="157"/>
        <v>0</v>
      </c>
      <c r="I514" s="178" t="str">
        <f t="shared" si="158"/>
        <v>0,00</v>
      </c>
      <c r="J514" s="105"/>
      <c r="K514" s="106"/>
      <c r="L514" s="106"/>
      <c r="M514" s="106"/>
    </row>
    <row r="515" spans="1:13" ht="12.75">
      <c r="A515" s="6" t="s">
        <v>50</v>
      </c>
      <c r="B515" s="9">
        <v>4</v>
      </c>
      <c r="C515" s="8">
        <v>4</v>
      </c>
      <c r="D515" s="11">
        <v>4</v>
      </c>
      <c r="E515" s="155">
        <f t="shared" si="156"/>
        <v>100</v>
      </c>
      <c r="F515" s="9">
        <f t="shared" si="157"/>
        <v>38</v>
      </c>
      <c r="G515" s="8">
        <f t="shared" si="157"/>
        <v>71</v>
      </c>
      <c r="H515" s="14">
        <f t="shared" si="157"/>
        <v>0</v>
      </c>
      <c r="I515" s="178">
        <f t="shared" si="158"/>
        <v>0</v>
      </c>
      <c r="J515" s="85"/>
      <c r="K515" s="91"/>
      <c r="L515" s="91"/>
      <c r="M515" s="103"/>
    </row>
    <row r="516" spans="1:13" ht="13.5" thickBot="1">
      <c r="A516" s="69" t="s">
        <v>116</v>
      </c>
      <c r="B516" s="71">
        <v>6</v>
      </c>
      <c r="C516" s="18">
        <v>6</v>
      </c>
      <c r="D516" s="73">
        <v>6</v>
      </c>
      <c r="E516" s="157">
        <f t="shared" si="156"/>
        <v>100</v>
      </c>
      <c r="F516" s="71">
        <f t="shared" si="157"/>
        <v>21</v>
      </c>
      <c r="G516" s="18">
        <f t="shared" si="157"/>
        <v>0</v>
      </c>
      <c r="H516" s="22">
        <f t="shared" si="157"/>
        <v>0</v>
      </c>
      <c r="I516" s="162" t="str">
        <f t="shared" si="158"/>
        <v>0,00</v>
      </c>
      <c r="J516" s="85"/>
      <c r="K516" s="91"/>
      <c r="L516" s="91"/>
      <c r="M516" s="103"/>
    </row>
    <row r="517" spans="1:13" s="139" customFormat="1" ht="13.5" thickBot="1">
      <c r="A517" s="40" t="s">
        <v>51</v>
      </c>
      <c r="B517" s="137">
        <f>SUM(B518:B521)+B560+B561+B562+B563</f>
        <v>781</v>
      </c>
      <c r="C517" s="136">
        <f>SUM(C518:C521)+C560+C561+C562+C563</f>
        <v>895</v>
      </c>
      <c r="D517" s="140">
        <f>SUM(D518:D521)+D560+D561+D562+D563</f>
        <v>759</v>
      </c>
      <c r="E517" s="119">
        <f t="shared" si="156"/>
        <v>84.80446927374302</v>
      </c>
      <c r="F517" s="137">
        <f>SUM(F518:F521)+F560+F561+F562+F563</f>
        <v>593</v>
      </c>
      <c r="G517" s="136">
        <f>SUM(G518:G521)+G560+G561+G562+G563</f>
        <v>137</v>
      </c>
      <c r="H517" s="144">
        <f>SUM(H518:H521)+H560+H561+H562+H563</f>
        <v>1637</v>
      </c>
      <c r="I517" s="119">
        <f t="shared" si="158"/>
        <v>1194.890510948905</v>
      </c>
      <c r="J517" s="145"/>
      <c r="K517" s="146"/>
      <c r="L517" s="146"/>
      <c r="M517" s="109"/>
    </row>
    <row r="518" spans="1:13" ht="12.75">
      <c r="A518" s="84" t="s">
        <v>117</v>
      </c>
      <c r="B518" s="87">
        <v>49</v>
      </c>
      <c r="C518" s="86">
        <v>45</v>
      </c>
      <c r="D518" s="91">
        <v>45</v>
      </c>
      <c r="E518" s="161">
        <f t="shared" si="156"/>
        <v>100</v>
      </c>
      <c r="F518" s="87">
        <f aca="true" t="shared" si="159" ref="F518:H521">B482-F494</f>
        <v>13</v>
      </c>
      <c r="G518" s="86">
        <f t="shared" si="159"/>
        <v>60</v>
      </c>
      <c r="H518" s="78">
        <f t="shared" si="159"/>
        <v>0</v>
      </c>
      <c r="I518" s="179">
        <f t="shared" si="158"/>
        <v>0</v>
      </c>
      <c r="J518" s="85"/>
      <c r="K518" s="91"/>
      <c r="L518" s="91"/>
      <c r="M518" s="103"/>
    </row>
    <row r="519" spans="1:13" s="122" customFormat="1" ht="12.75">
      <c r="A519" s="6" t="s">
        <v>118</v>
      </c>
      <c r="B519" s="3">
        <v>7</v>
      </c>
      <c r="C519" s="1">
        <v>7</v>
      </c>
      <c r="D519" s="120">
        <v>7</v>
      </c>
      <c r="E519" s="155">
        <f t="shared" si="156"/>
        <v>100</v>
      </c>
      <c r="F519" s="3">
        <f t="shared" si="159"/>
        <v>10</v>
      </c>
      <c r="G519" s="1">
        <f t="shared" si="159"/>
        <v>6</v>
      </c>
      <c r="H519" s="121">
        <f t="shared" si="159"/>
        <v>0</v>
      </c>
      <c r="I519" s="155">
        <f t="shared" si="158"/>
        <v>0</v>
      </c>
      <c r="J519" s="98"/>
      <c r="K519" s="89"/>
      <c r="L519" s="89"/>
      <c r="M519" s="103"/>
    </row>
    <row r="520" spans="1:13" ht="12.75">
      <c r="A520" s="44" t="s">
        <v>119</v>
      </c>
      <c r="B520" s="13">
        <v>52</v>
      </c>
      <c r="C520" s="46">
        <v>59</v>
      </c>
      <c r="D520" s="59">
        <v>59</v>
      </c>
      <c r="E520" s="156">
        <f t="shared" si="156"/>
        <v>100</v>
      </c>
      <c r="F520" s="13">
        <f t="shared" si="159"/>
        <v>109</v>
      </c>
      <c r="G520" s="46">
        <f t="shared" si="159"/>
        <v>32</v>
      </c>
      <c r="H520" s="66">
        <f t="shared" si="159"/>
        <v>37</v>
      </c>
      <c r="I520" s="180">
        <f t="shared" si="158"/>
        <v>115.625</v>
      </c>
      <c r="J520" s="85"/>
      <c r="K520" s="91"/>
      <c r="L520" s="91"/>
      <c r="M520" s="103"/>
    </row>
    <row r="521" spans="1:13" ht="13.5" thickBot="1">
      <c r="A521" s="134" t="s">
        <v>52</v>
      </c>
      <c r="B521" s="16">
        <v>0</v>
      </c>
      <c r="C521" s="15">
        <v>0</v>
      </c>
      <c r="D521" s="63">
        <v>0</v>
      </c>
      <c r="E521" s="158" t="str">
        <f t="shared" si="156"/>
        <v>0,00</v>
      </c>
      <c r="F521" s="16">
        <f t="shared" si="159"/>
        <v>43</v>
      </c>
      <c r="G521" s="15">
        <f t="shared" si="159"/>
        <v>6</v>
      </c>
      <c r="H521" s="17">
        <f t="shared" si="159"/>
        <v>0</v>
      </c>
      <c r="I521" s="158">
        <f t="shared" si="158"/>
        <v>0</v>
      </c>
      <c r="J521" s="85"/>
      <c r="K521" s="91"/>
      <c r="L521" s="91"/>
      <c r="M521" s="103"/>
    </row>
    <row r="522" spans="1:13" ht="15">
      <c r="A522" s="192" t="s">
        <v>91</v>
      </c>
      <c r="B522" s="192"/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192"/>
    </row>
    <row r="523" spans="1:13" ht="13.5" thickBot="1">
      <c r="A523" s="26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</row>
    <row r="524" spans="1:13" ht="26.25" customHeight="1">
      <c r="A524" s="214" t="s">
        <v>1</v>
      </c>
      <c r="B524" s="201" t="s">
        <v>0</v>
      </c>
      <c r="C524" s="202"/>
      <c r="D524" s="202"/>
      <c r="E524" s="203"/>
      <c r="F524" s="204" t="s">
        <v>65</v>
      </c>
      <c r="G524" s="205"/>
      <c r="H524" s="205"/>
      <c r="I524" s="205"/>
      <c r="J524" s="206" t="s">
        <v>77</v>
      </c>
      <c r="K524" s="207"/>
      <c r="L524" s="207"/>
      <c r="M524" s="208"/>
    </row>
    <row r="525" spans="1:13" ht="12.75">
      <c r="A525" s="215"/>
      <c r="B525" s="29" t="s">
        <v>2</v>
      </c>
      <c r="C525" s="30" t="s">
        <v>2</v>
      </c>
      <c r="D525" s="30" t="s">
        <v>3</v>
      </c>
      <c r="E525" s="31" t="s">
        <v>4</v>
      </c>
      <c r="F525" s="29" t="s">
        <v>2</v>
      </c>
      <c r="G525" s="30" t="s">
        <v>2</v>
      </c>
      <c r="H525" s="30" t="s">
        <v>3</v>
      </c>
      <c r="I525" s="31" t="s">
        <v>4</v>
      </c>
      <c r="J525" s="29" t="s">
        <v>2</v>
      </c>
      <c r="K525" s="30" t="s">
        <v>2</v>
      </c>
      <c r="L525" s="30" t="s">
        <v>3</v>
      </c>
      <c r="M525" s="31" t="s">
        <v>4</v>
      </c>
    </row>
    <row r="526" spans="1:13" ht="13.5" thickBot="1">
      <c r="A526" s="216"/>
      <c r="B526" s="32">
        <v>2004</v>
      </c>
      <c r="C526" s="33">
        <v>2005</v>
      </c>
      <c r="D526" s="33">
        <v>2006</v>
      </c>
      <c r="E526" s="34" t="s">
        <v>130</v>
      </c>
      <c r="F526" s="32">
        <v>2004</v>
      </c>
      <c r="G526" s="33">
        <v>2005</v>
      </c>
      <c r="H526" s="33">
        <v>2006</v>
      </c>
      <c r="I526" s="34" t="s">
        <v>130</v>
      </c>
      <c r="J526" s="32">
        <v>2004</v>
      </c>
      <c r="K526" s="33">
        <v>2005</v>
      </c>
      <c r="L526" s="33">
        <v>2006</v>
      </c>
      <c r="M526" s="34" t="s">
        <v>130</v>
      </c>
    </row>
    <row r="527" spans="1:13" ht="12.75">
      <c r="A527" s="6" t="s">
        <v>53</v>
      </c>
      <c r="B527" s="7">
        <v>7176</v>
      </c>
      <c r="C527" s="8">
        <v>7151</v>
      </c>
      <c r="D527" s="8">
        <v>3023</v>
      </c>
      <c r="E527" s="155">
        <f aca="true" t="shared" si="160" ref="E527:E535">IF(C527=0,"0,00",(D527/C527)*100)</f>
        <v>42.273807859040694</v>
      </c>
      <c r="F527" s="9">
        <v>1484</v>
      </c>
      <c r="G527" s="10">
        <v>1401</v>
      </c>
      <c r="H527" s="8">
        <v>1090</v>
      </c>
      <c r="I527" s="178">
        <f aca="true" t="shared" si="161" ref="I527:I535">IF(G527=0,"0,00",(H527/G527)*100)</f>
        <v>77.80157030692362</v>
      </c>
      <c r="J527" s="7">
        <v>3828</v>
      </c>
      <c r="K527" s="8">
        <v>3781</v>
      </c>
      <c r="L527" s="8">
        <v>0</v>
      </c>
      <c r="M527" s="184">
        <f aca="true" t="shared" si="162" ref="M527:M535">IF(K527=0,"0,00",(L527/K527)*100)</f>
        <v>0</v>
      </c>
    </row>
    <row r="528" spans="1:13" ht="12.75">
      <c r="A528" s="44" t="s">
        <v>120</v>
      </c>
      <c r="B528" s="7">
        <v>6546</v>
      </c>
      <c r="C528" s="8">
        <v>5624</v>
      </c>
      <c r="D528" s="8">
        <v>2799</v>
      </c>
      <c r="E528" s="155">
        <f t="shared" si="160"/>
        <v>49.76884779516359</v>
      </c>
      <c r="F528" s="9">
        <v>1058</v>
      </c>
      <c r="G528" s="10">
        <v>960</v>
      </c>
      <c r="H528" s="8">
        <v>799</v>
      </c>
      <c r="I528" s="178">
        <f t="shared" si="161"/>
        <v>83.22916666666667</v>
      </c>
      <c r="J528" s="7">
        <v>3370</v>
      </c>
      <c r="K528" s="8">
        <v>2857</v>
      </c>
      <c r="L528" s="8">
        <v>0</v>
      </c>
      <c r="M528" s="184">
        <f t="shared" si="162"/>
        <v>0</v>
      </c>
    </row>
    <row r="529" spans="1:13" ht="12.75">
      <c r="A529" s="6" t="s">
        <v>54</v>
      </c>
      <c r="B529" s="7">
        <v>2568</v>
      </c>
      <c r="C529" s="8">
        <v>2317</v>
      </c>
      <c r="D529" s="8">
        <v>893</v>
      </c>
      <c r="E529" s="155">
        <f t="shared" si="160"/>
        <v>38.54121709106603</v>
      </c>
      <c r="F529" s="9">
        <v>414</v>
      </c>
      <c r="G529" s="10">
        <v>383</v>
      </c>
      <c r="H529" s="8">
        <v>387</v>
      </c>
      <c r="I529" s="178">
        <f t="shared" si="161"/>
        <v>101.0443864229765</v>
      </c>
      <c r="J529" s="7">
        <v>1558</v>
      </c>
      <c r="K529" s="8">
        <v>1470</v>
      </c>
      <c r="L529" s="8">
        <v>0</v>
      </c>
      <c r="M529" s="184">
        <f t="shared" si="162"/>
        <v>0</v>
      </c>
    </row>
    <row r="530" spans="1:13" ht="13.5" thickBot="1">
      <c r="A530" s="69" t="s">
        <v>55</v>
      </c>
      <c r="B530" s="70">
        <v>11080</v>
      </c>
      <c r="C530" s="18">
        <v>12733</v>
      </c>
      <c r="D530" s="18">
        <v>7030</v>
      </c>
      <c r="E530" s="157">
        <f t="shared" si="160"/>
        <v>55.210869394486764</v>
      </c>
      <c r="F530" s="71">
        <v>1288</v>
      </c>
      <c r="G530" s="72">
        <v>1244</v>
      </c>
      <c r="H530" s="18">
        <v>889</v>
      </c>
      <c r="I530" s="162">
        <f t="shared" si="161"/>
        <v>71.46302250803859</v>
      </c>
      <c r="J530" s="70">
        <v>5390</v>
      </c>
      <c r="K530" s="18">
        <v>4802</v>
      </c>
      <c r="L530" s="18">
        <v>0</v>
      </c>
      <c r="M530" s="187">
        <f t="shared" si="162"/>
        <v>0</v>
      </c>
    </row>
    <row r="531" spans="1:13" s="139" customFormat="1" ht="13.5" thickBot="1">
      <c r="A531" s="40" t="s">
        <v>56</v>
      </c>
      <c r="B531" s="135">
        <f>SUM(B532:B535)+B574+B575+B576+B577+B578</f>
        <v>73124</v>
      </c>
      <c r="C531" s="136">
        <f>SUM(C532:C535)+C574+C575+C576+C577+C578</f>
        <v>76665</v>
      </c>
      <c r="D531" s="136">
        <f>SUM(D532:D535)+D574+D575+D576+D577+D578</f>
        <v>25521</v>
      </c>
      <c r="E531" s="119">
        <f t="shared" si="160"/>
        <v>33.28898454314224</v>
      </c>
      <c r="F531" s="137">
        <f>SUM(F532:F535)+F574+F575+F576+F577+F578</f>
        <v>19451</v>
      </c>
      <c r="G531" s="138">
        <f>SUM(G532:G535)+G574+G575+G576+G577+G578</f>
        <v>19791</v>
      </c>
      <c r="H531" s="136">
        <f>SUM(H532:H535)+H574+H575+H576+H577+H578</f>
        <v>20254</v>
      </c>
      <c r="I531" s="181">
        <f t="shared" si="161"/>
        <v>102.33944722348542</v>
      </c>
      <c r="J531" s="135">
        <f>SUM(J532:J535)+J574+J575+J576+J577+J578</f>
        <v>47459</v>
      </c>
      <c r="K531" s="136">
        <f>SUM(K532:K535)+K574+K575+K576+K577+K578</f>
        <v>51832</v>
      </c>
      <c r="L531" s="136">
        <f>SUM(L532:L535)+L574+L575+L576+L577+L578</f>
        <v>0</v>
      </c>
      <c r="M531" s="183">
        <f t="shared" si="162"/>
        <v>0</v>
      </c>
    </row>
    <row r="532" spans="1:13" ht="12.75">
      <c r="A532" s="84" t="s">
        <v>121</v>
      </c>
      <c r="B532" s="85">
        <v>10647</v>
      </c>
      <c r="C532" s="86">
        <f>3690+7414</f>
        <v>11104</v>
      </c>
      <c r="D532" s="86">
        <v>3853</v>
      </c>
      <c r="E532" s="161">
        <f t="shared" si="160"/>
        <v>34.69920749279539</v>
      </c>
      <c r="F532" s="87">
        <v>2646</v>
      </c>
      <c r="G532" s="88">
        <v>2705</v>
      </c>
      <c r="H532" s="86">
        <v>2754</v>
      </c>
      <c r="I532" s="179">
        <f t="shared" si="161"/>
        <v>101.81146025878003</v>
      </c>
      <c r="J532" s="85">
        <v>6633</v>
      </c>
      <c r="K532" s="86">
        <v>7414</v>
      </c>
      <c r="L532" s="86">
        <v>0</v>
      </c>
      <c r="M532" s="185">
        <f t="shared" si="162"/>
        <v>0</v>
      </c>
    </row>
    <row r="533" spans="1:13" s="122" customFormat="1" ht="12.75">
      <c r="A533" s="6" t="s">
        <v>122</v>
      </c>
      <c r="B533" s="82">
        <v>6958</v>
      </c>
      <c r="C533" s="1">
        <f>2396+4768+1</f>
        <v>7165</v>
      </c>
      <c r="D533" s="1">
        <v>2403</v>
      </c>
      <c r="E533" s="155">
        <f t="shared" si="160"/>
        <v>33.538032100488486</v>
      </c>
      <c r="F533" s="3">
        <v>2068</v>
      </c>
      <c r="G533" s="4">
        <v>2078</v>
      </c>
      <c r="H533" s="1">
        <v>2053</v>
      </c>
      <c r="I533" s="178">
        <f t="shared" si="161"/>
        <v>98.79692011549567</v>
      </c>
      <c r="J533" s="3">
        <v>4529</v>
      </c>
      <c r="K533" s="4">
        <v>4768</v>
      </c>
      <c r="L533" s="1">
        <v>0</v>
      </c>
      <c r="M533" s="184">
        <f t="shared" si="162"/>
        <v>0</v>
      </c>
    </row>
    <row r="534" spans="1:13" ht="12.75">
      <c r="A534" s="44" t="s">
        <v>123</v>
      </c>
      <c r="B534" s="45">
        <v>10272</v>
      </c>
      <c r="C534" s="46">
        <f>3109+7271</f>
        <v>10380</v>
      </c>
      <c r="D534" s="46">
        <v>3254</v>
      </c>
      <c r="E534" s="156">
        <f t="shared" si="160"/>
        <v>31.34874759152216</v>
      </c>
      <c r="F534" s="13">
        <v>2937</v>
      </c>
      <c r="G534" s="47">
        <v>2589</v>
      </c>
      <c r="H534" s="46">
        <v>2634</v>
      </c>
      <c r="I534" s="180">
        <f t="shared" si="161"/>
        <v>101.73812282734647</v>
      </c>
      <c r="J534" s="45">
        <v>6815</v>
      </c>
      <c r="K534" s="46">
        <v>7271</v>
      </c>
      <c r="L534" s="46">
        <v>0</v>
      </c>
      <c r="M534" s="186">
        <f t="shared" si="162"/>
        <v>0</v>
      </c>
    </row>
    <row r="535" spans="1:13" ht="13.5" thickBot="1">
      <c r="A535" s="69" t="s">
        <v>124</v>
      </c>
      <c r="B535" s="70">
        <v>13681</v>
      </c>
      <c r="C535" s="18">
        <f>5010+8891</f>
        <v>13901</v>
      </c>
      <c r="D535" s="18">
        <v>5197</v>
      </c>
      <c r="E535" s="157">
        <f t="shared" si="160"/>
        <v>37.38579958276383</v>
      </c>
      <c r="F535" s="71">
        <v>3802</v>
      </c>
      <c r="G535" s="72">
        <v>3984</v>
      </c>
      <c r="H535" s="18">
        <v>4140</v>
      </c>
      <c r="I535" s="162">
        <f t="shared" si="161"/>
        <v>103.91566265060241</v>
      </c>
      <c r="J535" s="70">
        <v>8656</v>
      </c>
      <c r="K535" s="18">
        <v>8891</v>
      </c>
      <c r="L535" s="18">
        <v>0</v>
      </c>
      <c r="M535" s="187">
        <f t="shared" si="162"/>
        <v>0</v>
      </c>
    </row>
    <row r="536" spans="1:13" ht="13.5" thickBot="1">
      <c r="A536" s="100"/>
      <c r="B536" s="101"/>
      <c r="C536" s="101"/>
      <c r="D536" s="101"/>
      <c r="E536" s="102"/>
      <c r="F536" s="101"/>
      <c r="G536" s="101"/>
      <c r="H536" s="101"/>
      <c r="I536" s="102"/>
      <c r="J536" s="101"/>
      <c r="K536" s="101"/>
      <c r="L536" s="101"/>
      <c r="M536" s="102"/>
    </row>
    <row r="537" spans="1:13" ht="13.5" thickBot="1">
      <c r="A537" s="40" t="s">
        <v>1</v>
      </c>
      <c r="B537" s="193" t="s">
        <v>66</v>
      </c>
      <c r="C537" s="194"/>
      <c r="D537" s="194"/>
      <c r="E537" s="195"/>
      <c r="F537" s="196" t="s">
        <v>5</v>
      </c>
      <c r="G537" s="197"/>
      <c r="H537" s="197"/>
      <c r="I537" s="198"/>
      <c r="J537" s="193" t="s">
        <v>85</v>
      </c>
      <c r="K537" s="194"/>
      <c r="L537" s="194"/>
      <c r="M537" s="195"/>
    </row>
    <row r="538" spans="1:13" ht="12.75">
      <c r="A538" s="6" t="s">
        <v>53</v>
      </c>
      <c r="B538" s="9">
        <f aca="true" t="shared" si="163" ref="B538:D541">B527-F527-J527</f>
        <v>1864</v>
      </c>
      <c r="C538" s="10">
        <f t="shared" si="163"/>
        <v>1969</v>
      </c>
      <c r="D538" s="8">
        <f t="shared" si="163"/>
        <v>1933</v>
      </c>
      <c r="E538" s="155">
        <f aca="true" t="shared" si="164" ref="E538:E546">IF(C538=0,"0,00",(D538/C538)*100)</f>
        <v>98.17166074149314</v>
      </c>
      <c r="F538" s="9">
        <v>7174</v>
      </c>
      <c r="G538" s="8">
        <v>7143</v>
      </c>
      <c r="H538" s="11">
        <v>3023</v>
      </c>
      <c r="I538" s="155">
        <f aca="true" t="shared" si="165" ref="I538:I546">IF(G538=0,"0,00",(H538/G538)*100)</f>
        <v>42.32115357692846</v>
      </c>
      <c r="J538" s="19">
        <v>1436</v>
      </c>
      <c r="K538" s="20">
        <f>1167+3</f>
        <v>1170</v>
      </c>
      <c r="L538" s="21">
        <v>1119</v>
      </c>
      <c r="M538" s="155">
        <f aca="true" t="shared" si="166" ref="M538:M546">IF(K538=0,"0,00",(L538/K538)*100)</f>
        <v>95.64102564102565</v>
      </c>
    </row>
    <row r="539" spans="1:13" ht="12.75">
      <c r="A539" s="44" t="s">
        <v>120</v>
      </c>
      <c r="B539" s="9">
        <f t="shared" si="163"/>
        <v>2118</v>
      </c>
      <c r="C539" s="10">
        <f t="shared" si="163"/>
        <v>1807</v>
      </c>
      <c r="D539" s="8">
        <f t="shared" si="163"/>
        <v>2000</v>
      </c>
      <c r="E539" s="155">
        <f t="shared" si="164"/>
        <v>110.68068622025457</v>
      </c>
      <c r="F539" s="9">
        <v>6546</v>
      </c>
      <c r="G539" s="8">
        <v>5624</v>
      </c>
      <c r="H539" s="11">
        <v>2799</v>
      </c>
      <c r="I539" s="155">
        <f t="shared" si="165"/>
        <v>49.76884779516359</v>
      </c>
      <c r="J539" s="19">
        <v>1265</v>
      </c>
      <c r="K539" s="20">
        <f>1039+0</f>
        <v>1039</v>
      </c>
      <c r="L539" s="21">
        <f>1010+0</f>
        <v>1010</v>
      </c>
      <c r="M539" s="155">
        <f t="shared" si="166"/>
        <v>97.20885466794995</v>
      </c>
    </row>
    <row r="540" spans="1:13" ht="12.75">
      <c r="A540" s="6" t="s">
        <v>54</v>
      </c>
      <c r="B540" s="9">
        <f t="shared" si="163"/>
        <v>596</v>
      </c>
      <c r="C540" s="10">
        <f t="shared" si="163"/>
        <v>464</v>
      </c>
      <c r="D540" s="8">
        <f t="shared" si="163"/>
        <v>506</v>
      </c>
      <c r="E540" s="155">
        <f t="shared" si="164"/>
        <v>109.05172413793103</v>
      </c>
      <c r="F540" s="9">
        <v>2567</v>
      </c>
      <c r="G540" s="8">
        <v>2317</v>
      </c>
      <c r="H540" s="11">
        <v>893</v>
      </c>
      <c r="I540" s="155">
        <f t="shared" si="165"/>
        <v>38.54121709106603</v>
      </c>
      <c r="J540" s="19">
        <v>232</v>
      </c>
      <c r="K540" s="20">
        <f>190+11</f>
        <v>201</v>
      </c>
      <c r="L540" s="21">
        <v>195</v>
      </c>
      <c r="M540" s="155">
        <f t="shared" si="166"/>
        <v>97.01492537313433</v>
      </c>
    </row>
    <row r="541" spans="1:13" ht="13.5" thickBot="1">
      <c r="A541" s="69" t="s">
        <v>55</v>
      </c>
      <c r="B541" s="71">
        <f t="shared" si="163"/>
        <v>4402</v>
      </c>
      <c r="C541" s="72">
        <f t="shared" si="163"/>
        <v>6687</v>
      </c>
      <c r="D541" s="18">
        <f t="shared" si="163"/>
        <v>6141</v>
      </c>
      <c r="E541" s="157">
        <f t="shared" si="164"/>
        <v>91.83490354419021</v>
      </c>
      <c r="F541" s="71">
        <v>10665</v>
      </c>
      <c r="G541" s="18">
        <v>12708</v>
      </c>
      <c r="H541" s="73">
        <v>5430</v>
      </c>
      <c r="I541" s="157">
        <f t="shared" si="165"/>
        <v>42.728989612842305</v>
      </c>
      <c r="J541" s="74">
        <v>854</v>
      </c>
      <c r="K541" s="75">
        <f>1536+87</f>
        <v>1623</v>
      </c>
      <c r="L541" s="76">
        <f>502</f>
        <v>502</v>
      </c>
      <c r="M541" s="157">
        <f t="shared" si="166"/>
        <v>30.93037584719655</v>
      </c>
    </row>
    <row r="542" spans="1:13" s="139" customFormat="1" ht="13.5" thickBot="1">
      <c r="A542" s="40" t="s">
        <v>56</v>
      </c>
      <c r="B542" s="137">
        <f>SUM(B543:B546)+B581+B582+B583+B584+B585</f>
        <v>6214</v>
      </c>
      <c r="C542" s="138">
        <f>SUM(C543:C546)+C581+C582+C583+C584+C585</f>
        <v>5042</v>
      </c>
      <c r="D542" s="136">
        <f>SUM(D543:D546)+D581+D582+D583+D584+D585</f>
        <v>5267</v>
      </c>
      <c r="E542" s="119">
        <f t="shared" si="164"/>
        <v>104.46251487504958</v>
      </c>
      <c r="F542" s="137">
        <f>SUM(F543:F546)+F581+F582+F583+F584+F585</f>
        <v>72968</v>
      </c>
      <c r="G542" s="136">
        <f>SUM(G543:G546)+G581+G582+G583+G584+G585</f>
        <v>76411</v>
      </c>
      <c r="H542" s="140">
        <f>SUM(H543:H546)+H581+H582+H583+H584+H585</f>
        <v>25521</v>
      </c>
      <c r="I542" s="119">
        <f t="shared" si="165"/>
        <v>33.39964141288558</v>
      </c>
      <c r="J542" s="141">
        <f>SUM(J543:J546)+J581+J582+J583+J584+J585</f>
        <v>11937</v>
      </c>
      <c r="K542" s="142">
        <f>SUM(K543:K546)+K581+K582+K583+K584+K585</f>
        <v>11315</v>
      </c>
      <c r="L542" s="143">
        <f>SUM(L543:L546)+L581+L582+L583+L584+L585</f>
        <v>11456</v>
      </c>
      <c r="M542" s="119">
        <f t="shared" si="166"/>
        <v>101.24613345117102</v>
      </c>
    </row>
    <row r="543" spans="1:13" ht="12.75">
      <c r="A543" s="84" t="s">
        <v>121</v>
      </c>
      <c r="B543" s="71">
        <f aca="true" t="shared" si="167" ref="B543:D546">B532-F532-J532</f>
        <v>1368</v>
      </c>
      <c r="C543" s="72">
        <f t="shared" si="167"/>
        <v>985</v>
      </c>
      <c r="D543" s="18">
        <f t="shared" si="167"/>
        <v>1099</v>
      </c>
      <c r="E543" s="161">
        <f t="shared" si="164"/>
        <v>111.5736040609137</v>
      </c>
      <c r="F543" s="87">
        <v>10647</v>
      </c>
      <c r="G543" s="86">
        <f>3641+7414</f>
        <v>11055</v>
      </c>
      <c r="H543" s="91">
        <v>3853</v>
      </c>
      <c r="I543" s="161">
        <f t="shared" si="165"/>
        <v>34.85300768882858</v>
      </c>
      <c r="J543" s="92">
        <f>1957+19</f>
        <v>1976</v>
      </c>
      <c r="K543" s="93">
        <f>1792+18</f>
        <v>1810</v>
      </c>
      <c r="L543" s="94">
        <v>1876</v>
      </c>
      <c r="M543" s="161">
        <f t="shared" si="166"/>
        <v>103.646408839779</v>
      </c>
    </row>
    <row r="544" spans="1:13" s="122" customFormat="1" ht="12.75">
      <c r="A544" s="6" t="s">
        <v>122</v>
      </c>
      <c r="B544" s="71">
        <f t="shared" si="167"/>
        <v>361</v>
      </c>
      <c r="C544" s="72">
        <f t="shared" si="167"/>
        <v>319</v>
      </c>
      <c r="D544" s="18">
        <f t="shared" si="167"/>
        <v>350</v>
      </c>
      <c r="E544" s="155">
        <f t="shared" si="164"/>
        <v>109.71786833855799</v>
      </c>
      <c r="F544" s="3">
        <v>6957</v>
      </c>
      <c r="G544" s="1">
        <f>2396+4768</f>
        <v>7164</v>
      </c>
      <c r="H544" s="120">
        <v>2403</v>
      </c>
      <c r="I544" s="155">
        <f t="shared" si="165"/>
        <v>33.54271356783919</v>
      </c>
      <c r="J544" s="3">
        <v>1141</v>
      </c>
      <c r="K544" s="1">
        <f>1085+0</f>
        <v>1085</v>
      </c>
      <c r="L544" s="120">
        <v>1077</v>
      </c>
      <c r="M544" s="155">
        <f t="shared" si="166"/>
        <v>99.2626728110599</v>
      </c>
    </row>
    <row r="545" spans="1:13" ht="12.75">
      <c r="A545" s="44" t="s">
        <v>123</v>
      </c>
      <c r="B545" s="71">
        <f t="shared" si="167"/>
        <v>520</v>
      </c>
      <c r="C545" s="72">
        <f t="shared" si="167"/>
        <v>520</v>
      </c>
      <c r="D545" s="18">
        <f t="shared" si="167"/>
        <v>620</v>
      </c>
      <c r="E545" s="156">
        <f t="shared" si="164"/>
        <v>119.23076923076923</v>
      </c>
      <c r="F545" s="13">
        <v>10157</v>
      </c>
      <c r="G545" s="46">
        <f>3015+7271</f>
        <v>10286</v>
      </c>
      <c r="H545" s="59">
        <v>3254</v>
      </c>
      <c r="I545" s="156">
        <f t="shared" si="165"/>
        <v>31.635232354656818</v>
      </c>
      <c r="J545" s="60">
        <f>1610+9</f>
        <v>1619</v>
      </c>
      <c r="K545" s="61">
        <f>1437+6</f>
        <v>1443</v>
      </c>
      <c r="L545" s="62">
        <v>1490</v>
      </c>
      <c r="M545" s="156">
        <f t="shared" si="166"/>
        <v>103.25710325710327</v>
      </c>
    </row>
    <row r="546" spans="1:13" ht="13.5" thickBot="1">
      <c r="A546" s="69" t="s">
        <v>124</v>
      </c>
      <c r="B546" s="71">
        <f t="shared" si="167"/>
        <v>1223</v>
      </c>
      <c r="C546" s="72">
        <f t="shared" si="167"/>
        <v>1026</v>
      </c>
      <c r="D546" s="18">
        <f t="shared" si="167"/>
        <v>1057</v>
      </c>
      <c r="E546" s="157">
        <f t="shared" si="164"/>
        <v>103.0214424951267</v>
      </c>
      <c r="F546" s="71">
        <v>13656</v>
      </c>
      <c r="G546" s="18">
        <f>4902+8891</f>
        <v>13793</v>
      </c>
      <c r="H546" s="73">
        <v>5197</v>
      </c>
      <c r="I546" s="157">
        <f t="shared" si="165"/>
        <v>37.678532588994415</v>
      </c>
      <c r="J546" s="74">
        <v>2454</v>
      </c>
      <c r="K546" s="75">
        <f>2331+0</f>
        <v>2331</v>
      </c>
      <c r="L546" s="76">
        <v>2400</v>
      </c>
      <c r="M546" s="157">
        <f t="shared" si="166"/>
        <v>102.96010296010296</v>
      </c>
    </row>
    <row r="547" spans="1:13" ht="13.5" thickBot="1">
      <c r="A547" s="100"/>
      <c r="B547" s="101"/>
      <c r="C547" s="101"/>
      <c r="D547" s="101"/>
      <c r="E547" s="102"/>
      <c r="F547" s="101"/>
      <c r="G547" s="101"/>
      <c r="H547" s="101"/>
      <c r="I547" s="102"/>
      <c r="J547" s="104"/>
      <c r="K547" s="104"/>
      <c r="L547" s="104"/>
      <c r="M547" s="102"/>
    </row>
    <row r="548" spans="1:13" ht="13.5" thickBot="1">
      <c r="A548" s="77" t="s">
        <v>1</v>
      </c>
      <c r="B548" s="193" t="s">
        <v>86</v>
      </c>
      <c r="C548" s="194"/>
      <c r="D548" s="194"/>
      <c r="E548" s="195"/>
      <c r="F548" s="193" t="s">
        <v>6</v>
      </c>
      <c r="G548" s="194"/>
      <c r="H548" s="194"/>
      <c r="I548" s="195"/>
      <c r="J548" s="196" t="s">
        <v>87</v>
      </c>
      <c r="K548" s="197"/>
      <c r="L548" s="197"/>
      <c r="M548" s="198"/>
    </row>
    <row r="549" spans="1:13" ht="12.75">
      <c r="A549" s="6" t="s">
        <v>53</v>
      </c>
      <c r="B549" s="9">
        <v>492</v>
      </c>
      <c r="C549" s="8">
        <v>603</v>
      </c>
      <c r="D549" s="11">
        <v>680</v>
      </c>
      <c r="E549" s="155">
        <f aca="true" t="shared" si="168" ref="E549:E557">IF(C549=0,"0,00",(D549/C549)*100)</f>
        <v>112.76948590381426</v>
      </c>
      <c r="F549" s="9">
        <v>113</v>
      </c>
      <c r="G549" s="8">
        <v>109</v>
      </c>
      <c r="H549" s="14">
        <v>100</v>
      </c>
      <c r="I549" s="178">
        <f aca="true" t="shared" si="169" ref="I549:I557">IF(G549=0,"0,00",(H549/G549)*100)</f>
        <v>91.74311926605505</v>
      </c>
      <c r="J549" s="9">
        <v>2860</v>
      </c>
      <c r="K549" s="8">
        <v>2886</v>
      </c>
      <c r="L549" s="8">
        <v>0</v>
      </c>
      <c r="M549" s="155">
        <f aca="true" t="shared" si="170" ref="M549:M557">IF(K549=0,"0,00",(L549/K549)*100)</f>
        <v>0</v>
      </c>
    </row>
    <row r="550" spans="1:13" ht="12.75">
      <c r="A550" s="44" t="s">
        <v>120</v>
      </c>
      <c r="B550" s="9">
        <v>593</v>
      </c>
      <c r="C550" s="8">
        <v>571</v>
      </c>
      <c r="D550" s="11">
        <v>600</v>
      </c>
      <c r="E550" s="155">
        <f t="shared" si="168"/>
        <v>105.07880910683012</v>
      </c>
      <c r="F550" s="9">
        <v>159</v>
      </c>
      <c r="G550" s="8">
        <v>49</v>
      </c>
      <c r="H550" s="14">
        <v>0</v>
      </c>
      <c r="I550" s="178">
        <f t="shared" si="169"/>
        <v>0</v>
      </c>
      <c r="J550" s="9">
        <v>2520</v>
      </c>
      <c r="K550" s="8">
        <v>2248</v>
      </c>
      <c r="L550" s="8">
        <v>100</v>
      </c>
      <c r="M550" s="155">
        <f t="shared" si="170"/>
        <v>4.448398576512456</v>
      </c>
    </row>
    <row r="551" spans="1:13" ht="12.75">
      <c r="A551" s="6" t="s">
        <v>54</v>
      </c>
      <c r="B551" s="9">
        <v>172</v>
      </c>
      <c r="C551" s="8">
        <v>185</v>
      </c>
      <c r="D551" s="11">
        <v>206</v>
      </c>
      <c r="E551" s="155">
        <f t="shared" si="168"/>
        <v>111.35135135135134</v>
      </c>
      <c r="F551" s="9">
        <v>4</v>
      </c>
      <c r="G551" s="8">
        <v>0</v>
      </c>
      <c r="H551" s="14">
        <v>0</v>
      </c>
      <c r="I551" s="178" t="str">
        <f t="shared" si="169"/>
        <v>0,00</v>
      </c>
      <c r="J551" s="9">
        <v>1118</v>
      </c>
      <c r="K551" s="8">
        <v>1060</v>
      </c>
      <c r="L551" s="8">
        <v>0</v>
      </c>
      <c r="M551" s="155">
        <f t="shared" si="170"/>
        <v>0</v>
      </c>
    </row>
    <row r="552" spans="1:13" ht="13.5" thickBot="1">
      <c r="A552" s="69" t="s">
        <v>55</v>
      </c>
      <c r="B552" s="71">
        <v>607</v>
      </c>
      <c r="C552" s="18">
        <v>849</v>
      </c>
      <c r="D552" s="73">
        <v>900</v>
      </c>
      <c r="E552" s="157">
        <f t="shared" si="168"/>
        <v>106.00706713780919</v>
      </c>
      <c r="F552" s="71">
        <v>495</v>
      </c>
      <c r="G552" s="18">
        <v>872</v>
      </c>
      <c r="H552" s="22">
        <v>310</v>
      </c>
      <c r="I552" s="162">
        <f t="shared" si="169"/>
        <v>35.55045871559633</v>
      </c>
      <c r="J552" s="71">
        <v>4088</v>
      </c>
      <c r="K552" s="18">
        <v>4063</v>
      </c>
      <c r="L552" s="18">
        <v>255</v>
      </c>
      <c r="M552" s="157">
        <f t="shared" si="170"/>
        <v>6.2761506276150625</v>
      </c>
    </row>
    <row r="553" spans="1:13" s="139" customFormat="1" ht="13.5" thickBot="1">
      <c r="A553" s="40" t="s">
        <v>56</v>
      </c>
      <c r="B553" s="137">
        <f>SUM(B554:B557)+B588+B589+B590+B591+B592</f>
        <v>3463</v>
      </c>
      <c r="C553" s="136">
        <f>SUM(C554:C557)+C588+C589+C590+C591+C592</f>
        <v>3656</v>
      </c>
      <c r="D553" s="140">
        <f>SUM(D554:D557)+D588+D589+D590+D591+D592</f>
        <v>4165</v>
      </c>
      <c r="E553" s="119">
        <f t="shared" si="168"/>
        <v>113.92231947483589</v>
      </c>
      <c r="F553" s="137">
        <f>SUM(F554:F557)+F588+F589+F590+F591+F592</f>
        <v>2698</v>
      </c>
      <c r="G553" s="136">
        <f>SUM(G554:G557)+G588+G589+G590+G591+G592</f>
        <v>1896</v>
      </c>
      <c r="H553" s="144">
        <f>SUM(H554:H557)+H588+H589+H590+H591+H592</f>
        <v>1620</v>
      </c>
      <c r="I553" s="181">
        <f t="shared" si="169"/>
        <v>85.44303797468355</v>
      </c>
      <c r="J553" s="137">
        <f>SUM(J554:J557)+J588+J589+J590+J591+J592</f>
        <v>34284</v>
      </c>
      <c r="K553" s="136">
        <f>SUM(K554:K557)+K588+K589+K590+K591+K592</f>
        <v>37628</v>
      </c>
      <c r="L553" s="136">
        <f>SUM(L554:L557)+L588+L589+L590+L591+L592</f>
        <v>0</v>
      </c>
      <c r="M553" s="119">
        <f t="shared" si="170"/>
        <v>0</v>
      </c>
    </row>
    <row r="554" spans="1:13" ht="12.75">
      <c r="A554" s="84" t="s">
        <v>121</v>
      </c>
      <c r="B554" s="87">
        <v>428</v>
      </c>
      <c r="C554" s="86">
        <v>464</v>
      </c>
      <c r="D554" s="91">
        <v>495</v>
      </c>
      <c r="E554" s="161">
        <f t="shared" si="168"/>
        <v>106.68103448275863</v>
      </c>
      <c r="F554" s="87">
        <v>121</v>
      </c>
      <c r="G554" s="86">
        <v>181</v>
      </c>
      <c r="H554" s="78">
        <v>200</v>
      </c>
      <c r="I554" s="179">
        <f t="shared" si="169"/>
        <v>110.49723756906079</v>
      </c>
      <c r="J554" s="87">
        <v>4774</v>
      </c>
      <c r="K554" s="86">
        <v>5366</v>
      </c>
      <c r="L554" s="86">
        <v>0</v>
      </c>
      <c r="M554" s="161">
        <f t="shared" si="170"/>
        <v>0</v>
      </c>
    </row>
    <row r="555" spans="1:13" s="122" customFormat="1" ht="12.75">
      <c r="A555" s="6" t="s">
        <v>122</v>
      </c>
      <c r="B555" s="3">
        <v>343</v>
      </c>
      <c r="C555" s="1">
        <v>385</v>
      </c>
      <c r="D555" s="120">
        <v>400</v>
      </c>
      <c r="E555" s="155">
        <f t="shared" si="168"/>
        <v>103.89610389610388</v>
      </c>
      <c r="F555" s="3">
        <v>206</v>
      </c>
      <c r="G555" s="1">
        <v>124</v>
      </c>
      <c r="H555" s="121">
        <v>100</v>
      </c>
      <c r="I555" s="178">
        <f t="shared" si="169"/>
        <v>80.64516129032258</v>
      </c>
      <c r="J555" s="3">
        <v>3286</v>
      </c>
      <c r="K555" s="1">
        <v>3466</v>
      </c>
      <c r="L555" s="121">
        <v>0</v>
      </c>
      <c r="M555" s="155">
        <f t="shared" si="170"/>
        <v>0</v>
      </c>
    </row>
    <row r="556" spans="1:13" ht="12.75">
      <c r="A556" s="44" t="s">
        <v>123</v>
      </c>
      <c r="B556" s="13">
        <v>450</v>
      </c>
      <c r="C556" s="46">
        <v>421</v>
      </c>
      <c r="D556" s="59">
        <v>490</v>
      </c>
      <c r="E556" s="156">
        <f t="shared" si="168"/>
        <v>116.3895486935867</v>
      </c>
      <c r="F556" s="13">
        <v>410</v>
      </c>
      <c r="G556" s="46">
        <v>203</v>
      </c>
      <c r="H556" s="66">
        <v>210</v>
      </c>
      <c r="I556" s="180">
        <f t="shared" si="169"/>
        <v>103.44827586206897</v>
      </c>
      <c r="J556" s="13">
        <v>4917</v>
      </c>
      <c r="K556" s="46">
        <v>5294</v>
      </c>
      <c r="L556" s="46">
        <v>0</v>
      </c>
      <c r="M556" s="156">
        <f t="shared" si="170"/>
        <v>0</v>
      </c>
    </row>
    <row r="557" spans="1:13" ht="13.5" thickBot="1">
      <c r="A557" s="69" t="s">
        <v>124</v>
      </c>
      <c r="B557" s="71">
        <v>883</v>
      </c>
      <c r="C557" s="18">
        <v>956</v>
      </c>
      <c r="D557" s="73">
        <v>1100</v>
      </c>
      <c r="E557" s="157">
        <f t="shared" si="168"/>
        <v>115.06276150627615</v>
      </c>
      <c r="F557" s="71">
        <v>674</v>
      </c>
      <c r="G557" s="18">
        <v>399</v>
      </c>
      <c r="H557" s="22">
        <v>400</v>
      </c>
      <c r="I557" s="162">
        <f t="shared" si="169"/>
        <v>100.25062656641603</v>
      </c>
      <c r="J557" s="71">
        <v>6248</v>
      </c>
      <c r="K557" s="18">
        <v>6455</v>
      </c>
      <c r="L557" s="18">
        <v>0</v>
      </c>
      <c r="M557" s="157">
        <f t="shared" si="170"/>
        <v>0</v>
      </c>
    </row>
    <row r="558" spans="1:13" ht="13.5" thickBot="1">
      <c r="A558" s="100"/>
      <c r="B558" s="101"/>
      <c r="C558" s="101"/>
      <c r="D558" s="101"/>
      <c r="E558" s="102"/>
      <c r="F558" s="101"/>
      <c r="G558" s="101"/>
      <c r="H558" s="101"/>
      <c r="I558" s="102"/>
      <c r="J558" s="101"/>
      <c r="K558" s="101"/>
      <c r="L558" s="101"/>
      <c r="M558" s="102"/>
    </row>
    <row r="559" spans="1:13" ht="13.5" thickBot="1">
      <c r="A559" s="77" t="s">
        <v>1</v>
      </c>
      <c r="B559" s="193" t="s">
        <v>7</v>
      </c>
      <c r="C559" s="194"/>
      <c r="D559" s="194"/>
      <c r="E559" s="195"/>
      <c r="F559" s="196" t="s">
        <v>8</v>
      </c>
      <c r="G559" s="197"/>
      <c r="H559" s="197"/>
      <c r="I559" s="198"/>
      <c r="J559" s="199"/>
      <c r="K559" s="200"/>
      <c r="L559" s="200"/>
      <c r="M559" s="200"/>
    </row>
    <row r="560" spans="1:13" ht="12.75">
      <c r="A560" s="6" t="s">
        <v>53</v>
      </c>
      <c r="B560" s="9">
        <v>118</v>
      </c>
      <c r="C560" s="8">
        <v>220</v>
      </c>
      <c r="D560" s="11">
        <v>133</v>
      </c>
      <c r="E560" s="155">
        <f aca="true" t="shared" si="171" ref="E560:E568">IF(C560=0,"0,00",(D560/C560)*100)</f>
        <v>60.45454545454545</v>
      </c>
      <c r="F560" s="9">
        <f aca="true" t="shared" si="172" ref="F560:H563">B527-F538</f>
        <v>2</v>
      </c>
      <c r="G560" s="8">
        <f t="shared" si="172"/>
        <v>8</v>
      </c>
      <c r="H560" s="14">
        <f t="shared" si="172"/>
        <v>0</v>
      </c>
      <c r="I560" s="178">
        <f aca="true" t="shared" si="173" ref="I560:I568">IF(G560=0,"0,00",(H560/G560)*100)</f>
        <v>0</v>
      </c>
      <c r="J560" s="105"/>
      <c r="K560" s="106"/>
      <c r="L560" s="106"/>
      <c r="M560" s="106"/>
    </row>
    <row r="561" spans="1:13" ht="12.75">
      <c r="A561" s="44" t="s">
        <v>120</v>
      </c>
      <c r="B561" s="9">
        <v>191</v>
      </c>
      <c r="C561" s="8">
        <v>180</v>
      </c>
      <c r="D561" s="11">
        <v>150</v>
      </c>
      <c r="E561" s="155">
        <f t="shared" si="171"/>
        <v>83.33333333333334</v>
      </c>
      <c r="F561" s="9">
        <f t="shared" si="172"/>
        <v>0</v>
      </c>
      <c r="G561" s="8">
        <f t="shared" si="172"/>
        <v>0</v>
      </c>
      <c r="H561" s="14">
        <f t="shared" si="172"/>
        <v>0</v>
      </c>
      <c r="I561" s="178" t="str">
        <f t="shared" si="173"/>
        <v>0,00</v>
      </c>
      <c r="J561" s="85"/>
      <c r="K561" s="91"/>
      <c r="L561" s="91"/>
      <c r="M561" s="103"/>
    </row>
    <row r="562" spans="1:13" ht="12.75">
      <c r="A562" s="6" t="s">
        <v>54</v>
      </c>
      <c r="B562" s="9">
        <v>31</v>
      </c>
      <c r="C562" s="8">
        <v>41</v>
      </c>
      <c r="D562" s="11">
        <v>31</v>
      </c>
      <c r="E562" s="155">
        <f t="shared" si="171"/>
        <v>75.60975609756098</v>
      </c>
      <c r="F562" s="9">
        <f t="shared" si="172"/>
        <v>1</v>
      </c>
      <c r="G562" s="8">
        <f t="shared" si="172"/>
        <v>0</v>
      </c>
      <c r="H562" s="14">
        <f t="shared" si="172"/>
        <v>0</v>
      </c>
      <c r="I562" s="178" t="str">
        <f t="shared" si="173"/>
        <v>0,00</v>
      </c>
      <c r="J562" s="85"/>
      <c r="K562" s="91"/>
      <c r="L562" s="91"/>
      <c r="M562" s="103"/>
    </row>
    <row r="563" spans="1:13" ht="13.5" thickBot="1">
      <c r="A563" s="69" t="s">
        <v>55</v>
      </c>
      <c r="B563" s="71">
        <v>333</v>
      </c>
      <c r="C563" s="18">
        <v>343</v>
      </c>
      <c r="D563" s="73">
        <v>334</v>
      </c>
      <c r="E563" s="157">
        <f t="shared" si="171"/>
        <v>97.37609329446065</v>
      </c>
      <c r="F563" s="71">
        <f t="shared" si="172"/>
        <v>415</v>
      </c>
      <c r="G563" s="18">
        <f t="shared" si="172"/>
        <v>25</v>
      </c>
      <c r="H563" s="22">
        <f t="shared" si="172"/>
        <v>1600</v>
      </c>
      <c r="I563" s="162">
        <f t="shared" si="173"/>
        <v>6400</v>
      </c>
      <c r="J563" s="85"/>
      <c r="K563" s="91"/>
      <c r="L563" s="91"/>
      <c r="M563" s="103"/>
    </row>
    <row r="564" spans="1:13" s="139" customFormat="1" ht="13.5" thickBot="1">
      <c r="A564" s="40" t="s">
        <v>56</v>
      </c>
      <c r="B564" s="137">
        <f>SUM(B565:B568)+B595+B596+B597+B598+B599</f>
        <v>1325</v>
      </c>
      <c r="C564" s="136">
        <f>SUM(C565:C568)+C595+C596+C597+C598+C599</f>
        <v>1496</v>
      </c>
      <c r="D564" s="140">
        <f>SUM(D565:D568)+D595+D596+D597+D598+D599</f>
        <v>1411</v>
      </c>
      <c r="E564" s="119">
        <f t="shared" si="171"/>
        <v>94.31818181818183</v>
      </c>
      <c r="F564" s="137">
        <f>SUM(F565:F568)+F595+F596+F597+F598+F599</f>
        <v>156</v>
      </c>
      <c r="G564" s="136">
        <f>SUM(G565:G568)+G595+G596+G597+G598+G599</f>
        <v>254</v>
      </c>
      <c r="H564" s="144">
        <f>SUM(H565:H568)+H595+H596+H597+H598+H599</f>
        <v>0</v>
      </c>
      <c r="I564" s="119">
        <f t="shared" si="173"/>
        <v>0</v>
      </c>
      <c r="J564" s="145"/>
      <c r="K564" s="146"/>
      <c r="L564" s="146"/>
      <c r="M564" s="109"/>
    </row>
    <row r="565" spans="1:13" ht="12.75">
      <c r="A565" s="84" t="s">
        <v>121</v>
      </c>
      <c r="B565" s="87">
        <v>224</v>
      </c>
      <c r="C565" s="86">
        <v>211</v>
      </c>
      <c r="D565" s="91">
        <v>208</v>
      </c>
      <c r="E565" s="161">
        <f t="shared" si="171"/>
        <v>98.5781990521327</v>
      </c>
      <c r="F565" s="87">
        <f aca="true" t="shared" si="174" ref="F565:H568">B532-F543</f>
        <v>0</v>
      </c>
      <c r="G565" s="86">
        <f t="shared" si="174"/>
        <v>49</v>
      </c>
      <c r="H565" s="78">
        <f t="shared" si="174"/>
        <v>0</v>
      </c>
      <c r="I565" s="155">
        <f t="shared" si="173"/>
        <v>0</v>
      </c>
      <c r="J565" s="85"/>
      <c r="K565" s="91"/>
      <c r="L565" s="91"/>
      <c r="M565" s="103"/>
    </row>
    <row r="566" spans="1:13" s="122" customFormat="1" ht="12.75">
      <c r="A566" s="6" t="s">
        <v>122</v>
      </c>
      <c r="B566" s="3">
        <v>110</v>
      </c>
      <c r="C566" s="1">
        <v>136</v>
      </c>
      <c r="D566" s="120">
        <v>75</v>
      </c>
      <c r="E566" s="155">
        <f t="shared" si="171"/>
        <v>55.14705882352941</v>
      </c>
      <c r="F566" s="3">
        <f t="shared" si="174"/>
        <v>1</v>
      </c>
      <c r="G566" s="1">
        <f t="shared" si="174"/>
        <v>1</v>
      </c>
      <c r="H566" s="121">
        <f t="shared" si="174"/>
        <v>0</v>
      </c>
      <c r="I566" s="155">
        <f t="shared" si="173"/>
        <v>0</v>
      </c>
      <c r="J566" s="98"/>
      <c r="K566" s="89"/>
      <c r="L566" s="89"/>
      <c r="M566" s="103"/>
    </row>
    <row r="567" spans="1:13" ht="12.75">
      <c r="A567" s="44" t="s">
        <v>123</v>
      </c>
      <c r="B567" s="13">
        <v>115</v>
      </c>
      <c r="C567" s="46">
        <v>122</v>
      </c>
      <c r="D567" s="59">
        <v>130</v>
      </c>
      <c r="E567" s="156">
        <f t="shared" si="171"/>
        <v>106.55737704918033</v>
      </c>
      <c r="F567" s="13">
        <f t="shared" si="174"/>
        <v>115</v>
      </c>
      <c r="G567" s="46">
        <f t="shared" si="174"/>
        <v>94</v>
      </c>
      <c r="H567" s="66">
        <f t="shared" si="174"/>
        <v>0</v>
      </c>
      <c r="I567" s="180">
        <f t="shared" si="173"/>
        <v>0</v>
      </c>
      <c r="J567" s="85"/>
      <c r="K567" s="91"/>
      <c r="L567" s="91"/>
      <c r="M567" s="103"/>
    </row>
    <row r="568" spans="1:13" ht="13.5" thickBot="1">
      <c r="A568" s="134" t="s">
        <v>124</v>
      </c>
      <c r="B568" s="16">
        <v>206</v>
      </c>
      <c r="C568" s="15">
        <v>294</v>
      </c>
      <c r="D568" s="63">
        <v>315</v>
      </c>
      <c r="E568" s="158">
        <f t="shared" si="171"/>
        <v>107.14285714285714</v>
      </c>
      <c r="F568" s="16">
        <f t="shared" si="174"/>
        <v>25</v>
      </c>
      <c r="G568" s="15">
        <f t="shared" si="174"/>
        <v>108</v>
      </c>
      <c r="H568" s="17">
        <f t="shared" si="174"/>
        <v>0</v>
      </c>
      <c r="I568" s="158">
        <f t="shared" si="173"/>
        <v>0</v>
      </c>
      <c r="J568" s="85"/>
      <c r="K568" s="91"/>
      <c r="L568" s="91"/>
      <c r="M568" s="103"/>
    </row>
    <row r="569" spans="1:13" ht="15">
      <c r="A569" s="192" t="s">
        <v>91</v>
      </c>
      <c r="B569" s="192"/>
      <c r="C569" s="192"/>
      <c r="D569" s="192"/>
      <c r="E569" s="192"/>
      <c r="F569" s="192"/>
      <c r="G569" s="192"/>
      <c r="H569" s="192"/>
      <c r="I569" s="192"/>
      <c r="J569" s="192"/>
      <c r="K569" s="192"/>
      <c r="L569" s="192"/>
      <c r="M569" s="192"/>
    </row>
    <row r="570" spans="1:13" ht="13.5" thickBot="1">
      <c r="A570" s="26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</row>
    <row r="571" spans="1:13" ht="24.75" customHeight="1">
      <c r="A571" s="214" t="s">
        <v>1</v>
      </c>
      <c r="B571" s="201" t="s">
        <v>0</v>
      </c>
      <c r="C571" s="202"/>
      <c r="D571" s="202"/>
      <c r="E571" s="203"/>
      <c r="F571" s="204" t="s">
        <v>65</v>
      </c>
      <c r="G571" s="205"/>
      <c r="H571" s="205"/>
      <c r="I571" s="205"/>
      <c r="J571" s="206" t="s">
        <v>77</v>
      </c>
      <c r="K571" s="207"/>
      <c r="L571" s="207"/>
      <c r="M571" s="208"/>
    </row>
    <row r="572" spans="1:13" ht="12.75">
      <c r="A572" s="215"/>
      <c r="B572" s="29" t="s">
        <v>2</v>
      </c>
      <c r="C572" s="30" t="s">
        <v>2</v>
      </c>
      <c r="D572" s="30" t="s">
        <v>3</v>
      </c>
      <c r="E572" s="31" t="s">
        <v>4</v>
      </c>
      <c r="F572" s="29" t="s">
        <v>2</v>
      </c>
      <c r="G572" s="30" t="s">
        <v>2</v>
      </c>
      <c r="H572" s="30" t="s">
        <v>3</v>
      </c>
      <c r="I572" s="31" t="s">
        <v>4</v>
      </c>
      <c r="J572" s="29" t="s">
        <v>2</v>
      </c>
      <c r="K572" s="30" t="s">
        <v>2</v>
      </c>
      <c r="L572" s="30" t="s">
        <v>3</v>
      </c>
      <c r="M572" s="31" t="s">
        <v>4</v>
      </c>
    </row>
    <row r="573" spans="1:13" ht="13.5" thickBot="1">
      <c r="A573" s="216"/>
      <c r="B573" s="32">
        <v>2004</v>
      </c>
      <c r="C573" s="33">
        <v>2005</v>
      </c>
      <c r="D573" s="33">
        <v>2006</v>
      </c>
      <c r="E573" s="34" t="s">
        <v>130</v>
      </c>
      <c r="F573" s="32">
        <v>2004</v>
      </c>
      <c r="G573" s="33">
        <v>2005</v>
      </c>
      <c r="H573" s="33">
        <v>2006</v>
      </c>
      <c r="I573" s="34" t="s">
        <v>130</v>
      </c>
      <c r="J573" s="32">
        <v>2004</v>
      </c>
      <c r="K573" s="33">
        <v>2005</v>
      </c>
      <c r="L573" s="33">
        <v>2006</v>
      </c>
      <c r="M573" s="34" t="s">
        <v>130</v>
      </c>
    </row>
    <row r="574" spans="1:13" ht="12.75">
      <c r="A574" s="6" t="s">
        <v>125</v>
      </c>
      <c r="B574" s="7">
        <v>10150</v>
      </c>
      <c r="C574" s="8">
        <f>3611+7079</f>
        <v>10690</v>
      </c>
      <c r="D574" s="8">
        <v>3675</v>
      </c>
      <c r="E574" s="155">
        <f>IF(C574=0,"0,00",(D574/C574)*100)</f>
        <v>34.37792329279701</v>
      </c>
      <c r="F574" s="9">
        <v>2771</v>
      </c>
      <c r="G574" s="10">
        <v>2842</v>
      </c>
      <c r="H574" s="8">
        <v>2905</v>
      </c>
      <c r="I574" s="178">
        <f>IF(G574=0,"0,00",(H574/G574)*100)</f>
        <v>102.21674876847291</v>
      </c>
      <c r="J574" s="7">
        <v>6405</v>
      </c>
      <c r="K574" s="8">
        <v>7079</v>
      </c>
      <c r="L574" s="8">
        <v>0</v>
      </c>
      <c r="M574" s="184">
        <f>IF(K574=0,"0,00",(L574/K574)*100)</f>
        <v>0</v>
      </c>
    </row>
    <row r="575" spans="1:13" ht="12.75">
      <c r="A575" s="6" t="s">
        <v>126</v>
      </c>
      <c r="B575" s="7">
        <v>4284</v>
      </c>
      <c r="C575" s="8">
        <f>1418+3274</f>
        <v>4692</v>
      </c>
      <c r="D575" s="8">
        <f>1379</f>
        <v>1379</v>
      </c>
      <c r="E575" s="155">
        <f>IF(C575=0,"0,00",(D575/C575)*100)</f>
        <v>29.39045183290708</v>
      </c>
      <c r="F575" s="9">
        <v>1077</v>
      </c>
      <c r="G575" s="10">
        <v>1114</v>
      </c>
      <c r="H575" s="8">
        <v>1129</v>
      </c>
      <c r="I575" s="178">
        <f>IF(G575=0,"0,00",(H575/G575)*100)</f>
        <v>101.34649910233394</v>
      </c>
      <c r="J575" s="7">
        <v>2834</v>
      </c>
      <c r="K575" s="8">
        <v>3274</v>
      </c>
      <c r="L575" s="8">
        <v>0</v>
      </c>
      <c r="M575" s="184">
        <f>IF(K575=0,"0,00",(L575/K575)*100)</f>
        <v>0</v>
      </c>
    </row>
    <row r="576" spans="1:13" ht="12.75">
      <c r="A576" s="83" t="s">
        <v>127</v>
      </c>
      <c r="B576" s="7">
        <v>6568</v>
      </c>
      <c r="C576" s="8">
        <f>2219+5316</f>
        <v>7535</v>
      </c>
      <c r="D576" s="8">
        <v>2279</v>
      </c>
      <c r="E576" s="155">
        <f>IF(C576=0,"0,00",(D576/C576)*100)</f>
        <v>30.24552090245521</v>
      </c>
      <c r="F576" s="9">
        <v>1543</v>
      </c>
      <c r="G576" s="10">
        <v>1716</v>
      </c>
      <c r="H576" s="8">
        <v>1879</v>
      </c>
      <c r="I576" s="178">
        <f>IF(G576=0,"0,00",(H576/G576)*100)</f>
        <v>109.49883449883451</v>
      </c>
      <c r="J576" s="7">
        <v>4506</v>
      </c>
      <c r="K576" s="8">
        <v>5316</v>
      </c>
      <c r="L576" s="8">
        <v>0</v>
      </c>
      <c r="M576" s="184">
        <f>IF(K576=0,"0,00",(L576/K576)*100)</f>
        <v>0</v>
      </c>
    </row>
    <row r="577" spans="1:13" ht="12.75">
      <c r="A577" s="44" t="s">
        <v>128</v>
      </c>
      <c r="B577" s="45">
        <v>4253</v>
      </c>
      <c r="C577" s="46">
        <f>1221+3183</f>
        <v>4404</v>
      </c>
      <c r="D577" s="46">
        <f>1252</f>
        <v>1252</v>
      </c>
      <c r="E577" s="161">
        <f>IF(C577=0,"0,00",(D577/C577)*100)</f>
        <v>28.428701180744774</v>
      </c>
      <c r="F577" s="45">
        <v>1055</v>
      </c>
      <c r="G577" s="46">
        <v>1025</v>
      </c>
      <c r="H577" s="46">
        <v>980</v>
      </c>
      <c r="I577" s="179">
        <f>IF(G577=0,"0,00",(H577/G577)*100)</f>
        <v>95.60975609756098</v>
      </c>
      <c r="J577" s="45">
        <v>2755</v>
      </c>
      <c r="K577" s="46">
        <v>3183</v>
      </c>
      <c r="L577" s="46">
        <v>0</v>
      </c>
      <c r="M577" s="186">
        <f>IF(K577=0,"0,00",(L577/K577)*100)</f>
        <v>0</v>
      </c>
    </row>
    <row r="578" spans="1:13" ht="13.5" thickBot="1">
      <c r="A578" s="69" t="s">
        <v>129</v>
      </c>
      <c r="B578" s="70">
        <v>6311</v>
      </c>
      <c r="C578" s="18">
        <f>2158+4636</f>
        <v>6794</v>
      </c>
      <c r="D578" s="18">
        <v>2229</v>
      </c>
      <c r="E578" s="157">
        <f>IF(C578=0,"0,00",(D578/C578)*100)</f>
        <v>32.80836031792758</v>
      </c>
      <c r="F578" s="71">
        <v>1552</v>
      </c>
      <c r="G578" s="72">
        <v>1738</v>
      </c>
      <c r="H578" s="18">
        <v>1780</v>
      </c>
      <c r="I578" s="162">
        <f>IF(G578=0,"0,00",(H578/G578)*100)</f>
        <v>102.41657077100115</v>
      </c>
      <c r="J578" s="70">
        <v>4326</v>
      </c>
      <c r="K578" s="18">
        <v>4636</v>
      </c>
      <c r="L578" s="18">
        <v>0</v>
      </c>
      <c r="M578" s="187">
        <f>IF(K578=0,"0,00",(L578/K578)*100)</f>
        <v>0</v>
      </c>
    </row>
    <row r="579" spans="1:13" ht="13.5" thickBot="1">
      <c r="A579" s="100"/>
      <c r="B579" s="101"/>
      <c r="C579" s="101"/>
      <c r="D579" s="101"/>
      <c r="E579" s="102"/>
      <c r="F579" s="101"/>
      <c r="G579" s="101"/>
      <c r="H579" s="101"/>
      <c r="I579" s="102"/>
      <c r="J579" s="101"/>
      <c r="K579" s="101"/>
      <c r="L579" s="101"/>
      <c r="M579" s="102"/>
    </row>
    <row r="580" spans="1:13" ht="13.5" thickBot="1">
      <c r="A580" s="40" t="s">
        <v>1</v>
      </c>
      <c r="B580" s="193" t="s">
        <v>66</v>
      </c>
      <c r="C580" s="194"/>
      <c r="D580" s="194"/>
      <c r="E580" s="195"/>
      <c r="F580" s="196" t="s">
        <v>5</v>
      </c>
      <c r="G580" s="197"/>
      <c r="H580" s="197"/>
      <c r="I580" s="198"/>
      <c r="J580" s="193" t="s">
        <v>85</v>
      </c>
      <c r="K580" s="194"/>
      <c r="L580" s="194"/>
      <c r="M580" s="195"/>
    </row>
    <row r="581" spans="1:13" ht="12.75">
      <c r="A581" s="6" t="s">
        <v>125</v>
      </c>
      <c r="B581" s="9">
        <f aca="true" t="shared" si="175" ref="B581:D585">B574-F574-J574</f>
        <v>974</v>
      </c>
      <c r="C581" s="10">
        <f t="shared" si="175"/>
        <v>769</v>
      </c>
      <c r="D581" s="8">
        <f t="shared" si="175"/>
        <v>770</v>
      </c>
      <c r="E581" s="155">
        <f>IF(C581=0,"0,00",(D581/C581)*100)</f>
        <v>100.13003901170352</v>
      </c>
      <c r="F581" s="9">
        <v>10138</v>
      </c>
      <c r="G581" s="8">
        <f>3611+7079</f>
        <v>10690</v>
      </c>
      <c r="H581" s="11">
        <v>3675</v>
      </c>
      <c r="I581" s="155">
        <f>IF(G581=0,"0,00",(H581/G581)*100)</f>
        <v>34.37792329279701</v>
      </c>
      <c r="J581" s="19">
        <v>1660</v>
      </c>
      <c r="K581" s="20">
        <f>1475+0</f>
        <v>1475</v>
      </c>
      <c r="L581" s="21">
        <v>1500</v>
      </c>
      <c r="M581" s="155">
        <f>IF(K581=0,"0,00",(L581/K581)*100)</f>
        <v>101.69491525423729</v>
      </c>
    </row>
    <row r="582" spans="1:13" ht="12.75">
      <c r="A582" s="6" t="s">
        <v>126</v>
      </c>
      <c r="B582" s="9">
        <f t="shared" si="175"/>
        <v>373</v>
      </c>
      <c r="C582" s="10">
        <f t="shared" si="175"/>
        <v>304</v>
      </c>
      <c r="D582" s="8">
        <f t="shared" si="175"/>
        <v>250</v>
      </c>
      <c r="E582" s="155">
        <f>IF(C582=0,"0,00",(D582/C582)*100)</f>
        <v>82.23684210526315</v>
      </c>
      <c r="F582" s="9">
        <v>4284</v>
      </c>
      <c r="G582" s="8">
        <f>1418+3274</f>
        <v>4692</v>
      </c>
      <c r="H582" s="11">
        <v>1379</v>
      </c>
      <c r="I582" s="155">
        <f>IF(G582=0,"0,00",(H582/G582)*100)</f>
        <v>29.39045183290708</v>
      </c>
      <c r="J582" s="19">
        <v>764</v>
      </c>
      <c r="K582" s="20">
        <v>729</v>
      </c>
      <c r="L582" s="21">
        <v>606</v>
      </c>
      <c r="M582" s="155">
        <f>IF(K582=0,"0,00",(L582/K582)*100)</f>
        <v>83.1275720164609</v>
      </c>
    </row>
    <row r="583" spans="1:13" ht="12.75">
      <c r="A583" s="83" t="s">
        <v>127</v>
      </c>
      <c r="B583" s="9">
        <f t="shared" si="175"/>
        <v>519</v>
      </c>
      <c r="C583" s="10">
        <f t="shared" si="175"/>
        <v>503</v>
      </c>
      <c r="D583" s="8">
        <f t="shared" si="175"/>
        <v>400</v>
      </c>
      <c r="E583" s="155">
        <f>IF(C583=0,"0,00",(D583/C583)*100)</f>
        <v>79.52286282306163</v>
      </c>
      <c r="F583" s="9">
        <v>6565</v>
      </c>
      <c r="G583" s="8">
        <f>2217+5316</f>
        <v>7533</v>
      </c>
      <c r="H583" s="11">
        <v>2279</v>
      </c>
      <c r="I583" s="155">
        <f>IF(G583=0,"0,00",(H583/G583)*100)</f>
        <v>30.253551042081504</v>
      </c>
      <c r="J583" s="19">
        <v>956</v>
      </c>
      <c r="K583" s="20">
        <f>945+0</f>
        <v>945</v>
      </c>
      <c r="L583" s="21">
        <v>1094</v>
      </c>
      <c r="M583" s="155">
        <f>IF(K583=0,"0,00",(L583/K583)*100)</f>
        <v>115.76719576719576</v>
      </c>
    </row>
    <row r="584" spans="1:13" ht="12.75">
      <c r="A584" s="44" t="s">
        <v>128</v>
      </c>
      <c r="B584" s="45">
        <f t="shared" si="175"/>
        <v>443</v>
      </c>
      <c r="C584" s="46">
        <f t="shared" si="175"/>
        <v>196</v>
      </c>
      <c r="D584" s="46">
        <f t="shared" si="175"/>
        <v>272</v>
      </c>
      <c r="E584" s="161">
        <f>IF(C584=0,"0,00",(D584/C584)*100)</f>
        <v>138.77551020408163</v>
      </c>
      <c r="F584" s="13">
        <v>4253</v>
      </c>
      <c r="G584" s="46">
        <f>1221+3183</f>
        <v>4404</v>
      </c>
      <c r="H584" s="66">
        <f>1252</f>
        <v>1252</v>
      </c>
      <c r="I584" s="161">
        <f>IF(G584=0,"0,00",(H584/G584)*100)</f>
        <v>28.428701180744774</v>
      </c>
      <c r="J584" s="13">
        <v>562</v>
      </c>
      <c r="K584" s="46">
        <f>522+0</f>
        <v>522</v>
      </c>
      <c r="L584" s="59">
        <v>553</v>
      </c>
      <c r="M584" s="161">
        <f>IF(K584=0,"0,00",(L584/K584)*100)</f>
        <v>105.93869731800767</v>
      </c>
    </row>
    <row r="585" spans="1:13" ht="13.5" thickBot="1">
      <c r="A585" s="69" t="s">
        <v>129</v>
      </c>
      <c r="B585" s="71">
        <f t="shared" si="175"/>
        <v>433</v>
      </c>
      <c r="C585" s="72">
        <f t="shared" si="175"/>
        <v>420</v>
      </c>
      <c r="D585" s="18">
        <f t="shared" si="175"/>
        <v>449</v>
      </c>
      <c r="E585" s="157">
        <f>IF(C585=0,"0,00",(D585/C585)*100)</f>
        <v>106.9047619047619</v>
      </c>
      <c r="F585" s="71">
        <v>6311</v>
      </c>
      <c r="G585" s="18">
        <f>2145+4649</f>
        <v>6794</v>
      </c>
      <c r="H585" s="73">
        <v>2229</v>
      </c>
      <c r="I585" s="157">
        <f>IF(G585=0,"0,00",(H585/G585)*100)</f>
        <v>32.80836031792758</v>
      </c>
      <c r="J585" s="74">
        <v>805</v>
      </c>
      <c r="K585" s="75">
        <f>971+4</f>
        <v>975</v>
      </c>
      <c r="L585" s="76">
        <v>860</v>
      </c>
      <c r="M585" s="157">
        <f>IF(K585=0,"0,00",(L585/K585)*100)</f>
        <v>88.2051282051282</v>
      </c>
    </row>
    <row r="586" spans="1:13" ht="13.5" thickBot="1">
      <c r="A586" s="100"/>
      <c r="B586" s="101"/>
      <c r="C586" s="101"/>
      <c r="D586" s="101"/>
      <c r="E586" s="102"/>
      <c r="F586" s="101"/>
      <c r="G586" s="101"/>
      <c r="H586" s="101"/>
      <c r="I586" s="102"/>
      <c r="J586" s="104"/>
      <c r="K586" s="104"/>
      <c r="L586" s="104"/>
      <c r="M586" s="102"/>
    </row>
    <row r="587" spans="1:13" ht="13.5" thickBot="1">
      <c r="A587" s="77" t="s">
        <v>1</v>
      </c>
      <c r="B587" s="193" t="s">
        <v>86</v>
      </c>
      <c r="C587" s="194"/>
      <c r="D587" s="194"/>
      <c r="E587" s="195"/>
      <c r="F587" s="193" t="s">
        <v>6</v>
      </c>
      <c r="G587" s="194"/>
      <c r="H587" s="194"/>
      <c r="I587" s="195"/>
      <c r="J587" s="196" t="s">
        <v>87</v>
      </c>
      <c r="K587" s="197"/>
      <c r="L587" s="197"/>
      <c r="M587" s="198"/>
    </row>
    <row r="588" spans="1:13" ht="12.75">
      <c r="A588" s="6" t="s">
        <v>125</v>
      </c>
      <c r="B588" s="9">
        <v>472</v>
      </c>
      <c r="C588" s="8">
        <v>542</v>
      </c>
      <c r="D588" s="11">
        <v>590</v>
      </c>
      <c r="E588" s="155">
        <f>IF(C588=0,"0,00",(D588/C588)*100)</f>
        <v>108.8560885608856</v>
      </c>
      <c r="F588" s="9">
        <v>581</v>
      </c>
      <c r="G588" s="8">
        <v>479</v>
      </c>
      <c r="H588" s="14">
        <v>400</v>
      </c>
      <c r="I588" s="178">
        <f>IF(G588=0,"0,00",(H588/G588)*100)</f>
        <v>83.50730688935282</v>
      </c>
      <c r="J588" s="9">
        <v>4635</v>
      </c>
      <c r="K588" s="8">
        <v>5144</v>
      </c>
      <c r="L588" s="8">
        <v>0</v>
      </c>
      <c r="M588" s="155">
        <f>IF(K588=0,"0,00",(L588/K588)*100)</f>
        <v>0</v>
      </c>
    </row>
    <row r="589" spans="1:13" ht="12.75">
      <c r="A589" s="6" t="s">
        <v>126</v>
      </c>
      <c r="B589" s="9">
        <v>153</v>
      </c>
      <c r="C589" s="8">
        <v>171</v>
      </c>
      <c r="D589" s="11">
        <v>200</v>
      </c>
      <c r="E589" s="155">
        <f>IF(C589=0,"0,00",(D589/C589)*100)</f>
        <v>116.95906432748538</v>
      </c>
      <c r="F589" s="9">
        <v>58</v>
      </c>
      <c r="G589" s="8">
        <v>71</v>
      </c>
      <c r="H589" s="14">
        <v>50</v>
      </c>
      <c r="I589" s="178">
        <f>IF(G589=0,"0,00",(H589/G589)*100)</f>
        <v>70.4225352112676</v>
      </c>
      <c r="J589" s="9">
        <v>2044</v>
      </c>
      <c r="K589" s="8">
        <v>2369</v>
      </c>
      <c r="L589" s="8">
        <v>0</v>
      </c>
      <c r="M589" s="155">
        <f>IF(K589=0,"0,00",(L589/K589)*100)</f>
        <v>0</v>
      </c>
    </row>
    <row r="590" spans="1:13" ht="12.75">
      <c r="A590" s="83" t="s">
        <v>127</v>
      </c>
      <c r="B590" s="9">
        <v>238</v>
      </c>
      <c r="C590" s="8">
        <v>273</v>
      </c>
      <c r="D590" s="11">
        <v>320</v>
      </c>
      <c r="E590" s="155">
        <f>IF(C590=0,"0,00",(D590/C590)*100)</f>
        <v>117.21611721611723</v>
      </c>
      <c r="F590" s="9">
        <v>221</v>
      </c>
      <c r="G590" s="8">
        <v>269</v>
      </c>
      <c r="H590" s="14">
        <v>150</v>
      </c>
      <c r="I590" s="178">
        <f>IF(G590=0,"0,00",(H590/G590)*100)</f>
        <v>55.762081784386616</v>
      </c>
      <c r="J590" s="9">
        <v>3264</v>
      </c>
      <c r="K590" s="8">
        <v>3863</v>
      </c>
      <c r="L590" s="8">
        <v>0</v>
      </c>
      <c r="M590" s="155">
        <f>IF(K590=0,"0,00",(L590/K590)*100)</f>
        <v>0</v>
      </c>
    </row>
    <row r="591" spans="1:13" ht="12.75">
      <c r="A591" s="44" t="s">
        <v>128</v>
      </c>
      <c r="B591" s="9">
        <v>141</v>
      </c>
      <c r="C591" s="8">
        <v>147</v>
      </c>
      <c r="D591" s="11">
        <v>170</v>
      </c>
      <c r="E591" s="155">
        <f>IF(C591=0,"0,00",(D591/C591)*100)</f>
        <v>115.64625850340136</v>
      </c>
      <c r="F591" s="9">
        <v>229</v>
      </c>
      <c r="G591" s="8">
        <v>62</v>
      </c>
      <c r="H591" s="14">
        <v>30</v>
      </c>
      <c r="I591" s="178">
        <f>IF(G591=0,"0,00",(H591/G591)*100)</f>
        <v>48.38709677419355</v>
      </c>
      <c r="J591" s="9">
        <v>1998</v>
      </c>
      <c r="K591" s="8">
        <v>2315</v>
      </c>
      <c r="L591" s="8">
        <v>0</v>
      </c>
      <c r="M591" s="155">
        <f>IF(K591=0,"0,00",(L591/K591)*100)</f>
        <v>0</v>
      </c>
    </row>
    <row r="592" spans="1:13" ht="13.5" thickBot="1">
      <c r="A592" s="69" t="s">
        <v>129</v>
      </c>
      <c r="B592" s="71">
        <v>355</v>
      </c>
      <c r="C592" s="18">
        <v>297</v>
      </c>
      <c r="D592" s="73">
        <v>400</v>
      </c>
      <c r="E592" s="157">
        <f>IF(C592=0,"0,00",(D592/C592)*100)</f>
        <v>134.6801346801347</v>
      </c>
      <c r="F592" s="71">
        <v>198</v>
      </c>
      <c r="G592" s="18">
        <v>108</v>
      </c>
      <c r="H592" s="22">
        <v>80</v>
      </c>
      <c r="I592" s="162">
        <f>IF(G592=0,"0,00",(H592/G592)*100)</f>
        <v>74.07407407407408</v>
      </c>
      <c r="J592" s="71">
        <v>3118</v>
      </c>
      <c r="K592" s="18">
        <v>3356</v>
      </c>
      <c r="L592" s="18">
        <v>0</v>
      </c>
      <c r="M592" s="157">
        <f>IF(K592=0,"0,00",(L592/K592)*100)</f>
        <v>0</v>
      </c>
    </row>
    <row r="593" spans="1:13" ht="13.5" thickBot="1">
      <c r="A593" s="100"/>
      <c r="B593" s="101"/>
      <c r="C593" s="101"/>
      <c r="D593" s="101"/>
      <c r="E593" s="102" t="str">
        <f>IF(C593=0," ",(D593/C593)*100)</f>
        <v> </v>
      </c>
      <c r="F593" s="101"/>
      <c r="G593" s="101"/>
      <c r="H593" s="101"/>
      <c r="I593" s="102" t="str">
        <f>IF(G593=0," ",(H593/G593)*100)</f>
        <v> </v>
      </c>
      <c r="J593" s="101"/>
      <c r="K593" s="101"/>
      <c r="L593" s="101"/>
      <c r="M593" s="102" t="str">
        <f>IF(K593=0," ",(L593/K593)*100)</f>
        <v> </v>
      </c>
    </row>
    <row r="594" spans="1:13" ht="13.5" thickBot="1">
      <c r="A594" s="77" t="s">
        <v>1</v>
      </c>
      <c r="B594" s="193" t="s">
        <v>7</v>
      </c>
      <c r="C594" s="194"/>
      <c r="D594" s="194"/>
      <c r="E594" s="195"/>
      <c r="F594" s="196" t="s">
        <v>8</v>
      </c>
      <c r="G594" s="197"/>
      <c r="H594" s="197"/>
      <c r="I594" s="198"/>
      <c r="J594" s="199"/>
      <c r="K594" s="200"/>
      <c r="L594" s="200"/>
      <c r="M594" s="200"/>
    </row>
    <row r="595" spans="1:13" ht="12.75">
      <c r="A595" s="6" t="s">
        <v>125</v>
      </c>
      <c r="B595" s="9">
        <v>236</v>
      </c>
      <c r="C595" s="8">
        <v>266</v>
      </c>
      <c r="D595" s="11">
        <v>283</v>
      </c>
      <c r="E595" s="155">
        <f>IF(C595=0,"0,00",(D595/C595)*100)</f>
        <v>106.39097744360902</v>
      </c>
      <c r="F595" s="9">
        <f aca="true" t="shared" si="176" ref="F595:H599">B574-F581</f>
        <v>12</v>
      </c>
      <c r="G595" s="8">
        <f t="shared" si="176"/>
        <v>0</v>
      </c>
      <c r="H595" s="14">
        <f>D574-H581</f>
        <v>0</v>
      </c>
      <c r="I595" s="178" t="str">
        <f>IF(G595=0,"0,00",(H595/G595)*100)</f>
        <v>0,00</v>
      </c>
      <c r="J595" s="105"/>
      <c r="K595" s="106"/>
      <c r="L595" s="106"/>
      <c r="M595" s="106"/>
    </row>
    <row r="596" spans="1:13" ht="12.75">
      <c r="A596" s="6" t="s">
        <v>126</v>
      </c>
      <c r="B596" s="9">
        <v>88</v>
      </c>
      <c r="C596" s="8">
        <v>90</v>
      </c>
      <c r="D596" s="11">
        <v>87</v>
      </c>
      <c r="E596" s="155">
        <f>IF(C596=0,"0,00",(D596/C596)*100)</f>
        <v>96.66666666666667</v>
      </c>
      <c r="F596" s="9">
        <f t="shared" si="176"/>
        <v>0</v>
      </c>
      <c r="G596" s="8">
        <f t="shared" si="176"/>
        <v>0</v>
      </c>
      <c r="H596" s="14">
        <f t="shared" si="176"/>
        <v>0</v>
      </c>
      <c r="I596" s="178" t="str">
        <f>IF(G596=0,"0,00",(H596/G596)*100)</f>
        <v>0,00</v>
      </c>
      <c r="J596" s="105"/>
      <c r="K596" s="106"/>
      <c r="L596" s="106"/>
      <c r="M596" s="106"/>
    </row>
    <row r="597" spans="1:13" ht="12.75">
      <c r="A597" s="83" t="s">
        <v>127</v>
      </c>
      <c r="B597" s="9">
        <v>107</v>
      </c>
      <c r="C597" s="8">
        <v>106</v>
      </c>
      <c r="D597" s="11">
        <v>111</v>
      </c>
      <c r="E597" s="155">
        <f>IF(C597=0,"0,00",(D597/C597)*100)</f>
        <v>104.71698113207549</v>
      </c>
      <c r="F597" s="9">
        <f t="shared" si="176"/>
        <v>3</v>
      </c>
      <c r="G597" s="8">
        <f t="shared" si="176"/>
        <v>2</v>
      </c>
      <c r="H597" s="14">
        <f t="shared" si="176"/>
        <v>0</v>
      </c>
      <c r="I597" s="178">
        <f>IF(G597=0,"0,00",(H597/G597)*100)</f>
        <v>0</v>
      </c>
      <c r="J597" s="105"/>
      <c r="K597" s="106"/>
      <c r="L597" s="106"/>
      <c r="M597" s="106"/>
    </row>
    <row r="598" spans="1:13" ht="12.75">
      <c r="A598" s="44" t="s">
        <v>128</v>
      </c>
      <c r="B598" s="9">
        <v>102</v>
      </c>
      <c r="C598" s="8">
        <v>96</v>
      </c>
      <c r="D598" s="11">
        <v>35</v>
      </c>
      <c r="E598" s="155">
        <f>IF(C598=0,"0,00",(D598/C598)*100)</f>
        <v>36.45833333333333</v>
      </c>
      <c r="F598" s="9">
        <f t="shared" si="176"/>
        <v>0</v>
      </c>
      <c r="G598" s="8">
        <f t="shared" si="176"/>
        <v>0</v>
      </c>
      <c r="H598" s="14">
        <f t="shared" si="176"/>
        <v>0</v>
      </c>
      <c r="I598" s="178" t="str">
        <f>IF(G598=0,"0,00",(H598/G598)*100)</f>
        <v>0,00</v>
      </c>
      <c r="J598" s="85"/>
      <c r="K598" s="91"/>
      <c r="L598" s="91"/>
      <c r="M598" s="103"/>
    </row>
    <row r="599" spans="1:13" ht="13.5" thickBot="1">
      <c r="A599" s="69" t="s">
        <v>129</v>
      </c>
      <c r="B599" s="71">
        <v>137</v>
      </c>
      <c r="C599" s="18">
        <v>175</v>
      </c>
      <c r="D599" s="73">
        <v>167</v>
      </c>
      <c r="E599" s="157">
        <f>IF(C599=0,"0,00",(D599/C599)*100)</f>
        <v>95.42857142857143</v>
      </c>
      <c r="F599" s="71">
        <f t="shared" si="176"/>
        <v>0</v>
      </c>
      <c r="G599" s="18">
        <f t="shared" si="176"/>
        <v>0</v>
      </c>
      <c r="H599" s="22">
        <f>D578-H585</f>
        <v>0</v>
      </c>
      <c r="I599" s="162" t="str">
        <f>IF(G599=0,"0,00",(H599/G599)*100)</f>
        <v>0,00</v>
      </c>
      <c r="J599" s="85"/>
      <c r="K599" s="91"/>
      <c r="L599" s="91"/>
      <c r="M599" s="103"/>
    </row>
    <row r="600" spans="1:13" ht="12.75">
      <c r="A600" s="100"/>
      <c r="B600" s="101"/>
      <c r="C600" s="101"/>
      <c r="D600" s="101"/>
      <c r="E600" s="102"/>
      <c r="F600" s="101"/>
      <c r="G600" s="101"/>
      <c r="H600" s="101"/>
      <c r="I600" s="102"/>
      <c r="J600" s="91"/>
      <c r="K600" s="91"/>
      <c r="L600" s="91"/>
      <c r="M600" s="103"/>
    </row>
    <row r="601" spans="1:13" ht="12.75">
      <c r="A601" s="54"/>
      <c r="B601" s="91"/>
      <c r="C601" s="91"/>
      <c r="D601" s="91"/>
      <c r="E601" s="103"/>
      <c r="F601" s="91"/>
      <c r="G601" s="91"/>
      <c r="H601" s="91"/>
      <c r="I601" s="103"/>
      <c r="J601" s="91"/>
      <c r="K601" s="91"/>
      <c r="L601" s="91"/>
      <c r="M601" s="103"/>
    </row>
    <row r="602" spans="1:13" ht="12.75">
      <c r="A602" s="54"/>
      <c r="B602" s="91"/>
      <c r="C602" s="91"/>
      <c r="D602" s="91"/>
      <c r="E602" s="103"/>
      <c r="F602" s="91"/>
      <c r="G602" s="91"/>
      <c r="H602" s="91"/>
      <c r="I602" s="103"/>
      <c r="J602" s="91"/>
      <c r="K602" s="91"/>
      <c r="L602" s="91"/>
      <c r="M602" s="103"/>
    </row>
    <row r="603" spans="1:13" ht="12.75">
      <c r="A603" s="111"/>
      <c r="B603" s="108"/>
      <c r="C603" s="108"/>
      <c r="D603" s="108"/>
      <c r="E603" s="109"/>
      <c r="F603" s="108"/>
      <c r="G603" s="108"/>
      <c r="H603" s="108"/>
      <c r="I603" s="109"/>
      <c r="J603" s="108"/>
      <c r="K603" s="108"/>
      <c r="L603" s="108"/>
      <c r="M603" s="109"/>
    </row>
    <row r="604" spans="1:13" ht="12.75">
      <c r="A604" s="54"/>
      <c r="B604" s="91"/>
      <c r="C604" s="91"/>
      <c r="D604" s="91"/>
      <c r="E604" s="103"/>
      <c r="F604" s="91"/>
      <c r="G604" s="91"/>
      <c r="H604" s="91"/>
      <c r="I604" s="103"/>
      <c r="J604" s="91"/>
      <c r="K604" s="91"/>
      <c r="L604" s="91"/>
      <c r="M604" s="103"/>
    </row>
    <row r="605" spans="1:13" ht="12.75">
      <c r="A605" s="54"/>
      <c r="B605" s="91"/>
      <c r="C605" s="91"/>
      <c r="D605" s="91"/>
      <c r="E605" s="103"/>
      <c r="F605" s="91"/>
      <c r="G605" s="91"/>
      <c r="H605" s="91"/>
      <c r="I605" s="103"/>
      <c r="J605" s="91"/>
      <c r="K605" s="91"/>
      <c r="L605" s="91"/>
      <c r="M605" s="103"/>
    </row>
  </sheetData>
  <mergeCells count="168">
    <mergeCell ref="A473:A475"/>
    <mergeCell ref="A524:A526"/>
    <mergeCell ref="A571:A573"/>
    <mergeCell ref="A218:A220"/>
    <mergeCell ref="A273:A275"/>
    <mergeCell ref="A328:A330"/>
    <mergeCell ref="A373:A375"/>
    <mergeCell ref="A420:M420"/>
    <mergeCell ref="B422:E422"/>
    <mergeCell ref="F422:I422"/>
    <mergeCell ref="A5:A7"/>
    <mergeCell ref="A56:A58"/>
    <mergeCell ref="A108:A110"/>
    <mergeCell ref="A163:A165"/>
    <mergeCell ref="B350:E350"/>
    <mergeCell ref="F191:I191"/>
    <mergeCell ref="J191:M191"/>
    <mergeCell ref="F350:I350"/>
    <mergeCell ref="J350:M350"/>
    <mergeCell ref="F246:I246"/>
    <mergeCell ref="J246:M246"/>
    <mergeCell ref="A216:M216"/>
    <mergeCell ref="B218:E218"/>
    <mergeCell ref="F218:I218"/>
    <mergeCell ref="J5:M5"/>
    <mergeCell ref="J31:M31"/>
    <mergeCell ref="J56:M56"/>
    <mergeCell ref="J70:M70"/>
    <mergeCell ref="J19:M19"/>
    <mergeCell ref="J163:M163"/>
    <mergeCell ref="J178:M178"/>
    <mergeCell ref="F178:I178"/>
    <mergeCell ref="A54:M54"/>
    <mergeCell ref="A106:M106"/>
    <mergeCell ref="A161:M161"/>
    <mergeCell ref="B82:E82"/>
    <mergeCell ref="F82:I82"/>
    <mergeCell ref="J82:M82"/>
    <mergeCell ref="J108:M108"/>
    <mergeCell ref="J422:M422"/>
    <mergeCell ref="A422:A424"/>
    <mergeCell ref="F5:I5"/>
    <mergeCell ref="F56:I56"/>
    <mergeCell ref="B70:E70"/>
    <mergeCell ref="B43:E43"/>
    <mergeCell ref="F43:I43"/>
    <mergeCell ref="F70:I70"/>
    <mergeCell ref="B5:E5"/>
    <mergeCell ref="B56:E56"/>
    <mergeCell ref="B19:E19"/>
    <mergeCell ref="F19:I19"/>
    <mergeCell ref="B108:E108"/>
    <mergeCell ref="B31:E31"/>
    <mergeCell ref="F108:I108"/>
    <mergeCell ref="B94:E94"/>
    <mergeCell ref="B163:E163"/>
    <mergeCell ref="F31:I31"/>
    <mergeCell ref="F163:I163"/>
    <mergeCell ref="J149:M149"/>
    <mergeCell ref="F136:I136"/>
    <mergeCell ref="J136:M136"/>
    <mergeCell ref="F123:I123"/>
    <mergeCell ref="J94:M94"/>
    <mergeCell ref="J43:M43"/>
    <mergeCell ref="F94:I94"/>
    <mergeCell ref="J123:M123"/>
    <mergeCell ref="B123:E123"/>
    <mergeCell ref="B136:E136"/>
    <mergeCell ref="F204:I204"/>
    <mergeCell ref="J204:M204"/>
    <mergeCell ref="B178:E178"/>
    <mergeCell ref="B204:E204"/>
    <mergeCell ref="B191:E191"/>
    <mergeCell ref="B149:E149"/>
    <mergeCell ref="F149:I149"/>
    <mergeCell ref="J218:M218"/>
    <mergeCell ref="F233:I233"/>
    <mergeCell ref="J233:M233"/>
    <mergeCell ref="B259:E259"/>
    <mergeCell ref="F259:I259"/>
    <mergeCell ref="J259:M259"/>
    <mergeCell ref="B246:E246"/>
    <mergeCell ref="B233:E233"/>
    <mergeCell ref="A271:M271"/>
    <mergeCell ref="B273:E273"/>
    <mergeCell ref="F273:I273"/>
    <mergeCell ref="J273:M273"/>
    <mergeCell ref="B288:E288"/>
    <mergeCell ref="F288:I288"/>
    <mergeCell ref="J288:M288"/>
    <mergeCell ref="B301:E301"/>
    <mergeCell ref="F301:I301"/>
    <mergeCell ref="J301:M301"/>
    <mergeCell ref="B314:E314"/>
    <mergeCell ref="F314:I314"/>
    <mergeCell ref="J314:M314"/>
    <mergeCell ref="A326:M326"/>
    <mergeCell ref="B328:E328"/>
    <mergeCell ref="F328:I328"/>
    <mergeCell ref="J328:M328"/>
    <mergeCell ref="B340:E340"/>
    <mergeCell ref="F340:I340"/>
    <mergeCell ref="J340:M340"/>
    <mergeCell ref="B360:E360"/>
    <mergeCell ref="F360:I360"/>
    <mergeCell ref="J360:M360"/>
    <mergeCell ref="A371:M371"/>
    <mergeCell ref="B373:E373"/>
    <mergeCell ref="F373:I373"/>
    <mergeCell ref="J373:M373"/>
    <mergeCell ref="B386:E386"/>
    <mergeCell ref="F386:I386"/>
    <mergeCell ref="J386:M386"/>
    <mergeCell ref="B397:E397"/>
    <mergeCell ref="F397:I397"/>
    <mergeCell ref="J397:M397"/>
    <mergeCell ref="B408:E408"/>
    <mergeCell ref="F408:I408"/>
    <mergeCell ref="J408:M408"/>
    <mergeCell ref="B436:E436"/>
    <mergeCell ref="F436:I436"/>
    <mergeCell ref="J436:M436"/>
    <mergeCell ref="B448:E448"/>
    <mergeCell ref="F448:I448"/>
    <mergeCell ref="J448:M448"/>
    <mergeCell ref="B460:E460"/>
    <mergeCell ref="F460:I460"/>
    <mergeCell ref="J460:M460"/>
    <mergeCell ref="A471:M471"/>
    <mergeCell ref="B473:E473"/>
    <mergeCell ref="F473:I473"/>
    <mergeCell ref="J473:M473"/>
    <mergeCell ref="B487:E487"/>
    <mergeCell ref="F487:I487"/>
    <mergeCell ref="J487:M487"/>
    <mergeCell ref="B499:E499"/>
    <mergeCell ref="F499:I499"/>
    <mergeCell ref="J499:M499"/>
    <mergeCell ref="B511:E511"/>
    <mergeCell ref="F511:I511"/>
    <mergeCell ref="J511:M511"/>
    <mergeCell ref="A522:M522"/>
    <mergeCell ref="B524:E524"/>
    <mergeCell ref="F524:I524"/>
    <mergeCell ref="J524:M524"/>
    <mergeCell ref="J537:M537"/>
    <mergeCell ref="B548:E548"/>
    <mergeCell ref="F548:I548"/>
    <mergeCell ref="J548:M548"/>
    <mergeCell ref="B594:E594"/>
    <mergeCell ref="F594:I594"/>
    <mergeCell ref="J594:M594"/>
    <mergeCell ref="B571:E571"/>
    <mergeCell ref="F571:I571"/>
    <mergeCell ref="J571:M571"/>
    <mergeCell ref="B580:E580"/>
    <mergeCell ref="F580:I580"/>
    <mergeCell ref="J580:M580"/>
    <mergeCell ref="L3:M3"/>
    <mergeCell ref="B587:E587"/>
    <mergeCell ref="F587:I587"/>
    <mergeCell ref="J587:M587"/>
    <mergeCell ref="B559:E559"/>
    <mergeCell ref="F559:I559"/>
    <mergeCell ref="J559:M559"/>
    <mergeCell ref="A569:M569"/>
    <mergeCell ref="B537:E537"/>
    <mergeCell ref="F537:I537"/>
  </mergeCells>
  <printOptions horizontalCentered="1"/>
  <pageMargins left="0.35433070866141736" right="0.35433070866141736" top="0.1968503937007874" bottom="0.1968503937007874" header="0.5118110236220472" footer="0.03937007874015748"/>
  <pageSetup horizontalDpi="600" verticalDpi="600" orientation="landscape" paperSize="9" scale="78" r:id="rId1"/>
  <headerFooter alignWithMargins="0">
    <oddFooter>&amp;C &amp;P</oddFooter>
  </headerFooter>
  <rowBreaks count="11" manualBreakCount="11">
    <brk id="53" max="12" man="1"/>
    <brk id="105" max="12" man="1"/>
    <brk id="160" max="12" man="1"/>
    <brk id="215" max="12" man="1"/>
    <brk id="270" max="12" man="1"/>
    <brk id="325" max="12" man="1"/>
    <brk id="370" max="12" man="1"/>
    <brk id="419" max="12" man="1"/>
    <brk id="470" max="12" man="1"/>
    <brk id="521" max="12" man="1"/>
    <brk id="5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2006-03-01T08:41:51Z</cp:lastPrinted>
  <dcterms:created xsi:type="dcterms:W3CDTF">2002-01-30T15:48:46Z</dcterms:created>
  <dcterms:modified xsi:type="dcterms:W3CDTF">2006-03-02T12:40:15Z</dcterms:modified>
  <cp:category/>
  <cp:version/>
  <cp:contentType/>
  <cp:contentStatus/>
</cp:coreProperties>
</file>