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Dcentrum" sheetId="1" r:id="rId1"/>
    <sheet name="DDomov" sheetId="2" r:id="rId2"/>
  </sheets>
  <definedNames/>
  <calcPr fullCalcOnLoad="1"/>
</workbook>
</file>

<file path=xl/sharedStrings.xml><?xml version="1.0" encoding="utf-8"?>
<sst xmlns="http://schemas.openxmlformats.org/spreadsheetml/2006/main" count="247" uniqueCount="95">
  <si>
    <t>ostatní</t>
  </si>
  <si>
    <t>tržby od ZP</t>
  </si>
  <si>
    <t>prov dotace</t>
  </si>
  <si>
    <t>celkem</t>
  </si>
  <si>
    <t>další plat</t>
  </si>
  <si>
    <t>lékaři</t>
  </si>
  <si>
    <t>SZP</t>
  </si>
  <si>
    <t>THP</t>
  </si>
  <si>
    <t>dělníci</t>
  </si>
  <si>
    <t>tarifní plat</t>
  </si>
  <si>
    <t>příplatek za zastupování</t>
  </si>
  <si>
    <t>zvláštní příplatek</t>
  </si>
  <si>
    <t>příplatek za SO+NE</t>
  </si>
  <si>
    <t>príplatek za svátek</t>
  </si>
  <si>
    <t>príplatek za noc</t>
  </si>
  <si>
    <t>príplatek za dělenou směnu</t>
  </si>
  <si>
    <t>osobní příplatek</t>
  </si>
  <si>
    <t>mzdy celkem</t>
  </si>
  <si>
    <t>příplatky celkem</t>
  </si>
  <si>
    <t>náhrady mzdy</t>
  </si>
  <si>
    <t>odměny a prémie</t>
  </si>
  <si>
    <t>odměny za pohotovost</t>
  </si>
  <si>
    <t>přesčasy</t>
  </si>
  <si>
    <t>příplatek za vedení</t>
  </si>
  <si>
    <t>výnosy celkem</t>
  </si>
  <si>
    <t>celkové náklady</t>
  </si>
  <si>
    <t>náklady na energii</t>
  </si>
  <si>
    <t>náklady na služby</t>
  </si>
  <si>
    <t>osobní náklady</t>
  </si>
  <si>
    <t xml:space="preserve">ostatní náklady </t>
  </si>
  <si>
    <t xml:space="preserve">    z toho odpisy</t>
  </si>
  <si>
    <t xml:space="preserve">Hospodářský výsledek </t>
  </si>
  <si>
    <t xml:space="preserve">   z toho mzdy</t>
  </si>
  <si>
    <t xml:space="preserve">   z toho OON</t>
  </si>
  <si>
    <t xml:space="preserve">   z toho platy</t>
  </si>
  <si>
    <t>průměrný přepočtený počet</t>
  </si>
  <si>
    <t>Rozdíl celkem</t>
  </si>
  <si>
    <t>průměrný tarifní plat</t>
  </si>
  <si>
    <t>průměrné příplatky</t>
  </si>
  <si>
    <t>průměrný plat zaměstnanců</t>
  </si>
  <si>
    <t>Běžný účet celkem</t>
  </si>
  <si>
    <t>z toho: fond odměn</t>
  </si>
  <si>
    <t xml:space="preserve">          rezervní fond</t>
  </si>
  <si>
    <t xml:space="preserve">          investiční fond</t>
  </si>
  <si>
    <t>Běžný účet FKSP</t>
  </si>
  <si>
    <t xml:space="preserve">          provozní prostř.</t>
  </si>
  <si>
    <t>-</t>
  </si>
  <si>
    <t>Celkem</t>
  </si>
  <si>
    <t>Rozbor mzdových nákladů v Kč</t>
  </si>
  <si>
    <t>Hospodaření v tis. Kč</t>
  </si>
  <si>
    <t>Fondy v tis. Kč</t>
  </si>
  <si>
    <t>Stav k 1.1.2002</t>
  </si>
  <si>
    <t>Čerpání</t>
  </si>
  <si>
    <t>Stav k 31.12.2002</t>
  </si>
  <si>
    <t>Účetní stav 2002</t>
  </si>
  <si>
    <t>Zůstatek účtu k 31.12.2002</t>
  </si>
  <si>
    <t>Tvorba</t>
  </si>
  <si>
    <t>Zůstatek účtu k 31.12.2003</t>
  </si>
  <si>
    <t>Účetní stav 2003</t>
  </si>
  <si>
    <t>Stav k 1.1.2003</t>
  </si>
  <si>
    <t>Stav k 31.12.2003</t>
  </si>
  <si>
    <t>Komentář:</t>
  </si>
  <si>
    <t xml:space="preserve">   z toho opravy</t>
  </si>
  <si>
    <t>deficit 2002</t>
  </si>
  <si>
    <t>deficit 2003</t>
  </si>
  <si>
    <t>Rozdíl mezi stavem b.účtu a účetním stavem</t>
  </si>
  <si>
    <t>náklady na materiál</t>
  </si>
  <si>
    <t>do 30 dnů</t>
  </si>
  <si>
    <t>31-90</t>
  </si>
  <si>
    <t>91-180</t>
  </si>
  <si>
    <t>181-360</t>
  </si>
  <si>
    <t>nad 360</t>
  </si>
  <si>
    <t>K datu</t>
  </si>
  <si>
    <t>Pohledávky po lhůtě splatnosti</t>
  </si>
  <si>
    <t>Závazky po lhůtě splatnosti</t>
  </si>
  <si>
    <t>Rozdíl 2002/2001</t>
  </si>
  <si>
    <t>Rozdíl 2003/2002</t>
  </si>
  <si>
    <t>Podíl spotřeby mat. a energie</t>
  </si>
  <si>
    <t>Podíl dotací na výnosech</t>
  </si>
  <si>
    <t>Podíl odpisů na celkových nákladech</t>
  </si>
  <si>
    <t>Míra soběstačnosti</t>
  </si>
  <si>
    <t>Přehled ukazatelů</t>
  </si>
  <si>
    <t>Podíl osobních nákladů na celkových nákladech</t>
  </si>
  <si>
    <t>Ztráta minulých let</t>
  </si>
  <si>
    <t>plat při výkonu jiné práce</t>
  </si>
  <si>
    <t>jiní SŠ</t>
  </si>
  <si>
    <t>jiní VŠ</t>
  </si>
  <si>
    <t>tržby z prodeje služeb</t>
  </si>
  <si>
    <t>NZP a PZP</t>
  </si>
  <si>
    <t>Poměr osobních nákladů a výnosů</t>
  </si>
  <si>
    <t>Provozní dotace tvoří víc než 90% výnosů - organizace není napojena na systém zdravotního pojištění, je financována dotcemi od zřizovatele. Její hospodaření je vyrovnané.</t>
  </si>
  <si>
    <t>Dětské centrun Jihlava má kapacitu 42 lůžek pro děti  a 2 lůžka pro matky, které je doprovázejí. Pracuje se v nepřetržitém provozu.  Cílem je zajistit péči o ohrožené a postižené děti  ve věku od 0 do 3 let. Hospodaření organizace je vyrovnané, organizace není napojena na systém zdravotního pojištění, provoz je zajištěn dotacemi od zřizovatele. Rok 2003 skončil i díky finančním darům se ziskem 124 tis. Kč</t>
  </si>
  <si>
    <t>Dětské centrum Jihlava, příspěvková organizace</t>
  </si>
  <si>
    <t>Dětský domov Kamenice nad Lipou, příspěvková organizace</t>
  </si>
  <si>
    <t>Rozdíl 2004/2003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</si>
</sst>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.25"/>
      <name val="Arial CE"/>
      <family val="2"/>
    </font>
    <font>
      <b/>
      <sz val="9.75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25"/>
      <name val="Arial CE"/>
      <family val="0"/>
    </font>
    <font>
      <sz val="4.25"/>
      <name val="Arial CE"/>
      <family val="2"/>
    </font>
    <font>
      <b/>
      <sz val="5.25"/>
      <name val="Arial CE"/>
      <family val="2"/>
    </font>
    <font>
      <b/>
      <sz val="10.25"/>
      <name val="Arial CE"/>
      <family val="0"/>
    </font>
    <font>
      <sz val="8.5"/>
      <name val="Arial CE"/>
      <family val="0"/>
    </font>
    <font>
      <b/>
      <sz val="8.25"/>
      <name val="Arial CE"/>
      <family val="2"/>
    </font>
    <font>
      <sz val="9.25"/>
      <name val="Arial CE"/>
      <family val="0"/>
    </font>
    <font>
      <sz val="12"/>
      <name val="Arial CE"/>
      <family val="0"/>
    </font>
    <font>
      <sz val="11.5"/>
      <name val="Arial CE"/>
      <family val="0"/>
    </font>
    <font>
      <b/>
      <sz val="7.75"/>
      <name val="Arial CE"/>
      <family val="2"/>
    </font>
    <font>
      <b/>
      <sz val="10.75"/>
      <name val="Arial CE"/>
      <family val="0"/>
    </font>
    <font>
      <sz val="4.5"/>
      <name val="Arial CE"/>
      <family val="2"/>
    </font>
    <font>
      <b/>
      <sz val="5.5"/>
      <name val="Arial CE"/>
      <family val="2"/>
    </font>
    <font>
      <b/>
      <sz val="11.5"/>
      <name val="Arial CE"/>
      <family val="0"/>
    </font>
    <font>
      <sz val="9.5"/>
      <name val="Arial CE"/>
      <family val="0"/>
    </font>
    <font>
      <sz val="11"/>
      <name val="Arial CE"/>
      <family val="0"/>
    </font>
    <font>
      <sz val="10.75"/>
      <name val="Arial CE"/>
      <family val="0"/>
    </font>
    <font>
      <sz val="11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26" xfId="0" applyNumberFormat="1" applyFont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3" fillId="2" borderId="3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33" xfId="0" applyNumberFormat="1" applyFont="1" applyFill="1" applyBorder="1" applyAlignment="1">
      <alignment vertical="center"/>
    </xf>
    <xf numFmtId="4" fontId="3" fillId="2" borderId="34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36" xfId="0" applyNumberFormat="1" applyFont="1" applyFill="1" applyBorder="1" applyAlignment="1">
      <alignment vertical="center"/>
    </xf>
    <xf numFmtId="4" fontId="3" fillId="2" borderId="37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8" xfId="0" applyNumberFormat="1" applyFont="1" applyBorder="1" applyAlignment="1" quotePrefix="1">
      <alignment horizontal="center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 quotePrefix="1">
      <alignment horizontal="center"/>
    </xf>
    <xf numFmtId="3" fontId="2" fillId="0" borderId="47" xfId="0" applyNumberFormat="1" applyFont="1" applyBorder="1" applyAlignment="1" quotePrefix="1">
      <alignment horizontal="center"/>
    </xf>
    <xf numFmtId="3" fontId="2" fillId="0" borderId="48" xfId="0" applyNumberFormat="1" applyFont="1" applyBorder="1" applyAlignment="1">
      <alignment/>
    </xf>
    <xf numFmtId="3" fontId="2" fillId="0" borderId="43" xfId="0" applyNumberFormat="1" applyFont="1" applyBorder="1" applyAlignment="1" quotePrefix="1">
      <alignment horizontal="center"/>
    </xf>
    <xf numFmtId="3" fontId="3" fillId="0" borderId="33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32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 quotePrefix="1">
      <alignment horizontal="center"/>
    </xf>
    <xf numFmtId="0" fontId="4" fillId="2" borderId="49" xfId="0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3" fillId="2" borderId="51" xfId="0" applyNumberFormat="1" applyFont="1" applyFill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2" borderId="52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vertical="center"/>
    </xf>
    <xf numFmtId="14" fontId="4" fillId="0" borderId="29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4" fontId="4" fillId="0" borderId="38" xfId="0" applyNumberFormat="1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horizontal="center" vertical="center"/>
    </xf>
    <xf numFmtId="3" fontId="2" fillId="2" borderId="58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0" fontId="4" fillId="0" borderId="48" xfId="0" applyNumberFormat="1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0" fontId="4" fillId="0" borderId="39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0" fontId="4" fillId="0" borderId="34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3" fontId="2" fillId="2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Border="1" applyAlignment="1">
      <alignment vertical="center"/>
    </xf>
    <xf numFmtId="3" fontId="3" fillId="2" borderId="6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 wrapText="1"/>
    </xf>
    <xf numFmtId="3" fontId="12" fillId="2" borderId="37" xfId="0" applyNumberFormat="1" applyFont="1" applyFill="1" applyBorder="1" applyAlignment="1">
      <alignment vertical="center" wrapText="1"/>
    </xf>
    <xf numFmtId="3" fontId="12" fillId="2" borderId="29" xfId="0" applyNumberFormat="1" applyFont="1" applyFill="1" applyBorder="1" applyAlignment="1">
      <alignment vertical="center" wrapText="1"/>
    </xf>
    <xf numFmtId="3" fontId="12" fillId="2" borderId="38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 horizontal="center" vertical="center" wrapText="1"/>
    </xf>
    <xf numFmtId="4" fontId="3" fillId="2" borderId="64" xfId="0" applyNumberFormat="1" applyFont="1" applyFill="1" applyBorder="1" applyAlignment="1">
      <alignment vertical="center"/>
    </xf>
    <xf numFmtId="4" fontId="3" fillId="2" borderId="54" xfId="0" applyNumberFormat="1" applyFont="1" applyFill="1" applyBorder="1" applyAlignment="1">
      <alignment vertical="center"/>
    </xf>
    <xf numFmtId="4" fontId="3" fillId="2" borderId="65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 wrapText="1"/>
    </xf>
    <xf numFmtId="3" fontId="3" fillId="0" borderId="66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67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2" borderId="68" xfId="0" applyNumberFormat="1" applyFont="1" applyFill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3" fillId="0" borderId="69" xfId="0" applyNumberFormat="1" applyFont="1" applyBorder="1" applyAlignment="1">
      <alignment vertical="center" wrapText="1"/>
    </xf>
    <xf numFmtId="3" fontId="3" fillId="0" borderId="70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3" fontId="12" fillId="0" borderId="43" xfId="0" applyNumberFormat="1" applyFont="1" applyFill="1" applyBorder="1" applyAlignment="1">
      <alignment vertical="center" wrapText="1"/>
    </xf>
    <xf numFmtId="3" fontId="12" fillId="2" borderId="55" xfId="0" applyNumberFormat="1" applyFont="1" applyFill="1" applyBorder="1" applyAlignment="1">
      <alignment vertical="center" wrapText="1"/>
    </xf>
    <xf numFmtId="3" fontId="3" fillId="2" borderId="35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2" fillId="2" borderId="44" xfId="0" applyNumberFormat="1" applyFont="1" applyFill="1" applyBorder="1" applyAlignment="1">
      <alignment vertical="center" wrapText="1"/>
    </xf>
    <xf numFmtId="3" fontId="3" fillId="2" borderId="36" xfId="0" applyNumberFormat="1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vertical="center"/>
    </xf>
    <xf numFmtId="3" fontId="3" fillId="2" borderId="34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2" borderId="66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2" borderId="51" xfId="0" applyNumberFormat="1" applyFont="1" applyFill="1" applyBorder="1" applyAlignment="1">
      <alignment horizontal="center" vertical="center"/>
    </xf>
    <xf numFmtId="3" fontId="3" fillId="0" borderId="71" xfId="0" applyNumberFormat="1" applyFont="1" applyBorder="1" applyAlignment="1">
      <alignment vertical="center"/>
    </xf>
    <xf numFmtId="3" fontId="3" fillId="2" borderId="72" xfId="0" applyNumberFormat="1" applyFont="1" applyFill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4" fontId="3" fillId="2" borderId="49" xfId="0" applyNumberFormat="1" applyFont="1" applyFill="1" applyBorder="1" applyAlignment="1">
      <alignment vertical="center"/>
    </xf>
    <xf numFmtId="4" fontId="3" fillId="2" borderId="39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4" fillId="2" borderId="49" xfId="0" applyFont="1" applyFill="1" applyBorder="1" applyAlignment="1">
      <alignment horizontal="center" vertical="center" wrapText="1"/>
    </xf>
    <xf numFmtId="3" fontId="2" fillId="0" borderId="49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2" borderId="51" xfId="0" applyFont="1" applyFill="1" applyBorder="1" applyAlignment="1">
      <alignment horizontal="center" vertical="center"/>
    </xf>
    <xf numFmtId="14" fontId="4" fillId="0" borderId="73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2" fillId="2" borderId="55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5" fillId="0" borderId="50" xfId="0" applyFont="1" applyBorder="1" applyAlignment="1">
      <alignment vertical="top" wrapText="1"/>
    </xf>
    <xf numFmtId="0" fontId="5" fillId="0" borderId="78" xfId="0" applyFont="1" applyBorder="1" applyAlignment="1">
      <alignment vertical="top" wrapText="1"/>
    </xf>
    <xf numFmtId="0" fontId="0" fillId="0" borderId="63" xfId="0" applyBorder="1" applyAlignment="1">
      <alignment/>
    </xf>
    <xf numFmtId="0" fontId="5" fillId="0" borderId="7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80" xfId="0" applyBorder="1" applyAlignment="1">
      <alignment/>
    </xf>
    <xf numFmtId="0" fontId="0" fillId="0" borderId="48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56" xfId="0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2" borderId="74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vertical="center"/>
    </xf>
    <xf numFmtId="0" fontId="0" fillId="2" borderId="82" xfId="0" applyFont="1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Náklady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775"/>
          <c:w val="0.975"/>
          <c:h val="0.942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Dcentrum!$B$2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(Dcentrum!$B$3:$B$5,Dcentrum!$B$7,Dcentrum!$B$11,Dcentrum!$B$13)</c:f>
              <c:numCache>
                <c:ptCount val="6"/>
                <c:pt idx="0">
                  <c:v>1413</c:v>
                </c:pt>
                <c:pt idx="1">
                  <c:v>443</c:v>
                </c:pt>
                <c:pt idx="2">
                  <c:v>822</c:v>
                </c:pt>
                <c:pt idx="3">
                  <c:v>7302</c:v>
                </c:pt>
                <c:pt idx="4">
                  <c:v>397</c:v>
                </c:pt>
                <c:pt idx="5">
                  <c:v>10377</c:v>
                </c:pt>
              </c:numCache>
            </c:numRef>
          </c:val>
        </c:ser>
        <c:ser>
          <c:idx val="2"/>
          <c:order val="1"/>
          <c:tx>
            <c:strRef>
              <c:f>Dcentrum!$C$2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(Dcentrum!$C$3:$C$5,Dcentrum!$C$7,Dcentrum!$C$11,Dcentrum!$C$13)</c:f>
              <c:numCache>
                <c:ptCount val="6"/>
                <c:pt idx="0">
                  <c:v>1517</c:v>
                </c:pt>
                <c:pt idx="1">
                  <c:v>441</c:v>
                </c:pt>
                <c:pt idx="2">
                  <c:v>865</c:v>
                </c:pt>
                <c:pt idx="3">
                  <c:v>8368</c:v>
                </c:pt>
                <c:pt idx="4">
                  <c:v>352</c:v>
                </c:pt>
                <c:pt idx="5">
                  <c:v>11543</c:v>
                </c:pt>
              </c:numCache>
            </c:numRef>
          </c:val>
        </c:ser>
        <c:ser>
          <c:idx val="0"/>
          <c:order val="2"/>
          <c:tx>
            <c:strRef>
              <c:f>Dcentrum!$D$2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(Dcentrum!$D$3:$D$5,Dcentrum!$D$7,Dcentrum!$D$11,Dcentrum!$D$13)</c:f>
              <c:numCache>
                <c:ptCount val="6"/>
                <c:pt idx="0">
                  <c:v>1332</c:v>
                </c:pt>
                <c:pt idx="1">
                  <c:v>412</c:v>
                </c:pt>
                <c:pt idx="2">
                  <c:v>786</c:v>
                </c:pt>
                <c:pt idx="3">
                  <c:v>9004</c:v>
                </c:pt>
                <c:pt idx="4">
                  <c:v>239</c:v>
                </c:pt>
                <c:pt idx="5">
                  <c:v>11773</c:v>
                </c:pt>
              </c:numCache>
            </c:numRef>
          </c:val>
        </c:ser>
        <c:ser>
          <c:idx val="1"/>
          <c:order val="3"/>
          <c:tx>
            <c:strRef>
              <c:f>Dcentrum!$E$2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(Dcentrum!$A$3:$A$5,Dcentrum!$A$7,Dcentrum!$A$11,Dcentrum!$A$13)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(Dcentrum!$E$3:$E$5,Dcentrum!$E$7,Dcentrum!$E$11,Dcentrum!$E$13)</c:f>
              <c:numCache>
                <c:ptCount val="6"/>
                <c:pt idx="0">
                  <c:v>1516</c:v>
                </c:pt>
                <c:pt idx="1">
                  <c:v>390</c:v>
                </c:pt>
                <c:pt idx="2">
                  <c:v>686</c:v>
                </c:pt>
                <c:pt idx="3">
                  <c:v>9639</c:v>
                </c:pt>
                <c:pt idx="4">
                  <c:v>251</c:v>
                </c:pt>
                <c:pt idx="5">
                  <c:v>12482</c:v>
                </c:pt>
              </c:numCache>
            </c:numRef>
          </c:val>
        </c:ser>
        <c:axId val="7992148"/>
        <c:axId val="40212533"/>
      </c:barChart>
      <c:catAx>
        <c:axId val="7992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212533"/>
        <c:crosses val="autoZero"/>
        <c:auto val="1"/>
        <c:lblOffset val="100"/>
        <c:noMultiLvlLbl val="0"/>
      </c:catAx>
      <c:valAx>
        <c:axId val="4021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9921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Výnosy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125"/>
          <c:w val="0.951"/>
          <c:h val="0.91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Dcentrum!$B$2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>
                <c:ptCount val="3"/>
                <c:pt idx="0">
                  <c:v>prov dotace</c:v>
                </c:pt>
                <c:pt idx="1">
                  <c:v>ostatní</c:v>
                </c:pt>
                <c:pt idx="2">
                  <c:v>výnosy celkem</c:v>
                </c:pt>
              </c:strCache>
            </c:strRef>
          </c:cat>
          <c:val>
            <c:numRef>
              <c:f>Dcentrum!$B$15:$B$17</c:f>
              <c:numCache>
                <c:ptCount val="3"/>
                <c:pt idx="0">
                  <c:v>9961</c:v>
                </c:pt>
                <c:pt idx="1">
                  <c:v>441</c:v>
                </c:pt>
                <c:pt idx="2">
                  <c:v>10402</c:v>
                </c:pt>
              </c:numCache>
            </c:numRef>
          </c:val>
        </c:ser>
        <c:ser>
          <c:idx val="4"/>
          <c:order val="1"/>
          <c:tx>
            <c:strRef>
              <c:f>Dcentrum!$C$2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>
                <c:ptCount val="3"/>
                <c:pt idx="0">
                  <c:v>prov dotace</c:v>
                </c:pt>
                <c:pt idx="1">
                  <c:v>ostatní</c:v>
                </c:pt>
                <c:pt idx="2">
                  <c:v>výnosy celkem</c:v>
                </c:pt>
              </c:strCache>
            </c:strRef>
          </c:cat>
          <c:val>
            <c:numRef>
              <c:f>Dcentrum!$C$15:$C$17</c:f>
              <c:numCache>
                <c:ptCount val="3"/>
                <c:pt idx="0">
                  <c:v>10747</c:v>
                </c:pt>
                <c:pt idx="1">
                  <c:v>796</c:v>
                </c:pt>
                <c:pt idx="2">
                  <c:v>11543</c:v>
                </c:pt>
              </c:numCache>
            </c:numRef>
          </c:val>
        </c:ser>
        <c:ser>
          <c:idx val="0"/>
          <c:order val="2"/>
          <c:tx>
            <c:strRef>
              <c:f>Dcentrum!$D$2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>
                <c:ptCount val="3"/>
                <c:pt idx="0">
                  <c:v>prov dotace</c:v>
                </c:pt>
                <c:pt idx="1">
                  <c:v>ostatní</c:v>
                </c:pt>
                <c:pt idx="2">
                  <c:v>výnosy celkem</c:v>
                </c:pt>
              </c:strCache>
            </c:strRef>
          </c:cat>
          <c:val>
            <c:numRef>
              <c:f>Dcentrum!$D$15:$D$17</c:f>
              <c:numCache>
                <c:ptCount val="3"/>
                <c:pt idx="0">
                  <c:v>11425</c:v>
                </c:pt>
                <c:pt idx="1">
                  <c:v>472</c:v>
                </c:pt>
                <c:pt idx="2">
                  <c:v>11897</c:v>
                </c:pt>
              </c:numCache>
            </c:numRef>
          </c:val>
        </c:ser>
        <c:ser>
          <c:idx val="1"/>
          <c:order val="3"/>
          <c:tx>
            <c:strRef>
              <c:f>Dcentrum!$E$2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Dcentrum!$A$15:$A$17</c:f>
              <c:strCache>
                <c:ptCount val="3"/>
                <c:pt idx="0">
                  <c:v>prov dotace</c:v>
                </c:pt>
                <c:pt idx="1">
                  <c:v>ostatní</c:v>
                </c:pt>
                <c:pt idx="2">
                  <c:v>výnosy celkem</c:v>
                </c:pt>
              </c:strCache>
            </c:strRef>
          </c:cat>
          <c:val>
            <c:numRef>
              <c:f>Dcentrum!$E$15:$E$17</c:f>
              <c:numCache>
                <c:ptCount val="3"/>
                <c:pt idx="0">
                  <c:v>11929</c:v>
                </c:pt>
                <c:pt idx="1">
                  <c:v>553</c:v>
                </c:pt>
                <c:pt idx="2">
                  <c:v>12482</c:v>
                </c:pt>
              </c:numCache>
            </c:numRef>
          </c:val>
        </c:ser>
        <c:axId val="22145646"/>
        <c:axId val="24805439"/>
      </c:barChart>
      <c:catAx>
        <c:axId val="2214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5439"/>
        <c:crosses val="autoZero"/>
        <c:auto val="1"/>
        <c:lblOffset val="100"/>
        <c:noMultiLvlLbl val="0"/>
      </c:catAx>
      <c:valAx>
        <c:axId val="2480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1456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Porovnání průměrných platů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1"/>
          <c:w val="0.973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Dcentrum!$B$42:$G$42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Dcentrum!$B$43:$G$43</c:f>
              <c:strCache>
                <c:ptCount val="6"/>
                <c:pt idx="0">
                  <c:v>jiní SŠ</c:v>
                </c:pt>
                <c:pt idx="1">
                  <c:v>jiní VŠ</c:v>
                </c:pt>
                <c:pt idx="2">
                  <c:v>SZP</c:v>
                </c:pt>
                <c:pt idx="3">
                  <c:v>THP</c:v>
                </c:pt>
                <c:pt idx="4">
                  <c:v>dělníci</c:v>
                </c:pt>
                <c:pt idx="5">
                  <c:v>celkem</c:v>
                </c:pt>
              </c:strCache>
            </c:strRef>
          </c:cat>
          <c:val>
            <c:numRef>
              <c:f>Dcentrum!$B$62:$G$62</c:f>
              <c:numCache>
                <c:ptCount val="6"/>
                <c:pt idx="0">
                  <c:v>10774.833333333334</c:v>
                </c:pt>
                <c:pt idx="1">
                  <c:v>18947.5</c:v>
                </c:pt>
                <c:pt idx="2">
                  <c:v>14313.147845062738</c:v>
                </c:pt>
                <c:pt idx="3">
                  <c:v>21885.897435897437</c:v>
                </c:pt>
                <c:pt idx="4">
                  <c:v>9064.751552795029</c:v>
                </c:pt>
                <c:pt idx="5">
                  <c:v>13750.904813608395</c:v>
                </c:pt>
              </c:numCache>
            </c:numRef>
          </c:val>
        </c:ser>
        <c:ser>
          <c:idx val="1"/>
          <c:order val="1"/>
          <c:tx>
            <c:strRef>
              <c:f>Dcentrum!$H$42:$M$42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Dcentrum!$B$43:$G$43</c:f>
              <c:strCache>
                <c:ptCount val="6"/>
                <c:pt idx="0">
                  <c:v>jiní SŠ</c:v>
                </c:pt>
                <c:pt idx="1">
                  <c:v>jiní VŠ</c:v>
                </c:pt>
                <c:pt idx="2">
                  <c:v>SZP</c:v>
                </c:pt>
                <c:pt idx="3">
                  <c:v>THP</c:v>
                </c:pt>
                <c:pt idx="4">
                  <c:v>dělníci</c:v>
                </c:pt>
                <c:pt idx="5">
                  <c:v>celkem</c:v>
                </c:pt>
              </c:strCache>
            </c:strRef>
          </c:cat>
          <c:val>
            <c:numRef>
              <c:f>Dcentrum!$H$62:$M$62</c:f>
              <c:numCache>
                <c:ptCount val="6"/>
                <c:pt idx="0">
                  <c:v>19959.166666666668</c:v>
                </c:pt>
                <c:pt idx="1">
                  <c:v>12830.80985915493</c:v>
                </c:pt>
                <c:pt idx="2">
                  <c:v>15650.034265350878</c:v>
                </c:pt>
                <c:pt idx="3">
                  <c:v>20979.897435897434</c:v>
                </c:pt>
                <c:pt idx="4">
                  <c:v>9591.032043279234</c:v>
                </c:pt>
                <c:pt idx="5">
                  <c:v>14712.48876909254</c:v>
                </c:pt>
              </c:numCache>
            </c:numRef>
          </c:val>
        </c:ser>
        <c:axId val="60200424"/>
        <c:axId val="56237481"/>
      </c:barChart>
      <c:catAx>
        <c:axId val="6020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37481"/>
        <c:crosses val="autoZero"/>
        <c:auto val="1"/>
        <c:lblOffset val="100"/>
        <c:noMultiLvlLbl val="0"/>
      </c:catAx>
      <c:valAx>
        <c:axId val="562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04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Přehled ukazatelů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Dcentrum!$D$101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Dcentrum!$A$102:$C$107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Dcentrum!$D$102:$D$107</c:f>
              <c:numCache>
                <c:ptCount val="6"/>
                <c:pt idx="0">
                  <c:v>0.7036715813819023</c:v>
                </c:pt>
                <c:pt idx="1">
                  <c:v>0.17885708779030549</c:v>
                </c:pt>
                <c:pt idx="2">
                  <c:v>0.030451961067745975</c:v>
                </c:pt>
                <c:pt idx="3">
                  <c:v>0.9576043068640646</c:v>
                </c:pt>
                <c:pt idx="4">
                  <c:v>0.043697978596908445</c:v>
                </c:pt>
                <c:pt idx="5">
                  <c:v>0.7019803883868487</c:v>
                </c:pt>
              </c:numCache>
            </c:numRef>
          </c:val>
        </c:ser>
        <c:ser>
          <c:idx val="1"/>
          <c:order val="1"/>
          <c:tx>
            <c:strRef>
              <c:f>Dcentrum!$E$101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Dcentrum!$A$102:$C$107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Dcentrum!$E$102:$E$107</c:f>
              <c:numCache>
                <c:ptCount val="6"/>
                <c:pt idx="0">
                  <c:v>0.7249415230009529</c:v>
                </c:pt>
                <c:pt idx="1">
                  <c:v>0.16962661353201075</c:v>
                </c:pt>
                <c:pt idx="2">
                  <c:v>0.021744780386381356</c:v>
                </c:pt>
                <c:pt idx="3">
                  <c:v>0.9310404574200815</c:v>
                </c:pt>
                <c:pt idx="4">
                  <c:v>0.07112858547046734</c:v>
                </c:pt>
                <c:pt idx="5">
                  <c:v>0.7249415230009529</c:v>
                </c:pt>
              </c:numCache>
            </c:numRef>
          </c:val>
        </c:ser>
        <c:ser>
          <c:idx val="2"/>
          <c:order val="2"/>
          <c:tx>
            <c:strRef>
              <c:f>Dcentrum!$F$101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Dcentrum!$A$102:$C$107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Dcentrum!$F$102:$F$107</c:f>
              <c:numCache>
                <c:ptCount val="6"/>
                <c:pt idx="0">
                  <c:v>0.7648008154251252</c:v>
                </c:pt>
                <c:pt idx="1">
                  <c:v>0.1481355644270789</c:v>
                </c:pt>
                <c:pt idx="2">
                  <c:v>0</c:v>
                </c:pt>
                <c:pt idx="3">
                  <c:v>0.9603261326384803</c:v>
                </c:pt>
                <c:pt idx="4">
                  <c:v>0.04108277482809644</c:v>
                </c:pt>
                <c:pt idx="5">
                  <c:v>0.7568294528032277</c:v>
                </c:pt>
              </c:numCache>
            </c:numRef>
          </c:val>
        </c:ser>
        <c:ser>
          <c:idx val="3"/>
          <c:order val="3"/>
          <c:tx>
            <c:strRef>
              <c:f>Dcentrum!$G$101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Dcentrum!$G$102:$G$107</c:f>
              <c:numCache>
                <c:ptCount val="6"/>
                <c:pt idx="0">
                  <c:v>0.7722320141003044</c:v>
                </c:pt>
                <c:pt idx="1">
                  <c:v>0.15269988783848742</c:v>
                </c:pt>
                <c:pt idx="2">
                  <c:v>0.011776958820701811</c:v>
                </c:pt>
                <c:pt idx="3">
                  <c:v>0.9556962025316456</c:v>
                </c:pt>
                <c:pt idx="4">
                  <c:v>0.04482087858648079</c:v>
                </c:pt>
                <c:pt idx="5">
                  <c:v>0.7722320141003044</c:v>
                </c:pt>
              </c:numCache>
            </c:numRef>
          </c:val>
        </c:ser>
        <c:axId val="39079874"/>
        <c:axId val="55556723"/>
      </c:barChart>
      <c:catAx>
        <c:axId val="3907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6723"/>
        <c:crosses val="autoZero"/>
        <c:auto val="1"/>
        <c:lblOffset val="100"/>
        <c:noMultiLvlLbl val="0"/>
      </c:catAx>
      <c:valAx>
        <c:axId val="55556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0798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Náklady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4"/>
          <c:w val="0.97675"/>
          <c:h val="0.94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DDomov!$B$2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(DDomov!$B$3:$B$5,DDomov!$B$7,DDomov!$B$11,DDomov!$B$13)</c:f>
              <c:numCache>
                <c:ptCount val="6"/>
                <c:pt idx="0">
                  <c:v>781.95</c:v>
                </c:pt>
                <c:pt idx="1">
                  <c:v>414.886</c:v>
                </c:pt>
                <c:pt idx="2">
                  <c:v>427.09900000000005</c:v>
                </c:pt>
                <c:pt idx="3">
                  <c:v>4485.667</c:v>
                </c:pt>
                <c:pt idx="4">
                  <c:v>186.064</c:v>
                </c:pt>
                <c:pt idx="5">
                  <c:v>6295.666000000001</c:v>
                </c:pt>
              </c:numCache>
            </c:numRef>
          </c:val>
        </c:ser>
        <c:ser>
          <c:idx val="2"/>
          <c:order val="1"/>
          <c:tx>
            <c:strRef>
              <c:f>DDomov!$C$2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(DDomov!$C$3:$C$5,DDomov!$C$7,DDomov!$C$11,DDomov!$C$13)</c:f>
              <c:numCache>
                <c:ptCount val="6"/>
                <c:pt idx="0">
                  <c:v>965</c:v>
                </c:pt>
                <c:pt idx="1">
                  <c:v>325</c:v>
                </c:pt>
                <c:pt idx="2">
                  <c:v>385</c:v>
                </c:pt>
                <c:pt idx="3">
                  <c:v>5128</c:v>
                </c:pt>
                <c:pt idx="4">
                  <c:v>141</c:v>
                </c:pt>
                <c:pt idx="5">
                  <c:v>6944</c:v>
                </c:pt>
              </c:numCache>
            </c:numRef>
          </c:val>
        </c:ser>
        <c:ser>
          <c:idx val="0"/>
          <c:order val="2"/>
          <c:tx>
            <c:strRef>
              <c:f>DDomov!$D$2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(DDomov!$D$3:$D$5,DDomov!$D$7,DDomov!$D$11,DDomov!$D$13)</c:f>
              <c:numCache>
                <c:ptCount val="6"/>
                <c:pt idx="0">
                  <c:v>897</c:v>
                </c:pt>
                <c:pt idx="1">
                  <c:v>391</c:v>
                </c:pt>
                <c:pt idx="2">
                  <c:v>401</c:v>
                </c:pt>
                <c:pt idx="3">
                  <c:v>5878</c:v>
                </c:pt>
                <c:pt idx="4">
                  <c:v>110</c:v>
                </c:pt>
                <c:pt idx="5">
                  <c:v>7677</c:v>
                </c:pt>
              </c:numCache>
            </c:numRef>
          </c:val>
        </c:ser>
        <c:ser>
          <c:idx val="1"/>
          <c:order val="3"/>
          <c:tx>
            <c:strRef>
              <c:f>DDomov!$E$2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(DDomov!$A$3:$A$5,DDomov!$A$7,DDomov!$A$11,DDomov!$A$13)</c:f>
              <c:strCache>
                <c:ptCount val="6"/>
                <c:pt idx="0">
                  <c:v>náklady na materiál</c:v>
                </c:pt>
                <c:pt idx="1">
                  <c:v>náklady na energii</c:v>
                </c:pt>
                <c:pt idx="2">
                  <c:v>náklady na služby</c:v>
                </c:pt>
                <c:pt idx="3">
                  <c:v>osobní náklady</c:v>
                </c:pt>
                <c:pt idx="4">
                  <c:v>ostatní náklady </c:v>
                </c:pt>
                <c:pt idx="5">
                  <c:v>celkové náklady</c:v>
                </c:pt>
              </c:strCache>
            </c:strRef>
          </c:cat>
          <c:val>
            <c:numRef>
              <c:f>(DDomov!$E$3:$E$5,DDomov!$E$7,DDomov!$E$11,DDomov!$E$13)</c:f>
              <c:numCache>
                <c:ptCount val="6"/>
                <c:pt idx="0">
                  <c:v>1111</c:v>
                </c:pt>
                <c:pt idx="1">
                  <c:v>333</c:v>
                </c:pt>
                <c:pt idx="2">
                  <c:v>449</c:v>
                </c:pt>
                <c:pt idx="3">
                  <c:v>6294</c:v>
                </c:pt>
                <c:pt idx="4">
                  <c:v>139</c:v>
                </c:pt>
                <c:pt idx="5">
                  <c:v>8326</c:v>
                </c:pt>
              </c:numCache>
            </c:numRef>
          </c:val>
        </c:ser>
        <c:axId val="45601276"/>
        <c:axId val="31981725"/>
      </c:barChart>
      <c:catAx>
        <c:axId val="45601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981725"/>
        <c:crosses val="autoZero"/>
        <c:auto val="1"/>
        <c:lblOffset val="100"/>
        <c:noMultiLvlLbl val="0"/>
      </c:catAx>
      <c:valAx>
        <c:axId val="31981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6012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Výnosy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795"/>
          <c:w val="0.9565"/>
          <c:h val="0.92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DDomov!$B$2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>
                <c:ptCount val="4"/>
                <c:pt idx="0">
                  <c:v>tržby z prodeje služeb</c:v>
                </c:pt>
                <c:pt idx="1">
                  <c:v>prov dotace</c:v>
                </c:pt>
                <c:pt idx="2">
                  <c:v>ostatní</c:v>
                </c:pt>
                <c:pt idx="3">
                  <c:v>výnosy celkem</c:v>
                </c:pt>
              </c:strCache>
            </c:strRef>
          </c:cat>
          <c:val>
            <c:numRef>
              <c:f>DDomov!$B$14:$B$17</c:f>
              <c:numCache>
                <c:ptCount val="4"/>
                <c:pt idx="0">
                  <c:v>328.862</c:v>
                </c:pt>
                <c:pt idx="1">
                  <c:v>6004</c:v>
                </c:pt>
                <c:pt idx="2">
                  <c:v>57.648999999999994</c:v>
                </c:pt>
                <c:pt idx="3">
                  <c:v>6390.511</c:v>
                </c:pt>
              </c:numCache>
            </c:numRef>
          </c:val>
        </c:ser>
        <c:ser>
          <c:idx val="4"/>
          <c:order val="1"/>
          <c:tx>
            <c:strRef>
              <c:f>DDomov!$C$2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>
                <c:ptCount val="4"/>
                <c:pt idx="0">
                  <c:v>tržby z prodeje služeb</c:v>
                </c:pt>
                <c:pt idx="1">
                  <c:v>prov dotace</c:v>
                </c:pt>
                <c:pt idx="2">
                  <c:v>ostatní</c:v>
                </c:pt>
                <c:pt idx="3">
                  <c:v>výnosy celkem</c:v>
                </c:pt>
              </c:strCache>
            </c:strRef>
          </c:cat>
          <c:val>
            <c:numRef>
              <c:f>DDomov!$C$14:$C$17</c:f>
              <c:numCache>
                <c:ptCount val="4"/>
                <c:pt idx="0">
                  <c:v>401</c:v>
                </c:pt>
                <c:pt idx="1">
                  <c:v>6447</c:v>
                </c:pt>
                <c:pt idx="2">
                  <c:v>98</c:v>
                </c:pt>
                <c:pt idx="3">
                  <c:v>6946</c:v>
                </c:pt>
              </c:numCache>
            </c:numRef>
          </c:val>
        </c:ser>
        <c:ser>
          <c:idx val="0"/>
          <c:order val="2"/>
          <c:tx>
            <c:strRef>
              <c:f>DDomov!$D$2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DDomov!$A$14:$A$17</c:f>
              <c:strCache>
                <c:ptCount val="4"/>
                <c:pt idx="0">
                  <c:v>tržby z prodeje služeb</c:v>
                </c:pt>
                <c:pt idx="1">
                  <c:v>prov dotace</c:v>
                </c:pt>
                <c:pt idx="2">
                  <c:v>ostatní</c:v>
                </c:pt>
                <c:pt idx="3">
                  <c:v>výnosy celkem</c:v>
                </c:pt>
              </c:strCache>
            </c:strRef>
          </c:cat>
          <c:val>
            <c:numRef>
              <c:f>DDomov!$D$14:$D$17</c:f>
              <c:numCache>
                <c:ptCount val="4"/>
                <c:pt idx="0">
                  <c:v>293</c:v>
                </c:pt>
                <c:pt idx="1">
                  <c:v>7313</c:v>
                </c:pt>
                <c:pt idx="2">
                  <c:v>123</c:v>
                </c:pt>
                <c:pt idx="3">
                  <c:v>7729</c:v>
                </c:pt>
              </c:numCache>
            </c:numRef>
          </c:val>
        </c:ser>
        <c:axId val="27801238"/>
        <c:axId val="58391079"/>
      </c:barChart>
      <c:catAx>
        <c:axId val="2780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1079"/>
        <c:crosses val="autoZero"/>
        <c:auto val="1"/>
        <c:lblOffset val="100"/>
        <c:noMultiLvlLbl val="0"/>
      </c:catAx>
      <c:valAx>
        <c:axId val="5839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8012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Porovnání průměrných platů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45"/>
          <c:w val="0.974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DDomov!$B$44:$G$44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DDomov!$B$45:$H$45</c:f>
              <c:strCache>
                <c:ptCount val="7"/>
                <c:pt idx="0">
                  <c:v>lékaři</c:v>
                </c:pt>
                <c:pt idx="1">
                  <c:v>jiní VŠ</c:v>
                </c:pt>
                <c:pt idx="2">
                  <c:v>SZP</c:v>
                </c:pt>
                <c:pt idx="3">
                  <c:v>NZP a PZP</c:v>
                </c:pt>
                <c:pt idx="4">
                  <c:v>THP</c:v>
                </c:pt>
                <c:pt idx="5">
                  <c:v>dělníci</c:v>
                </c:pt>
                <c:pt idx="6">
                  <c:v>celkem</c:v>
                </c:pt>
              </c:strCache>
            </c:strRef>
          </c:cat>
          <c:val>
            <c:numRef>
              <c:f>DDomov!$B$63:$H$63</c:f>
              <c:numCache>
                <c:ptCount val="7"/>
                <c:pt idx="0">
                  <c:v>24645.833333333332</c:v>
                </c:pt>
                <c:pt idx="1">
                  <c:v>18211.25</c:v>
                </c:pt>
                <c:pt idx="2">
                  <c:v>15390.94009489917</c:v>
                </c:pt>
                <c:pt idx="3">
                  <c:v>8356.50289017341</c:v>
                </c:pt>
                <c:pt idx="4">
                  <c:v>14961.960132890366</c:v>
                </c:pt>
                <c:pt idx="5">
                  <c:v>8413.259206121473</c:v>
                </c:pt>
                <c:pt idx="6">
                  <c:v>12438.504016064258</c:v>
                </c:pt>
              </c:numCache>
            </c:numRef>
          </c:val>
        </c:ser>
        <c:ser>
          <c:idx val="1"/>
          <c:order val="1"/>
          <c:tx>
            <c:strRef>
              <c:f>DDomov!$H$44:$M$44</c:f>
              <c:strCache>
                <c:ptCount val="1"/>
                <c:pt idx="0">
                  <c:v>50 2003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DDomov!$B$45:$H$45</c:f>
              <c:strCache>
                <c:ptCount val="7"/>
                <c:pt idx="0">
                  <c:v>lékaři</c:v>
                </c:pt>
                <c:pt idx="1">
                  <c:v>jiní VŠ</c:v>
                </c:pt>
                <c:pt idx="2">
                  <c:v>SZP</c:v>
                </c:pt>
                <c:pt idx="3">
                  <c:v>NZP a PZP</c:v>
                </c:pt>
                <c:pt idx="4">
                  <c:v>THP</c:v>
                </c:pt>
                <c:pt idx="5">
                  <c:v>dělníci</c:v>
                </c:pt>
                <c:pt idx="6">
                  <c:v>celkem</c:v>
                </c:pt>
              </c:strCache>
            </c:strRef>
          </c:cat>
          <c:val>
            <c:numRef>
              <c:f>DDomov!$I$63:$O$63</c:f>
              <c:numCache>
                <c:ptCount val="7"/>
                <c:pt idx="1">
                  <c:v>19607.083333333332</c:v>
                </c:pt>
                <c:pt idx="2">
                  <c:v>17302.983619344774</c:v>
                </c:pt>
                <c:pt idx="3">
                  <c:v>11474.01515151515</c:v>
                </c:pt>
                <c:pt idx="4">
                  <c:v>17580.333333333332</c:v>
                </c:pt>
                <c:pt idx="5">
                  <c:v>10195.772946859903</c:v>
                </c:pt>
                <c:pt idx="6">
                  <c:v>14780.265339966834</c:v>
                </c:pt>
              </c:numCache>
            </c:numRef>
          </c:val>
        </c:ser>
        <c:axId val="29423504"/>
        <c:axId val="1446161"/>
      </c:barChart>
      <c:catAx>
        <c:axId val="2942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161"/>
        <c:crosses val="autoZero"/>
        <c:auto val="1"/>
        <c:lblOffset val="100"/>
        <c:noMultiLvlLbl val="0"/>
      </c:catAx>
      <c:valAx>
        <c:axId val="144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35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Přehled ukazatelů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DDomov!$D$105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DDomov!$A$106:$C$111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DDomov!$D$106:$D$111</c:f>
              <c:numCache>
                <c:ptCount val="6"/>
                <c:pt idx="0">
                  <c:v>0.7125007902261651</c:v>
                </c:pt>
                <c:pt idx="1">
                  <c:v>0.1901047482506219</c:v>
                </c:pt>
                <c:pt idx="2">
                  <c:v>0.022979618041999047</c:v>
                </c:pt>
                <c:pt idx="3">
                  <c:v>0.9395179822083085</c:v>
                </c:pt>
                <c:pt idx="4">
                  <c:v>0.06397990707369205</c:v>
                </c:pt>
                <c:pt idx="5">
                  <c:v>0.701926183993737</c:v>
                </c:pt>
              </c:numCache>
            </c:numRef>
          </c:val>
        </c:ser>
        <c:ser>
          <c:idx val="1"/>
          <c:order val="1"/>
          <c:tx>
            <c:strRef>
              <c:f>DDomov!$E$105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DDomov!$A$106:$C$111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DDomov!$E$106:$E$111</c:f>
              <c:numCache>
                <c:ptCount val="6"/>
                <c:pt idx="0">
                  <c:v>0.738479262672811</c:v>
                </c:pt>
                <c:pt idx="1">
                  <c:v>0.18577188940092165</c:v>
                </c:pt>
                <c:pt idx="2">
                  <c:v>0.012960829493087557</c:v>
                </c:pt>
                <c:pt idx="3">
                  <c:v>0.9281600921393608</c:v>
                </c:pt>
                <c:pt idx="4">
                  <c:v>0.0744776119402985</c:v>
                </c:pt>
                <c:pt idx="5">
                  <c:v>0.7382666282752663</c:v>
                </c:pt>
              </c:numCache>
            </c:numRef>
          </c:val>
        </c:ser>
        <c:ser>
          <c:idx val="2"/>
          <c:order val="2"/>
          <c:tx>
            <c:strRef>
              <c:f>DDomov!$F$105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DDomov!$A$106:$C$111</c:f>
              <c:multiLvlStrCache>
                <c:ptCount val="6"/>
                <c:lvl>
                  <c:pt idx="0">
                    <c:v>Podíl osobních nákladů na celkových nákladech</c:v>
                  </c:pt>
                  <c:pt idx="1">
                    <c:v>Podíl spotřeby mat. a energie</c:v>
                  </c:pt>
                  <c:pt idx="2">
                    <c:v>Podíl odpisů na celkových nákladech</c:v>
                  </c:pt>
                  <c:pt idx="3">
                    <c:v>Podíl dotací na výnosech</c:v>
                  </c:pt>
                  <c:pt idx="4">
                    <c:v>Míra soběstačnosti</c:v>
                  </c:pt>
                  <c:pt idx="5">
                    <c:v>Poměr osobních nákladů a výnosů</c:v>
                  </c:pt>
                </c:lvl>
              </c:multiLvlStrCache>
            </c:multiLvlStrRef>
          </c:cat>
          <c:val>
            <c:numRef>
              <c:f>DDomov!$F$106:$F$111</c:f>
              <c:numCache>
                <c:ptCount val="6"/>
                <c:pt idx="0">
                  <c:v>0.7656636707047023</c:v>
                </c:pt>
                <c:pt idx="1">
                  <c:v>0.1677738700013026</c:v>
                </c:pt>
                <c:pt idx="2">
                  <c:v>0.00612218314445747</c:v>
                </c:pt>
                <c:pt idx="3">
                  <c:v>0.9461767369646785</c:v>
                </c:pt>
                <c:pt idx="4">
                  <c:v>0.05553330663462822</c:v>
                </c:pt>
                <c:pt idx="5">
                  <c:v>0.7605123560615862</c:v>
                </c:pt>
              </c:numCache>
            </c:numRef>
          </c:val>
        </c:ser>
        <c:ser>
          <c:idx val="3"/>
          <c:order val="3"/>
          <c:tx>
            <c:strRef>
              <c:f>DDomov!$G$105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DDomov!$G$106:$G$111</c:f>
              <c:numCache>
                <c:ptCount val="6"/>
                <c:pt idx="0">
                  <c:v>0.7559452318039875</c:v>
                </c:pt>
                <c:pt idx="1">
                  <c:v>0.17343262070622148</c:v>
                </c:pt>
                <c:pt idx="2">
                  <c:v>0.00804708143165986</c:v>
                </c:pt>
                <c:pt idx="3">
                  <c:v>0.9538571598903064</c:v>
                </c:pt>
                <c:pt idx="4">
                  <c:v>0.048116374487131665</c:v>
                </c:pt>
                <c:pt idx="5">
                  <c:v>0.7504471205436986</c:v>
                </c:pt>
              </c:numCache>
            </c:numRef>
          </c:val>
        </c:ser>
        <c:axId val="61599466"/>
        <c:axId val="46534491"/>
      </c:barChart>
      <c:catAx>
        <c:axId val="6159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4491"/>
        <c:crosses val="autoZero"/>
        <c:auto val="1"/>
        <c:lblOffset val="100"/>
        <c:noMultiLvlLbl val="0"/>
      </c:catAx>
      <c:valAx>
        <c:axId val="46534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5994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6</xdr:col>
      <xdr:colOff>295275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4733925"/>
        <a:ext cx="4448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25</xdr:row>
      <xdr:rowOff>19050</xdr:rowOff>
    </xdr:from>
    <xdr:to>
      <xdr:col>13</xdr:col>
      <xdr:colOff>561975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4457700" y="4733925"/>
        <a:ext cx="45243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66</xdr:row>
      <xdr:rowOff>9525</xdr:rowOff>
    </xdr:from>
    <xdr:to>
      <xdr:col>13</xdr:col>
      <xdr:colOff>0</xdr:colOff>
      <xdr:row>80</xdr:row>
      <xdr:rowOff>123825</xdr:rowOff>
    </xdr:to>
    <xdr:graphicFrame>
      <xdr:nvGraphicFramePr>
        <xdr:cNvPr id="3" name="Chart 4"/>
        <xdr:cNvGraphicFramePr/>
      </xdr:nvGraphicFramePr>
      <xdr:xfrm>
        <a:off x="47625" y="12001500"/>
        <a:ext cx="83724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13</xdr:col>
      <xdr:colOff>590550</xdr:colOff>
      <xdr:row>128</xdr:row>
      <xdr:rowOff>57150</xdr:rowOff>
    </xdr:to>
    <xdr:graphicFrame>
      <xdr:nvGraphicFramePr>
        <xdr:cNvPr id="4" name="Chart 5"/>
        <xdr:cNvGraphicFramePr/>
      </xdr:nvGraphicFramePr>
      <xdr:xfrm>
        <a:off x="19050" y="20383500"/>
        <a:ext cx="899160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6</xdr:col>
      <xdr:colOff>609600</xdr:colOff>
      <xdr:row>40</xdr:row>
      <xdr:rowOff>180975</xdr:rowOff>
    </xdr:to>
    <xdr:graphicFrame>
      <xdr:nvGraphicFramePr>
        <xdr:cNvPr id="1" name="Chart 1"/>
        <xdr:cNvGraphicFramePr/>
      </xdr:nvGraphicFramePr>
      <xdr:xfrm>
        <a:off x="9525" y="4695825"/>
        <a:ext cx="4800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25</xdr:row>
      <xdr:rowOff>85725</xdr:rowOff>
    </xdr:from>
    <xdr:to>
      <xdr:col>14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4819650" y="4695825"/>
        <a:ext cx="50673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67</xdr:row>
      <xdr:rowOff>9525</xdr:rowOff>
    </xdr:from>
    <xdr:to>
      <xdr:col>13</xdr:col>
      <xdr:colOff>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9525" y="12534900"/>
        <a:ext cx="85153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152400</xdr:rowOff>
    </xdr:from>
    <xdr:to>
      <xdr:col>13</xdr:col>
      <xdr:colOff>0</xdr:colOff>
      <xdr:row>131</xdr:row>
      <xdr:rowOff>95250</xdr:rowOff>
    </xdr:to>
    <xdr:graphicFrame>
      <xdr:nvGraphicFramePr>
        <xdr:cNvPr id="4" name="Chart 5"/>
        <xdr:cNvGraphicFramePr/>
      </xdr:nvGraphicFramePr>
      <xdr:xfrm>
        <a:off x="0" y="21574125"/>
        <a:ext cx="85248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view="pageBreakPreview" zoomScale="60" workbookViewId="0" topLeftCell="A1">
      <selection activeCell="J103" sqref="J103"/>
    </sheetView>
  </sheetViews>
  <sheetFormatPr defaultColWidth="9.00390625" defaultRowHeight="12.75"/>
  <cols>
    <col min="1" max="1" width="15.00390625" style="6" customWidth="1"/>
    <col min="2" max="2" width="7.375" style="6" customWidth="1"/>
    <col min="3" max="3" width="8.75390625" style="6" customWidth="1"/>
    <col min="4" max="4" width="7.125" style="6" customWidth="1"/>
    <col min="5" max="7" width="8.125" style="6" customWidth="1"/>
    <col min="8" max="8" width="8.25390625" style="6" customWidth="1"/>
    <col min="9" max="9" width="8.00390625" style="6" customWidth="1"/>
    <col min="10" max="10" width="7.625" style="6" customWidth="1"/>
    <col min="11" max="11" width="7.375" style="6" customWidth="1"/>
    <col min="12" max="12" width="7.625" style="6" customWidth="1"/>
    <col min="14" max="14" width="8.375" style="0" customWidth="1"/>
  </cols>
  <sheetData>
    <row r="1" spans="1:12" ht="15.75" customHeight="1" thickBot="1">
      <c r="A1" s="4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9" s="3" customFormat="1" ht="29.25" customHeight="1">
      <c r="A2" s="91" t="s">
        <v>49</v>
      </c>
      <c r="B2" s="41">
        <v>2001</v>
      </c>
      <c r="C2" s="41">
        <v>2002</v>
      </c>
      <c r="D2" s="106">
        <v>2003</v>
      </c>
      <c r="E2" s="41">
        <v>2004</v>
      </c>
      <c r="F2" s="106">
        <v>2005</v>
      </c>
      <c r="G2" s="120" t="s">
        <v>75</v>
      </c>
      <c r="H2" s="209" t="s">
        <v>76</v>
      </c>
      <c r="I2" s="123" t="s">
        <v>94</v>
      </c>
    </row>
    <row r="3" spans="1:11" s="1" customFormat="1" ht="14.25" customHeight="1">
      <c r="A3" s="42" t="s">
        <v>66</v>
      </c>
      <c r="B3" s="32">
        <v>1413</v>
      </c>
      <c r="C3" s="32">
        <v>1517</v>
      </c>
      <c r="D3" s="107">
        <v>1332</v>
      </c>
      <c r="E3" s="32">
        <v>1516</v>
      </c>
      <c r="F3" s="107"/>
      <c r="G3" s="121">
        <f aca="true" t="shared" si="0" ref="G3:G18">+C3-B3</f>
        <v>104</v>
      </c>
      <c r="H3" s="107">
        <f aca="true" t="shared" si="1" ref="H3:H18">+D3-C3</f>
        <v>-185</v>
      </c>
      <c r="I3" s="43">
        <f aca="true" t="shared" si="2" ref="I3:I18">+E3-D3</f>
        <v>184</v>
      </c>
      <c r="J3" s="28"/>
      <c r="K3" s="28"/>
    </row>
    <row r="4" spans="1:11" s="1" customFormat="1" ht="14.25" customHeight="1">
      <c r="A4" s="42" t="s">
        <v>26</v>
      </c>
      <c r="B4" s="32">
        <v>443</v>
      </c>
      <c r="C4" s="32">
        <v>441</v>
      </c>
      <c r="D4" s="107">
        <v>412</v>
      </c>
      <c r="E4" s="32">
        <v>390</v>
      </c>
      <c r="F4" s="107"/>
      <c r="G4" s="121">
        <f t="shared" si="0"/>
        <v>-2</v>
      </c>
      <c r="H4" s="107">
        <f t="shared" si="1"/>
        <v>-29</v>
      </c>
      <c r="I4" s="43">
        <f t="shared" si="2"/>
        <v>-22</v>
      </c>
      <c r="J4" s="28"/>
      <c r="K4" s="28"/>
    </row>
    <row r="5" spans="1:11" s="1" customFormat="1" ht="14.25" customHeight="1">
      <c r="A5" s="42" t="s">
        <v>27</v>
      </c>
      <c r="B5" s="32">
        <v>822</v>
      </c>
      <c r="C5" s="32">
        <v>865</v>
      </c>
      <c r="D5" s="107">
        <v>786</v>
      </c>
      <c r="E5" s="32">
        <v>686</v>
      </c>
      <c r="F5" s="107"/>
      <c r="G5" s="121">
        <f t="shared" si="0"/>
        <v>43</v>
      </c>
      <c r="H5" s="107">
        <f t="shared" si="1"/>
        <v>-79</v>
      </c>
      <c r="I5" s="43">
        <f t="shared" si="2"/>
        <v>-100</v>
      </c>
      <c r="J5" s="28"/>
      <c r="K5" s="28"/>
    </row>
    <row r="6" spans="1:11" s="1" customFormat="1" ht="14.25" customHeight="1">
      <c r="A6" s="42" t="s">
        <v>62</v>
      </c>
      <c r="B6" s="32">
        <v>285</v>
      </c>
      <c r="C6" s="32">
        <v>352</v>
      </c>
      <c r="D6" s="107">
        <v>284</v>
      </c>
      <c r="E6" s="32">
        <v>144</v>
      </c>
      <c r="F6" s="107"/>
      <c r="G6" s="121">
        <f t="shared" si="0"/>
        <v>67</v>
      </c>
      <c r="H6" s="107">
        <f t="shared" si="1"/>
        <v>-68</v>
      </c>
      <c r="I6" s="43">
        <f t="shared" si="2"/>
        <v>-140</v>
      </c>
      <c r="J6" s="28"/>
      <c r="K6" s="28"/>
    </row>
    <row r="7" spans="1:11" s="1" customFormat="1" ht="14.25" customHeight="1">
      <c r="A7" s="42" t="s">
        <v>28</v>
      </c>
      <c r="B7" s="32">
        <v>7302</v>
      </c>
      <c r="C7" s="32">
        <v>8368</v>
      </c>
      <c r="D7" s="107">
        <v>9004</v>
      </c>
      <c r="E7" s="32">
        <v>9639</v>
      </c>
      <c r="F7" s="107"/>
      <c r="G7" s="121">
        <f t="shared" si="0"/>
        <v>1066</v>
      </c>
      <c r="H7" s="107">
        <f t="shared" si="1"/>
        <v>636</v>
      </c>
      <c r="I7" s="43">
        <f t="shared" si="2"/>
        <v>635</v>
      </c>
      <c r="J7" s="28"/>
      <c r="K7" s="28"/>
    </row>
    <row r="8" spans="1:11" s="1" customFormat="1" ht="14.25" customHeight="1">
      <c r="A8" s="42" t="s">
        <v>32</v>
      </c>
      <c r="B8" s="32">
        <v>5326</v>
      </c>
      <c r="C8" s="32">
        <v>6107</v>
      </c>
      <c r="D8" s="107">
        <v>6568</v>
      </c>
      <c r="E8" s="32">
        <v>7030</v>
      </c>
      <c r="F8" s="107"/>
      <c r="G8" s="121">
        <f t="shared" si="0"/>
        <v>781</v>
      </c>
      <c r="H8" s="107">
        <f t="shared" si="1"/>
        <v>461</v>
      </c>
      <c r="I8" s="43">
        <f t="shared" si="2"/>
        <v>462</v>
      </c>
      <c r="J8" s="28"/>
      <c r="K8" s="28"/>
    </row>
    <row r="9" spans="1:11" s="1" customFormat="1" ht="14.25" customHeight="1">
      <c r="A9" s="42" t="s">
        <v>34</v>
      </c>
      <c r="B9" s="32">
        <v>5310</v>
      </c>
      <c r="C9" s="32">
        <v>6079</v>
      </c>
      <c r="D9" s="107">
        <v>6550</v>
      </c>
      <c r="E9" s="32">
        <v>7005</v>
      </c>
      <c r="F9" s="107"/>
      <c r="G9" s="121">
        <f t="shared" si="0"/>
        <v>769</v>
      </c>
      <c r="H9" s="107">
        <f t="shared" si="1"/>
        <v>471</v>
      </c>
      <c r="I9" s="43">
        <f t="shared" si="2"/>
        <v>455</v>
      </c>
      <c r="J9" s="28"/>
      <c r="K9" s="28"/>
    </row>
    <row r="10" spans="1:11" s="1" customFormat="1" ht="14.25" customHeight="1">
      <c r="A10" s="42" t="s">
        <v>33</v>
      </c>
      <c r="B10" s="32">
        <v>16</v>
      </c>
      <c r="C10" s="32">
        <v>28</v>
      </c>
      <c r="D10" s="107">
        <v>18</v>
      </c>
      <c r="E10" s="32">
        <v>25</v>
      </c>
      <c r="F10" s="107"/>
      <c r="G10" s="121">
        <f t="shared" si="0"/>
        <v>12</v>
      </c>
      <c r="H10" s="107">
        <f t="shared" si="1"/>
        <v>-10</v>
      </c>
      <c r="I10" s="43">
        <f t="shared" si="2"/>
        <v>7</v>
      </c>
      <c r="J10" s="28"/>
      <c r="K10" s="28"/>
    </row>
    <row r="11" spans="1:11" s="1" customFormat="1" ht="14.25" customHeight="1">
      <c r="A11" s="42" t="s">
        <v>29</v>
      </c>
      <c r="B11" s="32">
        <f>81+316</f>
        <v>397</v>
      </c>
      <c r="C11" s="32">
        <f>101+251</f>
        <v>352</v>
      </c>
      <c r="D11" s="107">
        <f>2+73+164</f>
        <v>239</v>
      </c>
      <c r="E11" s="32">
        <f>+E13-E3-E4-E5-E7</f>
        <v>251</v>
      </c>
      <c r="F11" s="107"/>
      <c r="G11" s="121">
        <f t="shared" si="0"/>
        <v>-45</v>
      </c>
      <c r="H11" s="107">
        <f t="shared" si="1"/>
        <v>-113</v>
      </c>
      <c r="I11" s="43">
        <f t="shared" si="2"/>
        <v>12</v>
      </c>
      <c r="J11" s="28"/>
      <c r="K11" s="28"/>
    </row>
    <row r="12" spans="1:11" s="1" customFormat="1" ht="14.25" customHeight="1" thickBot="1">
      <c r="A12" s="44" t="s">
        <v>30</v>
      </c>
      <c r="B12" s="33">
        <v>316</v>
      </c>
      <c r="C12" s="33">
        <v>251</v>
      </c>
      <c r="D12" s="108"/>
      <c r="E12" s="33">
        <v>147</v>
      </c>
      <c r="F12" s="108"/>
      <c r="G12" s="121">
        <f t="shared" si="0"/>
        <v>-65</v>
      </c>
      <c r="H12" s="107">
        <f t="shared" si="1"/>
        <v>-251</v>
      </c>
      <c r="I12" s="43">
        <f t="shared" si="2"/>
        <v>147</v>
      </c>
      <c r="J12" s="28"/>
      <c r="K12" s="28"/>
    </row>
    <row r="13" spans="1:11" s="1" customFormat="1" ht="14.25" customHeight="1" thickBot="1">
      <c r="A13" s="29" t="s">
        <v>25</v>
      </c>
      <c r="B13" s="30">
        <f>SUM(B3,B4:B5,B7,B11)</f>
        <v>10377</v>
      </c>
      <c r="C13" s="30">
        <f>SUM(C3,C4:C5,C7,C11)</f>
        <v>11543</v>
      </c>
      <c r="D13" s="109">
        <f>SUM(D3,D4:D5,D7,D11)</f>
        <v>11773</v>
      </c>
      <c r="E13" s="30">
        <v>12482</v>
      </c>
      <c r="F13" s="109"/>
      <c r="G13" s="122">
        <f t="shared" si="0"/>
        <v>1166</v>
      </c>
      <c r="H13" s="109">
        <f t="shared" si="1"/>
        <v>230</v>
      </c>
      <c r="I13" s="31">
        <f t="shared" si="2"/>
        <v>709</v>
      </c>
      <c r="J13" s="28"/>
      <c r="K13" s="28"/>
    </row>
    <row r="14" spans="1:11" s="1" customFormat="1" ht="14.25" customHeight="1">
      <c r="A14" s="45" t="s">
        <v>1</v>
      </c>
      <c r="B14" s="34">
        <v>0</v>
      </c>
      <c r="C14" s="34">
        <v>0</v>
      </c>
      <c r="D14" s="110">
        <v>0</v>
      </c>
      <c r="E14" s="34">
        <v>0</v>
      </c>
      <c r="F14" s="110"/>
      <c r="G14" s="197">
        <f t="shared" si="0"/>
        <v>0</v>
      </c>
      <c r="H14" s="210">
        <f t="shared" si="1"/>
        <v>0</v>
      </c>
      <c r="I14" s="199">
        <f t="shared" si="2"/>
        <v>0</v>
      </c>
      <c r="J14" s="28"/>
      <c r="K14" s="28"/>
    </row>
    <row r="15" spans="1:11" s="1" customFormat="1" ht="14.25" customHeight="1">
      <c r="A15" s="42" t="s">
        <v>2</v>
      </c>
      <c r="B15" s="32">
        <v>9961</v>
      </c>
      <c r="C15" s="32">
        <v>10747</v>
      </c>
      <c r="D15" s="107">
        <v>11425</v>
      </c>
      <c r="E15" s="32">
        <v>11929</v>
      </c>
      <c r="F15" s="107"/>
      <c r="G15" s="197">
        <f t="shared" si="0"/>
        <v>786</v>
      </c>
      <c r="H15" s="110">
        <f t="shared" si="1"/>
        <v>678</v>
      </c>
      <c r="I15" s="46">
        <f t="shared" si="2"/>
        <v>504</v>
      </c>
      <c r="J15" s="28"/>
      <c r="K15" s="28"/>
    </row>
    <row r="16" spans="1:11" s="1" customFormat="1" ht="14.25" customHeight="1" thickBot="1">
      <c r="A16" s="44" t="s">
        <v>0</v>
      </c>
      <c r="B16" s="33">
        <v>441</v>
      </c>
      <c r="C16" s="33">
        <v>796</v>
      </c>
      <c r="D16" s="108">
        <v>472</v>
      </c>
      <c r="E16" s="33">
        <v>553</v>
      </c>
      <c r="F16" s="108"/>
      <c r="G16" s="197">
        <f t="shared" si="0"/>
        <v>355</v>
      </c>
      <c r="H16" s="110">
        <f t="shared" si="1"/>
        <v>-324</v>
      </c>
      <c r="I16" s="46">
        <f t="shared" si="2"/>
        <v>81</v>
      </c>
      <c r="J16" s="28"/>
      <c r="K16" s="28"/>
    </row>
    <row r="17" spans="1:11" s="1" customFormat="1" ht="14.25" customHeight="1" thickBot="1">
      <c r="A17" s="38" t="s">
        <v>24</v>
      </c>
      <c r="B17" s="39">
        <f>SUM(B14:B16)</f>
        <v>10402</v>
      </c>
      <c r="C17" s="39">
        <f>SUM(C14:C16)</f>
        <v>11543</v>
      </c>
      <c r="D17" s="111">
        <f>SUM(D14:D16)</f>
        <v>11897</v>
      </c>
      <c r="E17" s="39">
        <v>12482</v>
      </c>
      <c r="F17" s="111"/>
      <c r="G17" s="198">
        <f t="shared" si="0"/>
        <v>1141</v>
      </c>
      <c r="H17" s="111">
        <f t="shared" si="1"/>
        <v>354</v>
      </c>
      <c r="I17" s="40">
        <f t="shared" si="2"/>
        <v>585</v>
      </c>
      <c r="J17" s="28"/>
      <c r="K17" s="28"/>
    </row>
    <row r="18" spans="1:11" s="1" customFormat="1" ht="19.5" customHeight="1" thickBot="1">
      <c r="A18" s="35" t="s">
        <v>31</v>
      </c>
      <c r="B18" s="36">
        <f>+B17-B13</f>
        <v>25</v>
      </c>
      <c r="C18" s="36">
        <f>+C17-C13</f>
        <v>0</v>
      </c>
      <c r="D18" s="112">
        <f>+D17-D13</f>
        <v>124</v>
      </c>
      <c r="E18" s="36">
        <f>+E17-E13</f>
        <v>0</v>
      </c>
      <c r="F18" s="112"/>
      <c r="G18" s="113">
        <f t="shared" si="0"/>
        <v>-25</v>
      </c>
      <c r="H18" s="112">
        <f t="shared" si="1"/>
        <v>124</v>
      </c>
      <c r="I18" s="37">
        <f t="shared" si="2"/>
        <v>-124</v>
      </c>
      <c r="J18" s="28"/>
      <c r="K18" s="28"/>
    </row>
    <row r="19" spans="1:12" ht="16.5" customHeight="1" thickBot="1">
      <c r="A19" s="35" t="s">
        <v>83</v>
      </c>
      <c r="B19" s="36">
        <v>0</v>
      </c>
      <c r="C19" s="36">
        <v>0</v>
      </c>
      <c r="D19" s="112">
        <v>0</v>
      </c>
      <c r="E19" s="36">
        <v>0</v>
      </c>
      <c r="F19" s="112"/>
      <c r="G19" s="113"/>
      <c r="H19" s="112"/>
      <c r="I19" s="37"/>
      <c r="L19"/>
    </row>
    <row r="20" s="3" customFormat="1" ht="17.25" customHeight="1">
      <c r="A20" s="3" t="s">
        <v>61</v>
      </c>
    </row>
    <row r="21" spans="1:14" s="3" customFormat="1" ht="10.5" customHeight="1">
      <c r="A21" s="228" t="s">
        <v>91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 s="3" customFormat="1" ht="10.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3"/>
    </row>
    <row r="23" spans="1:14" s="3" customFormat="1" ht="10.5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3"/>
    </row>
    <row r="24" spans="1:14" s="3" customFormat="1" ht="12.75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3"/>
    </row>
    <row r="25" spans="1:14" s="3" customFormat="1" ht="15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</row>
    <row r="26" spans="1:14" s="3" customFormat="1" ht="1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</row>
    <row r="27" spans="1:14" s="3" customFormat="1" ht="1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</row>
    <row r="28" spans="1:14" s="3" customFormat="1" ht="1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2"/>
    </row>
    <row r="29" spans="1:14" s="3" customFormat="1" ht="1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2"/>
    </row>
    <row r="30" spans="1:14" s="3" customFormat="1" ht="1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2"/>
    </row>
    <row r="31" spans="1:14" s="3" customFormat="1" ht="1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2"/>
    </row>
    <row r="32" spans="1:14" s="3" customFormat="1" ht="1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</row>
    <row r="33" spans="1:14" s="3" customFormat="1" ht="1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2"/>
    </row>
    <row r="34" spans="1:14" s="3" customFormat="1" ht="1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2"/>
    </row>
    <row r="35" spans="1:14" s="3" customFormat="1" ht="15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2"/>
    </row>
    <row r="36" spans="1:14" s="3" customFormat="1" ht="15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2"/>
    </row>
    <row r="37" spans="1:14" s="3" customFormat="1" ht="1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2"/>
    </row>
    <row r="38" spans="1:14" s="3" customFormat="1" ht="1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2"/>
    </row>
    <row r="39" spans="1:14" s="3" customFormat="1" ht="1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2"/>
    </row>
    <row r="40" spans="1:14" s="3" customFormat="1" ht="1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2"/>
    </row>
    <row r="41" spans="1:12" ht="22.5" customHeight="1" thickBot="1">
      <c r="A41"/>
      <c r="B41"/>
      <c r="C41"/>
      <c r="D41"/>
      <c r="E41"/>
      <c r="F41"/>
      <c r="G41"/>
      <c r="H41"/>
      <c r="I41"/>
      <c r="J41"/>
      <c r="K41"/>
      <c r="L41"/>
    </row>
    <row r="42" spans="1:14" s="4" customFormat="1" ht="13.5" customHeight="1" thickBot="1">
      <c r="A42" s="254" t="s">
        <v>48</v>
      </c>
      <c r="B42" s="249">
        <v>2002</v>
      </c>
      <c r="C42" s="247"/>
      <c r="D42" s="247"/>
      <c r="E42" s="247"/>
      <c r="F42" s="247"/>
      <c r="G42" s="247"/>
      <c r="H42" s="246">
        <v>2003</v>
      </c>
      <c r="I42" s="247"/>
      <c r="J42" s="247"/>
      <c r="K42" s="247"/>
      <c r="L42" s="247"/>
      <c r="M42" s="248"/>
      <c r="N42" s="244" t="s">
        <v>36</v>
      </c>
    </row>
    <row r="43" spans="1:14" s="5" customFormat="1" ht="19.5" customHeight="1" thickBot="1">
      <c r="A43" s="255"/>
      <c r="B43" s="142" t="s">
        <v>85</v>
      </c>
      <c r="C43" s="64" t="s">
        <v>86</v>
      </c>
      <c r="D43" s="160" t="s">
        <v>6</v>
      </c>
      <c r="E43" s="64" t="s">
        <v>7</v>
      </c>
      <c r="F43" s="64" t="s">
        <v>8</v>
      </c>
      <c r="G43" s="200" t="s">
        <v>3</v>
      </c>
      <c r="H43" s="63" t="s">
        <v>85</v>
      </c>
      <c r="I43" s="64" t="s">
        <v>86</v>
      </c>
      <c r="J43" s="160" t="s">
        <v>6</v>
      </c>
      <c r="K43" s="64" t="s">
        <v>7</v>
      </c>
      <c r="L43" s="64" t="s">
        <v>8</v>
      </c>
      <c r="M43" s="65" t="s">
        <v>3</v>
      </c>
      <c r="N43" s="245"/>
    </row>
    <row r="44" spans="1:14" s="4" customFormat="1" ht="13.5" customHeight="1" thickBot="1">
      <c r="A44" s="150" t="s">
        <v>17</v>
      </c>
      <c r="B44" s="143">
        <v>129298</v>
      </c>
      <c r="C44" s="19">
        <v>22737</v>
      </c>
      <c r="D44" s="19">
        <v>4197760</v>
      </c>
      <c r="E44" s="19">
        <f>433652+419898</f>
        <v>853550</v>
      </c>
      <c r="F44" s="19">
        <v>875655</v>
      </c>
      <c r="G44" s="201">
        <f>SUM(G46:G53,G45,G55:G60)</f>
        <v>6079000</v>
      </c>
      <c r="H44" s="21">
        <f aca="true" t="shared" si="3" ref="H44:M44">SUM(H45:H53,H55:H60)</f>
        <v>23951</v>
      </c>
      <c r="I44" s="19">
        <f t="shared" si="3"/>
        <v>218637</v>
      </c>
      <c r="J44" s="19">
        <f t="shared" si="3"/>
        <v>4567306</v>
      </c>
      <c r="K44" s="19">
        <f t="shared" si="3"/>
        <v>818216</v>
      </c>
      <c r="L44" s="19">
        <f t="shared" si="3"/>
        <v>921890</v>
      </c>
      <c r="M44" s="20">
        <f t="shared" si="3"/>
        <v>6550000</v>
      </c>
      <c r="N44" s="50">
        <f aca="true" t="shared" si="4" ref="N44:N64">+M44-G44</f>
        <v>471000</v>
      </c>
    </row>
    <row r="45" spans="1:14" s="4" customFormat="1" ht="13.5" customHeight="1" thickBot="1" thickTop="1">
      <c r="A45" s="151" t="s">
        <v>9</v>
      </c>
      <c r="B45" s="144">
        <v>83075</v>
      </c>
      <c r="C45" s="25">
        <v>14844</v>
      </c>
      <c r="D45" s="25">
        <v>2697612</v>
      </c>
      <c r="E45" s="25">
        <f>262301+202308</f>
        <v>464609</v>
      </c>
      <c r="F45" s="25">
        <v>567254</v>
      </c>
      <c r="G45" s="202">
        <f>SUM(B45:F45)</f>
        <v>3827394</v>
      </c>
      <c r="H45" s="27">
        <v>16846</v>
      </c>
      <c r="I45" s="25">
        <v>154235</v>
      </c>
      <c r="J45" s="25">
        <v>2987685</v>
      </c>
      <c r="K45" s="25">
        <v>488140</v>
      </c>
      <c r="L45" s="25">
        <v>634924</v>
      </c>
      <c r="M45" s="26">
        <f aca="true" t="shared" si="5" ref="M45:M61">SUM(H45:L45)</f>
        <v>4281830</v>
      </c>
      <c r="N45" s="51">
        <f t="shared" si="4"/>
        <v>454436</v>
      </c>
    </row>
    <row r="46" spans="1:14" s="4" customFormat="1" ht="11.25" customHeight="1" thickTop="1">
      <c r="A46" s="152" t="s">
        <v>23</v>
      </c>
      <c r="B46" s="145">
        <v>0</v>
      </c>
      <c r="C46" s="16">
        <v>0</v>
      </c>
      <c r="D46" s="16">
        <v>31502</v>
      </c>
      <c r="E46" s="16">
        <f>26195+48712</f>
        <v>74907</v>
      </c>
      <c r="F46" s="16">
        <v>0</v>
      </c>
      <c r="G46" s="203">
        <f>SUM(B46:F46)</f>
        <v>106409</v>
      </c>
      <c r="H46" s="18">
        <v>0</v>
      </c>
      <c r="I46" s="16">
        <v>0</v>
      </c>
      <c r="J46" s="16">
        <v>31910</v>
      </c>
      <c r="K46" s="16">
        <v>77119</v>
      </c>
      <c r="L46" s="16">
        <v>0</v>
      </c>
      <c r="M46" s="17">
        <f t="shared" si="5"/>
        <v>109029</v>
      </c>
      <c r="N46" s="52">
        <f t="shared" si="4"/>
        <v>2620</v>
      </c>
    </row>
    <row r="47" spans="1:14" s="4" customFormat="1" ht="11.25" customHeight="1">
      <c r="A47" s="153" t="s">
        <v>10</v>
      </c>
      <c r="B47" s="146">
        <v>0</v>
      </c>
      <c r="C47" s="7">
        <v>0</v>
      </c>
      <c r="D47" s="7">
        <v>0</v>
      </c>
      <c r="E47" s="7">
        <v>0</v>
      </c>
      <c r="F47" s="7">
        <v>0</v>
      </c>
      <c r="G47" s="204">
        <f>SUM(B47:F47)</f>
        <v>0</v>
      </c>
      <c r="H47" s="9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5"/>
        <v>0</v>
      </c>
      <c r="N47" s="53">
        <f t="shared" si="4"/>
        <v>0</v>
      </c>
    </row>
    <row r="48" spans="1:14" s="4" customFormat="1" ht="11.25" customHeight="1">
      <c r="A48" s="153" t="s">
        <v>11</v>
      </c>
      <c r="B48" s="146">
        <v>1681</v>
      </c>
      <c r="C48" s="7">
        <v>205</v>
      </c>
      <c r="D48" s="7">
        <v>109988</v>
      </c>
      <c r="E48" s="7">
        <v>2164</v>
      </c>
      <c r="F48" s="7">
        <v>14593</v>
      </c>
      <c r="G48" s="204">
        <f aca="true" t="shared" si="6" ref="G48:G53">SUM(B48:F48)</f>
        <v>128631</v>
      </c>
      <c r="H48" s="9">
        <v>209</v>
      </c>
      <c r="I48" s="7">
        <v>2702</v>
      </c>
      <c r="J48" s="7">
        <v>108078</v>
      </c>
      <c r="K48" s="7">
        <v>3437</v>
      </c>
      <c r="L48" s="7">
        <v>13036</v>
      </c>
      <c r="M48" s="8">
        <f t="shared" si="5"/>
        <v>127462</v>
      </c>
      <c r="N48" s="53">
        <f t="shared" si="4"/>
        <v>-1169</v>
      </c>
    </row>
    <row r="49" spans="1:14" s="4" customFormat="1" ht="11.25" customHeight="1">
      <c r="A49" s="153" t="s">
        <v>12</v>
      </c>
      <c r="B49" s="146">
        <v>0</v>
      </c>
      <c r="C49" s="7">
        <v>0</v>
      </c>
      <c r="D49" s="7">
        <v>208597</v>
      </c>
      <c r="E49" s="7"/>
      <c r="F49" s="7">
        <v>7629</v>
      </c>
      <c r="G49" s="204">
        <f t="shared" si="6"/>
        <v>216226</v>
      </c>
      <c r="H49" s="9">
        <v>0</v>
      </c>
      <c r="I49" s="7">
        <v>0</v>
      </c>
      <c r="J49" s="7">
        <v>247257</v>
      </c>
      <c r="K49" s="7">
        <v>0</v>
      </c>
      <c r="L49" s="7">
        <v>7731</v>
      </c>
      <c r="M49" s="8">
        <f t="shared" si="5"/>
        <v>254988</v>
      </c>
      <c r="N49" s="53">
        <f t="shared" si="4"/>
        <v>38762</v>
      </c>
    </row>
    <row r="50" spans="1:14" s="4" customFormat="1" ht="11.25" customHeight="1">
      <c r="A50" s="153" t="s">
        <v>13</v>
      </c>
      <c r="B50" s="146">
        <v>0</v>
      </c>
      <c r="C50" s="7">
        <v>0</v>
      </c>
      <c r="D50" s="7">
        <v>99239</v>
      </c>
      <c r="E50" s="7"/>
      <c r="F50" s="7">
        <v>4568</v>
      </c>
      <c r="G50" s="204">
        <f t="shared" si="6"/>
        <v>103807</v>
      </c>
      <c r="H50" s="9">
        <v>0</v>
      </c>
      <c r="I50" s="7">
        <v>86</v>
      </c>
      <c r="J50" s="7">
        <v>114514</v>
      </c>
      <c r="K50" s="7">
        <v>0</v>
      </c>
      <c r="L50" s="7">
        <v>4715</v>
      </c>
      <c r="M50" s="8">
        <f t="shared" si="5"/>
        <v>119315</v>
      </c>
      <c r="N50" s="53">
        <f t="shared" si="4"/>
        <v>15508</v>
      </c>
    </row>
    <row r="51" spans="1:14" s="4" customFormat="1" ht="13.5" customHeight="1">
      <c r="A51" s="153" t="s">
        <v>14</v>
      </c>
      <c r="B51" s="146">
        <v>0</v>
      </c>
      <c r="C51" s="7">
        <v>0</v>
      </c>
      <c r="D51" s="7">
        <v>140484</v>
      </c>
      <c r="E51" s="7">
        <v>0</v>
      </c>
      <c r="F51" s="7">
        <v>0</v>
      </c>
      <c r="G51" s="204">
        <f t="shared" si="6"/>
        <v>140484</v>
      </c>
      <c r="H51" s="9">
        <v>0</v>
      </c>
      <c r="I51" s="7">
        <v>0</v>
      </c>
      <c r="J51" s="7">
        <v>164039</v>
      </c>
      <c r="K51" s="7">
        <v>0</v>
      </c>
      <c r="L51" s="7">
        <v>0</v>
      </c>
      <c r="M51" s="8">
        <f t="shared" si="5"/>
        <v>164039</v>
      </c>
      <c r="N51" s="53">
        <f t="shared" si="4"/>
        <v>23555</v>
      </c>
    </row>
    <row r="52" spans="1:14" s="4" customFormat="1" ht="12" customHeight="1">
      <c r="A52" s="164" t="s">
        <v>15</v>
      </c>
      <c r="B52" s="146">
        <v>0</v>
      </c>
      <c r="C52" s="7">
        <v>0</v>
      </c>
      <c r="D52" s="7">
        <v>0</v>
      </c>
      <c r="E52" s="7">
        <v>0</v>
      </c>
      <c r="F52" s="7">
        <v>0</v>
      </c>
      <c r="G52" s="204">
        <f t="shared" si="6"/>
        <v>0</v>
      </c>
      <c r="H52" s="9">
        <v>0</v>
      </c>
      <c r="I52" s="7">
        <v>0</v>
      </c>
      <c r="J52" s="7">
        <v>0</v>
      </c>
      <c r="K52" s="7">
        <v>0</v>
      </c>
      <c r="L52" s="7">
        <v>0</v>
      </c>
      <c r="M52" s="8">
        <f t="shared" si="5"/>
        <v>0</v>
      </c>
      <c r="N52" s="53">
        <f t="shared" si="4"/>
        <v>0</v>
      </c>
    </row>
    <row r="53" spans="1:14" s="4" customFormat="1" ht="13.5" customHeight="1" thickBot="1">
      <c r="A53" s="154" t="s">
        <v>16</v>
      </c>
      <c r="B53" s="147">
        <v>5061</v>
      </c>
      <c r="C53" s="22">
        <v>2039</v>
      </c>
      <c r="D53" s="22">
        <v>154677</v>
      </c>
      <c r="E53" s="22">
        <f>36818+59536</f>
        <v>96354</v>
      </c>
      <c r="F53" s="22">
        <v>43704</v>
      </c>
      <c r="G53" s="204">
        <f t="shared" si="6"/>
        <v>301835</v>
      </c>
      <c r="H53" s="24">
        <v>2090</v>
      </c>
      <c r="I53" s="22">
        <v>8929</v>
      </c>
      <c r="J53" s="22">
        <v>130847</v>
      </c>
      <c r="K53" s="22">
        <v>94843</v>
      </c>
      <c r="L53" s="22">
        <v>36283</v>
      </c>
      <c r="M53" s="23">
        <f t="shared" si="5"/>
        <v>272992</v>
      </c>
      <c r="N53" s="54">
        <f t="shared" si="4"/>
        <v>-28843</v>
      </c>
    </row>
    <row r="54" spans="1:14" s="4" customFormat="1" ht="13.5" customHeight="1" thickBot="1" thickTop="1">
      <c r="A54" s="151" t="s">
        <v>18</v>
      </c>
      <c r="B54" s="144">
        <f>SUM(B46:B53)</f>
        <v>6742</v>
      </c>
      <c r="C54" s="25">
        <f>SUM(C46:C53)</f>
        <v>2244</v>
      </c>
      <c r="D54" s="25">
        <f>SUM(D46:D53)</f>
        <v>744487</v>
      </c>
      <c r="E54" s="25">
        <f>SUM(E46:E53)</f>
        <v>173425</v>
      </c>
      <c r="F54" s="25">
        <f>SUM(F46:F53)</f>
        <v>70494</v>
      </c>
      <c r="G54" s="202">
        <f>SUM(B54:F54)</f>
        <v>997392</v>
      </c>
      <c r="H54" s="27">
        <f>SUM(H46:H53)</f>
        <v>2299</v>
      </c>
      <c r="I54" s="25">
        <f>SUM(I46:I53)</f>
        <v>11717</v>
      </c>
      <c r="J54" s="25">
        <f>SUM(J46:J53)</f>
        <v>796645</v>
      </c>
      <c r="K54" s="25">
        <f>SUM(K46:K53)</f>
        <v>175399</v>
      </c>
      <c r="L54" s="25">
        <f>SUM(L46:L53)</f>
        <v>61765</v>
      </c>
      <c r="M54" s="26">
        <f t="shared" si="5"/>
        <v>1047825</v>
      </c>
      <c r="N54" s="51">
        <f t="shared" si="4"/>
        <v>50433</v>
      </c>
    </row>
    <row r="55" spans="1:14" s="4" customFormat="1" ht="13.5" customHeight="1" thickTop="1">
      <c r="A55" s="152" t="s">
        <v>22</v>
      </c>
      <c r="B55" s="145">
        <v>0</v>
      </c>
      <c r="C55" s="16">
        <v>0</v>
      </c>
      <c r="D55" s="16">
        <v>501</v>
      </c>
      <c r="E55" s="16">
        <v>0</v>
      </c>
      <c r="F55" s="16">
        <v>48552</v>
      </c>
      <c r="G55" s="203">
        <f>SUM(B55:F55)</f>
        <v>49053</v>
      </c>
      <c r="H55" s="18">
        <v>0</v>
      </c>
      <c r="I55" s="16">
        <v>0</v>
      </c>
      <c r="J55" s="16">
        <v>172</v>
      </c>
      <c r="K55" s="16">
        <v>0</v>
      </c>
      <c r="L55" s="16">
        <v>45379</v>
      </c>
      <c r="M55" s="17">
        <f t="shared" si="5"/>
        <v>45551</v>
      </c>
      <c r="N55" s="52">
        <f t="shared" si="4"/>
        <v>-3502</v>
      </c>
    </row>
    <row r="56" spans="1:14" s="4" customFormat="1" ht="15.75" customHeight="1">
      <c r="A56" s="152" t="s">
        <v>84</v>
      </c>
      <c r="B56" s="145">
        <v>0</v>
      </c>
      <c r="C56" s="16">
        <v>0</v>
      </c>
      <c r="D56" s="16">
        <v>0</v>
      </c>
      <c r="E56" s="16">
        <v>0</v>
      </c>
      <c r="F56" s="16">
        <v>0</v>
      </c>
      <c r="G56" s="203">
        <f aca="true" t="shared" si="7" ref="G56:G61">SUM(B56:F56)</f>
        <v>0</v>
      </c>
      <c r="H56" s="18">
        <v>0</v>
      </c>
      <c r="I56" s="16">
        <v>0</v>
      </c>
      <c r="J56" s="16">
        <v>0</v>
      </c>
      <c r="K56" s="16">
        <v>0</v>
      </c>
      <c r="L56" s="16">
        <v>0</v>
      </c>
      <c r="M56" s="17">
        <f t="shared" si="5"/>
        <v>0</v>
      </c>
      <c r="N56" s="52">
        <f t="shared" si="4"/>
        <v>0</v>
      </c>
    </row>
    <row r="57" spans="1:14" s="4" customFormat="1" ht="13.5" customHeight="1">
      <c r="A57" s="153" t="s">
        <v>21</v>
      </c>
      <c r="B57" s="146">
        <v>0</v>
      </c>
      <c r="C57" s="7">
        <v>0</v>
      </c>
      <c r="D57" s="7">
        <v>0</v>
      </c>
      <c r="E57" s="7">
        <v>0</v>
      </c>
      <c r="F57" s="7">
        <v>0</v>
      </c>
      <c r="G57" s="203">
        <f t="shared" si="7"/>
        <v>0</v>
      </c>
      <c r="H57" s="9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5"/>
        <v>0</v>
      </c>
      <c r="N57" s="53">
        <f t="shared" si="4"/>
        <v>0</v>
      </c>
    </row>
    <row r="58" spans="1:14" s="4" customFormat="1" ht="13.5" customHeight="1">
      <c r="A58" s="153" t="s">
        <v>4</v>
      </c>
      <c r="B58" s="146">
        <v>11500</v>
      </c>
      <c r="C58" s="7">
        <v>1800</v>
      </c>
      <c r="D58" s="7">
        <v>295400</v>
      </c>
      <c r="E58" s="7">
        <f>31900+29400</f>
        <v>61300</v>
      </c>
      <c r="F58" s="7">
        <v>64400</v>
      </c>
      <c r="G58" s="203">
        <f t="shared" si="7"/>
        <v>434400</v>
      </c>
      <c r="H58" s="9">
        <v>2000</v>
      </c>
      <c r="I58" s="7">
        <v>19400</v>
      </c>
      <c r="J58" s="7">
        <v>316600</v>
      </c>
      <c r="K58" s="7">
        <v>61000</v>
      </c>
      <c r="L58" s="7">
        <v>67200</v>
      </c>
      <c r="M58" s="8">
        <f t="shared" si="5"/>
        <v>466200</v>
      </c>
      <c r="N58" s="53">
        <f t="shared" si="4"/>
        <v>31800</v>
      </c>
    </row>
    <row r="59" spans="1:14" s="4" customFormat="1" ht="13.5" customHeight="1">
      <c r="A59" s="153" t="s">
        <v>19</v>
      </c>
      <c r="B59" s="146">
        <v>25981</v>
      </c>
      <c r="C59" s="7">
        <v>2849</v>
      </c>
      <c r="D59" s="7">
        <v>395810</v>
      </c>
      <c r="E59" s="7">
        <f>44300+37778</f>
        <v>82078</v>
      </c>
      <c r="F59" s="7">
        <v>85980</v>
      </c>
      <c r="G59" s="203">
        <f t="shared" si="7"/>
        <v>592698</v>
      </c>
      <c r="H59" s="9">
        <v>2806</v>
      </c>
      <c r="I59" s="7">
        <v>33285</v>
      </c>
      <c r="J59" s="7">
        <v>455004</v>
      </c>
      <c r="K59" s="7">
        <v>64981</v>
      </c>
      <c r="L59" s="7">
        <v>84012</v>
      </c>
      <c r="M59" s="8">
        <f t="shared" si="5"/>
        <v>640088</v>
      </c>
      <c r="N59" s="53">
        <f t="shared" si="4"/>
        <v>47390</v>
      </c>
    </row>
    <row r="60" spans="1:14" s="4" customFormat="1" ht="13.5" customHeight="1">
      <c r="A60" s="155" t="s">
        <v>20</v>
      </c>
      <c r="B60" s="148">
        <v>2000</v>
      </c>
      <c r="C60" s="10">
        <v>1000</v>
      </c>
      <c r="D60" s="10">
        <v>63950</v>
      </c>
      <c r="E60" s="10">
        <f>40000+32138</f>
        <v>72138</v>
      </c>
      <c r="F60" s="10">
        <v>38975</v>
      </c>
      <c r="G60" s="203">
        <f t="shared" si="7"/>
        <v>178063</v>
      </c>
      <c r="H60" s="12">
        <v>0</v>
      </c>
      <c r="I60" s="10">
        <v>0</v>
      </c>
      <c r="J60" s="10">
        <v>11200</v>
      </c>
      <c r="K60" s="10">
        <v>28696</v>
      </c>
      <c r="L60" s="10">
        <v>28610</v>
      </c>
      <c r="M60" s="11">
        <f t="shared" si="5"/>
        <v>68506</v>
      </c>
      <c r="N60" s="55">
        <f t="shared" si="4"/>
        <v>-109557</v>
      </c>
    </row>
    <row r="61" spans="1:14" s="2" customFormat="1" ht="14.25" customHeight="1" thickBot="1">
      <c r="A61" s="156" t="s">
        <v>35</v>
      </c>
      <c r="B61" s="149">
        <v>1</v>
      </c>
      <c r="C61" s="13">
        <v>0.1</v>
      </c>
      <c r="D61" s="13">
        <v>24.44</v>
      </c>
      <c r="E61" s="13">
        <f>2.25+1</f>
        <v>3.25</v>
      </c>
      <c r="F61" s="13">
        <v>8.05</v>
      </c>
      <c r="G61" s="208">
        <f t="shared" si="7"/>
        <v>36.84</v>
      </c>
      <c r="H61" s="15">
        <v>0.1</v>
      </c>
      <c r="I61" s="13">
        <v>1.42</v>
      </c>
      <c r="J61" s="13">
        <v>24.32</v>
      </c>
      <c r="K61" s="13">
        <v>3.25</v>
      </c>
      <c r="L61" s="13">
        <v>8.01</v>
      </c>
      <c r="M61" s="14">
        <f t="shared" si="5"/>
        <v>37.1</v>
      </c>
      <c r="N61" s="56">
        <f t="shared" si="4"/>
        <v>0.259999999999998</v>
      </c>
    </row>
    <row r="62" spans="1:14" s="2" customFormat="1" ht="14.25" customHeight="1">
      <c r="A62" s="157" t="s">
        <v>39</v>
      </c>
      <c r="B62" s="161">
        <f aca="true" t="shared" si="8" ref="B62:M62">+B44/B61/12</f>
        <v>10774.833333333334</v>
      </c>
      <c r="C62" s="58">
        <f t="shared" si="8"/>
        <v>18947.5</v>
      </c>
      <c r="D62" s="58">
        <f t="shared" si="8"/>
        <v>14313.147845062738</v>
      </c>
      <c r="E62" s="58">
        <f t="shared" si="8"/>
        <v>21885.897435897437</v>
      </c>
      <c r="F62" s="58">
        <f t="shared" si="8"/>
        <v>9064.751552795029</v>
      </c>
      <c r="G62" s="205">
        <f t="shared" si="8"/>
        <v>13750.904813608395</v>
      </c>
      <c r="H62" s="66">
        <f t="shared" si="8"/>
        <v>19959.166666666668</v>
      </c>
      <c r="I62" s="58">
        <f t="shared" si="8"/>
        <v>12830.80985915493</v>
      </c>
      <c r="J62" s="58">
        <f t="shared" si="8"/>
        <v>15650.034265350878</v>
      </c>
      <c r="K62" s="58">
        <f t="shared" si="8"/>
        <v>20979.897435897434</v>
      </c>
      <c r="L62" s="58">
        <f t="shared" si="8"/>
        <v>9591.032043279234</v>
      </c>
      <c r="M62" s="59">
        <f t="shared" si="8"/>
        <v>14712.48876909254</v>
      </c>
      <c r="N62" s="69">
        <f t="shared" si="4"/>
        <v>961.5839554841459</v>
      </c>
    </row>
    <row r="63" spans="1:14" s="2" customFormat="1" ht="14.25" customHeight="1">
      <c r="A63" s="158" t="s">
        <v>37</v>
      </c>
      <c r="B63" s="162">
        <f aca="true" t="shared" si="9" ref="B63:M63">+B45/B61/12</f>
        <v>6922.916666666667</v>
      </c>
      <c r="C63" s="57">
        <f t="shared" si="9"/>
        <v>12370</v>
      </c>
      <c r="D63" s="57">
        <f t="shared" si="9"/>
        <v>9198.076923076924</v>
      </c>
      <c r="E63" s="57">
        <f t="shared" si="9"/>
        <v>11913.051282051281</v>
      </c>
      <c r="F63" s="57">
        <f t="shared" si="9"/>
        <v>5872.1946169772245</v>
      </c>
      <c r="G63" s="206">
        <f t="shared" si="9"/>
        <v>8657.695439739413</v>
      </c>
      <c r="H63" s="67">
        <f t="shared" si="9"/>
        <v>14038.333333333334</v>
      </c>
      <c r="I63" s="57">
        <f t="shared" si="9"/>
        <v>9051.349765258217</v>
      </c>
      <c r="J63" s="57">
        <f t="shared" si="9"/>
        <v>10237.407483552632</v>
      </c>
      <c r="K63" s="57">
        <f t="shared" si="9"/>
        <v>12516.410256410256</v>
      </c>
      <c r="L63" s="57">
        <f t="shared" si="9"/>
        <v>6605.534748231377</v>
      </c>
      <c r="M63" s="60">
        <f t="shared" si="9"/>
        <v>9617.767295597483</v>
      </c>
      <c r="N63" s="70">
        <f t="shared" si="4"/>
        <v>960.0718558580702</v>
      </c>
    </row>
    <row r="64" spans="1:14" s="2" customFormat="1" ht="14.25" customHeight="1" thickBot="1">
      <c r="A64" s="159" t="s">
        <v>38</v>
      </c>
      <c r="B64" s="163">
        <f aca="true" t="shared" si="10" ref="B64:M64">+B54/B61/12</f>
        <v>561.8333333333334</v>
      </c>
      <c r="C64" s="61">
        <f t="shared" si="10"/>
        <v>1870</v>
      </c>
      <c r="D64" s="61">
        <f t="shared" si="10"/>
        <v>2538.485406437534</v>
      </c>
      <c r="E64" s="61">
        <f t="shared" si="10"/>
        <v>4446.794871794872</v>
      </c>
      <c r="F64" s="61">
        <f t="shared" si="10"/>
        <v>729.751552795031</v>
      </c>
      <c r="G64" s="207">
        <f t="shared" si="10"/>
        <v>2256.134636264929</v>
      </c>
      <c r="H64" s="68">
        <f t="shared" si="10"/>
        <v>1915.8333333333333</v>
      </c>
      <c r="I64" s="61">
        <f t="shared" si="10"/>
        <v>687.6173708920188</v>
      </c>
      <c r="J64" s="61">
        <f t="shared" si="10"/>
        <v>2729.7320449561403</v>
      </c>
      <c r="K64" s="61">
        <f t="shared" si="10"/>
        <v>4497.410256410257</v>
      </c>
      <c r="L64" s="61">
        <f t="shared" si="10"/>
        <v>642.5821889305035</v>
      </c>
      <c r="M64" s="62">
        <f t="shared" si="10"/>
        <v>2353.6051212938005</v>
      </c>
      <c r="N64" s="71">
        <f t="shared" si="4"/>
        <v>97.47048502887128</v>
      </c>
    </row>
    <row r="65" spans="1:13" s="47" customFormat="1" ht="12.75" customHeight="1">
      <c r="A65" s="6" t="s">
        <v>61</v>
      </c>
      <c r="B65" s="90"/>
      <c r="C65" s="90"/>
      <c r="D65" s="90"/>
      <c r="E65" s="90"/>
      <c r="F65" s="90"/>
      <c r="H65" s="90"/>
      <c r="I65" s="90"/>
      <c r="J65" s="90"/>
      <c r="K65" s="90"/>
      <c r="L65" s="90"/>
      <c r="M65" s="90"/>
    </row>
    <row r="66" spans="1:12" ht="3.75" customHeight="1">
      <c r="A66"/>
      <c r="B66"/>
      <c r="C66"/>
      <c r="D66"/>
      <c r="E66"/>
      <c r="F66"/>
      <c r="G66"/>
      <c r="H66"/>
      <c r="I66"/>
      <c r="J66"/>
      <c r="K66"/>
      <c r="L66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5" customHeight="1" thickBot="1">
      <c r="A81" s="103"/>
    </row>
    <row r="82" spans="1:13" ht="24.75" customHeight="1">
      <c r="A82" s="219" t="s">
        <v>50</v>
      </c>
      <c r="B82" s="223" t="s">
        <v>55</v>
      </c>
      <c r="C82" s="225" t="s">
        <v>54</v>
      </c>
      <c r="D82" s="226"/>
      <c r="E82" s="226"/>
      <c r="F82" s="227"/>
      <c r="G82" s="223" t="s">
        <v>57</v>
      </c>
      <c r="H82" s="225" t="s">
        <v>58</v>
      </c>
      <c r="I82" s="226"/>
      <c r="J82" s="226"/>
      <c r="K82" s="227"/>
      <c r="L82" s="221" t="s">
        <v>65</v>
      </c>
      <c r="M82" s="222"/>
    </row>
    <row r="83" spans="1:13" s="89" customFormat="1" ht="21.75" customHeight="1" thickBot="1">
      <c r="A83" s="220"/>
      <c r="B83" s="224"/>
      <c r="C83" s="97" t="s">
        <v>51</v>
      </c>
      <c r="D83" s="92" t="s">
        <v>56</v>
      </c>
      <c r="E83" s="92" t="s">
        <v>52</v>
      </c>
      <c r="F83" s="96" t="s">
        <v>53</v>
      </c>
      <c r="G83" s="224"/>
      <c r="H83" s="97" t="s">
        <v>59</v>
      </c>
      <c r="I83" s="92" t="s">
        <v>56</v>
      </c>
      <c r="J83" s="92" t="s">
        <v>52</v>
      </c>
      <c r="K83" s="96" t="s">
        <v>60</v>
      </c>
      <c r="L83" s="87" t="s">
        <v>63</v>
      </c>
      <c r="M83" s="88" t="s">
        <v>64</v>
      </c>
    </row>
    <row r="84" spans="1:13" ht="12.75">
      <c r="A84" s="81" t="s">
        <v>40</v>
      </c>
      <c r="B84" s="93">
        <v>791.05</v>
      </c>
      <c r="C84" s="98" t="s">
        <v>46</v>
      </c>
      <c r="D84" s="72" t="s">
        <v>46</v>
      </c>
      <c r="E84" s="72" t="s">
        <v>46</v>
      </c>
      <c r="F84" s="82" t="s">
        <v>46</v>
      </c>
      <c r="G84" s="100">
        <v>1061.57</v>
      </c>
      <c r="H84" s="98" t="s">
        <v>46</v>
      </c>
      <c r="I84" s="72" t="s">
        <v>46</v>
      </c>
      <c r="J84" s="72" t="s">
        <v>46</v>
      </c>
      <c r="K84" s="82" t="s">
        <v>46</v>
      </c>
      <c r="L84" s="105" t="s">
        <v>46</v>
      </c>
      <c r="M84" s="104" t="s">
        <v>46</v>
      </c>
    </row>
    <row r="85" spans="1:13" ht="12.75">
      <c r="A85" s="76" t="s">
        <v>41</v>
      </c>
      <c r="B85" s="94">
        <v>0</v>
      </c>
      <c r="C85" s="83">
        <v>68</v>
      </c>
      <c r="D85" s="80">
        <v>19</v>
      </c>
      <c r="E85" s="80">
        <v>0</v>
      </c>
      <c r="F85" s="74">
        <f>+C85+D85-E85</f>
        <v>87</v>
      </c>
      <c r="G85" s="78">
        <v>0</v>
      </c>
      <c r="H85" s="83">
        <v>87</v>
      </c>
      <c r="I85" s="80">
        <v>0</v>
      </c>
      <c r="J85" s="80">
        <v>0</v>
      </c>
      <c r="K85" s="74">
        <v>87</v>
      </c>
      <c r="L85" s="83">
        <f>+B85-F85</f>
        <v>-87</v>
      </c>
      <c r="M85" s="84">
        <f>+G85-K85</f>
        <v>-87</v>
      </c>
    </row>
    <row r="86" spans="1:13" ht="12.75">
      <c r="A86" s="76" t="s">
        <v>42</v>
      </c>
      <c r="B86" s="94">
        <v>0</v>
      </c>
      <c r="C86" s="83">
        <v>352</v>
      </c>
      <c r="D86" s="80">
        <v>192</v>
      </c>
      <c r="E86" s="80">
        <v>353</v>
      </c>
      <c r="F86" s="74">
        <v>191</v>
      </c>
      <c r="G86" s="78">
        <v>0</v>
      </c>
      <c r="H86" s="83">
        <v>191</v>
      </c>
      <c r="I86" s="80">
        <v>120</v>
      </c>
      <c r="J86" s="80">
        <v>120</v>
      </c>
      <c r="K86" s="74">
        <v>191</v>
      </c>
      <c r="L86" s="83">
        <f>+B86-F86</f>
        <v>-191</v>
      </c>
      <c r="M86" s="84">
        <f>+G86-K86</f>
        <v>-191</v>
      </c>
    </row>
    <row r="87" spans="1:13" ht="12.75">
      <c r="A87" s="76" t="s">
        <v>43</v>
      </c>
      <c r="B87" s="94">
        <v>0</v>
      </c>
      <c r="C87" s="83">
        <v>903</v>
      </c>
      <c r="D87" s="80">
        <v>256</v>
      </c>
      <c r="E87" s="80">
        <v>957</v>
      </c>
      <c r="F87" s="74">
        <v>202</v>
      </c>
      <c r="G87" s="78">
        <v>0</v>
      </c>
      <c r="H87" s="83">
        <v>202</v>
      </c>
      <c r="I87" s="80">
        <v>164</v>
      </c>
      <c r="J87" s="80">
        <v>31</v>
      </c>
      <c r="K87" s="74">
        <v>335</v>
      </c>
      <c r="L87" s="83">
        <f>+B87-F87</f>
        <v>-202</v>
      </c>
      <c r="M87" s="84">
        <f>+G87-K87</f>
        <v>-335</v>
      </c>
    </row>
    <row r="88" spans="1:13" ht="12.75">
      <c r="A88" s="76" t="s">
        <v>45</v>
      </c>
      <c r="B88" s="94">
        <v>791.05</v>
      </c>
      <c r="C88" s="98" t="s">
        <v>46</v>
      </c>
      <c r="D88" s="72" t="s">
        <v>46</v>
      </c>
      <c r="E88" s="72" t="s">
        <v>46</v>
      </c>
      <c r="F88" s="73" t="s">
        <v>46</v>
      </c>
      <c r="G88" s="78">
        <v>1061.57</v>
      </c>
      <c r="H88" s="101" t="s">
        <v>46</v>
      </c>
      <c r="I88" s="72" t="s">
        <v>46</v>
      </c>
      <c r="J88" s="99" t="s">
        <v>46</v>
      </c>
      <c r="K88" s="73" t="s">
        <v>46</v>
      </c>
      <c r="L88" s="105" t="s">
        <v>46</v>
      </c>
      <c r="M88" s="82" t="s">
        <v>46</v>
      </c>
    </row>
    <row r="89" spans="1:13" ht="13.5" thickBot="1">
      <c r="A89" s="77" t="s">
        <v>44</v>
      </c>
      <c r="B89" s="95">
        <v>108.95</v>
      </c>
      <c r="C89" s="85">
        <v>135</v>
      </c>
      <c r="D89" s="102">
        <v>122</v>
      </c>
      <c r="E89" s="102">
        <v>83</v>
      </c>
      <c r="F89" s="75">
        <v>174</v>
      </c>
      <c r="G89" s="79">
        <v>224.87</v>
      </c>
      <c r="H89" s="85">
        <v>174</v>
      </c>
      <c r="I89" s="102">
        <v>131</v>
      </c>
      <c r="J89" s="102">
        <v>71</v>
      </c>
      <c r="K89" s="75">
        <v>234</v>
      </c>
      <c r="L89" s="85">
        <f>+B89-F89</f>
        <v>-65.05</v>
      </c>
      <c r="M89" s="86">
        <f>+G89-K89</f>
        <v>-9.129999999999995</v>
      </c>
    </row>
    <row r="90" ht="5.25" customHeight="1"/>
    <row r="91" ht="13.5" thickBot="1"/>
    <row r="92" spans="1:13" s="1" customFormat="1" ht="18" customHeight="1">
      <c r="A92" s="239" t="s">
        <v>72</v>
      </c>
      <c r="B92" s="241" t="s">
        <v>73</v>
      </c>
      <c r="C92" s="242"/>
      <c r="D92" s="242"/>
      <c r="E92" s="242"/>
      <c r="F92" s="242"/>
      <c r="G92" s="243"/>
      <c r="H92" s="241" t="s">
        <v>74</v>
      </c>
      <c r="I92" s="242"/>
      <c r="J92" s="242"/>
      <c r="K92" s="242"/>
      <c r="L92" s="242"/>
      <c r="M92" s="243"/>
    </row>
    <row r="93" spans="1:13" s="28" customFormat="1" ht="14.25" customHeight="1" thickBot="1">
      <c r="A93" s="240"/>
      <c r="B93" s="129" t="s">
        <v>67</v>
      </c>
      <c r="C93" s="130" t="s">
        <v>68</v>
      </c>
      <c r="D93" s="130" t="s">
        <v>69</v>
      </c>
      <c r="E93" s="130" t="s">
        <v>70</v>
      </c>
      <c r="F93" s="131" t="s">
        <v>71</v>
      </c>
      <c r="G93" s="132" t="s">
        <v>3</v>
      </c>
      <c r="H93" s="133" t="s">
        <v>67</v>
      </c>
      <c r="I93" s="130" t="s">
        <v>68</v>
      </c>
      <c r="J93" s="130" t="s">
        <v>69</v>
      </c>
      <c r="K93" s="130" t="s">
        <v>70</v>
      </c>
      <c r="L93" s="131" t="s">
        <v>71</v>
      </c>
      <c r="M93" s="132" t="s">
        <v>47</v>
      </c>
    </row>
    <row r="94" spans="1:13" s="1" customFormat="1" ht="4.5" customHeight="1" hidden="1">
      <c r="A94" s="124">
        <v>36891</v>
      </c>
      <c r="B94" s="125"/>
      <c r="C94" s="126"/>
      <c r="D94" s="126"/>
      <c r="E94" s="126"/>
      <c r="F94" s="127"/>
      <c r="G94" s="128">
        <f>SUM(B94:F94)</f>
        <v>0</v>
      </c>
      <c r="H94" s="126"/>
      <c r="I94" s="126"/>
      <c r="J94" s="126"/>
      <c r="K94" s="126"/>
      <c r="L94" s="127"/>
      <c r="M94" s="128">
        <f>SUM(H94:L94)</f>
        <v>0</v>
      </c>
    </row>
    <row r="95" spans="1:13" s="1" customFormat="1" ht="14.25" customHeight="1">
      <c r="A95" s="114">
        <v>37256</v>
      </c>
      <c r="B95" s="115">
        <v>0</v>
      </c>
      <c r="C95" s="116">
        <v>0</v>
      </c>
      <c r="D95" s="116">
        <v>0</v>
      </c>
      <c r="E95" s="116">
        <v>0</v>
      </c>
      <c r="F95" s="117">
        <v>0</v>
      </c>
      <c r="G95" s="118">
        <f>SUM(B95:F95)</f>
        <v>0</v>
      </c>
      <c r="H95" s="116">
        <v>0</v>
      </c>
      <c r="I95" s="116">
        <v>0</v>
      </c>
      <c r="J95" s="116">
        <v>0</v>
      </c>
      <c r="K95" s="116">
        <v>0</v>
      </c>
      <c r="L95" s="117">
        <v>0</v>
      </c>
      <c r="M95" s="118">
        <f>SUM(H95:L95)</f>
        <v>0</v>
      </c>
    </row>
    <row r="96" spans="1:13" s="1" customFormat="1" ht="14.25" customHeight="1">
      <c r="A96" s="114">
        <v>37621</v>
      </c>
      <c r="B96" s="115">
        <v>0</v>
      </c>
      <c r="C96" s="116">
        <v>0</v>
      </c>
      <c r="D96" s="116">
        <v>0</v>
      </c>
      <c r="E96" s="116">
        <v>0</v>
      </c>
      <c r="F96" s="117">
        <v>0</v>
      </c>
      <c r="G96" s="118">
        <f>SUM(B96:F96)</f>
        <v>0</v>
      </c>
      <c r="H96" s="116">
        <v>0</v>
      </c>
      <c r="I96" s="116">
        <v>0</v>
      </c>
      <c r="J96" s="116">
        <v>0</v>
      </c>
      <c r="K96" s="116">
        <v>0</v>
      </c>
      <c r="L96" s="117">
        <v>0</v>
      </c>
      <c r="M96" s="118">
        <f>SUM(H96:L96)</f>
        <v>0</v>
      </c>
    </row>
    <row r="97" spans="1:13" s="1" customFormat="1" ht="14.25" customHeight="1">
      <c r="A97" s="114">
        <v>37986</v>
      </c>
      <c r="B97" s="115">
        <v>0</v>
      </c>
      <c r="C97" s="116">
        <v>0</v>
      </c>
      <c r="D97" s="116">
        <v>0</v>
      </c>
      <c r="E97" s="116">
        <v>0</v>
      </c>
      <c r="F97" s="117">
        <v>0</v>
      </c>
      <c r="G97" s="118">
        <f>SUM(B97:F97)</f>
        <v>0</v>
      </c>
      <c r="H97" s="116">
        <v>0</v>
      </c>
      <c r="I97" s="116">
        <v>0</v>
      </c>
      <c r="J97" s="116">
        <v>0</v>
      </c>
      <c r="K97" s="116">
        <v>0</v>
      </c>
      <c r="L97" s="117">
        <v>0</v>
      </c>
      <c r="M97" s="118">
        <f>SUM(H97:L97)</f>
        <v>0</v>
      </c>
    </row>
    <row r="98" spans="1:13" s="1" customFormat="1" ht="14.25" customHeight="1" thickBot="1">
      <c r="A98" s="214">
        <v>38352</v>
      </c>
      <c r="B98" s="215">
        <v>0</v>
      </c>
      <c r="C98" s="216">
        <v>0</v>
      </c>
      <c r="D98" s="216">
        <v>0</v>
      </c>
      <c r="E98" s="216">
        <v>0</v>
      </c>
      <c r="F98" s="217">
        <v>423</v>
      </c>
      <c r="G98" s="218">
        <f>SUM(B98:F98)</f>
        <v>423</v>
      </c>
      <c r="H98" s="216">
        <v>0</v>
      </c>
      <c r="I98" s="216">
        <v>0</v>
      </c>
      <c r="J98" s="216">
        <v>0</v>
      </c>
      <c r="K98" s="216">
        <v>0</v>
      </c>
      <c r="L98" s="217">
        <v>0</v>
      </c>
      <c r="M98" s="218">
        <f>SUM(H98:L98)</f>
        <v>0</v>
      </c>
    </row>
    <row r="100" ht="16.5" thickBot="1">
      <c r="A100" s="103"/>
    </row>
    <row r="101" spans="1:12" ht="24" customHeight="1" thickBot="1">
      <c r="A101" s="256" t="s">
        <v>81</v>
      </c>
      <c r="B101" s="257"/>
      <c r="C101" s="257"/>
      <c r="D101" s="135">
        <v>2001</v>
      </c>
      <c r="E101" s="135">
        <v>2002</v>
      </c>
      <c r="F101" s="213">
        <v>2003</v>
      </c>
      <c r="G101" s="136">
        <v>2004</v>
      </c>
      <c r="J101"/>
      <c r="K101"/>
      <c r="L101"/>
    </row>
    <row r="102" spans="1:7" s="4" customFormat="1" ht="24.75" customHeight="1">
      <c r="A102" s="252" t="s">
        <v>82</v>
      </c>
      <c r="B102" s="253"/>
      <c r="C102" s="253"/>
      <c r="D102" s="134">
        <f>+(B7)/B13</f>
        <v>0.7036715813819023</v>
      </c>
      <c r="E102" s="134">
        <f>+(C7)/C13</f>
        <v>0.7249415230009529</v>
      </c>
      <c r="F102" s="134">
        <f>+(D7)/D13</f>
        <v>0.7648008154251252</v>
      </c>
      <c r="G102" s="141">
        <f>+(E7)/E13</f>
        <v>0.7722320141003044</v>
      </c>
    </row>
    <row r="103" spans="1:7" s="4" customFormat="1" ht="24.75" customHeight="1">
      <c r="A103" s="237" t="s">
        <v>77</v>
      </c>
      <c r="B103" s="238"/>
      <c r="C103" s="238"/>
      <c r="D103" s="134">
        <f>+(B4+B3)/B13</f>
        <v>0.17885708779030549</v>
      </c>
      <c r="E103" s="134">
        <f>+(C4+C3)/C13</f>
        <v>0.16962661353201075</v>
      </c>
      <c r="F103" s="134">
        <f>+(D4+D3)/D13</f>
        <v>0.1481355644270789</v>
      </c>
      <c r="G103" s="141">
        <f>+(E4+E3)/E13</f>
        <v>0.15269988783848742</v>
      </c>
    </row>
    <row r="104" spans="1:7" s="4" customFormat="1" ht="24.75" customHeight="1">
      <c r="A104" s="237" t="s">
        <v>79</v>
      </c>
      <c r="B104" s="238"/>
      <c r="C104" s="238"/>
      <c r="D104" s="137">
        <f>+B12/B13</f>
        <v>0.030451961067745975</v>
      </c>
      <c r="E104" s="137">
        <f>+C12/C13</f>
        <v>0.021744780386381356</v>
      </c>
      <c r="F104" s="137">
        <f>+D12/D13</f>
        <v>0</v>
      </c>
      <c r="G104" s="139">
        <f>+E12/E13</f>
        <v>0.011776958820701811</v>
      </c>
    </row>
    <row r="105" spans="1:9" s="1" customFormat="1" ht="24.75" customHeight="1" thickBot="1">
      <c r="A105" s="250" t="s">
        <v>78</v>
      </c>
      <c r="B105" s="251"/>
      <c r="C105" s="251"/>
      <c r="D105" s="138">
        <f>+B15/B17</f>
        <v>0.9576043068640646</v>
      </c>
      <c r="E105" s="138">
        <f>+C15/C17</f>
        <v>0.9310404574200815</v>
      </c>
      <c r="F105" s="138">
        <f>+D15/D17</f>
        <v>0.9603261326384803</v>
      </c>
      <c r="G105" s="140">
        <f>+E15/E17</f>
        <v>0.9556962025316456</v>
      </c>
      <c r="H105" s="28"/>
      <c r="I105" s="28"/>
    </row>
    <row r="106" spans="1:9" s="1" customFormat="1" ht="24.75" customHeight="1">
      <c r="A106" s="237" t="s">
        <v>80</v>
      </c>
      <c r="B106" s="238"/>
      <c r="C106" s="238"/>
      <c r="D106" s="137">
        <f>+(B17-B15)/(B13-B6)</f>
        <v>0.043697978596908445</v>
      </c>
      <c r="E106" s="137">
        <f>+(C17-C15)/(C13-C6)</f>
        <v>0.07112858547046734</v>
      </c>
      <c r="F106" s="137">
        <f>+(D17-D15)/(D13-D6)</f>
        <v>0.04108277482809644</v>
      </c>
      <c r="G106" s="139">
        <f>+(E17-E15)/(E13-E6)</f>
        <v>0.04482087858648079</v>
      </c>
      <c r="H106" s="28"/>
      <c r="I106" s="28"/>
    </row>
    <row r="107" spans="1:9" s="1" customFormat="1" ht="24.75" customHeight="1" thickBot="1">
      <c r="A107" s="250" t="s">
        <v>89</v>
      </c>
      <c r="B107" s="251"/>
      <c r="C107" s="251"/>
      <c r="D107" s="138">
        <f>+B7/B17</f>
        <v>0.7019803883868487</v>
      </c>
      <c r="E107" s="138">
        <f>+C7/C17</f>
        <v>0.7249415230009529</v>
      </c>
      <c r="F107" s="138">
        <f>+D7/D17</f>
        <v>0.7568294528032277</v>
      </c>
      <c r="G107" s="140">
        <f>+E7/E17</f>
        <v>0.7722320141003044</v>
      </c>
      <c r="H107" s="28"/>
      <c r="I107" s="28"/>
    </row>
  </sheetData>
  <mergeCells count="21">
    <mergeCell ref="A42:A43"/>
    <mergeCell ref="A101:C101"/>
    <mergeCell ref="A107:C107"/>
    <mergeCell ref="A102:C102"/>
    <mergeCell ref="A103:C103"/>
    <mergeCell ref="A104:C104"/>
    <mergeCell ref="A105:C105"/>
    <mergeCell ref="A21:N25"/>
    <mergeCell ref="A106:C106"/>
    <mergeCell ref="G82:G83"/>
    <mergeCell ref="H82:K82"/>
    <mergeCell ref="A92:A93"/>
    <mergeCell ref="B92:G92"/>
    <mergeCell ref="H92:M92"/>
    <mergeCell ref="N42:N43"/>
    <mergeCell ref="H42:M42"/>
    <mergeCell ref="B42:G42"/>
    <mergeCell ref="A82:A83"/>
    <mergeCell ref="L82:M82"/>
    <mergeCell ref="B82:B83"/>
    <mergeCell ref="C82:F82"/>
  </mergeCells>
  <printOptions horizontalCentered="1"/>
  <pageMargins left="0.1968503937007874" right="0.2755905511811024" top="0.6299212598425197" bottom="0.15748031496062992" header="0.2362204724409449" footer="0.1968503937007874"/>
  <pageSetup fitToHeight="0" fitToWidth="1" horizontalDpi="600" verticalDpi="600" orientation="portrait" paperSize="9" scale="84" r:id="rId2"/>
  <headerFooter alignWithMargins="0">
    <oddHeader>&amp;RPříloha č. 1</oddHeader>
    <oddFooter>&amp;C&amp;6Dětské centrum Jihlava &amp;P/&amp;N</oddFoot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15.625" style="6" customWidth="1"/>
    <col min="2" max="2" width="7.375" style="6" customWidth="1"/>
    <col min="3" max="3" width="8.75390625" style="6" customWidth="1"/>
    <col min="4" max="4" width="7.125" style="6" customWidth="1"/>
    <col min="5" max="6" width="8.125" style="6" customWidth="1"/>
    <col min="7" max="9" width="8.375" style="6" customWidth="1"/>
    <col min="10" max="10" width="7.625" style="6" customWidth="1"/>
    <col min="11" max="11" width="7.375" style="6" customWidth="1"/>
    <col min="12" max="12" width="7.625" style="6" customWidth="1"/>
  </cols>
  <sheetData>
    <row r="1" spans="1:12" ht="15.75" customHeight="1" thickBot="1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9" s="3" customFormat="1" ht="29.25" customHeight="1">
      <c r="A2" s="91" t="s">
        <v>49</v>
      </c>
      <c r="B2" s="41">
        <v>2001</v>
      </c>
      <c r="C2" s="41">
        <v>2002</v>
      </c>
      <c r="D2" s="106">
        <v>2003</v>
      </c>
      <c r="E2" s="41">
        <v>2004</v>
      </c>
      <c r="F2" s="106">
        <v>2005</v>
      </c>
      <c r="G2" s="120" t="s">
        <v>75</v>
      </c>
      <c r="H2" s="123" t="s">
        <v>76</v>
      </c>
      <c r="I2" s="123" t="s">
        <v>94</v>
      </c>
    </row>
    <row r="3" spans="1:11" s="1" customFormat="1" ht="14.25" customHeight="1">
      <c r="A3" s="42" t="s">
        <v>66</v>
      </c>
      <c r="B3" s="32">
        <v>781.95</v>
      </c>
      <c r="C3" s="32">
        <v>965</v>
      </c>
      <c r="D3" s="107">
        <v>897</v>
      </c>
      <c r="E3" s="32">
        <v>1111</v>
      </c>
      <c r="F3" s="107"/>
      <c r="G3" s="121">
        <f aca="true" t="shared" si="0" ref="G3:G18">+C3-B3</f>
        <v>183.04999999999995</v>
      </c>
      <c r="H3" s="43">
        <f aca="true" t="shared" si="1" ref="H3:H18">+D3-C3</f>
        <v>-68</v>
      </c>
      <c r="I3" s="43">
        <f aca="true" t="shared" si="2" ref="I3:I18">+E3-D3</f>
        <v>214</v>
      </c>
      <c r="J3" s="28"/>
      <c r="K3" s="28"/>
    </row>
    <row r="4" spans="1:11" s="1" customFormat="1" ht="14.25" customHeight="1">
      <c r="A4" s="42" t="s">
        <v>26</v>
      </c>
      <c r="B4" s="32">
        <v>414.886</v>
      </c>
      <c r="C4" s="32">
        <v>325</v>
      </c>
      <c r="D4" s="107">
        <v>391</v>
      </c>
      <c r="E4" s="32">
        <v>333</v>
      </c>
      <c r="F4" s="107"/>
      <c r="G4" s="121">
        <f t="shared" si="0"/>
        <v>-89.88600000000002</v>
      </c>
      <c r="H4" s="43">
        <f t="shared" si="1"/>
        <v>66</v>
      </c>
      <c r="I4" s="43">
        <f t="shared" si="2"/>
        <v>-58</v>
      </c>
      <c r="J4" s="28"/>
      <c r="K4" s="28"/>
    </row>
    <row r="5" spans="1:11" s="1" customFormat="1" ht="14.25" customHeight="1">
      <c r="A5" s="42" t="s">
        <v>27</v>
      </c>
      <c r="B5" s="32">
        <f>254.535+6.097+166.467</f>
        <v>427.09900000000005</v>
      </c>
      <c r="C5" s="32">
        <v>385</v>
      </c>
      <c r="D5" s="107">
        <v>401</v>
      </c>
      <c r="E5" s="32">
        <v>449</v>
      </c>
      <c r="F5" s="107"/>
      <c r="G5" s="121">
        <f t="shared" si="0"/>
        <v>-42.099000000000046</v>
      </c>
      <c r="H5" s="43">
        <f t="shared" si="1"/>
        <v>16</v>
      </c>
      <c r="I5" s="43">
        <f t="shared" si="2"/>
        <v>48</v>
      </c>
      <c r="J5" s="28"/>
      <c r="K5" s="28"/>
    </row>
    <row r="6" spans="1:11" s="1" customFormat="1" ht="14.25" customHeight="1">
      <c r="A6" s="42" t="s">
        <v>62</v>
      </c>
      <c r="B6" s="32">
        <v>254.535</v>
      </c>
      <c r="C6" s="32">
        <v>244</v>
      </c>
      <c r="D6" s="107">
        <v>186</v>
      </c>
      <c r="E6" s="32">
        <v>283</v>
      </c>
      <c r="F6" s="107"/>
      <c r="G6" s="121">
        <f t="shared" si="0"/>
        <v>-10.534999999999997</v>
      </c>
      <c r="H6" s="43">
        <f t="shared" si="1"/>
        <v>-58</v>
      </c>
      <c r="I6" s="43">
        <f t="shared" si="2"/>
        <v>97</v>
      </c>
      <c r="J6" s="28"/>
      <c r="K6" s="28"/>
    </row>
    <row r="7" spans="1:11" s="1" customFormat="1" ht="14.25" customHeight="1">
      <c r="A7" s="42" t="s">
        <v>28</v>
      </c>
      <c r="B7" s="32">
        <f>3277.956+1132.331+9.832+65.548</f>
        <v>4485.667</v>
      </c>
      <c r="C7" s="32">
        <v>5128</v>
      </c>
      <c r="D7" s="107">
        <v>5878</v>
      </c>
      <c r="E7" s="32">
        <v>6294</v>
      </c>
      <c r="F7" s="107"/>
      <c r="G7" s="121">
        <f t="shared" si="0"/>
        <v>642.3329999999996</v>
      </c>
      <c r="H7" s="43">
        <f t="shared" si="1"/>
        <v>750</v>
      </c>
      <c r="I7" s="43">
        <f t="shared" si="2"/>
        <v>416</v>
      </c>
      <c r="J7" s="28"/>
      <c r="K7" s="28"/>
    </row>
    <row r="8" spans="1:11" s="1" customFormat="1" ht="14.25" customHeight="1">
      <c r="A8" s="42" t="s">
        <v>32</v>
      </c>
      <c r="B8" s="32">
        <v>3277.956</v>
      </c>
      <c r="C8" s="32">
        <v>3758</v>
      </c>
      <c r="D8" s="107">
        <v>4299</v>
      </c>
      <c r="E8" s="32">
        <v>4600</v>
      </c>
      <c r="F8" s="107"/>
      <c r="G8" s="121">
        <f t="shared" si="0"/>
        <v>480.04399999999987</v>
      </c>
      <c r="H8" s="43">
        <f t="shared" si="1"/>
        <v>541</v>
      </c>
      <c r="I8" s="43">
        <f t="shared" si="2"/>
        <v>301</v>
      </c>
      <c r="J8" s="28"/>
      <c r="K8" s="28"/>
    </row>
    <row r="9" spans="1:11" s="1" customFormat="1" ht="14.25" customHeight="1">
      <c r="A9" s="42" t="s">
        <v>34</v>
      </c>
      <c r="B9" s="32">
        <v>3328</v>
      </c>
      <c r="C9" s="32">
        <v>3735</v>
      </c>
      <c r="D9" s="107">
        <v>4278</v>
      </c>
      <c r="E9" s="32">
        <v>4579</v>
      </c>
      <c r="F9" s="107"/>
      <c r="G9" s="121">
        <f t="shared" si="0"/>
        <v>407</v>
      </c>
      <c r="H9" s="43">
        <f t="shared" si="1"/>
        <v>543</v>
      </c>
      <c r="I9" s="43">
        <f t="shared" si="2"/>
        <v>301</v>
      </c>
      <c r="J9" s="28"/>
      <c r="K9" s="28"/>
    </row>
    <row r="10" spans="1:11" s="1" customFormat="1" ht="14.25" customHeight="1">
      <c r="A10" s="42" t="s">
        <v>33</v>
      </c>
      <c r="B10" s="32"/>
      <c r="C10" s="32">
        <v>23</v>
      </c>
      <c r="D10" s="107">
        <v>21</v>
      </c>
      <c r="E10" s="32">
        <v>21</v>
      </c>
      <c r="F10" s="107"/>
      <c r="G10" s="121">
        <f t="shared" si="0"/>
        <v>23</v>
      </c>
      <c r="H10" s="43">
        <f t="shared" si="1"/>
        <v>-2</v>
      </c>
      <c r="I10" s="43">
        <f t="shared" si="2"/>
        <v>0</v>
      </c>
      <c r="J10" s="28"/>
      <c r="K10" s="28"/>
    </row>
    <row r="11" spans="1:11" s="1" customFormat="1" ht="14.25" customHeight="1">
      <c r="A11" s="42" t="s">
        <v>29</v>
      </c>
      <c r="B11" s="32">
        <f>7.544+27.59+144.672+6.258</f>
        <v>186.064</v>
      </c>
      <c r="C11" s="32">
        <f>43+90+8</f>
        <v>141</v>
      </c>
      <c r="D11" s="107">
        <f>51+47+12</f>
        <v>110</v>
      </c>
      <c r="E11" s="32">
        <f>+E13-E3-E4-E5-E7</f>
        <v>139</v>
      </c>
      <c r="F11" s="107"/>
      <c r="G11" s="121">
        <f t="shared" si="0"/>
        <v>-45.06399999999999</v>
      </c>
      <c r="H11" s="43">
        <f t="shared" si="1"/>
        <v>-31</v>
      </c>
      <c r="I11" s="43">
        <f t="shared" si="2"/>
        <v>29</v>
      </c>
      <c r="J11" s="28"/>
      <c r="K11" s="28"/>
    </row>
    <row r="12" spans="1:11" s="1" customFormat="1" ht="14.25" customHeight="1" thickBot="1">
      <c r="A12" s="44" t="s">
        <v>30</v>
      </c>
      <c r="B12" s="33">
        <v>144.672</v>
      </c>
      <c r="C12" s="33">
        <v>90</v>
      </c>
      <c r="D12" s="108">
        <v>47</v>
      </c>
      <c r="E12" s="33">
        <v>67</v>
      </c>
      <c r="F12" s="108"/>
      <c r="G12" s="121">
        <f t="shared" si="0"/>
        <v>-54.672</v>
      </c>
      <c r="H12" s="43">
        <f t="shared" si="1"/>
        <v>-43</v>
      </c>
      <c r="I12" s="43">
        <f t="shared" si="2"/>
        <v>20</v>
      </c>
      <c r="J12" s="28"/>
      <c r="K12" s="28"/>
    </row>
    <row r="13" spans="1:11" s="1" customFormat="1" ht="14.25" customHeight="1" thickBot="1">
      <c r="A13" s="29" t="s">
        <v>25</v>
      </c>
      <c r="B13" s="30">
        <f>SUM(B3,B4:B5,B7,B11)</f>
        <v>6295.666000000001</v>
      </c>
      <c r="C13" s="30">
        <f>SUM(C3,C4:C5,C7,C11)</f>
        <v>6944</v>
      </c>
      <c r="D13" s="109">
        <f>SUM(D3,D4:D5,D7,D11)</f>
        <v>7677</v>
      </c>
      <c r="E13" s="30">
        <v>8326</v>
      </c>
      <c r="F13" s="109"/>
      <c r="G13" s="122">
        <f t="shared" si="0"/>
        <v>648.3339999999989</v>
      </c>
      <c r="H13" s="31">
        <f t="shared" si="1"/>
        <v>733</v>
      </c>
      <c r="I13" s="31">
        <f t="shared" si="2"/>
        <v>649</v>
      </c>
      <c r="J13" s="28"/>
      <c r="K13" s="28"/>
    </row>
    <row r="14" spans="1:11" s="1" customFormat="1" ht="14.25" customHeight="1">
      <c r="A14" s="45" t="s">
        <v>87</v>
      </c>
      <c r="B14" s="34">
        <v>328.862</v>
      </c>
      <c r="C14" s="34">
        <v>401</v>
      </c>
      <c r="D14" s="110">
        <v>293</v>
      </c>
      <c r="E14" s="34">
        <v>311</v>
      </c>
      <c r="F14" s="110"/>
      <c r="G14" s="197">
        <f t="shared" si="0"/>
        <v>72.13799999999998</v>
      </c>
      <c r="H14" s="199">
        <f t="shared" si="1"/>
        <v>-108</v>
      </c>
      <c r="I14" s="199">
        <f t="shared" si="2"/>
        <v>18</v>
      </c>
      <c r="J14" s="28"/>
      <c r="K14" s="28"/>
    </row>
    <row r="15" spans="1:11" s="1" customFormat="1" ht="14.25" customHeight="1">
      <c r="A15" s="42" t="s">
        <v>2</v>
      </c>
      <c r="B15" s="32">
        <v>6004</v>
      </c>
      <c r="C15" s="32">
        <v>6447</v>
      </c>
      <c r="D15" s="107">
        <v>7313</v>
      </c>
      <c r="E15" s="32">
        <v>8000</v>
      </c>
      <c r="F15" s="107"/>
      <c r="G15" s="197">
        <f t="shared" si="0"/>
        <v>443</v>
      </c>
      <c r="H15" s="46">
        <f t="shared" si="1"/>
        <v>866</v>
      </c>
      <c r="I15" s="46">
        <f t="shared" si="2"/>
        <v>687</v>
      </c>
      <c r="J15" s="28"/>
      <c r="K15" s="28"/>
    </row>
    <row r="16" spans="1:11" s="1" customFormat="1" ht="14.25" customHeight="1" thickBot="1">
      <c r="A16" s="44" t="s">
        <v>0</v>
      </c>
      <c r="B16" s="33">
        <f>49.849+7.8</f>
        <v>57.648999999999994</v>
      </c>
      <c r="C16" s="33">
        <v>98</v>
      </c>
      <c r="D16" s="108">
        <v>123</v>
      </c>
      <c r="E16" s="33">
        <f>+E17-E15-E14</f>
        <v>76</v>
      </c>
      <c r="F16" s="108"/>
      <c r="G16" s="197">
        <f t="shared" si="0"/>
        <v>40.351000000000006</v>
      </c>
      <c r="H16" s="46">
        <f t="shared" si="1"/>
        <v>25</v>
      </c>
      <c r="I16" s="46">
        <f t="shared" si="2"/>
        <v>-47</v>
      </c>
      <c r="J16" s="28"/>
      <c r="K16" s="28"/>
    </row>
    <row r="17" spans="1:11" s="1" customFormat="1" ht="14.25" customHeight="1" thickBot="1">
      <c r="A17" s="38" t="s">
        <v>24</v>
      </c>
      <c r="B17" s="39">
        <f>SUM(B14:B16)</f>
        <v>6390.511</v>
      </c>
      <c r="C17" s="39">
        <f>SUM(C14:C16)</f>
        <v>6946</v>
      </c>
      <c r="D17" s="111">
        <f>SUM(D14:D16)</f>
        <v>7729</v>
      </c>
      <c r="E17" s="39">
        <v>8387</v>
      </c>
      <c r="F17" s="111"/>
      <c r="G17" s="198">
        <f t="shared" si="0"/>
        <v>555.4889999999996</v>
      </c>
      <c r="H17" s="40">
        <f t="shared" si="1"/>
        <v>783</v>
      </c>
      <c r="I17" s="40">
        <f t="shared" si="2"/>
        <v>658</v>
      </c>
      <c r="J17" s="28"/>
      <c r="K17" s="28"/>
    </row>
    <row r="18" spans="1:11" s="1" customFormat="1" ht="19.5" customHeight="1" thickBot="1">
      <c r="A18" s="35" t="s">
        <v>31</v>
      </c>
      <c r="B18" s="36">
        <f>+B17-B13</f>
        <v>94.84499999999935</v>
      </c>
      <c r="C18" s="36">
        <f>+C17-C13</f>
        <v>2</v>
      </c>
      <c r="D18" s="112">
        <f>+D17-D13</f>
        <v>52</v>
      </c>
      <c r="E18" s="36">
        <f>+E17-E13</f>
        <v>61</v>
      </c>
      <c r="F18" s="112"/>
      <c r="G18" s="113">
        <f t="shared" si="0"/>
        <v>-92.84499999999935</v>
      </c>
      <c r="H18" s="37">
        <f t="shared" si="1"/>
        <v>50</v>
      </c>
      <c r="I18" s="37">
        <f t="shared" si="2"/>
        <v>9</v>
      </c>
      <c r="J18" s="28"/>
      <c r="K18" s="28"/>
    </row>
    <row r="19" spans="1:12" ht="16.5" customHeight="1" thickBot="1">
      <c r="A19" s="35" t="s">
        <v>83</v>
      </c>
      <c r="B19" s="36">
        <v>0</v>
      </c>
      <c r="C19" s="36">
        <v>0</v>
      </c>
      <c r="D19" s="112">
        <v>0</v>
      </c>
      <c r="E19" s="36">
        <v>0</v>
      </c>
      <c r="F19" s="112"/>
      <c r="G19" s="113"/>
      <c r="H19" s="37"/>
      <c r="I19" s="37"/>
      <c r="L19"/>
    </row>
    <row r="20" s="3" customFormat="1" ht="17.25" customHeight="1">
      <c r="A20" s="3" t="s">
        <v>61</v>
      </c>
    </row>
    <row r="21" spans="1:15" s="3" customFormat="1" ht="10.5" customHeight="1">
      <c r="A21" s="228" t="s">
        <v>90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60"/>
      <c r="O21" s="230"/>
    </row>
    <row r="22" spans="1:15" s="3" customFormat="1" ht="10.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61"/>
      <c r="O22" s="233"/>
    </row>
    <row r="23" spans="1:15" s="3" customFormat="1" ht="10.5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61"/>
      <c r="O23" s="233"/>
    </row>
    <row r="24" spans="1:15" s="3" customFormat="1" ht="12.75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61"/>
      <c r="O24" s="233"/>
    </row>
    <row r="25" spans="1:15" s="3" customFormat="1" ht="6.75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62"/>
      <c r="O25" s="236"/>
    </row>
    <row r="26" spans="1:13" s="3" customFormat="1" ht="17.2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</row>
    <row r="27" spans="1:13" s="3" customFormat="1" ht="17.2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 s="3" customFormat="1" ht="17.2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</row>
    <row r="29" spans="1:13" s="3" customFormat="1" ht="17.2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3" s="3" customFormat="1" ht="17.2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 s="3" customFormat="1" ht="17.2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2" spans="1:13" s="3" customFormat="1" ht="17.2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</row>
    <row r="33" spans="1:13" s="3" customFormat="1" ht="17.2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  <row r="34" spans="1:13" s="3" customFormat="1" ht="17.2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  <row r="35" spans="1:13" s="3" customFormat="1" ht="17.25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  <row r="36" spans="1:13" s="3" customFormat="1" ht="17.25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  <row r="37" spans="1:13" s="3" customFormat="1" ht="17.2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s="3" customFormat="1" ht="17.2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s="3" customFormat="1" ht="17.2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3" s="3" customFormat="1" ht="17.2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 s="3" customFormat="1" ht="17.25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</row>
    <row r="42" spans="1:13" s="3" customFormat="1" ht="17.2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</row>
    <row r="43" spans="1:12" ht="14.25" customHeight="1" thickBot="1">
      <c r="A43"/>
      <c r="B43"/>
      <c r="C43"/>
      <c r="D43"/>
      <c r="E43"/>
      <c r="F43"/>
      <c r="G43"/>
      <c r="H43"/>
      <c r="I43"/>
      <c r="J43"/>
      <c r="K43"/>
      <c r="L43"/>
    </row>
    <row r="44" spans="1:16" s="4" customFormat="1" ht="13.5" customHeight="1" thickBot="1">
      <c r="A44" s="254" t="s">
        <v>48</v>
      </c>
      <c r="B44" s="246">
        <v>2002</v>
      </c>
      <c r="C44" s="258"/>
      <c r="D44" s="258"/>
      <c r="E44" s="258"/>
      <c r="F44" s="258"/>
      <c r="G44" s="258"/>
      <c r="H44" s="259"/>
      <c r="I44" s="246">
        <v>2003</v>
      </c>
      <c r="J44" s="247"/>
      <c r="K44" s="247"/>
      <c r="L44" s="247"/>
      <c r="M44" s="247"/>
      <c r="N44" s="247"/>
      <c r="O44" s="248"/>
      <c r="P44"/>
    </row>
    <row r="45" spans="1:16" s="5" customFormat="1" ht="19.5" customHeight="1" thickBot="1">
      <c r="A45" s="255"/>
      <c r="B45" s="63" t="s">
        <v>5</v>
      </c>
      <c r="C45" s="64" t="s">
        <v>86</v>
      </c>
      <c r="D45" s="64" t="s">
        <v>6</v>
      </c>
      <c r="E45" s="64" t="s">
        <v>88</v>
      </c>
      <c r="F45" s="64" t="s">
        <v>7</v>
      </c>
      <c r="G45" s="64" t="s">
        <v>8</v>
      </c>
      <c r="H45" s="65" t="s">
        <v>3</v>
      </c>
      <c r="I45" s="63" t="s">
        <v>5</v>
      </c>
      <c r="J45" s="64" t="s">
        <v>86</v>
      </c>
      <c r="K45" s="64" t="s">
        <v>6</v>
      </c>
      <c r="L45" s="64" t="s">
        <v>88</v>
      </c>
      <c r="M45" s="64" t="s">
        <v>7</v>
      </c>
      <c r="N45" s="64" t="s">
        <v>8</v>
      </c>
      <c r="O45" s="65" t="s">
        <v>3</v>
      </c>
      <c r="P45"/>
    </row>
    <row r="46" spans="1:16" s="4" customFormat="1" ht="13.5" customHeight="1" thickBot="1">
      <c r="A46" s="165" t="s">
        <v>17</v>
      </c>
      <c r="B46" s="166">
        <f aca="true" t="shared" si="3" ref="B46:G46">SUM(B47:B55,B57:B61)</f>
        <v>5915</v>
      </c>
      <c r="C46" s="167">
        <f t="shared" si="3"/>
        <v>43707</v>
      </c>
      <c r="D46" s="167">
        <f t="shared" si="3"/>
        <v>2075930</v>
      </c>
      <c r="E46" s="167">
        <f t="shared" si="3"/>
        <v>346962</v>
      </c>
      <c r="F46" s="167">
        <f t="shared" si="3"/>
        <v>540426</v>
      </c>
      <c r="G46" s="167">
        <f t="shared" si="3"/>
        <v>703685</v>
      </c>
      <c r="H46" s="168">
        <f aca="true" t="shared" si="4" ref="H46:H55">SUM(B46:G46)</f>
        <v>3716625</v>
      </c>
      <c r="I46" s="166">
        <f aca="true" t="shared" si="5" ref="I46:O46">SUM(I47:I55,I57:I61)</f>
        <v>0</v>
      </c>
      <c r="J46" s="167">
        <f t="shared" si="5"/>
        <v>47057</v>
      </c>
      <c r="K46" s="167">
        <f t="shared" si="5"/>
        <v>2661891</v>
      </c>
      <c r="L46" s="167">
        <f t="shared" si="5"/>
        <v>302914</v>
      </c>
      <c r="M46" s="167">
        <f t="shared" si="5"/>
        <v>421928</v>
      </c>
      <c r="N46" s="167">
        <f t="shared" si="5"/>
        <v>844210</v>
      </c>
      <c r="O46" s="169">
        <f t="shared" si="5"/>
        <v>4278000</v>
      </c>
      <c r="P46"/>
    </row>
    <row r="47" spans="1:16" s="4" customFormat="1" ht="13.5" customHeight="1" thickBot="1" thickTop="1">
      <c r="A47" s="170" t="s">
        <v>9</v>
      </c>
      <c r="B47" s="27">
        <v>935</v>
      </c>
      <c r="C47" s="25">
        <v>35967</v>
      </c>
      <c r="D47" s="25">
        <v>1367952</v>
      </c>
      <c r="E47" s="25">
        <f>221321+18705</f>
        <v>240026</v>
      </c>
      <c r="F47" s="25">
        <v>331114</v>
      </c>
      <c r="G47" s="25">
        <v>496858</v>
      </c>
      <c r="H47" s="26">
        <f t="shared" si="4"/>
        <v>2472852</v>
      </c>
      <c r="I47" s="27">
        <v>0</v>
      </c>
      <c r="J47" s="25">
        <v>38664</v>
      </c>
      <c r="K47" s="25">
        <v>1699822</v>
      </c>
      <c r="L47" s="25">
        <f>175944+15278</f>
        <v>191222</v>
      </c>
      <c r="M47" s="25">
        <v>233819</v>
      </c>
      <c r="N47" s="25">
        <v>553329</v>
      </c>
      <c r="O47" s="26">
        <f aca="true" t="shared" si="6" ref="O47:O55">SUM(I47:N47)</f>
        <v>2716856</v>
      </c>
      <c r="P47"/>
    </row>
    <row r="48" spans="1:16" s="4" customFormat="1" ht="11.25" customHeight="1" thickTop="1">
      <c r="A48" s="171" t="s">
        <v>23</v>
      </c>
      <c r="B48" s="18">
        <v>0</v>
      </c>
      <c r="C48" s="16">
        <v>0</v>
      </c>
      <c r="D48" s="16">
        <v>30165</v>
      </c>
      <c r="E48" s="16">
        <v>0</v>
      </c>
      <c r="F48" s="16">
        <v>24301</v>
      </c>
      <c r="G48" s="16">
        <v>4352</v>
      </c>
      <c r="H48" s="17">
        <f t="shared" si="4"/>
        <v>58818</v>
      </c>
      <c r="I48" s="18">
        <v>0</v>
      </c>
      <c r="J48" s="16">
        <v>0</v>
      </c>
      <c r="K48" s="16">
        <v>59929</v>
      </c>
      <c r="L48" s="16">
        <v>0</v>
      </c>
      <c r="M48" s="16">
        <v>35627</v>
      </c>
      <c r="N48" s="16">
        <v>5427</v>
      </c>
      <c r="O48" s="17">
        <f t="shared" si="6"/>
        <v>100983</v>
      </c>
      <c r="P48"/>
    </row>
    <row r="49" spans="1:16" s="4" customFormat="1" ht="11.25" customHeight="1">
      <c r="A49" s="172" t="s">
        <v>10</v>
      </c>
      <c r="B49" s="9">
        <v>0</v>
      </c>
      <c r="C49" s="7">
        <v>0</v>
      </c>
      <c r="D49" s="7">
        <v>5385</v>
      </c>
      <c r="E49" s="7">
        <v>0</v>
      </c>
      <c r="F49" s="7">
        <v>19934</v>
      </c>
      <c r="G49" s="7">
        <v>1800</v>
      </c>
      <c r="H49" s="8">
        <f t="shared" si="4"/>
        <v>27119</v>
      </c>
      <c r="I49" s="9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8">
        <f t="shared" si="6"/>
        <v>0</v>
      </c>
      <c r="P49"/>
    </row>
    <row r="50" spans="1:16" s="4" customFormat="1" ht="11.25" customHeight="1">
      <c r="A50" s="172" t="s">
        <v>11</v>
      </c>
      <c r="B50" s="9">
        <v>0</v>
      </c>
      <c r="C50" s="7">
        <v>0</v>
      </c>
      <c r="D50" s="7">
        <v>33692</v>
      </c>
      <c r="E50" s="7">
        <f>7970+873</f>
        <v>8843</v>
      </c>
      <c r="F50" s="7">
        <v>1330</v>
      </c>
      <c r="G50" s="7">
        <v>9562</v>
      </c>
      <c r="H50" s="8">
        <f t="shared" si="4"/>
        <v>53427</v>
      </c>
      <c r="I50" s="9">
        <v>0</v>
      </c>
      <c r="J50" s="7">
        <v>0</v>
      </c>
      <c r="K50" s="7">
        <v>38317</v>
      </c>
      <c r="L50" s="7">
        <f>5378+657</f>
        <v>6035</v>
      </c>
      <c r="M50" s="7">
        <v>274</v>
      </c>
      <c r="N50" s="7">
        <v>9605</v>
      </c>
      <c r="O50" s="8">
        <f t="shared" si="6"/>
        <v>54231</v>
      </c>
      <c r="P50"/>
    </row>
    <row r="51" spans="1:16" s="4" customFormat="1" ht="11.25" customHeight="1">
      <c r="A51" s="172" t="s">
        <v>12</v>
      </c>
      <c r="B51" s="9">
        <v>0</v>
      </c>
      <c r="C51" s="7">
        <v>0</v>
      </c>
      <c r="D51" s="7">
        <v>118734</v>
      </c>
      <c r="E51" s="7">
        <f>20098+1792</f>
        <v>21890</v>
      </c>
      <c r="F51" s="7">
        <v>0</v>
      </c>
      <c r="G51" s="7">
        <v>17351</v>
      </c>
      <c r="H51" s="8">
        <f t="shared" si="4"/>
        <v>157975</v>
      </c>
      <c r="I51" s="9">
        <v>0</v>
      </c>
      <c r="J51" s="7">
        <v>0</v>
      </c>
      <c r="K51" s="7">
        <v>127214</v>
      </c>
      <c r="L51" s="7">
        <f>16660+1107</f>
        <v>17767</v>
      </c>
      <c r="M51" s="7">
        <v>0</v>
      </c>
      <c r="N51" s="7">
        <v>18278</v>
      </c>
      <c r="O51" s="8">
        <f t="shared" si="6"/>
        <v>163259</v>
      </c>
      <c r="P51"/>
    </row>
    <row r="52" spans="1:16" s="4" customFormat="1" ht="11.25" customHeight="1">
      <c r="A52" s="172" t="s">
        <v>13</v>
      </c>
      <c r="B52" s="9">
        <v>0</v>
      </c>
      <c r="C52" s="7">
        <v>0</v>
      </c>
      <c r="D52" s="7">
        <v>50803</v>
      </c>
      <c r="E52" s="7">
        <f>9110+1136</f>
        <v>10246</v>
      </c>
      <c r="F52" s="7">
        <v>0</v>
      </c>
      <c r="G52" s="7">
        <v>5810</v>
      </c>
      <c r="H52" s="8">
        <f t="shared" si="4"/>
        <v>66859</v>
      </c>
      <c r="I52" s="9">
        <v>0</v>
      </c>
      <c r="J52" s="7">
        <v>0</v>
      </c>
      <c r="K52" s="7">
        <v>57742</v>
      </c>
      <c r="L52" s="7">
        <f>6520+450</f>
        <v>6970</v>
      </c>
      <c r="M52" s="7">
        <v>0</v>
      </c>
      <c r="N52" s="7">
        <v>5853</v>
      </c>
      <c r="O52" s="8">
        <f t="shared" si="6"/>
        <v>70565</v>
      </c>
      <c r="P52"/>
    </row>
    <row r="53" spans="1:16" s="4" customFormat="1" ht="13.5" customHeight="1">
      <c r="A53" s="172" t="s">
        <v>14</v>
      </c>
      <c r="B53" s="9">
        <v>0</v>
      </c>
      <c r="C53" s="7">
        <v>0</v>
      </c>
      <c r="D53" s="7">
        <v>49386</v>
      </c>
      <c r="E53" s="7">
        <f>2124+0</f>
        <v>2124</v>
      </c>
      <c r="F53" s="7">
        <v>0</v>
      </c>
      <c r="G53" s="7">
        <v>0</v>
      </c>
      <c r="H53" s="8">
        <f t="shared" si="4"/>
        <v>51510</v>
      </c>
      <c r="I53" s="9">
        <v>0</v>
      </c>
      <c r="J53" s="7">
        <v>0</v>
      </c>
      <c r="K53" s="7">
        <v>50782</v>
      </c>
      <c r="L53" s="7">
        <v>3181</v>
      </c>
      <c r="M53" s="7">
        <v>0</v>
      </c>
      <c r="N53" s="7">
        <v>0</v>
      </c>
      <c r="O53" s="8">
        <f t="shared" si="6"/>
        <v>53963</v>
      </c>
      <c r="P53"/>
    </row>
    <row r="54" spans="1:16" s="4" customFormat="1" ht="15.75" customHeight="1">
      <c r="A54" s="172" t="s">
        <v>15</v>
      </c>
      <c r="B54" s="9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f t="shared" si="4"/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8">
        <f t="shared" si="6"/>
        <v>0</v>
      </c>
      <c r="P54"/>
    </row>
    <row r="55" spans="1:16" s="4" customFormat="1" ht="13.5" customHeight="1" thickBot="1">
      <c r="A55" s="173" t="s">
        <v>16</v>
      </c>
      <c r="B55" s="24">
        <v>0</v>
      </c>
      <c r="C55" s="22">
        <v>0</v>
      </c>
      <c r="D55" s="22">
        <v>19326</v>
      </c>
      <c r="E55" s="22">
        <v>0</v>
      </c>
      <c r="F55" s="22">
        <v>18714</v>
      </c>
      <c r="G55" s="22">
        <v>1600</v>
      </c>
      <c r="H55" s="23">
        <f t="shared" si="4"/>
        <v>39640</v>
      </c>
      <c r="I55" s="24">
        <v>0</v>
      </c>
      <c r="J55" s="22">
        <v>0</v>
      </c>
      <c r="K55" s="22">
        <v>90337</v>
      </c>
      <c r="L55" s="22">
        <v>7369</v>
      </c>
      <c r="M55" s="22">
        <v>33801</v>
      </c>
      <c r="N55" s="22">
        <v>31474</v>
      </c>
      <c r="O55" s="23">
        <f t="shared" si="6"/>
        <v>162981</v>
      </c>
      <c r="P55"/>
    </row>
    <row r="56" spans="1:16" s="4" customFormat="1" ht="13.5" customHeight="1" thickBot="1" thickTop="1">
      <c r="A56" s="170" t="s">
        <v>18</v>
      </c>
      <c r="B56" s="27">
        <f aca="true" t="shared" si="7" ref="B56:O56">SUM(B48:B55)</f>
        <v>0</v>
      </c>
      <c r="C56" s="25">
        <f t="shared" si="7"/>
        <v>0</v>
      </c>
      <c r="D56" s="25">
        <f t="shared" si="7"/>
        <v>307491</v>
      </c>
      <c r="E56" s="25">
        <f t="shared" si="7"/>
        <v>43103</v>
      </c>
      <c r="F56" s="25">
        <f t="shared" si="7"/>
        <v>64279</v>
      </c>
      <c r="G56" s="25">
        <f t="shared" si="7"/>
        <v>40475</v>
      </c>
      <c r="H56" s="26">
        <f t="shared" si="7"/>
        <v>455348</v>
      </c>
      <c r="I56" s="27">
        <f t="shared" si="7"/>
        <v>0</v>
      </c>
      <c r="J56" s="25">
        <f t="shared" si="7"/>
        <v>0</v>
      </c>
      <c r="K56" s="25">
        <f t="shared" si="7"/>
        <v>424321</v>
      </c>
      <c r="L56" s="25">
        <f t="shared" si="7"/>
        <v>41322</v>
      </c>
      <c r="M56" s="25">
        <f t="shared" si="7"/>
        <v>69702</v>
      </c>
      <c r="N56" s="25">
        <f t="shared" si="7"/>
        <v>70637</v>
      </c>
      <c r="O56" s="26">
        <f t="shared" si="7"/>
        <v>605982</v>
      </c>
      <c r="P56"/>
    </row>
    <row r="57" spans="1:16" s="4" customFormat="1" ht="13.5" customHeight="1" thickTop="1">
      <c r="A57" s="171" t="s">
        <v>22</v>
      </c>
      <c r="B57" s="18">
        <v>0</v>
      </c>
      <c r="C57" s="16">
        <v>0</v>
      </c>
      <c r="D57" s="16">
        <v>0</v>
      </c>
      <c r="E57" s="16">
        <v>2064</v>
      </c>
      <c r="F57" s="16">
        <v>0</v>
      </c>
      <c r="G57" s="16">
        <v>0</v>
      </c>
      <c r="H57" s="17">
        <f aca="true" t="shared" si="8" ref="H57:H62">SUM(B57:G57)</f>
        <v>2064</v>
      </c>
      <c r="I57" s="18">
        <v>0</v>
      </c>
      <c r="J57" s="16">
        <v>0</v>
      </c>
      <c r="K57" s="16">
        <v>0</v>
      </c>
      <c r="L57" s="16">
        <v>568</v>
      </c>
      <c r="M57" s="16">
        <v>0</v>
      </c>
      <c r="N57" s="16">
        <v>0</v>
      </c>
      <c r="O57" s="17">
        <f aca="true" t="shared" si="9" ref="O57:O62">SUM(I57:N57)</f>
        <v>568</v>
      </c>
      <c r="P57"/>
    </row>
    <row r="58" spans="1:16" s="4" customFormat="1" ht="15.75" customHeight="1">
      <c r="A58" s="172" t="s">
        <v>21</v>
      </c>
      <c r="B58" s="9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8">
        <f t="shared" si="8"/>
        <v>0</v>
      </c>
      <c r="I58" s="9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8">
        <f t="shared" si="9"/>
        <v>0</v>
      </c>
      <c r="P58"/>
    </row>
    <row r="59" spans="1:16" s="4" customFormat="1" ht="13.5" customHeight="1">
      <c r="A59" s="172" t="s">
        <v>4</v>
      </c>
      <c r="B59" s="9">
        <v>0</v>
      </c>
      <c r="C59" s="7">
        <v>3600</v>
      </c>
      <c r="D59" s="7">
        <v>143900</v>
      </c>
      <c r="E59" s="7">
        <v>22100</v>
      </c>
      <c r="F59" s="7">
        <v>38000</v>
      </c>
      <c r="G59" s="7">
        <v>50800</v>
      </c>
      <c r="H59" s="8">
        <f t="shared" si="8"/>
        <v>258400</v>
      </c>
      <c r="I59" s="9">
        <v>0</v>
      </c>
      <c r="J59" s="7">
        <v>3800</v>
      </c>
      <c r="K59" s="7">
        <v>186200</v>
      </c>
      <c r="L59" s="7">
        <f>21400+3400</f>
        <v>24800</v>
      </c>
      <c r="M59" s="7">
        <v>25800</v>
      </c>
      <c r="N59" s="7">
        <v>58400</v>
      </c>
      <c r="O59" s="8">
        <f t="shared" si="9"/>
        <v>299000</v>
      </c>
      <c r="P59"/>
    </row>
    <row r="60" spans="1:16" s="4" customFormat="1" ht="13.5" customHeight="1">
      <c r="A60" s="172" t="s">
        <v>19</v>
      </c>
      <c r="B60" s="9">
        <v>4980</v>
      </c>
      <c r="C60" s="7">
        <v>4140</v>
      </c>
      <c r="D60" s="7">
        <v>226787</v>
      </c>
      <c r="E60" s="7">
        <f>32362+1507</f>
        <v>33869</v>
      </c>
      <c r="F60" s="7">
        <v>59895</v>
      </c>
      <c r="G60" s="7">
        <v>72452</v>
      </c>
      <c r="H60" s="8">
        <f t="shared" si="8"/>
        <v>402123</v>
      </c>
      <c r="I60" s="9">
        <v>0</v>
      </c>
      <c r="J60" s="7">
        <v>4593</v>
      </c>
      <c r="K60" s="7">
        <v>262048</v>
      </c>
      <c r="L60" s="7">
        <f>28642+2360</f>
        <v>31002</v>
      </c>
      <c r="M60" s="7">
        <v>46777</v>
      </c>
      <c r="N60" s="7">
        <v>78144</v>
      </c>
      <c r="O60" s="8">
        <f t="shared" si="9"/>
        <v>422564</v>
      </c>
      <c r="P60"/>
    </row>
    <row r="61" spans="1:16" s="4" customFormat="1" ht="13.5" customHeight="1" thickBot="1">
      <c r="A61" s="174" t="s">
        <v>20</v>
      </c>
      <c r="B61" s="12">
        <v>0</v>
      </c>
      <c r="C61" s="10">
        <v>0</v>
      </c>
      <c r="D61" s="10">
        <v>29800</v>
      </c>
      <c r="E61" s="10">
        <v>5800</v>
      </c>
      <c r="F61" s="10">
        <v>47138</v>
      </c>
      <c r="G61" s="10">
        <v>43100</v>
      </c>
      <c r="H61" s="11">
        <f t="shared" si="8"/>
        <v>125838</v>
      </c>
      <c r="I61" s="194">
        <v>0</v>
      </c>
      <c r="J61" s="195">
        <v>0</v>
      </c>
      <c r="K61" s="195">
        <v>89500</v>
      </c>
      <c r="L61" s="195">
        <v>14000</v>
      </c>
      <c r="M61" s="195">
        <v>45830</v>
      </c>
      <c r="N61" s="195">
        <v>83700</v>
      </c>
      <c r="O61" s="196">
        <f t="shared" si="9"/>
        <v>233030</v>
      </c>
      <c r="P61"/>
    </row>
    <row r="62" spans="1:16" s="2" customFormat="1" ht="14.25" customHeight="1" thickBot="1">
      <c r="A62" s="178" t="s">
        <v>35</v>
      </c>
      <c r="B62" s="175">
        <v>0.02</v>
      </c>
      <c r="C62" s="176">
        <v>0.2</v>
      </c>
      <c r="D62" s="176">
        <v>11.24</v>
      </c>
      <c r="E62" s="176">
        <f>3.15+0.31</f>
        <v>3.46</v>
      </c>
      <c r="F62" s="176">
        <v>3.01</v>
      </c>
      <c r="G62" s="176">
        <v>6.97</v>
      </c>
      <c r="H62" s="177">
        <f t="shared" si="8"/>
        <v>24.9</v>
      </c>
      <c r="I62" s="191">
        <v>0</v>
      </c>
      <c r="J62" s="192">
        <v>0.2</v>
      </c>
      <c r="K62" s="192">
        <v>12.82</v>
      </c>
      <c r="L62" s="192">
        <f>1.95+0.25</f>
        <v>2.2</v>
      </c>
      <c r="M62" s="192">
        <v>2</v>
      </c>
      <c r="N62" s="192">
        <v>6.9</v>
      </c>
      <c r="O62" s="193">
        <f t="shared" si="9"/>
        <v>24.119999999999997</v>
      </c>
      <c r="P62"/>
    </row>
    <row r="63" spans="1:16" s="2" customFormat="1" ht="14.25" customHeight="1">
      <c r="A63" s="179" t="s">
        <v>39</v>
      </c>
      <c r="B63" s="180">
        <f aca="true" t="shared" si="10" ref="B63:H63">+B46/B62/12</f>
        <v>24645.833333333332</v>
      </c>
      <c r="C63" s="181">
        <f t="shared" si="10"/>
        <v>18211.25</v>
      </c>
      <c r="D63" s="181">
        <f t="shared" si="10"/>
        <v>15390.94009489917</v>
      </c>
      <c r="E63" s="181">
        <f t="shared" si="10"/>
        <v>8356.50289017341</v>
      </c>
      <c r="F63" s="181">
        <f t="shared" si="10"/>
        <v>14961.960132890366</v>
      </c>
      <c r="G63" s="181">
        <f t="shared" si="10"/>
        <v>8413.259206121473</v>
      </c>
      <c r="H63" s="182">
        <f t="shared" si="10"/>
        <v>12438.504016064258</v>
      </c>
      <c r="I63" s="180"/>
      <c r="J63" s="181">
        <f aca="true" t="shared" si="11" ref="J63:O63">+J46/J62/12</f>
        <v>19607.083333333332</v>
      </c>
      <c r="K63" s="181">
        <f t="shared" si="11"/>
        <v>17302.983619344774</v>
      </c>
      <c r="L63" s="181">
        <f t="shared" si="11"/>
        <v>11474.01515151515</v>
      </c>
      <c r="M63" s="181">
        <f t="shared" si="11"/>
        <v>17580.333333333332</v>
      </c>
      <c r="N63" s="181">
        <f t="shared" si="11"/>
        <v>10195.772946859903</v>
      </c>
      <c r="O63" s="182">
        <f t="shared" si="11"/>
        <v>14780.265339966834</v>
      </c>
      <c r="P63"/>
    </row>
    <row r="64" spans="1:16" s="2" customFormat="1" ht="14.25" customHeight="1">
      <c r="A64" s="183" t="s">
        <v>37</v>
      </c>
      <c r="B64" s="184">
        <f aca="true" t="shared" si="12" ref="B64:H64">+B47/B62/12</f>
        <v>3895.8333333333335</v>
      </c>
      <c r="C64" s="185">
        <f t="shared" si="12"/>
        <v>14986.25</v>
      </c>
      <c r="D64" s="185">
        <f t="shared" si="12"/>
        <v>10141.992882562277</v>
      </c>
      <c r="E64" s="185">
        <f t="shared" si="12"/>
        <v>5780.97302504817</v>
      </c>
      <c r="F64" s="185">
        <f t="shared" si="12"/>
        <v>9167.054263565891</v>
      </c>
      <c r="G64" s="185">
        <f t="shared" si="12"/>
        <v>5940.435198469632</v>
      </c>
      <c r="H64" s="186">
        <f t="shared" si="12"/>
        <v>8275.943775100402</v>
      </c>
      <c r="I64" s="184"/>
      <c r="J64" s="185">
        <f aca="true" t="shared" si="13" ref="J64:O64">+J47/J62/12</f>
        <v>16110</v>
      </c>
      <c r="K64" s="185">
        <f t="shared" si="13"/>
        <v>11049.284971398856</v>
      </c>
      <c r="L64" s="185">
        <f t="shared" si="13"/>
        <v>7243.257575757575</v>
      </c>
      <c r="M64" s="185">
        <f t="shared" si="13"/>
        <v>9742.458333333334</v>
      </c>
      <c r="N64" s="185">
        <f t="shared" si="13"/>
        <v>6682.717391304348</v>
      </c>
      <c r="O64" s="186">
        <f t="shared" si="13"/>
        <v>9386.594803758984</v>
      </c>
      <c r="P64"/>
    </row>
    <row r="65" spans="1:16" s="2" customFormat="1" ht="14.25" customHeight="1" thickBot="1">
      <c r="A65" s="187" t="s">
        <v>38</v>
      </c>
      <c r="B65" s="188">
        <f aca="true" t="shared" si="14" ref="B65:H65">+B56/B62/12</f>
        <v>0</v>
      </c>
      <c r="C65" s="189">
        <f t="shared" si="14"/>
        <v>0</v>
      </c>
      <c r="D65" s="189">
        <f t="shared" si="14"/>
        <v>2279.737544483986</v>
      </c>
      <c r="E65" s="189">
        <f t="shared" si="14"/>
        <v>1038.126204238921</v>
      </c>
      <c r="F65" s="189">
        <f t="shared" si="14"/>
        <v>1779.5957918050942</v>
      </c>
      <c r="G65" s="189">
        <f t="shared" si="14"/>
        <v>483.9191774270684</v>
      </c>
      <c r="H65" s="190">
        <f t="shared" si="14"/>
        <v>1523.9223560910307</v>
      </c>
      <c r="I65" s="188"/>
      <c r="J65" s="189">
        <f aca="true" t="shared" si="15" ref="J65:O65">+J56/J62/12</f>
        <v>0</v>
      </c>
      <c r="K65" s="189">
        <f t="shared" si="15"/>
        <v>2758.1968278731147</v>
      </c>
      <c r="L65" s="189">
        <f t="shared" si="15"/>
        <v>1565.2272727272727</v>
      </c>
      <c r="M65" s="189">
        <f t="shared" si="15"/>
        <v>2904.25</v>
      </c>
      <c r="N65" s="189">
        <f t="shared" si="15"/>
        <v>853.1038647342995</v>
      </c>
      <c r="O65" s="190">
        <f t="shared" si="15"/>
        <v>2093.635986733002</v>
      </c>
      <c r="P65"/>
    </row>
    <row r="66" spans="1:13" s="47" customFormat="1" ht="12.75" customHeight="1">
      <c r="A66" s="6"/>
      <c r="B66" s="90"/>
      <c r="C66" s="90"/>
      <c r="D66" s="90"/>
      <c r="E66" s="90"/>
      <c r="F66" s="90"/>
      <c r="H66" s="90"/>
      <c r="I66" s="90"/>
      <c r="J66" s="90"/>
      <c r="K66" s="90"/>
      <c r="L66" s="90"/>
      <c r="M66" s="90"/>
    </row>
    <row r="67" spans="1:12" ht="3.75" customHeight="1">
      <c r="A67"/>
      <c r="B67"/>
      <c r="C67"/>
      <c r="D67"/>
      <c r="E67"/>
      <c r="F67"/>
      <c r="G67"/>
      <c r="H67"/>
      <c r="I67"/>
      <c r="J67"/>
      <c r="K67"/>
      <c r="L67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5" customHeight="1" thickBot="1">
      <c r="A85" s="103"/>
    </row>
    <row r="86" spans="1:13" ht="24.75" customHeight="1">
      <c r="A86" s="219" t="s">
        <v>50</v>
      </c>
      <c r="B86" s="223" t="s">
        <v>55</v>
      </c>
      <c r="C86" s="225" t="s">
        <v>54</v>
      </c>
      <c r="D86" s="226"/>
      <c r="E86" s="226"/>
      <c r="F86" s="227"/>
      <c r="G86" s="223" t="s">
        <v>57</v>
      </c>
      <c r="H86" s="225" t="s">
        <v>58</v>
      </c>
      <c r="I86" s="226"/>
      <c r="J86" s="226"/>
      <c r="K86" s="227"/>
      <c r="L86" s="221" t="s">
        <v>65</v>
      </c>
      <c r="M86" s="222"/>
    </row>
    <row r="87" spans="1:13" s="89" customFormat="1" ht="21.75" customHeight="1" thickBot="1">
      <c r="A87" s="220"/>
      <c r="B87" s="224"/>
      <c r="C87" s="97" t="s">
        <v>51</v>
      </c>
      <c r="D87" s="92" t="s">
        <v>56</v>
      </c>
      <c r="E87" s="92" t="s">
        <v>52</v>
      </c>
      <c r="F87" s="96" t="s">
        <v>53</v>
      </c>
      <c r="G87" s="224"/>
      <c r="H87" s="97" t="s">
        <v>59</v>
      </c>
      <c r="I87" s="92" t="s">
        <v>56</v>
      </c>
      <c r="J87" s="92" t="s">
        <v>52</v>
      </c>
      <c r="K87" s="96" t="s">
        <v>60</v>
      </c>
      <c r="L87" s="87" t="s">
        <v>63</v>
      </c>
      <c r="M87" s="88" t="s">
        <v>64</v>
      </c>
    </row>
    <row r="88" spans="1:13" ht="12.75">
      <c r="A88" s="81" t="s">
        <v>40</v>
      </c>
      <c r="B88" s="93">
        <v>748.25</v>
      </c>
      <c r="C88" s="98" t="s">
        <v>46</v>
      </c>
      <c r="D88" s="72" t="s">
        <v>46</v>
      </c>
      <c r="E88" s="72" t="s">
        <v>46</v>
      </c>
      <c r="F88" s="82" t="s">
        <v>46</v>
      </c>
      <c r="G88" s="100">
        <v>969.35</v>
      </c>
      <c r="H88" s="98" t="s">
        <v>46</v>
      </c>
      <c r="I88" s="72" t="s">
        <v>46</v>
      </c>
      <c r="J88" s="72" t="s">
        <v>46</v>
      </c>
      <c r="K88" s="82" t="s">
        <v>46</v>
      </c>
      <c r="L88" s="105" t="s">
        <v>46</v>
      </c>
      <c r="M88" s="104" t="s">
        <v>46</v>
      </c>
    </row>
    <row r="89" spans="1:13" ht="12.75">
      <c r="A89" s="76" t="s">
        <v>41</v>
      </c>
      <c r="B89" s="94">
        <v>50.32</v>
      </c>
      <c r="C89" s="83">
        <v>0</v>
      </c>
      <c r="D89" s="80">
        <v>50</v>
      </c>
      <c r="E89" s="80">
        <v>0</v>
      </c>
      <c r="F89" s="74">
        <v>50</v>
      </c>
      <c r="G89" s="78">
        <v>51.63</v>
      </c>
      <c r="H89" s="83">
        <v>50</v>
      </c>
      <c r="I89" s="80">
        <v>2</v>
      </c>
      <c r="J89" s="80">
        <v>0</v>
      </c>
      <c r="K89" s="74">
        <v>52</v>
      </c>
      <c r="L89" s="83">
        <f>+B89-F89</f>
        <v>0.3200000000000003</v>
      </c>
      <c r="M89" s="84">
        <f>+G89-K89</f>
        <v>-0.36999999999999744</v>
      </c>
    </row>
    <row r="90" spans="1:13" ht="12.75">
      <c r="A90" s="76" t="s">
        <v>42</v>
      </c>
      <c r="B90" s="94">
        <v>66.58</v>
      </c>
      <c r="C90" s="83">
        <v>115</v>
      </c>
      <c r="D90" s="80">
        <v>159</v>
      </c>
      <c r="E90" s="80">
        <v>15</v>
      </c>
      <c r="F90" s="74">
        <v>259</v>
      </c>
      <c r="G90" s="78">
        <v>17.03</v>
      </c>
      <c r="H90" s="83">
        <v>259</v>
      </c>
      <c r="I90" s="80">
        <v>264</v>
      </c>
      <c r="J90" s="80">
        <v>100</v>
      </c>
      <c r="K90" s="74">
        <v>423</v>
      </c>
      <c r="L90" s="83">
        <f>+B90-F90</f>
        <v>-192.42000000000002</v>
      </c>
      <c r="M90" s="84">
        <f>+G90-K90</f>
        <v>-405.97</v>
      </c>
    </row>
    <row r="91" spans="1:13" ht="12.75">
      <c r="A91" s="76" t="s">
        <v>43</v>
      </c>
      <c r="B91" s="94">
        <v>170.25</v>
      </c>
      <c r="C91" s="83">
        <v>121</v>
      </c>
      <c r="D91" s="80">
        <v>89</v>
      </c>
      <c r="E91" s="80">
        <v>40</v>
      </c>
      <c r="F91" s="74">
        <v>170</v>
      </c>
      <c r="G91" s="78">
        <v>101.46</v>
      </c>
      <c r="H91" s="83">
        <v>170</v>
      </c>
      <c r="I91" s="80">
        <v>48</v>
      </c>
      <c r="J91" s="80">
        <v>117</v>
      </c>
      <c r="K91" s="74">
        <v>101</v>
      </c>
      <c r="L91" s="83">
        <f>+B91-F91</f>
        <v>0.25</v>
      </c>
      <c r="M91" s="84">
        <f>+G91-K91</f>
        <v>0.45999999999999375</v>
      </c>
    </row>
    <row r="92" spans="1:13" ht="12.75">
      <c r="A92" s="76" t="s">
        <v>45</v>
      </c>
      <c r="B92" s="94">
        <v>461.1</v>
      </c>
      <c r="C92" s="98" t="s">
        <v>46</v>
      </c>
      <c r="D92" s="72" t="s">
        <v>46</v>
      </c>
      <c r="E92" s="72" t="s">
        <v>46</v>
      </c>
      <c r="F92" s="73" t="s">
        <v>46</v>
      </c>
      <c r="G92" s="78">
        <v>799.23</v>
      </c>
      <c r="H92" s="101" t="s">
        <v>46</v>
      </c>
      <c r="I92" s="72" t="s">
        <v>46</v>
      </c>
      <c r="J92" s="99" t="s">
        <v>46</v>
      </c>
      <c r="K92" s="73" t="s">
        <v>46</v>
      </c>
      <c r="L92" s="105" t="s">
        <v>46</v>
      </c>
      <c r="M92" s="82" t="s">
        <v>46</v>
      </c>
    </row>
    <row r="93" spans="1:13" ht="13.5" thickBot="1">
      <c r="A93" s="77" t="s">
        <v>44</v>
      </c>
      <c r="B93" s="95">
        <v>21.87</v>
      </c>
      <c r="C93" s="85">
        <v>6</v>
      </c>
      <c r="D93" s="102">
        <v>75</v>
      </c>
      <c r="E93" s="102">
        <v>58</v>
      </c>
      <c r="F93" s="75">
        <v>23</v>
      </c>
      <c r="G93" s="79">
        <v>6.78</v>
      </c>
      <c r="H93" s="85">
        <v>23</v>
      </c>
      <c r="I93" s="102">
        <v>85</v>
      </c>
      <c r="J93" s="102">
        <v>92</v>
      </c>
      <c r="K93" s="75">
        <v>16</v>
      </c>
      <c r="L93" s="85">
        <f>+B93-F93</f>
        <v>-1.129999999999999</v>
      </c>
      <c r="M93" s="86">
        <f>+G93-K93</f>
        <v>-9.219999999999999</v>
      </c>
    </row>
    <row r="94" ht="15" customHeight="1"/>
    <row r="95" ht="13.5" thickBot="1"/>
    <row r="96" spans="1:13" s="1" customFormat="1" ht="18" customHeight="1">
      <c r="A96" s="239" t="s">
        <v>72</v>
      </c>
      <c r="B96" s="241" t="s">
        <v>73</v>
      </c>
      <c r="C96" s="242"/>
      <c r="D96" s="242"/>
      <c r="E96" s="242"/>
      <c r="F96" s="242"/>
      <c r="G96" s="243"/>
      <c r="H96" s="241" t="s">
        <v>74</v>
      </c>
      <c r="I96" s="242"/>
      <c r="J96" s="242"/>
      <c r="K96" s="242"/>
      <c r="L96" s="242"/>
      <c r="M96" s="243"/>
    </row>
    <row r="97" spans="1:13" s="28" customFormat="1" ht="14.25" customHeight="1" thickBot="1">
      <c r="A97" s="240"/>
      <c r="B97" s="129" t="s">
        <v>67</v>
      </c>
      <c r="C97" s="130" t="s">
        <v>68</v>
      </c>
      <c r="D97" s="130" t="s">
        <v>69</v>
      </c>
      <c r="E97" s="130" t="s">
        <v>70</v>
      </c>
      <c r="F97" s="131" t="s">
        <v>71</v>
      </c>
      <c r="G97" s="132" t="s">
        <v>3</v>
      </c>
      <c r="H97" s="133" t="s">
        <v>67</v>
      </c>
      <c r="I97" s="130" t="s">
        <v>68</v>
      </c>
      <c r="J97" s="130" t="s">
        <v>69</v>
      </c>
      <c r="K97" s="130" t="s">
        <v>70</v>
      </c>
      <c r="L97" s="131" t="s">
        <v>71</v>
      </c>
      <c r="M97" s="132" t="s">
        <v>47</v>
      </c>
    </row>
    <row r="98" spans="1:13" s="1" customFormat="1" ht="4.5" customHeight="1" hidden="1">
      <c r="A98" s="124">
        <v>36891</v>
      </c>
      <c r="B98" s="125"/>
      <c r="C98" s="126"/>
      <c r="D98" s="126"/>
      <c r="E98" s="126"/>
      <c r="F98" s="127"/>
      <c r="G98" s="128">
        <f>SUM(B98:F98)</f>
        <v>0</v>
      </c>
      <c r="H98" s="126"/>
      <c r="I98" s="126"/>
      <c r="J98" s="126"/>
      <c r="K98" s="126"/>
      <c r="L98" s="127"/>
      <c r="M98" s="128">
        <f>SUM(H98:L98)</f>
        <v>0</v>
      </c>
    </row>
    <row r="99" spans="1:13" s="1" customFormat="1" ht="14.25" customHeight="1">
      <c r="A99" s="114">
        <v>37256</v>
      </c>
      <c r="B99" s="115">
        <v>0</v>
      </c>
      <c r="C99" s="116">
        <v>0</v>
      </c>
      <c r="D99" s="116">
        <v>0</v>
      </c>
      <c r="E99" s="116">
        <v>0</v>
      </c>
      <c r="F99" s="117">
        <v>0</v>
      </c>
      <c r="G99" s="118">
        <f>SUM(B99:F99)</f>
        <v>0</v>
      </c>
      <c r="H99" s="116">
        <v>0</v>
      </c>
      <c r="I99" s="116">
        <v>0</v>
      </c>
      <c r="J99" s="116">
        <v>0</v>
      </c>
      <c r="K99" s="116">
        <v>0</v>
      </c>
      <c r="L99" s="117">
        <v>0</v>
      </c>
      <c r="M99" s="118">
        <f>SUM(H99:L99)</f>
        <v>0</v>
      </c>
    </row>
    <row r="100" spans="1:13" s="1" customFormat="1" ht="14.25" customHeight="1">
      <c r="A100" s="114">
        <v>37621</v>
      </c>
      <c r="B100" s="115">
        <v>0</v>
      </c>
      <c r="C100" s="116">
        <v>0</v>
      </c>
      <c r="D100" s="116">
        <v>0</v>
      </c>
      <c r="E100" s="116">
        <v>0</v>
      </c>
      <c r="F100" s="117">
        <v>0</v>
      </c>
      <c r="G100" s="118">
        <f>SUM(B100:F100)</f>
        <v>0</v>
      </c>
      <c r="H100" s="116">
        <v>0</v>
      </c>
      <c r="I100" s="116">
        <v>0</v>
      </c>
      <c r="J100" s="116">
        <v>0</v>
      </c>
      <c r="K100" s="116">
        <v>0</v>
      </c>
      <c r="L100" s="117">
        <v>0</v>
      </c>
      <c r="M100" s="118">
        <f>SUM(H100:L100)</f>
        <v>0</v>
      </c>
    </row>
    <row r="101" spans="1:13" s="1" customFormat="1" ht="14.25" customHeight="1">
      <c r="A101" s="114">
        <v>37986</v>
      </c>
      <c r="B101" s="115">
        <v>0</v>
      </c>
      <c r="C101" s="116">
        <v>0</v>
      </c>
      <c r="D101" s="116">
        <v>0</v>
      </c>
      <c r="E101" s="116">
        <v>0</v>
      </c>
      <c r="F101" s="117">
        <v>0</v>
      </c>
      <c r="G101" s="118">
        <f>SUM(B101:F101)</f>
        <v>0</v>
      </c>
      <c r="H101" s="116">
        <v>0</v>
      </c>
      <c r="I101" s="116">
        <v>0</v>
      </c>
      <c r="J101" s="116">
        <v>0</v>
      </c>
      <c r="K101" s="116">
        <v>0</v>
      </c>
      <c r="L101" s="117">
        <v>0</v>
      </c>
      <c r="M101" s="118">
        <f>SUM(H101:L101)</f>
        <v>0</v>
      </c>
    </row>
    <row r="102" spans="1:13" s="1" customFormat="1" ht="14.25" customHeight="1" thickBot="1">
      <c r="A102" s="119">
        <v>38352</v>
      </c>
      <c r="B102" s="215">
        <v>0</v>
      </c>
      <c r="C102" s="216">
        <v>1</v>
      </c>
      <c r="D102" s="216">
        <v>1</v>
      </c>
      <c r="E102" s="216">
        <v>1</v>
      </c>
      <c r="F102" s="217">
        <v>28</v>
      </c>
      <c r="G102" s="218">
        <f>SUM(B102:F102)</f>
        <v>31</v>
      </c>
      <c r="H102" s="216">
        <v>0</v>
      </c>
      <c r="I102" s="216">
        <v>0</v>
      </c>
      <c r="J102" s="216">
        <v>0</v>
      </c>
      <c r="K102" s="216">
        <v>0</v>
      </c>
      <c r="L102" s="217">
        <v>0</v>
      </c>
      <c r="M102" s="218">
        <f>SUM(H102:L102)</f>
        <v>0</v>
      </c>
    </row>
    <row r="104" ht="16.5" thickBot="1">
      <c r="A104" s="103"/>
    </row>
    <row r="105" spans="1:12" ht="24" customHeight="1" thickBot="1">
      <c r="A105" s="256" t="s">
        <v>81</v>
      </c>
      <c r="B105" s="257"/>
      <c r="C105" s="257"/>
      <c r="D105" s="135">
        <v>2001</v>
      </c>
      <c r="E105" s="135">
        <v>2002</v>
      </c>
      <c r="F105" s="213">
        <v>2003</v>
      </c>
      <c r="G105" s="136">
        <v>2004</v>
      </c>
      <c r="J105"/>
      <c r="K105"/>
      <c r="L105"/>
    </row>
    <row r="106" spans="1:7" s="4" customFormat="1" ht="24.75" customHeight="1">
      <c r="A106" s="252" t="s">
        <v>82</v>
      </c>
      <c r="B106" s="253"/>
      <c r="C106" s="253"/>
      <c r="D106" s="134">
        <f>+(B7)/B13</f>
        <v>0.7125007902261651</v>
      </c>
      <c r="E106" s="134">
        <f>+(C7)/C13</f>
        <v>0.738479262672811</v>
      </c>
      <c r="F106" s="134">
        <f>+(D7)/D13</f>
        <v>0.7656636707047023</v>
      </c>
      <c r="G106" s="141">
        <f>+(E7)/E13</f>
        <v>0.7559452318039875</v>
      </c>
    </row>
    <row r="107" spans="1:7" s="4" customFormat="1" ht="24.75" customHeight="1">
      <c r="A107" s="237" t="s">
        <v>77</v>
      </c>
      <c r="B107" s="238"/>
      <c r="C107" s="238"/>
      <c r="D107" s="134">
        <f>+(B4+B3)/B13</f>
        <v>0.1901047482506219</v>
      </c>
      <c r="E107" s="134">
        <f>+(C4+C3)/C13</f>
        <v>0.18577188940092165</v>
      </c>
      <c r="F107" s="134">
        <f>+(D4+D3)/D13</f>
        <v>0.1677738700013026</v>
      </c>
      <c r="G107" s="141">
        <f>+(E4+E3)/E13</f>
        <v>0.17343262070622148</v>
      </c>
    </row>
    <row r="108" spans="1:7" s="4" customFormat="1" ht="24.75" customHeight="1">
      <c r="A108" s="237" t="s">
        <v>79</v>
      </c>
      <c r="B108" s="238"/>
      <c r="C108" s="238"/>
      <c r="D108" s="137">
        <f>+B12/B13</f>
        <v>0.022979618041999047</v>
      </c>
      <c r="E108" s="137">
        <f>+C12/C13</f>
        <v>0.012960829493087557</v>
      </c>
      <c r="F108" s="137">
        <f>+D12/D13</f>
        <v>0.00612218314445747</v>
      </c>
      <c r="G108" s="139">
        <f>+E12/E13</f>
        <v>0.00804708143165986</v>
      </c>
    </row>
    <row r="109" spans="1:9" s="1" customFormat="1" ht="24.75" customHeight="1" thickBot="1">
      <c r="A109" s="250" t="s">
        <v>78</v>
      </c>
      <c r="B109" s="251"/>
      <c r="C109" s="251"/>
      <c r="D109" s="138">
        <f>+B15/B17</f>
        <v>0.9395179822083085</v>
      </c>
      <c r="E109" s="138">
        <f>+C15/C17</f>
        <v>0.9281600921393608</v>
      </c>
      <c r="F109" s="138">
        <f>+D15/D17</f>
        <v>0.9461767369646785</v>
      </c>
      <c r="G109" s="140">
        <f>+E15/E17</f>
        <v>0.9538571598903064</v>
      </c>
      <c r="H109" s="28"/>
      <c r="I109" s="28"/>
    </row>
    <row r="110" spans="1:9" s="1" customFormat="1" ht="24.75" customHeight="1">
      <c r="A110" s="237" t="s">
        <v>80</v>
      </c>
      <c r="B110" s="238"/>
      <c r="C110" s="238"/>
      <c r="D110" s="137">
        <f>+(B17-B15)/(B13-B6)</f>
        <v>0.06397990707369205</v>
      </c>
      <c r="E110" s="137">
        <f>+(C17-C15)/(C13-C6)</f>
        <v>0.0744776119402985</v>
      </c>
      <c r="F110" s="137">
        <f>+(D17-D15)/(D13-D6)</f>
        <v>0.05553330663462822</v>
      </c>
      <c r="G110" s="139">
        <f>+(E17-E15)/(E13-E6)</f>
        <v>0.048116374487131665</v>
      </c>
      <c r="H110" s="28"/>
      <c r="I110" s="28"/>
    </row>
    <row r="111" spans="1:9" s="1" customFormat="1" ht="24.75" customHeight="1" thickBot="1">
      <c r="A111" s="250" t="s">
        <v>89</v>
      </c>
      <c r="B111" s="251"/>
      <c r="C111" s="251"/>
      <c r="D111" s="138">
        <f>+B7/B17</f>
        <v>0.701926183993737</v>
      </c>
      <c r="E111" s="138">
        <f>+C7/C17</f>
        <v>0.7382666282752663</v>
      </c>
      <c r="F111" s="138">
        <f>+D7/D17</f>
        <v>0.7605123560615862</v>
      </c>
      <c r="G111" s="140">
        <f>+E7/E17</f>
        <v>0.7504471205436986</v>
      </c>
      <c r="H111" s="28"/>
      <c r="I111" s="28"/>
    </row>
  </sheetData>
  <mergeCells count="20">
    <mergeCell ref="A21:O25"/>
    <mergeCell ref="C86:F86"/>
    <mergeCell ref="B44:H44"/>
    <mergeCell ref="I44:O44"/>
    <mergeCell ref="A44:A45"/>
    <mergeCell ref="A105:C105"/>
    <mergeCell ref="A110:C110"/>
    <mergeCell ref="G86:G87"/>
    <mergeCell ref="H86:K86"/>
    <mergeCell ref="A96:A97"/>
    <mergeCell ref="B96:G96"/>
    <mergeCell ref="H96:M96"/>
    <mergeCell ref="A86:A87"/>
    <mergeCell ref="L86:M86"/>
    <mergeCell ref="B86:B87"/>
    <mergeCell ref="A111:C111"/>
    <mergeCell ref="A106:C106"/>
    <mergeCell ref="A107:C107"/>
    <mergeCell ref="A108:C108"/>
    <mergeCell ref="A109:C109"/>
  </mergeCells>
  <printOptions horizontalCentered="1"/>
  <pageMargins left="0.15748031496062992" right="0.15748031496062992" top="0.6299212598425197" bottom="0.15748031496062992" header="0.2362204724409449" footer="0.1968503937007874"/>
  <pageSetup horizontalDpi="600" verticalDpi="600" orientation="portrait" paperSize="9" scale="75" r:id="rId2"/>
  <headerFooter alignWithMargins="0">
    <oddHeader>&amp;RPříloha č. 1</oddHeader>
    <oddFooter>&amp;C&amp;6Dětský domov Kamenice nad Lipou &amp;P/&amp;N</oddFooter>
  </headerFooter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hosek</cp:lastModifiedBy>
  <cp:lastPrinted>2005-12-05T14:37:40Z</cp:lastPrinted>
  <dcterms:created xsi:type="dcterms:W3CDTF">2004-03-06T19:11:58Z</dcterms:created>
  <dcterms:modified xsi:type="dcterms:W3CDTF">2005-12-05T14:38:42Z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