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225" windowHeight="8490" activeTab="0"/>
  </bookViews>
  <sheets>
    <sheet name="RK-32-2005-19, př. 1" sheetId="1" r:id="rId1"/>
  </sheets>
  <definedNames/>
  <calcPr fullCalcOnLoad="1"/>
</workbook>
</file>

<file path=xl/sharedStrings.xml><?xml version="1.0" encoding="utf-8"?>
<sst xmlns="http://schemas.openxmlformats.org/spreadsheetml/2006/main" count="318" uniqueCount="183">
  <si>
    <t>Finanční plán</t>
  </si>
  <si>
    <t>Skutečnost rok 2003</t>
  </si>
  <si>
    <t>Skutečnost rok 2004</t>
  </si>
  <si>
    <t>Rozdíl 2004 - 2003</t>
  </si>
  <si>
    <t>Návrh na rok 2005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</si>
  <si>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</si>
  <si>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</si>
  <si>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</si>
  <si>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</si>
  <si>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</si>
  <si>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</si>
  <si>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</si>
  <si>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</si>
  <si>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</si>
  <si>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</si>
  <si>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</si>
  <si>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</si>
  <si>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</si>
  <si>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</si>
  <si>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</si>
  <si>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</si>
  <si>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</si>
  <si>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</si>
  <si>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</si>
  <si>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</si>
  <si>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</si>
  <si>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</si>
  <si>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</si>
  <si>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</si>
  <si>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</si>
  <si>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</si>
  <si>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</si>
  <si>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</si>
  <si>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</si>
  <si>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</si>
  <si>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</si>
  <si>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</si>
  <si>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</si>
  <si>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</si>
  <si>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</si>
  <si>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</si>
  <si>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</si>
  <si>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</si>
  <si>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</si>
  <si>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Typ dotace</t>
  </si>
  <si>
    <t>dotace z kapitálových výdajů - schváleno usnesením 0076/01/2005/ZK</t>
  </si>
  <si>
    <t>dotace ze smluv o nájmu movitého a nemovitého majetku</t>
  </si>
  <si>
    <t xml:space="preserve">dotace z příkazních smluv </t>
  </si>
  <si>
    <t xml:space="preserve">celkem </t>
  </si>
  <si>
    <t>UZ 00051</t>
  </si>
  <si>
    <t>UZ 00052</t>
  </si>
  <si>
    <t>UZ 00000</t>
  </si>
  <si>
    <t>CELKEM INVESTICE</t>
  </si>
  <si>
    <t>Nemocnice Jihlava</t>
  </si>
  <si>
    <t>Prostředky z investičního fondu</t>
  </si>
  <si>
    <t>Název akce</t>
  </si>
  <si>
    <t>faktura</t>
  </si>
  <si>
    <t>Instalace nového kotle</t>
  </si>
  <si>
    <t>Projekt vybudování JIP</t>
  </si>
  <si>
    <t>Projekt změna projektové dokumentace rekonstrukce infekčního pavilonu + ONM</t>
  </si>
  <si>
    <t>Projekt magnetická rezonance</t>
  </si>
  <si>
    <t>Projekt výtah (diag.pavilon+ozařovny) - studie využití diagnostického pavilonu</t>
  </si>
  <si>
    <t>Rekonstrukce výměníkové stanice kuchyně</t>
  </si>
  <si>
    <t>VZT-rekonstrukce filtračních systémů</t>
  </si>
  <si>
    <t>Unistav - dostavba NN</t>
  </si>
  <si>
    <t>50066/02</t>
  </si>
  <si>
    <t>Ekon - TZ infekčního pavilonu</t>
  </si>
  <si>
    <t>50073/02</t>
  </si>
  <si>
    <t>Penta - TZ infekčního pavilonu</t>
  </si>
  <si>
    <t>50027/03</t>
  </si>
  <si>
    <t>Penta - TZ diagnostického pavilonu HTO</t>
  </si>
  <si>
    <t>50007/03</t>
  </si>
  <si>
    <t>Penta - TZ interního pavilonu bronchoskopie</t>
  </si>
  <si>
    <t>50048/03</t>
  </si>
  <si>
    <t>Pozemní stavby - TZ diagnostického pavilonu</t>
  </si>
  <si>
    <t>50002/03</t>
  </si>
  <si>
    <t>50019/03</t>
  </si>
  <si>
    <t>Pozemní stavby - Tzpříjem B (cytoskopie)</t>
  </si>
  <si>
    <t>50028/03</t>
  </si>
  <si>
    <t>Dialyzační monitor</t>
  </si>
  <si>
    <t>Ultrazvukový přístroj</t>
  </si>
  <si>
    <t>Resususcitační lůžko s příslušenstvím pro ARO</t>
  </si>
  <si>
    <t>Artroskop + shaver</t>
  </si>
  <si>
    <t>Mrazící box pro kostní banku</t>
  </si>
  <si>
    <t>Bronchoskop</t>
  </si>
  <si>
    <t>Kardiotokograf</t>
  </si>
  <si>
    <t>Výměna vybavení centrální kuchyně</t>
  </si>
  <si>
    <t>Interní oddělení - JIP, jednotka UPS</t>
  </si>
  <si>
    <t>Kopírka</t>
  </si>
  <si>
    <t>zvedák pro imobilní pacienty</t>
  </si>
  <si>
    <t>Fibroskop</t>
  </si>
  <si>
    <t>Anemat mini - narkotizační přístroj</t>
  </si>
  <si>
    <t>Infuzní pumpa</t>
  </si>
  <si>
    <t>Injekční dávkovač</t>
  </si>
  <si>
    <t>EMG</t>
  </si>
  <si>
    <t>Fototerapeutická kabina</t>
  </si>
  <si>
    <t>Ureterorenoskop</t>
  </si>
  <si>
    <t>Laparoskopické instrumentárium</t>
  </si>
  <si>
    <t>Digitalizace Fomei</t>
  </si>
  <si>
    <t>Esophagoskop</t>
  </si>
  <si>
    <t>Siemens - splátky RDG</t>
  </si>
  <si>
    <t>12532/02</t>
  </si>
  <si>
    <t>Sodat - splátky software pro VS</t>
  </si>
  <si>
    <t>50045/03</t>
  </si>
  <si>
    <t>Unistav - monitory ARO</t>
  </si>
  <si>
    <t>50036/03</t>
  </si>
  <si>
    <t>Hoyer - sensor</t>
  </si>
  <si>
    <t>50059/03</t>
  </si>
  <si>
    <t>Hypokramed - CO2 Endoflator</t>
  </si>
  <si>
    <t>50057/01</t>
  </si>
  <si>
    <t>Olympus - endoskopie kamera VISERA</t>
  </si>
  <si>
    <t>50016/04</t>
  </si>
  <si>
    <t>Tiši Zdenk - TZ interního pavilonu</t>
  </si>
  <si>
    <t>50020/04</t>
  </si>
  <si>
    <t>Hospimed - optický přístroj (oční)</t>
  </si>
  <si>
    <t>50021/04</t>
  </si>
  <si>
    <t>počet stran: 3</t>
  </si>
  <si>
    <t>*účet 691 je vyšší o 6.166 tis. Kč - jde o dotace od MÚ na provoz LSPP</t>
  </si>
  <si>
    <t>I. Návrh finančního plánu, investičního plánu, odpisového plánu</t>
  </si>
  <si>
    <t>CELKEM nemovitý majetek</t>
  </si>
  <si>
    <t>CELKEM movitý majetek</t>
  </si>
  <si>
    <t>50001/05</t>
  </si>
  <si>
    <t>Manažerský informační systém</t>
  </si>
  <si>
    <t>50002/05</t>
  </si>
  <si>
    <t>50004/05</t>
  </si>
  <si>
    <t>50003/05</t>
  </si>
  <si>
    <t>Digitalizace PACS</t>
  </si>
  <si>
    <t>Hoyer Praha - oxymetr</t>
  </si>
  <si>
    <t xml:space="preserve">ŠIMEČEK-RDS - monitor kontaminace MCII-RXE </t>
  </si>
  <si>
    <t>ŠIMEČEK-RDS - zdroj k monitoru kontaminace</t>
  </si>
  <si>
    <t>Hodnoty ukazatelů před změnou</t>
  </si>
  <si>
    <t>Hodnoty ukazatelů po změně</t>
  </si>
  <si>
    <t>+ / -</t>
  </si>
  <si>
    <t>I. Návrh na změnu investičního plánu</t>
  </si>
  <si>
    <t>Dotace z rezervy kraje na server - schváleno usnesením 0597/17/2005/RK</t>
  </si>
  <si>
    <t>UZ</t>
  </si>
  <si>
    <t>00000</t>
  </si>
  <si>
    <t>00051</t>
  </si>
  <si>
    <t xml:space="preserve">Z nájemného - smlouvy o nájmu movitého a nemovitého majetku </t>
  </si>
  <si>
    <t>II. Návrh na změnu příspěvku (dotace) na provoz</t>
  </si>
  <si>
    <t>Celkem za UZ a odbor</t>
  </si>
  <si>
    <t>Celkem za UZ a odbor po změně</t>
  </si>
  <si>
    <t>Operační křeslo Stryker-Surgistool II (z finančních darů)</t>
  </si>
  <si>
    <t>REPO-RECK - MOTOmed tetto pro ODN (z finančních darů)</t>
  </si>
  <si>
    <t>dotace z kapitálových výdajů - schváleno usnesením 0076/01/2005/ZK a dotace na servery - usnesení 0597/17/2005/RK</t>
  </si>
  <si>
    <t>schváleno usnesením / návrh na změnu</t>
  </si>
  <si>
    <t>návrh na změnu</t>
  </si>
  <si>
    <t>0523/15/2005/RK</t>
  </si>
  <si>
    <t>CELKEM movitý majetek - návrh na změnu</t>
  </si>
  <si>
    <t>CELKEM INVESTICE - návrh na změnu</t>
  </si>
  <si>
    <t>Odbor</t>
  </si>
  <si>
    <t>OSVZ</t>
  </si>
  <si>
    <t>majetkový</t>
  </si>
  <si>
    <t xml:space="preserve">Jiné (stará nemocnice) </t>
  </si>
  <si>
    <t>Rezerva na nepředvídané havárie</t>
  </si>
  <si>
    <r>
      <t>0597/17/2005/RK</t>
    </r>
    <r>
      <rPr>
        <b/>
        <sz val="12"/>
        <color indexed="8"/>
        <rFont val="Times New Roman"/>
        <family val="1"/>
      </rPr>
      <t xml:space="preserve"> </t>
    </r>
  </si>
  <si>
    <t>Plastická chirurgie (stavba+vybavení)</t>
  </si>
  <si>
    <t>po změně</t>
  </si>
  <si>
    <t>Monitor vitálních funkcí pro GYN-POR</t>
  </si>
  <si>
    <t>Štěrbinová lampa pro oční oddělení</t>
  </si>
  <si>
    <t>Bezkontaktní tonometr pro oční oddělení</t>
  </si>
  <si>
    <t>Auto-keratorefraktometr pro oční oddělení</t>
  </si>
  <si>
    <t>Vrtačka vzduchová pro COS 2 ks</t>
  </si>
  <si>
    <t>Hysteroresektoskop</t>
  </si>
  <si>
    <t>Videokolonoskop + příslušenství (vlastní podíl při pořízení z dotace SR)</t>
  </si>
  <si>
    <t>Frankovací stroj</t>
  </si>
  <si>
    <t>00055</t>
  </si>
  <si>
    <t>13101</t>
  </si>
  <si>
    <t>úřady práce</t>
  </si>
  <si>
    <t>z prodeje majetku ve správě příspěvkové organizace</t>
  </si>
  <si>
    <t>0987/24/2005/RK</t>
  </si>
  <si>
    <t xml:space="preserve"> vlastní zdroje - z darů</t>
  </si>
  <si>
    <t>včetně darů</t>
  </si>
  <si>
    <t xml:space="preserve">Movitý majetek </t>
  </si>
  <si>
    <t>Nemovitý majetek</t>
  </si>
  <si>
    <t>Příspěvek na sociální sestru, knihovnu a živelní pojištění</t>
  </si>
  <si>
    <t>z kapitálových výdajů</t>
  </si>
  <si>
    <t>dotace na servry</t>
  </si>
  <si>
    <t>v Kč</t>
  </si>
  <si>
    <t>v tis. Kč</t>
  </si>
  <si>
    <t>III. Návrh na změnu dotace na investice - sumář</t>
  </si>
  <si>
    <t>Porodní sál(nadstandart) - stavba+projekt.dokumentace+vybavení - v návrhu na změnu pouze projektová dokumentace</t>
  </si>
  <si>
    <t>RK-32-2005-19, př. 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</si>
</sst>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2"/>
      <color indexed="8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Continuous" vertical="center"/>
    </xf>
    <xf numFmtId="3" fontId="7" fillId="3" borderId="8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vertical="center" wrapText="1"/>
    </xf>
    <xf numFmtId="10" fontId="7" fillId="3" borderId="11" xfId="0" applyNumberFormat="1" applyFont="1" applyFill="1" applyBorder="1" applyAlignment="1">
      <alignment vertical="center" wrapText="1"/>
    </xf>
    <xf numFmtId="3" fontId="7" fillId="3" borderId="12" xfId="0" applyNumberFormat="1" applyFont="1" applyFill="1" applyBorder="1" applyAlignment="1">
      <alignment vertical="center" wrapText="1"/>
    </xf>
    <xf numFmtId="10" fontId="7" fillId="3" borderId="13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 vertical="center" wrapText="1"/>
    </xf>
    <xf numFmtId="3" fontId="7" fillId="2" borderId="15" xfId="0" applyNumberFormat="1" applyFont="1" applyFill="1" applyBorder="1" applyAlignment="1">
      <alignment vertical="center" wrapText="1"/>
    </xf>
    <xf numFmtId="3" fontId="7" fillId="2" borderId="16" xfId="0" applyNumberFormat="1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vertical="center" wrapText="1"/>
    </xf>
    <xf numFmtId="3" fontId="7" fillId="2" borderId="17" xfId="0" applyNumberFormat="1" applyFont="1" applyFill="1" applyBorder="1" applyAlignment="1">
      <alignment vertical="center" wrapText="1"/>
    </xf>
    <xf numFmtId="10" fontId="7" fillId="3" borderId="16" xfId="0" applyNumberFormat="1" applyFont="1" applyFill="1" applyBorder="1" applyAlignment="1">
      <alignment vertical="center" wrapText="1"/>
    </xf>
    <xf numFmtId="10" fontId="7" fillId="3" borderId="9" xfId="0" applyNumberFormat="1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2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23" xfId="0" applyNumberFormat="1" applyFont="1" applyFill="1" applyBorder="1" applyAlignment="1">
      <alignment vertical="center" wrapText="1"/>
    </xf>
    <xf numFmtId="3" fontId="7" fillId="3" borderId="18" xfId="0" applyNumberFormat="1" applyFont="1" applyFill="1" applyBorder="1" applyAlignment="1">
      <alignment vertical="center" wrapText="1"/>
    </xf>
    <xf numFmtId="10" fontId="7" fillId="3" borderId="24" xfId="0" applyNumberFormat="1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2" borderId="2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9" fillId="0" borderId="20" xfId="0" applyNumberFormat="1" applyFont="1" applyBorder="1" applyAlignment="1">
      <alignment vertical="center" wrapText="1"/>
    </xf>
    <xf numFmtId="3" fontId="9" fillId="2" borderId="23" xfId="0" applyNumberFormat="1" applyFont="1" applyFill="1" applyBorder="1" applyAlignment="1">
      <alignment vertical="center" wrapText="1"/>
    </xf>
    <xf numFmtId="3" fontId="9" fillId="2" borderId="15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 quotePrefix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9" fillId="0" borderId="35" xfId="0" applyNumberFormat="1" applyFont="1" applyBorder="1" applyAlignment="1">
      <alignment vertical="center" wrapText="1"/>
    </xf>
    <xf numFmtId="3" fontId="7" fillId="0" borderId="36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3" fontId="9" fillId="0" borderId="33" xfId="0" applyNumberFormat="1" applyFont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41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vertical="center"/>
    </xf>
    <xf numFmtId="2" fontId="5" fillId="0" borderId="25" xfId="0" applyNumberFormat="1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45" xfId="0" applyFont="1" applyFill="1" applyBorder="1" applyAlignment="1">
      <alignment/>
    </xf>
    <xf numFmtId="2" fontId="5" fillId="2" borderId="25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20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2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7" fillId="2" borderId="3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 wrapText="1"/>
    </xf>
    <xf numFmtId="0" fontId="5" fillId="0" borderId="46" xfId="0" applyFont="1" applyBorder="1" applyAlignment="1" quotePrefix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7" fillId="2" borderId="19" xfId="0" applyFont="1" applyFill="1" applyBorder="1" applyAlignment="1">
      <alignment vertical="center"/>
    </xf>
    <xf numFmtId="2" fontId="5" fillId="0" borderId="25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5" fillId="2" borderId="49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2" fontId="5" fillId="2" borderId="50" xfId="0" applyNumberFormat="1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69" fontId="5" fillId="0" borderId="0" xfId="0" applyNumberFormat="1" applyFont="1" applyBorder="1" applyAlignment="1">
      <alignment vertical="center" wrapText="1"/>
    </xf>
    <xf numFmtId="16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169" fontId="5" fillId="2" borderId="49" xfId="0" applyNumberFormat="1" applyFont="1" applyFill="1" applyBorder="1" applyAlignment="1">
      <alignment vertical="center" wrapText="1"/>
    </xf>
    <xf numFmtId="169" fontId="0" fillId="2" borderId="15" xfId="0" applyNumberFormat="1" applyFont="1" applyFill="1" applyBorder="1" applyAlignment="1">
      <alignment vertical="center"/>
    </xf>
    <xf numFmtId="169" fontId="0" fillId="2" borderId="16" xfId="0" applyNumberFormat="1" applyFont="1" applyFill="1" applyBorder="1" applyAlignment="1">
      <alignment vertical="center"/>
    </xf>
    <xf numFmtId="0" fontId="5" fillId="2" borderId="5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9" fontId="5" fillId="0" borderId="28" xfId="0" applyNumberFormat="1" applyFont="1" applyBorder="1" applyAlignment="1">
      <alignment vertical="center" wrapText="1"/>
    </xf>
    <xf numFmtId="169" fontId="0" fillId="0" borderId="38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169" fontId="0" fillId="0" borderId="37" xfId="0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11" fillId="2" borderId="14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169" fontId="0" fillId="2" borderId="49" xfId="0" applyNumberFormat="1" applyFont="1" applyFill="1" applyBorder="1" applyAlignment="1">
      <alignment vertical="center"/>
    </xf>
    <xf numFmtId="169" fontId="5" fillId="0" borderId="1" xfId="0" applyNumberFormat="1" applyFont="1" applyBorder="1" applyAlignment="1">
      <alignment vertical="center" wrapText="1"/>
    </xf>
    <xf numFmtId="169" fontId="0" fillId="0" borderId="1" xfId="0" applyNumberFormat="1" applyFont="1" applyBorder="1" applyAlignment="1">
      <alignment vertical="center"/>
    </xf>
    <xf numFmtId="169" fontId="0" fillId="0" borderId="46" xfId="0" applyNumberFormat="1" applyFont="1" applyBorder="1" applyAlignment="1">
      <alignment vertical="center"/>
    </xf>
    <xf numFmtId="169" fontId="0" fillId="0" borderId="11" xfId="0" applyNumberFormat="1" applyFont="1" applyBorder="1" applyAlignment="1">
      <alignment vertical="center"/>
    </xf>
    <xf numFmtId="0" fontId="5" fillId="2" borderId="55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horizontal="right" vertical="center"/>
    </xf>
    <xf numFmtId="169" fontId="5" fillId="0" borderId="47" xfId="0" applyNumberFormat="1" applyFont="1" applyBorder="1" applyAlignment="1">
      <alignment vertical="center" wrapText="1"/>
    </xf>
    <xf numFmtId="169" fontId="0" fillId="0" borderId="57" xfId="0" applyNumberFormat="1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0" xfId="0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6" fillId="2" borderId="60" xfId="0" applyFont="1" applyFill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right" vertical="center"/>
    </xf>
    <xf numFmtId="169" fontId="5" fillId="0" borderId="26" xfId="0" applyNumberFormat="1" applyFont="1" applyBorder="1" applyAlignment="1">
      <alignment vertical="center" wrapText="1"/>
    </xf>
    <xf numFmtId="169" fontId="0" fillId="0" borderId="26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2" borderId="49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horizontal="right" vertical="center"/>
    </xf>
    <xf numFmtId="169" fontId="0" fillId="0" borderId="63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0" fontId="5" fillId="0" borderId="23" xfId="0" applyFont="1" applyBorder="1" applyAlignment="1">
      <alignment/>
    </xf>
    <xf numFmtId="0" fontId="0" fillId="0" borderId="22" xfId="0" applyBorder="1" applyAlignment="1">
      <alignment/>
    </xf>
    <xf numFmtId="2" fontId="5" fillId="0" borderId="21" xfId="0" applyNumberFormat="1" applyFont="1" applyBorder="1" applyAlignment="1">
      <alignment vertical="center" wrapText="1"/>
    </xf>
    <xf numFmtId="2" fontId="5" fillId="0" borderId="25" xfId="0" applyNumberFormat="1" applyFont="1" applyBorder="1" applyAlignment="1">
      <alignment vertical="center" wrapText="1"/>
    </xf>
    <xf numFmtId="2" fontId="5" fillId="2" borderId="55" xfId="0" applyNumberFormat="1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0" fillId="0" borderId="22" xfId="0" applyFill="1" applyBorder="1" applyAlignment="1">
      <alignment/>
    </xf>
    <xf numFmtId="3" fontId="5" fillId="0" borderId="6" xfId="0" applyNumberFormat="1" applyFont="1" applyBorder="1" applyAlignment="1">
      <alignment horizontal="right" vertical="center"/>
    </xf>
    <xf numFmtId="169" fontId="5" fillId="0" borderId="19" xfId="0" applyNumberFormat="1" applyFont="1" applyBorder="1" applyAlignment="1">
      <alignment vertical="center" wrapText="1"/>
    </xf>
    <xf numFmtId="169" fontId="0" fillId="0" borderId="58" xfId="0" applyNumberFormat="1" applyFont="1" applyBorder="1" applyAlignment="1">
      <alignment vertical="center"/>
    </xf>
    <xf numFmtId="169" fontId="0" fillId="0" borderId="19" xfId="0" applyNumberFormat="1" applyFont="1" applyBorder="1" applyAlignment="1">
      <alignment vertical="center"/>
    </xf>
    <xf numFmtId="2" fontId="5" fillId="0" borderId="55" xfId="0" applyNumberFormat="1" applyFont="1" applyBorder="1" applyAlignment="1">
      <alignment vertical="center" wrapText="1"/>
    </xf>
    <xf numFmtId="2" fontId="5" fillId="0" borderId="50" xfId="0" applyNumberFormat="1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4" fontId="5" fillId="2" borderId="60" xfId="0" applyNumberFormat="1" applyFont="1" applyFill="1" applyBorder="1" applyAlignment="1">
      <alignment vertical="center"/>
    </xf>
    <xf numFmtId="0" fontId="0" fillId="0" borderId="64" xfId="0" applyBorder="1" applyAlignment="1">
      <alignment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3" fontId="5" fillId="2" borderId="51" xfId="0" applyNumberFormat="1" applyFont="1" applyFill="1" applyBorder="1" applyAlignment="1">
      <alignment vertical="center"/>
    </xf>
    <xf numFmtId="3" fontId="5" fillId="2" borderId="65" xfId="0" applyNumberFormat="1" applyFont="1" applyFill="1" applyBorder="1" applyAlignment="1">
      <alignment vertical="center"/>
    </xf>
    <xf numFmtId="0" fontId="5" fillId="0" borderId="52" xfId="0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169" fontId="0" fillId="0" borderId="28" xfId="0" applyNumberFormat="1" applyFont="1" applyBorder="1" applyAlignment="1">
      <alignment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B1">
      <selection activeCell="N40" sqref="N40"/>
    </sheetView>
  </sheetViews>
  <sheetFormatPr defaultColWidth="9.00390625" defaultRowHeight="12.75"/>
  <cols>
    <col min="1" max="1" width="39.00390625" style="37" customWidth="1"/>
    <col min="2" max="2" width="10.00390625" style="45" customWidth="1"/>
    <col min="3" max="3" width="13.375" style="107" customWidth="1"/>
    <col min="4" max="4" width="7.375" style="45" customWidth="1"/>
    <col min="5" max="5" width="9.375" style="45" customWidth="1"/>
    <col min="6" max="6" width="7.125" style="45" customWidth="1"/>
    <col min="7" max="7" width="8.75390625" style="45" customWidth="1"/>
    <col min="8" max="8" width="5.125" style="45" customWidth="1"/>
    <col min="9" max="9" width="8.75390625" style="45" customWidth="1"/>
    <col min="10" max="10" width="7.00390625" style="37" customWidth="1"/>
    <col min="11" max="11" width="9.75390625" style="37" customWidth="1"/>
    <col min="12" max="13" width="8.75390625" style="37" customWidth="1"/>
  </cols>
  <sheetData>
    <row r="1" ht="15">
      <c r="K1" s="135" t="s">
        <v>182</v>
      </c>
    </row>
    <row r="2" spans="1:13" ht="17.25" customHeight="1" hidden="1" thickBot="1">
      <c r="A2" s="40" t="s">
        <v>118</v>
      </c>
      <c r="B2" s="3"/>
      <c r="C2" s="108"/>
      <c r="D2" s="3"/>
      <c r="E2" s="3"/>
      <c r="F2" s="3"/>
      <c r="G2" s="3"/>
      <c r="H2" s="3"/>
      <c r="I2" s="3"/>
      <c r="M2" s="1" t="s">
        <v>116</v>
      </c>
    </row>
    <row r="3" spans="1:13" ht="13.5" customHeight="1" hidden="1" thickBot="1">
      <c r="A3" s="202" t="s">
        <v>0</v>
      </c>
      <c r="B3" s="207" t="s">
        <v>53</v>
      </c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0.5" customHeight="1" hidden="1">
      <c r="A4" s="203"/>
      <c r="B4" s="4" t="s">
        <v>1</v>
      </c>
      <c r="C4" s="109"/>
      <c r="D4" s="5"/>
      <c r="E4" s="6"/>
      <c r="F4" s="7" t="s">
        <v>2</v>
      </c>
      <c r="G4" s="5"/>
      <c r="H4" s="6"/>
      <c r="I4" s="205" t="s">
        <v>3</v>
      </c>
      <c r="J4" s="206"/>
      <c r="K4" s="5" t="s">
        <v>4</v>
      </c>
      <c r="L4" s="8"/>
      <c r="M4" s="9"/>
    </row>
    <row r="5" spans="1:13" ht="13.5" customHeight="1" hidden="1">
      <c r="A5" s="203"/>
      <c r="B5" s="46" t="s">
        <v>5</v>
      </c>
      <c r="C5" s="110"/>
      <c r="D5" s="39" t="s">
        <v>6</v>
      </c>
      <c r="E5" s="47" t="s">
        <v>7</v>
      </c>
      <c r="F5" s="48" t="s">
        <v>5</v>
      </c>
      <c r="G5" s="39" t="s">
        <v>6</v>
      </c>
      <c r="H5" s="47" t="s">
        <v>7</v>
      </c>
      <c r="I5" s="49" t="s">
        <v>7</v>
      </c>
      <c r="J5" s="49" t="s">
        <v>8</v>
      </c>
      <c r="K5" s="50" t="s">
        <v>5</v>
      </c>
      <c r="L5" s="39" t="s">
        <v>6</v>
      </c>
      <c r="M5" s="47" t="s">
        <v>7</v>
      </c>
    </row>
    <row r="6" spans="1:13" ht="12" customHeight="1" hidden="1" thickBot="1">
      <c r="A6" s="204"/>
      <c r="B6" s="51" t="s">
        <v>9</v>
      </c>
      <c r="C6" s="111"/>
      <c r="D6" s="52" t="s">
        <v>9</v>
      </c>
      <c r="E6" s="53"/>
      <c r="F6" s="54" t="s">
        <v>9</v>
      </c>
      <c r="G6" s="52" t="s">
        <v>9</v>
      </c>
      <c r="H6" s="53"/>
      <c r="I6" s="55" t="s">
        <v>10</v>
      </c>
      <c r="J6" s="56" t="s">
        <v>11</v>
      </c>
      <c r="K6" s="57" t="s">
        <v>9</v>
      </c>
      <c r="L6" s="52" t="s">
        <v>9</v>
      </c>
      <c r="M6" s="53"/>
    </row>
    <row r="7" spans="1:13" ht="14.25" customHeight="1" hidden="1">
      <c r="A7" s="58" t="s">
        <v>12</v>
      </c>
      <c r="B7" s="59"/>
      <c r="C7" s="112"/>
      <c r="D7" s="26"/>
      <c r="E7" s="60"/>
      <c r="F7" s="61"/>
      <c r="G7" s="26"/>
      <c r="H7" s="60"/>
      <c r="I7" s="10"/>
      <c r="J7" s="11"/>
      <c r="K7" s="36"/>
      <c r="L7" s="26"/>
      <c r="M7" s="62"/>
    </row>
    <row r="8" spans="1:13" ht="14.25" customHeight="1" hidden="1">
      <c r="A8" s="63" t="s">
        <v>13</v>
      </c>
      <c r="B8" s="64">
        <v>484435</v>
      </c>
      <c r="C8" s="85"/>
      <c r="D8" s="28">
        <v>2462</v>
      </c>
      <c r="E8" s="65">
        <f aca="true" t="shared" si="0" ref="E8:E15">SUM(B8:D8)</f>
        <v>486897</v>
      </c>
      <c r="F8" s="66">
        <v>538284.82</v>
      </c>
      <c r="G8" s="28">
        <v>1907.66</v>
      </c>
      <c r="H8" s="65">
        <f aca="true" t="shared" si="1" ref="H8:H15">SUM(F8:G8)</f>
        <v>540192.48</v>
      </c>
      <c r="I8" s="12">
        <f aca="true" t="shared" si="2" ref="I8:I35">+H8-E8</f>
        <v>53295.47999999998</v>
      </c>
      <c r="J8" s="13">
        <f aca="true" t="shared" si="3" ref="J8:J13">+H8/E8</f>
        <v>1.109459454463675</v>
      </c>
      <c r="K8" s="41">
        <f>594507-L8</f>
        <v>593321</v>
      </c>
      <c r="L8" s="28">
        <v>1186</v>
      </c>
      <c r="M8" s="67">
        <f aca="true" t="shared" si="4" ref="M8:M15">+K8+L8</f>
        <v>594507</v>
      </c>
    </row>
    <row r="9" spans="1:13" ht="14.25" customHeight="1" hidden="1">
      <c r="A9" s="63" t="s">
        <v>14</v>
      </c>
      <c r="B9" s="64">
        <v>74991</v>
      </c>
      <c r="C9" s="85"/>
      <c r="D9" s="28">
        <v>1412</v>
      </c>
      <c r="E9" s="65">
        <f t="shared" si="0"/>
        <v>76403</v>
      </c>
      <c r="F9" s="66">
        <v>84864.36</v>
      </c>
      <c r="G9" s="28">
        <v>1643.74</v>
      </c>
      <c r="H9" s="65">
        <f t="shared" si="1"/>
        <v>86508.1</v>
      </c>
      <c r="I9" s="12">
        <f t="shared" si="2"/>
        <v>10105.100000000006</v>
      </c>
      <c r="J9" s="13">
        <f t="shared" si="3"/>
        <v>1.1322605133306285</v>
      </c>
      <c r="K9" s="27">
        <v>163</v>
      </c>
      <c r="L9" s="28">
        <v>91862</v>
      </c>
      <c r="M9" s="65">
        <f t="shared" si="4"/>
        <v>92025</v>
      </c>
    </row>
    <row r="10" spans="1:13" ht="14.25" customHeight="1" hidden="1">
      <c r="A10" s="63" t="s">
        <v>15</v>
      </c>
      <c r="B10" s="64">
        <v>4082</v>
      </c>
      <c r="C10" s="85"/>
      <c r="D10" s="28">
        <v>0</v>
      </c>
      <c r="E10" s="65">
        <f t="shared" si="0"/>
        <v>4082</v>
      </c>
      <c r="F10" s="68">
        <v>8095.41</v>
      </c>
      <c r="G10" s="69"/>
      <c r="H10" s="65">
        <f t="shared" si="1"/>
        <v>8095.41</v>
      </c>
      <c r="I10" s="12">
        <f t="shared" si="2"/>
        <v>4013.41</v>
      </c>
      <c r="J10" s="13">
        <f t="shared" si="3"/>
        <v>1.9831969622733954</v>
      </c>
      <c r="K10" s="27">
        <v>8300</v>
      </c>
      <c r="L10" s="28"/>
      <c r="M10" s="65">
        <f t="shared" si="4"/>
        <v>8300</v>
      </c>
    </row>
    <row r="11" spans="1:13" ht="14.25" customHeight="1" hidden="1">
      <c r="A11" s="63" t="s">
        <v>16</v>
      </c>
      <c r="B11" s="64">
        <v>3905</v>
      </c>
      <c r="C11" s="85"/>
      <c r="D11" s="28">
        <v>0</v>
      </c>
      <c r="E11" s="65">
        <f t="shared" si="0"/>
        <v>3905</v>
      </c>
      <c r="F11" s="68">
        <f>1387.82+18.89+24.17+1665.61+20441.85</f>
        <v>23538.339999999997</v>
      </c>
      <c r="G11" s="69"/>
      <c r="H11" s="65">
        <f t="shared" si="1"/>
        <v>23538.339999999997</v>
      </c>
      <c r="I11" s="12">
        <f t="shared" si="2"/>
        <v>19633.339999999997</v>
      </c>
      <c r="J11" s="13">
        <f t="shared" si="3"/>
        <v>6.027743918053776</v>
      </c>
      <c r="K11" s="27">
        <v>10140</v>
      </c>
      <c r="L11" s="28">
        <v>0</v>
      </c>
      <c r="M11" s="65">
        <f t="shared" si="4"/>
        <v>10140</v>
      </c>
    </row>
    <row r="12" spans="1:13" ht="14.25" customHeight="1" hidden="1">
      <c r="A12" s="70" t="s">
        <v>17</v>
      </c>
      <c r="B12" s="64">
        <v>1690</v>
      </c>
      <c r="C12" s="85"/>
      <c r="D12" s="28">
        <v>0</v>
      </c>
      <c r="E12" s="65">
        <f t="shared" si="0"/>
        <v>1690</v>
      </c>
      <c r="F12" s="68">
        <v>1665.61</v>
      </c>
      <c r="G12" s="69"/>
      <c r="H12" s="65">
        <f t="shared" si="1"/>
        <v>1665.61</v>
      </c>
      <c r="I12" s="12">
        <f t="shared" si="2"/>
        <v>-24.3900000000001</v>
      </c>
      <c r="J12" s="13">
        <f t="shared" si="3"/>
        <v>0.9855680473372781</v>
      </c>
      <c r="K12" s="27">
        <v>3850</v>
      </c>
      <c r="L12" s="28">
        <v>0</v>
      </c>
      <c r="M12" s="65">
        <f t="shared" si="4"/>
        <v>3850</v>
      </c>
    </row>
    <row r="13" spans="1:13" ht="14.25" customHeight="1" hidden="1">
      <c r="A13" s="70" t="s">
        <v>18</v>
      </c>
      <c r="B13" s="64">
        <v>5176</v>
      </c>
      <c r="C13" s="85"/>
      <c r="D13" s="28">
        <v>0</v>
      </c>
      <c r="E13" s="65">
        <f t="shared" si="0"/>
        <v>5176</v>
      </c>
      <c r="F13" s="68">
        <v>10050.76</v>
      </c>
      <c r="G13" s="69"/>
      <c r="H13" s="65">
        <f t="shared" si="1"/>
        <v>10050.76</v>
      </c>
      <c r="I13" s="12">
        <f t="shared" si="2"/>
        <v>4874.76</v>
      </c>
      <c r="J13" s="13">
        <f t="shared" si="3"/>
        <v>1.9418006182380216</v>
      </c>
      <c r="K13" s="27">
        <v>10470</v>
      </c>
      <c r="L13" s="28">
        <v>0</v>
      </c>
      <c r="M13" s="65">
        <f t="shared" si="4"/>
        <v>10470</v>
      </c>
    </row>
    <row r="14" spans="1:13" ht="21.75" customHeight="1" hidden="1">
      <c r="A14" s="70" t="s">
        <v>19</v>
      </c>
      <c r="B14" s="64">
        <v>0</v>
      </c>
      <c r="C14" s="85"/>
      <c r="D14" s="28">
        <v>0</v>
      </c>
      <c r="E14" s="65">
        <f t="shared" si="0"/>
        <v>0</v>
      </c>
      <c r="F14" s="68">
        <v>0</v>
      </c>
      <c r="G14" s="69"/>
      <c r="H14" s="65">
        <f t="shared" si="1"/>
        <v>0</v>
      </c>
      <c r="I14" s="12">
        <f t="shared" si="2"/>
        <v>0</v>
      </c>
      <c r="J14" s="13"/>
      <c r="K14" s="27"/>
      <c r="L14" s="28"/>
      <c r="M14" s="65">
        <f t="shared" si="4"/>
        <v>0</v>
      </c>
    </row>
    <row r="15" spans="1:13" ht="14.25" customHeight="1" hidden="1" thickBot="1">
      <c r="A15" s="71" t="s">
        <v>20</v>
      </c>
      <c r="B15" s="72">
        <v>10549</v>
      </c>
      <c r="C15" s="113"/>
      <c r="D15" s="73">
        <v>0</v>
      </c>
      <c r="E15" s="74">
        <f t="shared" si="0"/>
        <v>10549</v>
      </c>
      <c r="F15" s="75">
        <v>29327.8</v>
      </c>
      <c r="G15" s="73"/>
      <c r="H15" s="74">
        <f t="shared" si="1"/>
        <v>29327.8</v>
      </c>
      <c r="I15" s="14">
        <f t="shared" si="2"/>
        <v>18778.8</v>
      </c>
      <c r="J15" s="15"/>
      <c r="K15" s="76">
        <v>29051</v>
      </c>
      <c r="L15" s="73"/>
      <c r="M15" s="65">
        <f t="shared" si="4"/>
        <v>29051</v>
      </c>
    </row>
    <row r="16" spans="1:13" ht="14.25" customHeight="1" hidden="1" thickBot="1">
      <c r="A16" s="16" t="s">
        <v>21</v>
      </c>
      <c r="B16" s="17">
        <f aca="true" t="shared" si="5" ref="B16:H16">SUM(B7+B8+B9+B10+B11+B13+B15)</f>
        <v>583138</v>
      </c>
      <c r="C16" s="114"/>
      <c r="D16" s="18">
        <f t="shared" si="5"/>
        <v>3874</v>
      </c>
      <c r="E16" s="19">
        <f t="shared" si="5"/>
        <v>587012</v>
      </c>
      <c r="F16" s="33">
        <f t="shared" si="5"/>
        <v>694161.49</v>
      </c>
      <c r="G16" s="18">
        <f t="shared" si="5"/>
        <v>3551.4</v>
      </c>
      <c r="H16" s="18">
        <f t="shared" si="5"/>
        <v>697712.89</v>
      </c>
      <c r="I16" s="20">
        <f t="shared" si="2"/>
        <v>110700.89000000001</v>
      </c>
      <c r="J16" s="22">
        <f>+H16/E16</f>
        <v>1.1885836916451453</v>
      </c>
      <c r="K16" s="42">
        <f>SUM(K7+K8+K9+K10+K11+K13+K15)</f>
        <v>651445</v>
      </c>
      <c r="L16" s="18">
        <f>SUM(L7+L8+L9+L10+L11+L13+L15)</f>
        <v>93048</v>
      </c>
      <c r="M16" s="43">
        <f>SUM(M7+M8+M9+M10+M11+M13+M15)</f>
        <v>744493</v>
      </c>
    </row>
    <row r="17" spans="1:13" ht="14.25" customHeight="1" hidden="1">
      <c r="A17" s="58" t="s">
        <v>22</v>
      </c>
      <c r="B17" s="59">
        <v>200698</v>
      </c>
      <c r="C17" s="112"/>
      <c r="D17" s="26">
        <v>439</v>
      </c>
      <c r="E17" s="60">
        <f aca="true" t="shared" si="6" ref="E17:E34">SUM(B17:D17)</f>
        <v>201137</v>
      </c>
      <c r="F17" s="77">
        <v>170807.45</v>
      </c>
      <c r="G17" s="78">
        <v>343.35</v>
      </c>
      <c r="H17" s="60">
        <f aca="true" t="shared" si="7" ref="H17:H34">SUM(F17:G17)</f>
        <v>171150.80000000002</v>
      </c>
      <c r="I17" s="10">
        <f t="shared" si="2"/>
        <v>-29986.199999999983</v>
      </c>
      <c r="J17" s="23">
        <f>+H17/E17</f>
        <v>0.8509165394730955</v>
      </c>
      <c r="K17" s="36">
        <v>170200</v>
      </c>
      <c r="L17" s="26">
        <v>310</v>
      </c>
      <c r="M17" s="60">
        <f aca="true" t="shared" si="8" ref="M17:M34">+K17+L17</f>
        <v>170510</v>
      </c>
    </row>
    <row r="18" spans="1:13" ht="16.5" customHeight="1" hidden="1">
      <c r="A18" s="70" t="s">
        <v>23</v>
      </c>
      <c r="B18" s="59">
        <v>35223</v>
      </c>
      <c r="C18" s="112"/>
      <c r="D18" s="26">
        <v>58</v>
      </c>
      <c r="E18" s="65">
        <f t="shared" si="6"/>
        <v>35281</v>
      </c>
      <c r="F18" s="79">
        <v>-1048</v>
      </c>
      <c r="G18" s="26">
        <v>2</v>
      </c>
      <c r="H18" s="65">
        <f t="shared" si="7"/>
        <v>-1046</v>
      </c>
      <c r="I18" s="12">
        <f t="shared" si="2"/>
        <v>-36327</v>
      </c>
      <c r="J18" s="13">
        <f>+H18/E18</f>
        <v>-0.029647685723193786</v>
      </c>
      <c r="K18" s="36">
        <v>2078</v>
      </c>
      <c r="L18" s="26">
        <v>2</v>
      </c>
      <c r="M18" s="60">
        <f t="shared" si="8"/>
        <v>2080</v>
      </c>
    </row>
    <row r="19" spans="1:13" ht="14.25" customHeight="1" hidden="1">
      <c r="A19" s="63" t="s">
        <v>24</v>
      </c>
      <c r="B19" s="64">
        <v>29284</v>
      </c>
      <c r="C19" s="85"/>
      <c r="D19" s="28">
        <v>653</v>
      </c>
      <c r="E19" s="65">
        <f t="shared" si="6"/>
        <v>29937</v>
      </c>
      <c r="F19" s="80">
        <v>26536.39</v>
      </c>
      <c r="G19" s="28">
        <v>555.69</v>
      </c>
      <c r="H19" s="65">
        <f t="shared" si="7"/>
        <v>27092.079999999998</v>
      </c>
      <c r="I19" s="12">
        <f t="shared" si="2"/>
        <v>-2844.920000000002</v>
      </c>
      <c r="J19" s="13">
        <f>+H19/E19</f>
        <v>0.9049697698500183</v>
      </c>
      <c r="K19" s="64">
        <v>24754</v>
      </c>
      <c r="L19" s="28">
        <v>578</v>
      </c>
      <c r="M19" s="60">
        <f t="shared" si="8"/>
        <v>25332</v>
      </c>
    </row>
    <row r="20" spans="1:13" ht="14.25" customHeight="1" hidden="1">
      <c r="A20" s="70" t="s">
        <v>25</v>
      </c>
      <c r="B20" s="64">
        <v>408</v>
      </c>
      <c r="C20" s="85"/>
      <c r="D20" s="28">
        <v>0</v>
      </c>
      <c r="E20" s="65">
        <f t="shared" si="6"/>
        <v>408</v>
      </c>
      <c r="F20" s="68">
        <v>361.91</v>
      </c>
      <c r="G20" s="69"/>
      <c r="H20" s="65">
        <f t="shared" si="7"/>
        <v>361.91</v>
      </c>
      <c r="I20" s="12">
        <f t="shared" si="2"/>
        <v>-46.089999999999975</v>
      </c>
      <c r="J20" s="13"/>
      <c r="K20" s="27">
        <v>400</v>
      </c>
      <c r="L20" s="28">
        <v>0</v>
      </c>
      <c r="M20" s="60">
        <f t="shared" si="8"/>
        <v>400</v>
      </c>
    </row>
    <row r="21" spans="1:13" ht="14.25" customHeight="1" hidden="1">
      <c r="A21" s="63" t="s">
        <v>26</v>
      </c>
      <c r="B21" s="64">
        <v>60941</v>
      </c>
      <c r="C21" s="85"/>
      <c r="D21" s="28">
        <v>1201</v>
      </c>
      <c r="E21" s="65">
        <f t="shared" si="6"/>
        <v>62142</v>
      </c>
      <c r="F21" s="68">
        <v>69803.48</v>
      </c>
      <c r="G21" s="69">
        <v>1372.58</v>
      </c>
      <c r="H21" s="65">
        <f t="shared" si="7"/>
        <v>71176.06</v>
      </c>
      <c r="I21" s="12">
        <f t="shared" si="2"/>
        <v>9034.059999999998</v>
      </c>
      <c r="J21" s="13">
        <f aca="true" t="shared" si="9" ref="J21:J33">+H21/E21</f>
        <v>1.1453776833703453</v>
      </c>
      <c r="K21" s="27">
        <v>0</v>
      </c>
      <c r="L21" s="28">
        <v>75000</v>
      </c>
      <c r="M21" s="60">
        <f t="shared" si="8"/>
        <v>75000</v>
      </c>
    </row>
    <row r="22" spans="1:13" ht="14.25" customHeight="1" hidden="1">
      <c r="A22" s="63" t="s">
        <v>27</v>
      </c>
      <c r="B22" s="27">
        <v>66204</v>
      </c>
      <c r="C22" s="68"/>
      <c r="D22" s="28">
        <v>727</v>
      </c>
      <c r="E22" s="65">
        <f t="shared" si="6"/>
        <v>66931</v>
      </c>
      <c r="F22" s="68">
        <f>15033.96+657.92+30.49+79040.47</f>
        <v>94762.84</v>
      </c>
      <c r="G22" s="69">
        <f>16.74+0.19+0.19+362.81</f>
        <v>379.93</v>
      </c>
      <c r="H22" s="65">
        <f t="shared" si="7"/>
        <v>95142.76999999999</v>
      </c>
      <c r="I22" s="12">
        <f t="shared" si="2"/>
        <v>28211.76999999999</v>
      </c>
      <c r="J22" s="13">
        <f t="shared" si="9"/>
        <v>1.42150528155862</v>
      </c>
      <c r="K22" s="41">
        <f>118091-L22</f>
        <v>117681</v>
      </c>
      <c r="L22" s="28">
        <v>410</v>
      </c>
      <c r="M22" s="81">
        <f t="shared" si="8"/>
        <v>118091</v>
      </c>
    </row>
    <row r="23" spans="1:13" ht="14.25" customHeight="1" hidden="1">
      <c r="A23" s="70" t="s">
        <v>28</v>
      </c>
      <c r="B23" s="64">
        <v>8952</v>
      </c>
      <c r="C23" s="85"/>
      <c r="D23" s="28">
        <v>15</v>
      </c>
      <c r="E23" s="65">
        <f t="shared" si="6"/>
        <v>8967</v>
      </c>
      <c r="F23" s="68">
        <v>15033.96</v>
      </c>
      <c r="G23" s="69">
        <v>16.74</v>
      </c>
      <c r="H23" s="65">
        <f t="shared" si="7"/>
        <v>15050.699999999999</v>
      </c>
      <c r="I23" s="12">
        <f t="shared" si="2"/>
        <v>6083.699999999999</v>
      </c>
      <c r="J23" s="13">
        <f t="shared" si="9"/>
        <v>1.678454332552693</v>
      </c>
      <c r="K23" s="82">
        <v>12481</v>
      </c>
      <c r="L23" s="28">
        <v>19</v>
      </c>
      <c r="M23" s="60">
        <f t="shared" si="8"/>
        <v>12500</v>
      </c>
    </row>
    <row r="24" spans="1:13" ht="14.25" customHeight="1" hidden="1">
      <c r="A24" s="63" t="s">
        <v>29</v>
      </c>
      <c r="B24" s="64">
        <v>56329</v>
      </c>
      <c r="C24" s="85"/>
      <c r="D24" s="28">
        <v>467</v>
      </c>
      <c r="E24" s="65">
        <f t="shared" si="6"/>
        <v>56796</v>
      </c>
      <c r="F24" s="68">
        <v>79040.47</v>
      </c>
      <c r="G24" s="69">
        <v>362.81</v>
      </c>
      <c r="H24" s="65">
        <f t="shared" si="7"/>
        <v>79403.28</v>
      </c>
      <c r="I24" s="12">
        <f t="shared" si="2"/>
        <v>22607.28</v>
      </c>
      <c r="J24" s="13">
        <f t="shared" si="9"/>
        <v>1.3980435241918445</v>
      </c>
      <c r="K24" s="83">
        <f>104790-L24</f>
        <v>104380</v>
      </c>
      <c r="L24" s="28">
        <v>410</v>
      </c>
      <c r="M24" s="81">
        <f t="shared" si="8"/>
        <v>104790</v>
      </c>
    </row>
    <row r="25" spans="1:13" ht="14.25" customHeight="1" hidden="1">
      <c r="A25" s="84" t="s">
        <v>30</v>
      </c>
      <c r="B25" s="27">
        <v>356871</v>
      </c>
      <c r="C25" s="68"/>
      <c r="D25" s="28">
        <v>643</v>
      </c>
      <c r="E25" s="65">
        <f t="shared" si="6"/>
        <v>357514</v>
      </c>
      <c r="F25" s="85">
        <f>230366.12+80512.34+4654.72</f>
        <v>315533.17999999993</v>
      </c>
      <c r="G25" s="69">
        <f>463.66+157.32+8.62</f>
        <v>629.6</v>
      </c>
      <c r="H25" s="65">
        <f t="shared" si="7"/>
        <v>316162.7799999999</v>
      </c>
      <c r="I25" s="12">
        <f t="shared" si="2"/>
        <v>-41351.22000000009</v>
      </c>
      <c r="J25" s="13">
        <f t="shared" si="9"/>
        <v>0.8843367812169591</v>
      </c>
      <c r="K25" s="86">
        <f>334964-L25</f>
        <v>333846</v>
      </c>
      <c r="L25" s="28">
        <v>1118</v>
      </c>
      <c r="M25" s="81">
        <f t="shared" si="8"/>
        <v>334964</v>
      </c>
    </row>
    <row r="26" spans="1:13" ht="14.25" customHeight="1" hidden="1">
      <c r="A26" s="70" t="s">
        <v>31</v>
      </c>
      <c r="B26" s="64">
        <v>260957</v>
      </c>
      <c r="C26" s="85"/>
      <c r="D26" s="28">
        <v>471</v>
      </c>
      <c r="E26" s="65">
        <f t="shared" si="6"/>
        <v>261428</v>
      </c>
      <c r="F26" s="85">
        <v>230366.12</v>
      </c>
      <c r="G26" s="69">
        <v>463.66</v>
      </c>
      <c r="H26" s="65">
        <f t="shared" si="7"/>
        <v>230829.78</v>
      </c>
      <c r="I26" s="12">
        <f t="shared" si="2"/>
        <v>-30598.22</v>
      </c>
      <c r="J26" s="13">
        <f t="shared" si="9"/>
        <v>0.882957372584421</v>
      </c>
      <c r="K26" s="87">
        <f>244261-L26</f>
        <v>243446</v>
      </c>
      <c r="L26" s="69">
        <v>815</v>
      </c>
      <c r="M26" s="81">
        <f t="shared" si="8"/>
        <v>244261</v>
      </c>
    </row>
    <row r="27" spans="1:13" ht="14.25" customHeight="1" hidden="1">
      <c r="A27" s="84" t="s">
        <v>32</v>
      </c>
      <c r="B27" s="64">
        <v>255610</v>
      </c>
      <c r="C27" s="85"/>
      <c r="D27" s="28">
        <v>467</v>
      </c>
      <c r="E27" s="65">
        <f t="shared" si="6"/>
        <v>256077</v>
      </c>
      <c r="F27" s="80"/>
      <c r="G27" s="28"/>
      <c r="H27" s="65">
        <f t="shared" si="7"/>
        <v>0</v>
      </c>
      <c r="I27" s="12">
        <f t="shared" si="2"/>
        <v>-256077</v>
      </c>
      <c r="J27" s="13">
        <f t="shared" si="9"/>
        <v>0</v>
      </c>
      <c r="K27" s="86">
        <f>236131-L27</f>
        <v>235316</v>
      </c>
      <c r="L27" s="28">
        <v>815</v>
      </c>
      <c r="M27" s="81">
        <f t="shared" si="8"/>
        <v>236131</v>
      </c>
    </row>
    <row r="28" spans="1:13" ht="14.25" customHeight="1" hidden="1">
      <c r="A28" s="70" t="s">
        <v>33</v>
      </c>
      <c r="B28" s="64">
        <v>5267</v>
      </c>
      <c r="C28" s="85"/>
      <c r="D28" s="28">
        <v>5</v>
      </c>
      <c r="E28" s="65">
        <f t="shared" si="6"/>
        <v>5272</v>
      </c>
      <c r="F28" s="80"/>
      <c r="G28" s="28"/>
      <c r="H28" s="65">
        <f t="shared" si="7"/>
        <v>0</v>
      </c>
      <c r="I28" s="12">
        <f t="shared" si="2"/>
        <v>-5272</v>
      </c>
      <c r="J28" s="13">
        <f t="shared" si="9"/>
        <v>0</v>
      </c>
      <c r="K28" s="64">
        <v>4375</v>
      </c>
      <c r="L28" s="28">
        <v>0</v>
      </c>
      <c r="M28" s="60">
        <f t="shared" si="8"/>
        <v>4375</v>
      </c>
    </row>
    <row r="29" spans="1:13" ht="14.25" customHeight="1" hidden="1">
      <c r="A29" s="70" t="s">
        <v>34</v>
      </c>
      <c r="B29" s="64">
        <v>95913</v>
      </c>
      <c r="C29" s="85"/>
      <c r="D29" s="28">
        <v>171</v>
      </c>
      <c r="E29" s="65">
        <f t="shared" si="6"/>
        <v>96084</v>
      </c>
      <c r="F29" s="85">
        <f>80512.34+4654.72</f>
        <v>85167.06</v>
      </c>
      <c r="G29" s="69">
        <f>157.32+8.62</f>
        <v>165.94</v>
      </c>
      <c r="H29" s="65">
        <f t="shared" si="7"/>
        <v>85333</v>
      </c>
      <c r="I29" s="12">
        <f t="shared" si="2"/>
        <v>-10751</v>
      </c>
      <c r="J29" s="13">
        <f t="shared" si="9"/>
        <v>0.8881083218850173</v>
      </c>
      <c r="K29" s="86">
        <f>90703-L29</f>
        <v>90400</v>
      </c>
      <c r="L29" s="28">
        <v>303</v>
      </c>
      <c r="M29" s="81">
        <f t="shared" si="8"/>
        <v>90703</v>
      </c>
    </row>
    <row r="30" spans="1:13" ht="14.25" customHeight="1" hidden="1">
      <c r="A30" s="84" t="s">
        <v>35</v>
      </c>
      <c r="B30" s="64">
        <v>0</v>
      </c>
      <c r="C30" s="85"/>
      <c r="D30" s="28">
        <v>0</v>
      </c>
      <c r="E30" s="65">
        <f t="shared" si="6"/>
        <v>0</v>
      </c>
      <c r="F30" s="68">
        <v>0</v>
      </c>
      <c r="G30" s="69"/>
      <c r="H30" s="65">
        <f t="shared" si="7"/>
        <v>0</v>
      </c>
      <c r="I30" s="12">
        <f t="shared" si="2"/>
        <v>0</v>
      </c>
      <c r="J30" s="13" t="e">
        <f t="shared" si="9"/>
        <v>#DIV/0!</v>
      </c>
      <c r="K30" s="27">
        <v>0</v>
      </c>
      <c r="L30" s="28">
        <v>0</v>
      </c>
      <c r="M30" s="60">
        <f t="shared" si="8"/>
        <v>0</v>
      </c>
    </row>
    <row r="31" spans="1:13" ht="14.25" customHeight="1" hidden="1">
      <c r="A31" s="84" t="s">
        <v>36</v>
      </c>
      <c r="B31" s="64">
        <v>6026</v>
      </c>
      <c r="C31" s="85"/>
      <c r="D31" s="28">
        <v>1</v>
      </c>
      <c r="E31" s="65">
        <f t="shared" si="6"/>
        <v>6027</v>
      </c>
      <c r="F31" s="68">
        <f>8.82+5155.45+478.54+320.4+3132.21</f>
        <v>9095.419999999998</v>
      </c>
      <c r="G31" s="69">
        <v>0.98</v>
      </c>
      <c r="H31" s="65">
        <f t="shared" si="7"/>
        <v>9096.399999999998</v>
      </c>
      <c r="I31" s="12">
        <f t="shared" si="2"/>
        <v>3069.399999999998</v>
      </c>
      <c r="J31" s="13">
        <f t="shared" si="9"/>
        <v>1.5092749294839884</v>
      </c>
      <c r="K31" s="27">
        <v>5669</v>
      </c>
      <c r="L31" s="28">
        <v>1</v>
      </c>
      <c r="M31" s="60">
        <f t="shared" si="8"/>
        <v>5670</v>
      </c>
    </row>
    <row r="32" spans="1:13" ht="14.25" customHeight="1" hidden="1">
      <c r="A32" s="70" t="s">
        <v>37</v>
      </c>
      <c r="B32" s="64">
        <v>6190</v>
      </c>
      <c r="C32" s="85"/>
      <c r="D32" s="28">
        <v>0</v>
      </c>
      <c r="E32" s="65">
        <f t="shared" si="6"/>
        <v>6190</v>
      </c>
      <c r="F32" s="68">
        <f>2135.3+9983.59</f>
        <v>12118.89</v>
      </c>
      <c r="G32" s="69">
        <v>1.24</v>
      </c>
      <c r="H32" s="65">
        <f t="shared" si="7"/>
        <v>12120.13</v>
      </c>
      <c r="I32" s="12">
        <f t="shared" si="2"/>
        <v>5930.129999999999</v>
      </c>
      <c r="J32" s="13">
        <f t="shared" si="9"/>
        <v>1.9580177705977382</v>
      </c>
      <c r="K32" s="82">
        <v>12726</v>
      </c>
      <c r="L32" s="28">
        <v>0</v>
      </c>
      <c r="M32" s="60">
        <f t="shared" si="8"/>
        <v>12726</v>
      </c>
    </row>
    <row r="33" spans="1:13" ht="18" customHeight="1" hidden="1">
      <c r="A33" s="70" t="s">
        <v>38</v>
      </c>
      <c r="B33" s="64">
        <v>1010</v>
      </c>
      <c r="C33" s="85"/>
      <c r="D33" s="28">
        <v>0</v>
      </c>
      <c r="E33" s="65">
        <f t="shared" si="6"/>
        <v>1010</v>
      </c>
      <c r="F33" s="68">
        <v>2135.3</v>
      </c>
      <c r="G33" s="28"/>
      <c r="H33" s="65">
        <f t="shared" si="7"/>
        <v>2135.3</v>
      </c>
      <c r="I33" s="12">
        <f t="shared" si="2"/>
        <v>1125.3000000000002</v>
      </c>
      <c r="J33" s="13">
        <f t="shared" si="9"/>
        <v>2.1141584158415845</v>
      </c>
      <c r="K33" s="82">
        <v>2426</v>
      </c>
      <c r="L33" s="28">
        <v>0</v>
      </c>
      <c r="M33" s="60">
        <f t="shared" si="8"/>
        <v>2426</v>
      </c>
    </row>
    <row r="34" spans="1:13" ht="14.25" customHeight="1" hidden="1" thickBot="1">
      <c r="A34" s="88" t="s">
        <v>39</v>
      </c>
      <c r="B34" s="72">
        <v>0</v>
      </c>
      <c r="C34" s="113"/>
      <c r="D34" s="73">
        <v>0</v>
      </c>
      <c r="E34" s="65">
        <f t="shared" si="6"/>
        <v>0</v>
      </c>
      <c r="F34" s="89">
        <v>0</v>
      </c>
      <c r="G34" s="73"/>
      <c r="H34" s="65">
        <f t="shared" si="7"/>
        <v>0</v>
      </c>
      <c r="I34" s="14">
        <f t="shared" si="2"/>
        <v>0</v>
      </c>
      <c r="J34" s="15"/>
      <c r="K34" s="29">
        <v>0</v>
      </c>
      <c r="L34" s="90">
        <v>1800</v>
      </c>
      <c r="M34" s="60">
        <f t="shared" si="8"/>
        <v>1800</v>
      </c>
    </row>
    <row r="35" spans="1:13" ht="14.25" customHeight="1" hidden="1" thickBot="1">
      <c r="A35" s="16" t="s">
        <v>40</v>
      </c>
      <c r="B35" s="21">
        <f aca="true" t="shared" si="10" ref="B35:H35">SUM(B17+B19+B20+B21+B22+B25+B30+B31+B32+B34)</f>
        <v>726622</v>
      </c>
      <c r="C35" s="114"/>
      <c r="D35" s="18">
        <f t="shared" si="10"/>
        <v>3664</v>
      </c>
      <c r="E35" s="19">
        <f t="shared" si="10"/>
        <v>730286</v>
      </c>
      <c r="F35" s="30">
        <f t="shared" si="10"/>
        <v>699019.56</v>
      </c>
      <c r="G35" s="18">
        <f t="shared" si="10"/>
        <v>3283.3699999999994</v>
      </c>
      <c r="H35" s="18">
        <f t="shared" si="10"/>
        <v>702302.9299999999</v>
      </c>
      <c r="I35" s="20">
        <f t="shared" si="2"/>
        <v>-27983.070000000065</v>
      </c>
      <c r="J35" s="22">
        <f>+H35/E35</f>
        <v>0.9616820396392646</v>
      </c>
      <c r="K35" s="42">
        <f>SUM(K17+K19+K20+K21+K22+K25+K30+K31+K32+K34)</f>
        <v>665276</v>
      </c>
      <c r="L35" s="43">
        <f>SUM(L17+L19+L20+L21+L22+L25+L30+L31+L32+L34)</f>
        <v>79217</v>
      </c>
      <c r="M35" s="43">
        <f>SUM(M17+M19+M20+M21+M22+M25+M30+M31+M32+M34)</f>
        <v>744493</v>
      </c>
    </row>
    <row r="36" spans="1:13" ht="14.25" customHeight="1" hidden="1" thickBot="1">
      <c r="A36" s="16" t="s">
        <v>41</v>
      </c>
      <c r="B36" s="195">
        <f>+E16-E35</f>
        <v>-143274</v>
      </c>
      <c r="C36" s="196"/>
      <c r="D36" s="210"/>
      <c r="E36" s="211"/>
      <c r="F36" s="196">
        <f>+H16-H35</f>
        <v>-4590.039999999921</v>
      </c>
      <c r="G36" s="210"/>
      <c r="H36" s="211"/>
      <c r="I36" s="34"/>
      <c r="J36" s="35"/>
      <c r="K36" s="195">
        <f>+M16-M35</f>
        <v>0</v>
      </c>
      <c r="L36" s="210"/>
      <c r="M36" s="211"/>
    </row>
    <row r="37" spans="1:13" ht="20.25" customHeight="1" hidden="1" thickBot="1">
      <c r="A37" s="24" t="s">
        <v>42</v>
      </c>
      <c r="B37" s="195">
        <v>-104522.55</v>
      </c>
      <c r="C37" s="196"/>
      <c r="D37" s="197"/>
      <c r="E37" s="198"/>
      <c r="F37" s="196">
        <v>-224395</v>
      </c>
      <c r="G37" s="197"/>
      <c r="H37" s="198"/>
      <c r="I37" s="91"/>
      <c r="J37" s="91"/>
      <c r="K37" s="92" t="s">
        <v>117</v>
      </c>
      <c r="L37" s="91"/>
      <c r="M37" s="91"/>
    </row>
    <row r="38" spans="1:13" ht="15.75" customHeight="1" hidden="1" thickBot="1">
      <c r="A38" s="25" t="s">
        <v>43</v>
      </c>
      <c r="B38" s="195">
        <f>SUM(B36:E37)</f>
        <v>-247796.55</v>
      </c>
      <c r="C38" s="196"/>
      <c r="D38" s="197"/>
      <c r="E38" s="198"/>
      <c r="F38" s="196">
        <f>SUM(F36:H37)</f>
        <v>-228985.03999999992</v>
      </c>
      <c r="G38" s="197"/>
      <c r="H38" s="198"/>
      <c r="I38" s="91"/>
      <c r="J38" s="91"/>
      <c r="K38" s="91"/>
      <c r="L38" s="91"/>
      <c r="M38" s="91"/>
    </row>
    <row r="39" spans="1:13" ht="15.75" customHeight="1">
      <c r="A39"/>
      <c r="B39"/>
      <c r="C39" s="115"/>
      <c r="D39"/>
      <c r="E39"/>
      <c r="F39"/>
      <c r="G39"/>
      <c r="H39"/>
      <c r="I39"/>
      <c r="J39"/>
      <c r="K39" s="130" t="s">
        <v>116</v>
      </c>
      <c r="L39"/>
      <c r="M39"/>
    </row>
    <row r="40" spans="1:13" ht="20.25" customHeight="1" thickBot="1">
      <c r="A40" s="103" t="s">
        <v>133</v>
      </c>
      <c r="B40" s="91"/>
      <c r="C40" s="116"/>
      <c r="D40" s="91"/>
      <c r="E40" s="91"/>
      <c r="F40" s="91"/>
      <c r="G40" s="91"/>
      <c r="H40" s="91"/>
      <c r="I40" s="91"/>
      <c r="J40" s="91"/>
      <c r="K40" s="91"/>
      <c r="L40" s="91"/>
      <c r="M40" s="148" t="s">
        <v>178</v>
      </c>
    </row>
    <row r="41" spans="1:13" ht="76.5" customHeight="1">
      <c r="A41" s="199" t="s">
        <v>174</v>
      </c>
      <c r="B41" s="200"/>
      <c r="C41" s="201"/>
      <c r="D41" s="212" t="s">
        <v>54</v>
      </c>
      <c r="E41" s="212"/>
      <c r="F41" s="212" t="s">
        <v>46</v>
      </c>
      <c r="G41" s="212"/>
      <c r="H41" s="212" t="s">
        <v>47</v>
      </c>
      <c r="I41" s="212"/>
      <c r="J41" s="212" t="s">
        <v>45</v>
      </c>
      <c r="K41" s="212"/>
      <c r="L41" s="212" t="s">
        <v>48</v>
      </c>
      <c r="M41" s="217"/>
    </row>
    <row r="42" spans="1:13" ht="43.5" customHeight="1" thickBot="1">
      <c r="A42" s="97" t="s">
        <v>55</v>
      </c>
      <c r="B42" s="98" t="s">
        <v>56</v>
      </c>
      <c r="C42" s="120" t="s">
        <v>145</v>
      </c>
      <c r="D42" s="173" t="s">
        <v>171</v>
      </c>
      <c r="E42" s="173"/>
      <c r="F42" s="173" t="s">
        <v>49</v>
      </c>
      <c r="G42" s="173"/>
      <c r="H42" s="173" t="s">
        <v>50</v>
      </c>
      <c r="I42" s="173"/>
      <c r="J42" s="173" t="s">
        <v>51</v>
      </c>
      <c r="K42" s="173"/>
      <c r="L42" s="173" t="s">
        <v>172</v>
      </c>
      <c r="M42" s="174"/>
    </row>
    <row r="43" spans="1:13" ht="25.5" customHeight="1">
      <c r="A43" s="241" t="s">
        <v>57</v>
      </c>
      <c r="B43" s="95"/>
      <c r="C43" s="121" t="s">
        <v>147</v>
      </c>
      <c r="D43" s="179"/>
      <c r="E43" s="179"/>
      <c r="F43" s="179">
        <v>380000</v>
      </c>
      <c r="G43" s="179"/>
      <c r="H43" s="179"/>
      <c r="I43" s="179"/>
      <c r="J43" s="179"/>
      <c r="K43" s="179"/>
      <c r="L43" s="179">
        <f>+D43+F43+H43+J43</f>
        <v>380000</v>
      </c>
      <c r="M43" s="180"/>
    </row>
    <row r="44" spans="1:13" ht="25.5" customHeight="1">
      <c r="A44" s="242"/>
      <c r="B44" s="95"/>
      <c r="C44" s="131" t="s">
        <v>146</v>
      </c>
      <c r="D44" s="194"/>
      <c r="E44" s="194"/>
      <c r="F44" s="194">
        <v>600000</v>
      </c>
      <c r="G44" s="194"/>
      <c r="H44" s="194"/>
      <c r="I44" s="194"/>
      <c r="J44" s="194"/>
      <c r="K44" s="194"/>
      <c r="L44" s="194">
        <f aca="true" t="shared" si="11" ref="L44:L68">+D44+F44+H44+J44</f>
        <v>600000</v>
      </c>
      <c r="M44" s="213"/>
    </row>
    <row r="45" spans="1:13" ht="25.5" customHeight="1">
      <c r="A45" s="230" t="s">
        <v>58</v>
      </c>
      <c r="B45" s="95"/>
      <c r="C45" s="121" t="s">
        <v>147</v>
      </c>
      <c r="D45" s="179"/>
      <c r="E45" s="179"/>
      <c r="F45" s="179">
        <v>320000</v>
      </c>
      <c r="G45" s="179"/>
      <c r="H45" s="179"/>
      <c r="I45" s="179"/>
      <c r="J45" s="179"/>
      <c r="K45" s="179"/>
      <c r="L45" s="179">
        <f t="shared" si="11"/>
        <v>320000</v>
      </c>
      <c r="M45" s="180"/>
    </row>
    <row r="46" spans="1:13" ht="25.5" customHeight="1">
      <c r="A46" s="231"/>
      <c r="B46" s="95"/>
      <c r="C46" s="131" t="s">
        <v>146</v>
      </c>
      <c r="D46" s="194"/>
      <c r="E46" s="194"/>
      <c r="F46" s="194">
        <v>0</v>
      </c>
      <c r="G46" s="194"/>
      <c r="H46" s="194"/>
      <c r="I46" s="194"/>
      <c r="J46" s="194"/>
      <c r="K46" s="194"/>
      <c r="L46" s="194">
        <f t="shared" si="11"/>
        <v>0</v>
      </c>
      <c r="M46" s="213"/>
    </row>
    <row r="47" spans="1:13" ht="25.5" customHeight="1">
      <c r="A47" s="242" t="s">
        <v>59</v>
      </c>
      <c r="B47" s="95"/>
      <c r="C47" s="121" t="s">
        <v>147</v>
      </c>
      <c r="D47" s="179"/>
      <c r="E47" s="179"/>
      <c r="F47" s="179">
        <v>150000</v>
      </c>
      <c r="G47" s="179"/>
      <c r="H47" s="179"/>
      <c r="I47" s="179"/>
      <c r="J47" s="179"/>
      <c r="K47" s="179"/>
      <c r="L47" s="179">
        <f t="shared" si="11"/>
        <v>150000</v>
      </c>
      <c r="M47" s="180"/>
    </row>
    <row r="48" spans="1:13" ht="25.5" customHeight="1">
      <c r="A48" s="231"/>
      <c r="B48" s="95"/>
      <c r="C48" s="131" t="s">
        <v>146</v>
      </c>
      <c r="D48" s="194"/>
      <c r="E48" s="194"/>
      <c r="F48" s="194">
        <v>0</v>
      </c>
      <c r="G48" s="194"/>
      <c r="H48" s="194"/>
      <c r="I48" s="194"/>
      <c r="J48" s="194"/>
      <c r="K48" s="194"/>
      <c r="L48" s="194">
        <f t="shared" si="11"/>
        <v>0</v>
      </c>
      <c r="M48" s="213"/>
    </row>
    <row r="49" spans="1:13" ht="25.5" customHeight="1">
      <c r="A49" s="242" t="s">
        <v>60</v>
      </c>
      <c r="B49" s="95"/>
      <c r="C49" s="121" t="s">
        <v>147</v>
      </c>
      <c r="D49" s="179"/>
      <c r="E49" s="179"/>
      <c r="F49" s="179">
        <v>250000</v>
      </c>
      <c r="G49" s="179"/>
      <c r="H49" s="179"/>
      <c r="I49" s="179"/>
      <c r="J49" s="179"/>
      <c r="K49" s="179"/>
      <c r="L49" s="179">
        <f t="shared" si="11"/>
        <v>250000</v>
      </c>
      <c r="M49" s="180"/>
    </row>
    <row r="50" spans="1:13" ht="25.5" customHeight="1">
      <c r="A50" s="231"/>
      <c r="B50" s="95"/>
      <c r="C50" s="131" t="s">
        <v>146</v>
      </c>
      <c r="D50" s="194"/>
      <c r="E50" s="194"/>
      <c r="F50" s="194">
        <v>0</v>
      </c>
      <c r="G50" s="194"/>
      <c r="H50" s="194"/>
      <c r="I50" s="194"/>
      <c r="J50" s="194"/>
      <c r="K50" s="194"/>
      <c r="L50" s="194">
        <f t="shared" si="11"/>
        <v>0</v>
      </c>
      <c r="M50" s="213"/>
    </row>
    <row r="51" spans="1:13" ht="25.5" customHeight="1">
      <c r="A51" s="242" t="s">
        <v>61</v>
      </c>
      <c r="B51" s="95"/>
      <c r="C51" s="121" t="s">
        <v>147</v>
      </c>
      <c r="D51" s="179"/>
      <c r="E51" s="179"/>
      <c r="F51" s="179">
        <v>280000</v>
      </c>
      <c r="G51" s="179"/>
      <c r="H51" s="179"/>
      <c r="I51" s="179"/>
      <c r="J51" s="179"/>
      <c r="K51" s="179"/>
      <c r="L51" s="179">
        <f t="shared" si="11"/>
        <v>280000</v>
      </c>
      <c r="M51" s="180"/>
    </row>
    <row r="52" spans="1:13" ht="25.5" customHeight="1">
      <c r="A52" s="231"/>
      <c r="B52" s="95"/>
      <c r="C52" s="131" t="s">
        <v>146</v>
      </c>
      <c r="D52" s="194"/>
      <c r="E52" s="194"/>
      <c r="F52" s="194">
        <v>0</v>
      </c>
      <c r="G52" s="194"/>
      <c r="H52" s="194"/>
      <c r="I52" s="194"/>
      <c r="J52" s="194"/>
      <c r="K52" s="194"/>
      <c r="L52" s="194">
        <f t="shared" si="11"/>
        <v>0</v>
      </c>
      <c r="M52" s="213"/>
    </row>
    <row r="53" spans="1:13" ht="25.5" customHeight="1">
      <c r="A53" s="242" t="s">
        <v>62</v>
      </c>
      <c r="B53" s="95"/>
      <c r="C53" s="121" t="s">
        <v>147</v>
      </c>
      <c r="D53" s="179"/>
      <c r="E53" s="179"/>
      <c r="F53" s="179">
        <v>900000</v>
      </c>
      <c r="G53" s="179"/>
      <c r="H53" s="179"/>
      <c r="I53" s="179"/>
      <c r="J53" s="179"/>
      <c r="K53" s="179"/>
      <c r="L53" s="179">
        <f t="shared" si="11"/>
        <v>900000</v>
      </c>
      <c r="M53" s="180"/>
    </row>
    <row r="54" spans="1:13" ht="25.5" customHeight="1">
      <c r="A54" s="231"/>
      <c r="B54" s="95"/>
      <c r="C54" s="131" t="s">
        <v>146</v>
      </c>
      <c r="D54" s="194"/>
      <c r="E54" s="194"/>
      <c r="F54" s="194">
        <v>0</v>
      </c>
      <c r="G54" s="194"/>
      <c r="H54" s="194"/>
      <c r="I54" s="194"/>
      <c r="J54" s="194"/>
      <c r="K54" s="194"/>
      <c r="L54" s="194">
        <f t="shared" si="11"/>
        <v>0</v>
      </c>
      <c r="M54" s="213"/>
    </row>
    <row r="55" spans="1:13" ht="25.5" customHeight="1">
      <c r="A55" s="242" t="s">
        <v>181</v>
      </c>
      <c r="B55" s="95"/>
      <c r="C55" s="121" t="s">
        <v>147</v>
      </c>
      <c r="D55" s="179"/>
      <c r="E55" s="179"/>
      <c r="F55" s="179">
        <v>800000</v>
      </c>
      <c r="G55" s="179"/>
      <c r="H55" s="179"/>
      <c r="I55" s="179"/>
      <c r="J55" s="179"/>
      <c r="K55" s="179"/>
      <c r="L55" s="179">
        <f t="shared" si="11"/>
        <v>800000</v>
      </c>
      <c r="M55" s="180"/>
    </row>
    <row r="56" spans="1:13" ht="25.5" customHeight="1">
      <c r="A56" s="231"/>
      <c r="B56" s="95"/>
      <c r="C56" s="131" t="s">
        <v>146</v>
      </c>
      <c r="D56" s="194"/>
      <c r="E56" s="194"/>
      <c r="F56" s="194">
        <v>150000</v>
      </c>
      <c r="G56" s="194"/>
      <c r="H56" s="194"/>
      <c r="I56" s="194"/>
      <c r="J56" s="194"/>
      <c r="K56" s="194"/>
      <c r="L56" s="194">
        <f t="shared" si="11"/>
        <v>150000</v>
      </c>
      <c r="M56" s="213"/>
    </row>
    <row r="57" spans="1:13" ht="25.5" customHeight="1">
      <c r="A57" s="242" t="s">
        <v>156</v>
      </c>
      <c r="B57" s="95"/>
      <c r="C57" s="121" t="s">
        <v>147</v>
      </c>
      <c r="D57" s="179"/>
      <c r="E57" s="179"/>
      <c r="F57" s="179">
        <v>900000</v>
      </c>
      <c r="G57" s="179"/>
      <c r="H57" s="179"/>
      <c r="I57" s="179"/>
      <c r="J57" s="179"/>
      <c r="K57" s="179"/>
      <c r="L57" s="179">
        <f t="shared" si="11"/>
        <v>900000</v>
      </c>
      <c r="M57" s="180"/>
    </row>
    <row r="58" spans="1:13" ht="25.5" customHeight="1">
      <c r="A58" s="231"/>
      <c r="B58" s="95"/>
      <c r="C58" s="131" t="s">
        <v>146</v>
      </c>
      <c r="D58" s="194"/>
      <c r="E58" s="194"/>
      <c r="F58" s="194">
        <v>0</v>
      </c>
      <c r="G58" s="194"/>
      <c r="H58" s="194"/>
      <c r="I58" s="194"/>
      <c r="J58" s="194"/>
      <c r="K58" s="194"/>
      <c r="L58" s="194">
        <f t="shared" si="11"/>
        <v>0</v>
      </c>
      <c r="M58" s="213"/>
    </row>
    <row r="59" spans="1:13" ht="25.5" customHeight="1">
      <c r="A59" s="242" t="s">
        <v>63</v>
      </c>
      <c r="B59" s="95"/>
      <c r="C59" s="121" t="s">
        <v>147</v>
      </c>
      <c r="D59" s="179"/>
      <c r="E59" s="179"/>
      <c r="F59" s="179">
        <v>1000000</v>
      </c>
      <c r="G59" s="179"/>
      <c r="H59" s="179"/>
      <c r="I59" s="179"/>
      <c r="J59" s="179"/>
      <c r="K59" s="179"/>
      <c r="L59" s="179">
        <f t="shared" si="11"/>
        <v>1000000</v>
      </c>
      <c r="M59" s="180"/>
    </row>
    <row r="60" spans="1:13" ht="25.5" customHeight="1">
      <c r="A60" s="231"/>
      <c r="B60" s="95"/>
      <c r="C60" s="131" t="s">
        <v>146</v>
      </c>
      <c r="D60" s="194"/>
      <c r="E60" s="194"/>
      <c r="F60" s="194">
        <v>0</v>
      </c>
      <c r="G60" s="194"/>
      <c r="H60" s="194"/>
      <c r="I60" s="194"/>
      <c r="J60" s="194"/>
      <c r="K60" s="194"/>
      <c r="L60" s="194">
        <f t="shared" si="11"/>
        <v>0</v>
      </c>
      <c r="M60" s="213"/>
    </row>
    <row r="61" spans="1:13" ht="25.5" customHeight="1">
      <c r="A61" s="94" t="s">
        <v>64</v>
      </c>
      <c r="B61" s="96" t="s">
        <v>65</v>
      </c>
      <c r="C61" s="121" t="s">
        <v>147</v>
      </c>
      <c r="D61" s="179"/>
      <c r="E61" s="179"/>
      <c r="F61" s="179">
        <v>1354000</v>
      </c>
      <c r="G61" s="179"/>
      <c r="H61" s="179"/>
      <c r="I61" s="179"/>
      <c r="J61" s="179"/>
      <c r="K61" s="179"/>
      <c r="L61" s="179">
        <f t="shared" si="11"/>
        <v>1354000</v>
      </c>
      <c r="M61" s="180"/>
    </row>
    <row r="62" spans="1:13" ht="25.5" customHeight="1">
      <c r="A62" s="94" t="s">
        <v>66</v>
      </c>
      <c r="B62" s="96" t="s">
        <v>67</v>
      </c>
      <c r="C62" s="121" t="s">
        <v>147</v>
      </c>
      <c r="D62" s="179"/>
      <c r="E62" s="179"/>
      <c r="F62" s="179">
        <v>500000</v>
      </c>
      <c r="G62" s="179"/>
      <c r="H62" s="179"/>
      <c r="I62" s="179"/>
      <c r="J62" s="179"/>
      <c r="K62" s="179"/>
      <c r="L62" s="179">
        <f t="shared" si="11"/>
        <v>500000</v>
      </c>
      <c r="M62" s="180"/>
    </row>
    <row r="63" spans="1:13" ht="25.5" customHeight="1">
      <c r="A63" s="94" t="s">
        <v>68</v>
      </c>
      <c r="B63" s="96" t="s">
        <v>69</v>
      </c>
      <c r="C63" s="121" t="s">
        <v>147</v>
      </c>
      <c r="D63" s="179"/>
      <c r="E63" s="179"/>
      <c r="F63" s="179">
        <v>525000</v>
      </c>
      <c r="G63" s="179"/>
      <c r="H63" s="179"/>
      <c r="I63" s="179"/>
      <c r="J63" s="179"/>
      <c r="K63" s="179"/>
      <c r="L63" s="179">
        <f t="shared" si="11"/>
        <v>525000</v>
      </c>
      <c r="M63" s="180"/>
    </row>
    <row r="64" spans="1:13" ht="25.5" customHeight="1">
      <c r="A64" s="94" t="s">
        <v>70</v>
      </c>
      <c r="B64" s="96" t="s">
        <v>71</v>
      </c>
      <c r="C64" s="121" t="s">
        <v>147</v>
      </c>
      <c r="D64" s="179"/>
      <c r="E64" s="179"/>
      <c r="F64" s="179">
        <v>263000</v>
      </c>
      <c r="G64" s="179"/>
      <c r="H64" s="179"/>
      <c r="I64" s="179"/>
      <c r="J64" s="179"/>
      <c r="K64" s="179"/>
      <c r="L64" s="179">
        <f t="shared" si="11"/>
        <v>263000</v>
      </c>
      <c r="M64" s="180"/>
    </row>
    <row r="65" spans="1:13" ht="25.5" customHeight="1">
      <c r="A65" s="94" t="s">
        <v>72</v>
      </c>
      <c r="B65" s="96" t="s">
        <v>73</v>
      </c>
      <c r="C65" s="121" t="s">
        <v>147</v>
      </c>
      <c r="D65" s="179"/>
      <c r="E65" s="179"/>
      <c r="F65" s="179">
        <v>10000</v>
      </c>
      <c r="G65" s="179"/>
      <c r="H65" s="179"/>
      <c r="I65" s="179"/>
      <c r="J65" s="179"/>
      <c r="K65" s="179"/>
      <c r="L65" s="179">
        <f t="shared" si="11"/>
        <v>10000</v>
      </c>
      <c r="M65" s="180"/>
    </row>
    <row r="66" spans="1:13" ht="25.5" customHeight="1">
      <c r="A66" s="94" t="s">
        <v>74</v>
      </c>
      <c r="B66" s="96" t="s">
        <v>75</v>
      </c>
      <c r="C66" s="121" t="s">
        <v>147</v>
      </c>
      <c r="D66" s="179"/>
      <c r="E66" s="179"/>
      <c r="F66" s="179">
        <v>1881000</v>
      </c>
      <c r="G66" s="179"/>
      <c r="H66" s="179"/>
      <c r="I66" s="179"/>
      <c r="J66" s="179"/>
      <c r="K66" s="179"/>
      <c r="L66" s="179">
        <f t="shared" si="11"/>
        <v>1881000</v>
      </c>
      <c r="M66" s="180"/>
    </row>
    <row r="67" spans="1:13" ht="25.5" customHeight="1">
      <c r="A67" s="94" t="s">
        <v>74</v>
      </c>
      <c r="B67" s="96" t="s">
        <v>76</v>
      </c>
      <c r="C67" s="121" t="s">
        <v>147</v>
      </c>
      <c r="D67" s="179"/>
      <c r="E67" s="179"/>
      <c r="F67" s="179">
        <v>1376000</v>
      </c>
      <c r="G67" s="179"/>
      <c r="H67" s="179"/>
      <c r="I67" s="179"/>
      <c r="J67" s="179"/>
      <c r="K67" s="179"/>
      <c r="L67" s="179">
        <f t="shared" si="11"/>
        <v>1376000</v>
      </c>
      <c r="M67" s="180"/>
    </row>
    <row r="68" spans="1:13" ht="25.5" customHeight="1" thickBot="1">
      <c r="A68" s="94" t="s">
        <v>77</v>
      </c>
      <c r="B68" s="96" t="s">
        <v>78</v>
      </c>
      <c r="C68" s="121" t="s">
        <v>147</v>
      </c>
      <c r="D68" s="179"/>
      <c r="E68" s="179"/>
      <c r="F68" s="179">
        <v>151000</v>
      </c>
      <c r="G68" s="179"/>
      <c r="H68" s="179"/>
      <c r="I68" s="179"/>
      <c r="J68" s="179"/>
      <c r="K68" s="179"/>
      <c r="L68" s="179">
        <f t="shared" si="11"/>
        <v>151000</v>
      </c>
      <c r="M68" s="180"/>
    </row>
    <row r="69" spans="1:13" ht="25.5" customHeight="1" thickBot="1">
      <c r="A69" s="245" t="s">
        <v>119</v>
      </c>
      <c r="B69" s="246"/>
      <c r="C69" s="137" t="s">
        <v>170</v>
      </c>
      <c r="D69" s="222">
        <f>SUM(D43:E68)</f>
        <v>0</v>
      </c>
      <c r="E69" s="222"/>
      <c r="F69" s="222">
        <f>+F43+F45+F47+F49+F51+F53+F55+F57+F59+F61+F62+F63+F64+F65+F66+F67+F68</f>
        <v>11040000</v>
      </c>
      <c r="G69" s="222"/>
      <c r="H69" s="222">
        <f>+H43+H45+H47+H49+H51+H53+H55+H57+H59+H61+H62+H63+H64+H65+H66+H67+H68</f>
        <v>0</v>
      </c>
      <c r="I69" s="222"/>
      <c r="J69" s="222">
        <f>+J43+J45+J47+J49+J51+J53+J55+J57+J59+J61+J62+J63+J64+J65+J66+J67+J68</f>
        <v>0</v>
      </c>
      <c r="K69" s="222"/>
      <c r="L69" s="222">
        <f>+L43+L45+L47+L49+L51+L53+L55+L57+L59+L61+L62+L63+L64+L65+L66+L67+L68</f>
        <v>11040000</v>
      </c>
      <c r="M69" s="223"/>
    </row>
    <row r="70" spans="1:13" ht="25.5" customHeight="1" thickBot="1">
      <c r="A70" s="247"/>
      <c r="B70" s="248"/>
      <c r="C70" s="136" t="s">
        <v>157</v>
      </c>
      <c r="D70" s="218"/>
      <c r="E70" s="218"/>
      <c r="F70" s="218">
        <f>+F44+F46+F48+F50+F52+F54+F56+F58+F60+F61+F62+F63+F64+F65+F66+F67+F68</f>
        <v>6810000</v>
      </c>
      <c r="G70" s="218"/>
      <c r="H70" s="218">
        <f>+H44+H46+H48+H50+H52+H54+H56+H58+H60+H61+H62+H63+H64+H65+H66+H67+H68</f>
        <v>0</v>
      </c>
      <c r="I70" s="218"/>
      <c r="J70" s="218">
        <f>+J44+J46+J48+J50+J52+J54+J56+J58+J60+J61+J62+J63+J64+J65+J66+J67+J68</f>
        <v>0</v>
      </c>
      <c r="K70" s="218"/>
      <c r="L70" s="218">
        <f>+L44+L46+L48+L50+L52+L54+L56+L58+L60+L61+L62+L63+L64+L65+L66+L67+L68</f>
        <v>6810000</v>
      </c>
      <c r="M70" s="219"/>
    </row>
    <row r="71" spans="1:13" ht="19.5" customHeight="1" thickBot="1">
      <c r="A71" s="91"/>
      <c r="B71" s="91"/>
      <c r="C71" s="116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1:13" ht="98.25" customHeight="1">
      <c r="A72" s="199" t="s">
        <v>173</v>
      </c>
      <c r="B72" s="243"/>
      <c r="C72" s="244"/>
      <c r="D72" s="212" t="s">
        <v>54</v>
      </c>
      <c r="E72" s="212"/>
      <c r="F72" s="212" t="s">
        <v>46</v>
      </c>
      <c r="G72" s="212"/>
      <c r="H72" s="212" t="s">
        <v>47</v>
      </c>
      <c r="I72" s="212"/>
      <c r="J72" s="212" t="s">
        <v>144</v>
      </c>
      <c r="K72" s="212"/>
      <c r="L72" s="212" t="s">
        <v>48</v>
      </c>
      <c r="M72" s="217"/>
    </row>
    <row r="73" spans="1:13" ht="36" customHeight="1" thickBot="1">
      <c r="A73" s="97" t="s">
        <v>55</v>
      </c>
      <c r="B73" s="98" t="s">
        <v>56</v>
      </c>
      <c r="C73" s="120" t="s">
        <v>145</v>
      </c>
      <c r="D73" s="173" t="s">
        <v>171</v>
      </c>
      <c r="E73" s="173"/>
      <c r="F73" s="173" t="s">
        <v>49</v>
      </c>
      <c r="G73" s="173"/>
      <c r="H73" s="173" t="s">
        <v>50</v>
      </c>
      <c r="I73" s="173"/>
      <c r="J73" s="173" t="s">
        <v>51</v>
      </c>
      <c r="K73" s="173"/>
      <c r="L73" s="173" t="s">
        <v>172</v>
      </c>
      <c r="M73" s="174"/>
    </row>
    <row r="74" spans="1:13" ht="24" customHeight="1">
      <c r="A74" s="230" t="s">
        <v>79</v>
      </c>
      <c r="B74" s="99"/>
      <c r="C74" s="121" t="s">
        <v>147</v>
      </c>
      <c r="D74" s="183"/>
      <c r="E74" s="183"/>
      <c r="F74" s="179">
        <v>1800000</v>
      </c>
      <c r="G74" s="179"/>
      <c r="H74" s="179"/>
      <c r="I74" s="179"/>
      <c r="J74" s="179">
        <v>500000</v>
      </c>
      <c r="K74" s="179"/>
      <c r="L74" s="179">
        <f aca="true" t="shared" si="12" ref="L74:L132">SUM(D74:K74)</f>
        <v>2300000</v>
      </c>
      <c r="M74" s="180"/>
    </row>
    <row r="75" spans="1:13" ht="24" customHeight="1">
      <c r="A75" s="231"/>
      <c r="B75" s="99"/>
      <c r="C75" s="131" t="s">
        <v>146</v>
      </c>
      <c r="D75" s="214"/>
      <c r="E75" s="214"/>
      <c r="F75" s="194">
        <v>0</v>
      </c>
      <c r="G75" s="194"/>
      <c r="H75" s="194"/>
      <c r="I75" s="194"/>
      <c r="J75" s="194">
        <v>500000</v>
      </c>
      <c r="K75" s="194"/>
      <c r="L75" s="194">
        <f>SUM(D75:K75)</f>
        <v>500000</v>
      </c>
      <c r="M75" s="213"/>
    </row>
    <row r="76" spans="1:13" ht="24" customHeight="1">
      <c r="A76" s="94" t="s">
        <v>80</v>
      </c>
      <c r="B76" s="95"/>
      <c r="C76" s="121" t="s">
        <v>147</v>
      </c>
      <c r="D76" s="183"/>
      <c r="E76" s="183"/>
      <c r="F76" s="179">
        <v>6000000</v>
      </c>
      <c r="G76" s="179"/>
      <c r="H76" s="179"/>
      <c r="I76" s="179"/>
      <c r="J76" s="179"/>
      <c r="K76" s="179"/>
      <c r="L76" s="179">
        <f t="shared" si="12"/>
        <v>6000000</v>
      </c>
      <c r="M76" s="180"/>
    </row>
    <row r="77" spans="1:13" ht="24" customHeight="1">
      <c r="A77" s="230" t="s">
        <v>81</v>
      </c>
      <c r="B77" s="99"/>
      <c r="C77" s="121" t="s">
        <v>147</v>
      </c>
      <c r="D77" s="183"/>
      <c r="E77" s="183"/>
      <c r="F77" s="179">
        <v>1000000</v>
      </c>
      <c r="G77" s="179"/>
      <c r="H77" s="179"/>
      <c r="I77" s="179"/>
      <c r="J77" s="179"/>
      <c r="K77" s="179"/>
      <c r="L77" s="179">
        <f t="shared" si="12"/>
        <v>1000000</v>
      </c>
      <c r="M77" s="180"/>
    </row>
    <row r="78" spans="1:13" ht="24" customHeight="1">
      <c r="A78" s="231"/>
      <c r="B78" s="99"/>
      <c r="C78" s="131" t="s">
        <v>146</v>
      </c>
      <c r="D78" s="214"/>
      <c r="E78" s="214"/>
      <c r="F78" s="194">
        <v>0</v>
      </c>
      <c r="G78" s="194"/>
      <c r="H78" s="194"/>
      <c r="I78" s="194"/>
      <c r="J78" s="194"/>
      <c r="K78" s="194"/>
      <c r="L78" s="194">
        <f>SUM(D78:K78)</f>
        <v>0</v>
      </c>
      <c r="M78" s="213"/>
    </row>
    <row r="79" spans="1:13" ht="24" customHeight="1">
      <c r="A79" s="230" t="s">
        <v>82</v>
      </c>
      <c r="B79" s="99"/>
      <c r="C79" s="121" t="s">
        <v>147</v>
      </c>
      <c r="D79" s="183"/>
      <c r="E79" s="183"/>
      <c r="F79" s="179">
        <v>1500000</v>
      </c>
      <c r="G79" s="179"/>
      <c r="H79" s="179"/>
      <c r="I79" s="179"/>
      <c r="J79" s="179"/>
      <c r="K79" s="179"/>
      <c r="L79" s="179">
        <f t="shared" si="12"/>
        <v>1500000</v>
      </c>
      <c r="M79" s="180"/>
    </row>
    <row r="80" spans="1:13" ht="24" customHeight="1">
      <c r="A80" s="231"/>
      <c r="B80" s="99"/>
      <c r="C80" s="131" t="s">
        <v>146</v>
      </c>
      <c r="D80" s="214"/>
      <c r="E80" s="214"/>
      <c r="F80" s="194">
        <v>0</v>
      </c>
      <c r="G80" s="194"/>
      <c r="H80" s="194"/>
      <c r="I80" s="194"/>
      <c r="J80" s="194"/>
      <c r="K80" s="194"/>
      <c r="L80" s="194">
        <f>SUM(D80:K80)</f>
        <v>0</v>
      </c>
      <c r="M80" s="213"/>
    </row>
    <row r="81" spans="1:13" ht="24" customHeight="1">
      <c r="A81" s="230" t="s">
        <v>83</v>
      </c>
      <c r="B81" s="99"/>
      <c r="C81" s="121" t="s">
        <v>147</v>
      </c>
      <c r="D81" s="183"/>
      <c r="E81" s="183"/>
      <c r="F81" s="179">
        <v>250000</v>
      </c>
      <c r="G81" s="179"/>
      <c r="H81" s="179"/>
      <c r="I81" s="179"/>
      <c r="J81" s="179"/>
      <c r="K81" s="179"/>
      <c r="L81" s="179">
        <f t="shared" si="12"/>
        <v>250000</v>
      </c>
      <c r="M81" s="180"/>
    </row>
    <row r="82" spans="1:13" ht="24" customHeight="1">
      <c r="A82" s="231"/>
      <c r="B82" s="99"/>
      <c r="C82" s="131" t="s">
        <v>146</v>
      </c>
      <c r="D82" s="214"/>
      <c r="E82" s="214"/>
      <c r="F82" s="194">
        <v>125000</v>
      </c>
      <c r="G82" s="194"/>
      <c r="H82" s="194"/>
      <c r="I82" s="194"/>
      <c r="J82" s="194"/>
      <c r="K82" s="194"/>
      <c r="L82" s="194">
        <f>SUM(D82:K82)</f>
        <v>125000</v>
      </c>
      <c r="M82" s="213"/>
    </row>
    <row r="83" spans="1:13" ht="24" customHeight="1">
      <c r="A83" s="94" t="s">
        <v>84</v>
      </c>
      <c r="B83" s="99"/>
      <c r="C83" s="121" t="s">
        <v>147</v>
      </c>
      <c r="D83" s="183"/>
      <c r="E83" s="183"/>
      <c r="F83" s="179">
        <v>800000</v>
      </c>
      <c r="G83" s="179"/>
      <c r="H83" s="179"/>
      <c r="I83" s="179"/>
      <c r="J83" s="179"/>
      <c r="K83" s="179"/>
      <c r="L83" s="179">
        <f t="shared" si="12"/>
        <v>800000</v>
      </c>
      <c r="M83" s="180"/>
    </row>
    <row r="84" spans="1:13" ht="24" customHeight="1">
      <c r="A84" s="94" t="s">
        <v>85</v>
      </c>
      <c r="B84" s="99"/>
      <c r="C84" s="121" t="s">
        <v>147</v>
      </c>
      <c r="D84" s="183"/>
      <c r="E84" s="183"/>
      <c r="F84" s="179">
        <v>1200000</v>
      </c>
      <c r="G84" s="179"/>
      <c r="H84" s="179"/>
      <c r="I84" s="179"/>
      <c r="J84" s="179"/>
      <c r="K84" s="179"/>
      <c r="L84" s="179">
        <f t="shared" si="12"/>
        <v>1200000</v>
      </c>
      <c r="M84" s="180"/>
    </row>
    <row r="85" spans="1:13" ht="24" customHeight="1">
      <c r="A85" s="94" t="s">
        <v>86</v>
      </c>
      <c r="B85" s="99"/>
      <c r="C85" s="121" t="s">
        <v>147</v>
      </c>
      <c r="D85" s="183"/>
      <c r="E85" s="183"/>
      <c r="F85" s="179">
        <v>1500000</v>
      </c>
      <c r="G85" s="179"/>
      <c r="H85" s="179"/>
      <c r="I85" s="179"/>
      <c r="J85" s="179"/>
      <c r="K85" s="179"/>
      <c r="L85" s="179">
        <f t="shared" si="12"/>
        <v>1500000</v>
      </c>
      <c r="M85" s="180"/>
    </row>
    <row r="86" spans="1:13" ht="24" customHeight="1">
      <c r="A86" s="94" t="s">
        <v>87</v>
      </c>
      <c r="B86" s="99"/>
      <c r="C86" s="121" t="s">
        <v>147</v>
      </c>
      <c r="D86" s="183"/>
      <c r="E86" s="183"/>
      <c r="F86" s="179">
        <v>150000</v>
      </c>
      <c r="G86" s="179"/>
      <c r="H86" s="179"/>
      <c r="I86" s="179"/>
      <c r="J86" s="179"/>
      <c r="K86" s="179"/>
      <c r="L86" s="179">
        <f t="shared" si="12"/>
        <v>150000</v>
      </c>
      <c r="M86" s="180"/>
    </row>
    <row r="87" spans="1:13" ht="24" customHeight="1">
      <c r="A87" s="230" t="s">
        <v>88</v>
      </c>
      <c r="B87" s="99"/>
      <c r="C87" s="121" t="s">
        <v>147</v>
      </c>
      <c r="D87" s="183"/>
      <c r="E87" s="183"/>
      <c r="F87" s="179">
        <v>40000</v>
      </c>
      <c r="G87" s="179"/>
      <c r="H87" s="179"/>
      <c r="I87" s="179"/>
      <c r="J87" s="179"/>
      <c r="K87" s="179"/>
      <c r="L87" s="179">
        <f t="shared" si="12"/>
        <v>40000</v>
      </c>
      <c r="M87" s="180"/>
    </row>
    <row r="88" spans="1:13" ht="24" customHeight="1">
      <c r="A88" s="231"/>
      <c r="B88" s="99"/>
      <c r="C88" s="131" t="s">
        <v>146</v>
      </c>
      <c r="D88" s="214"/>
      <c r="E88" s="214"/>
      <c r="F88" s="194">
        <v>65000</v>
      </c>
      <c r="G88" s="194"/>
      <c r="H88" s="194"/>
      <c r="I88" s="194"/>
      <c r="J88" s="194"/>
      <c r="K88" s="194"/>
      <c r="L88" s="194">
        <f>SUM(D88:K88)</f>
        <v>65000</v>
      </c>
      <c r="M88" s="213"/>
    </row>
    <row r="89" spans="1:13" ht="24" customHeight="1">
      <c r="A89" s="230" t="s">
        <v>89</v>
      </c>
      <c r="B89" s="99"/>
      <c r="C89" s="121" t="s">
        <v>147</v>
      </c>
      <c r="D89" s="183"/>
      <c r="E89" s="183"/>
      <c r="F89" s="179">
        <v>110000</v>
      </c>
      <c r="G89" s="179"/>
      <c r="H89" s="179"/>
      <c r="I89" s="179"/>
      <c r="J89" s="179"/>
      <c r="K89" s="179"/>
      <c r="L89" s="179">
        <f t="shared" si="12"/>
        <v>110000</v>
      </c>
      <c r="M89" s="180"/>
    </row>
    <row r="90" spans="1:13" ht="24" customHeight="1">
      <c r="A90" s="231"/>
      <c r="B90" s="99"/>
      <c r="C90" s="131" t="s">
        <v>146</v>
      </c>
      <c r="D90" s="214"/>
      <c r="E90" s="214"/>
      <c r="F90" s="194">
        <v>0</v>
      </c>
      <c r="G90" s="194"/>
      <c r="H90" s="194"/>
      <c r="I90" s="194"/>
      <c r="J90" s="194"/>
      <c r="K90" s="194"/>
      <c r="L90" s="194">
        <f>SUM(D90:K90)</f>
        <v>0</v>
      </c>
      <c r="M90" s="213"/>
    </row>
    <row r="91" spans="1:13" ht="24" customHeight="1">
      <c r="A91" s="230" t="s">
        <v>90</v>
      </c>
      <c r="B91" s="99"/>
      <c r="C91" s="121" t="s">
        <v>147</v>
      </c>
      <c r="D91" s="183"/>
      <c r="E91" s="183"/>
      <c r="F91" s="179">
        <v>250000</v>
      </c>
      <c r="G91" s="179"/>
      <c r="H91" s="179"/>
      <c r="I91" s="179"/>
      <c r="J91" s="179"/>
      <c r="K91" s="179"/>
      <c r="L91" s="179">
        <f t="shared" si="12"/>
        <v>250000</v>
      </c>
      <c r="M91" s="180"/>
    </row>
    <row r="92" spans="1:13" ht="24" customHeight="1">
      <c r="A92" s="231"/>
      <c r="B92" s="99"/>
      <c r="C92" s="131" t="s">
        <v>146</v>
      </c>
      <c r="D92" s="214"/>
      <c r="E92" s="214"/>
      <c r="F92" s="194">
        <v>0</v>
      </c>
      <c r="G92" s="194"/>
      <c r="H92" s="194"/>
      <c r="I92" s="194"/>
      <c r="J92" s="194"/>
      <c r="K92" s="194"/>
      <c r="L92" s="194">
        <f>SUM(D92:K92)</f>
        <v>0</v>
      </c>
      <c r="M92" s="213"/>
    </row>
    <row r="93" spans="1:13" ht="24" customHeight="1">
      <c r="A93" s="230" t="s">
        <v>91</v>
      </c>
      <c r="B93" s="99"/>
      <c r="C93" s="121" t="s">
        <v>147</v>
      </c>
      <c r="D93" s="183"/>
      <c r="E93" s="183"/>
      <c r="F93" s="179">
        <v>1135000</v>
      </c>
      <c r="G93" s="179"/>
      <c r="H93" s="179"/>
      <c r="I93" s="179"/>
      <c r="J93" s="179"/>
      <c r="K93" s="179"/>
      <c r="L93" s="179">
        <f t="shared" si="12"/>
        <v>1135000</v>
      </c>
      <c r="M93" s="180"/>
    </row>
    <row r="94" spans="1:13" ht="24" customHeight="1">
      <c r="A94" s="231"/>
      <c r="B94" s="99"/>
      <c r="C94" s="131" t="s">
        <v>146</v>
      </c>
      <c r="D94" s="214"/>
      <c r="E94" s="214"/>
      <c r="F94" s="194">
        <v>0</v>
      </c>
      <c r="G94" s="194"/>
      <c r="H94" s="194"/>
      <c r="I94" s="194"/>
      <c r="J94" s="194"/>
      <c r="K94" s="194"/>
      <c r="L94" s="194">
        <f>SUM(D94:K94)</f>
        <v>0</v>
      </c>
      <c r="M94" s="213"/>
    </row>
    <row r="95" spans="1:13" ht="24" customHeight="1">
      <c r="A95" s="230" t="s">
        <v>92</v>
      </c>
      <c r="B95" s="99"/>
      <c r="C95" s="121" t="s">
        <v>147</v>
      </c>
      <c r="D95" s="183"/>
      <c r="E95" s="183"/>
      <c r="F95" s="179">
        <v>284000</v>
      </c>
      <c r="G95" s="179"/>
      <c r="H95" s="179"/>
      <c r="I95" s="179"/>
      <c r="J95" s="179"/>
      <c r="K95" s="179"/>
      <c r="L95" s="179">
        <f t="shared" si="12"/>
        <v>284000</v>
      </c>
      <c r="M95" s="180"/>
    </row>
    <row r="96" spans="1:13" ht="24" customHeight="1">
      <c r="A96" s="231"/>
      <c r="B96" s="99"/>
      <c r="C96" s="131" t="s">
        <v>146</v>
      </c>
      <c r="D96" s="214"/>
      <c r="E96" s="214"/>
      <c r="F96" s="194">
        <v>0</v>
      </c>
      <c r="G96" s="194"/>
      <c r="H96" s="194"/>
      <c r="I96" s="194"/>
      <c r="J96" s="194"/>
      <c r="K96" s="194"/>
      <c r="L96" s="194">
        <f>SUM(D96:K96)</f>
        <v>0</v>
      </c>
      <c r="M96" s="213"/>
    </row>
    <row r="97" spans="1:13" ht="24" customHeight="1">
      <c r="A97" s="230" t="s">
        <v>93</v>
      </c>
      <c r="B97" s="99"/>
      <c r="C97" s="121" t="s">
        <v>147</v>
      </c>
      <c r="D97" s="183"/>
      <c r="E97" s="183"/>
      <c r="F97" s="179">
        <v>105000</v>
      </c>
      <c r="G97" s="179"/>
      <c r="H97" s="179"/>
      <c r="I97" s="179"/>
      <c r="J97" s="179"/>
      <c r="K97" s="179"/>
      <c r="L97" s="179">
        <f t="shared" si="12"/>
        <v>105000</v>
      </c>
      <c r="M97" s="180"/>
    </row>
    <row r="98" spans="1:13" ht="24" customHeight="1">
      <c r="A98" s="231"/>
      <c r="B98" s="99"/>
      <c r="C98" s="131" t="s">
        <v>146</v>
      </c>
      <c r="D98" s="214"/>
      <c r="E98" s="214"/>
      <c r="F98" s="194">
        <v>0</v>
      </c>
      <c r="G98" s="194"/>
      <c r="H98" s="194"/>
      <c r="I98" s="194"/>
      <c r="J98" s="194"/>
      <c r="K98" s="194"/>
      <c r="L98" s="194">
        <f>SUM(D98:K98)</f>
        <v>0</v>
      </c>
      <c r="M98" s="213"/>
    </row>
    <row r="99" spans="1:13" ht="24" customHeight="1">
      <c r="A99" s="94" t="s">
        <v>94</v>
      </c>
      <c r="B99" s="99"/>
      <c r="C99" s="121" t="s">
        <v>147</v>
      </c>
      <c r="D99" s="183"/>
      <c r="E99" s="183"/>
      <c r="F99" s="179">
        <v>1000000</v>
      </c>
      <c r="G99" s="179"/>
      <c r="H99" s="179"/>
      <c r="I99" s="179"/>
      <c r="J99" s="179"/>
      <c r="K99" s="179"/>
      <c r="L99" s="179">
        <f t="shared" si="12"/>
        <v>1000000</v>
      </c>
      <c r="M99" s="180"/>
    </row>
    <row r="100" spans="1:13" ht="24" customHeight="1">
      <c r="A100" s="94" t="s">
        <v>95</v>
      </c>
      <c r="B100" s="100"/>
      <c r="C100" s="121" t="s">
        <v>147</v>
      </c>
      <c r="D100" s="183"/>
      <c r="E100" s="183"/>
      <c r="F100" s="179">
        <v>40000</v>
      </c>
      <c r="G100" s="179"/>
      <c r="H100" s="179">
        <v>710000</v>
      </c>
      <c r="I100" s="179"/>
      <c r="J100" s="179"/>
      <c r="K100" s="179"/>
      <c r="L100" s="179">
        <f t="shared" si="12"/>
        <v>750000</v>
      </c>
      <c r="M100" s="180"/>
    </row>
    <row r="101" spans="1:13" ht="24" customHeight="1">
      <c r="A101" s="94" t="s">
        <v>96</v>
      </c>
      <c r="B101" s="100"/>
      <c r="C101" s="121" t="s">
        <v>170</v>
      </c>
      <c r="D101" s="183"/>
      <c r="E101" s="183"/>
      <c r="F101" s="179">
        <v>75000</v>
      </c>
      <c r="G101" s="179"/>
      <c r="H101" s="179"/>
      <c r="I101" s="179"/>
      <c r="J101" s="179"/>
      <c r="K101" s="179"/>
      <c r="L101" s="179">
        <f>SUM(D101:K101)</f>
        <v>75000</v>
      </c>
      <c r="M101" s="180"/>
    </row>
    <row r="102" spans="1:13" ht="24" customHeight="1">
      <c r="A102" s="230" t="s">
        <v>97</v>
      </c>
      <c r="B102" s="99"/>
      <c r="C102" s="121" t="s">
        <v>147</v>
      </c>
      <c r="D102" s="183"/>
      <c r="E102" s="183"/>
      <c r="F102" s="179">
        <v>170000</v>
      </c>
      <c r="G102" s="179"/>
      <c r="H102" s="179"/>
      <c r="I102" s="179"/>
      <c r="J102" s="179"/>
      <c r="K102" s="179"/>
      <c r="L102" s="179">
        <f t="shared" si="12"/>
        <v>170000</v>
      </c>
      <c r="M102" s="180"/>
    </row>
    <row r="103" spans="1:13" ht="24" customHeight="1">
      <c r="A103" s="231"/>
      <c r="B103" s="99"/>
      <c r="C103" s="131" t="s">
        <v>146</v>
      </c>
      <c r="D103" s="214"/>
      <c r="E103" s="214"/>
      <c r="F103" s="194">
        <v>0</v>
      </c>
      <c r="G103" s="194"/>
      <c r="H103" s="194"/>
      <c r="I103" s="194"/>
      <c r="J103" s="194"/>
      <c r="K103" s="194"/>
      <c r="L103" s="194">
        <f>SUM(D103:K103)</f>
        <v>0</v>
      </c>
      <c r="M103" s="213"/>
    </row>
    <row r="104" spans="1:13" ht="24" customHeight="1">
      <c r="A104" s="94" t="s">
        <v>98</v>
      </c>
      <c r="B104" s="99"/>
      <c r="C104" s="121" t="s">
        <v>147</v>
      </c>
      <c r="D104" s="183"/>
      <c r="E104" s="183"/>
      <c r="F104" s="179">
        <v>1416000</v>
      </c>
      <c r="G104" s="179"/>
      <c r="H104" s="179"/>
      <c r="I104" s="179"/>
      <c r="J104" s="179"/>
      <c r="K104" s="179"/>
      <c r="L104" s="179">
        <f t="shared" si="12"/>
        <v>1416000</v>
      </c>
      <c r="M104" s="180"/>
    </row>
    <row r="105" spans="1:13" ht="24" customHeight="1">
      <c r="A105" s="94" t="s">
        <v>99</v>
      </c>
      <c r="B105" s="99"/>
      <c r="C105" s="121" t="s">
        <v>147</v>
      </c>
      <c r="D105" s="183"/>
      <c r="E105" s="183"/>
      <c r="F105" s="179">
        <v>280000</v>
      </c>
      <c r="G105" s="179"/>
      <c r="H105" s="179"/>
      <c r="I105" s="179"/>
      <c r="J105" s="179"/>
      <c r="K105" s="179"/>
      <c r="L105" s="179">
        <f t="shared" si="12"/>
        <v>280000</v>
      </c>
      <c r="M105" s="180"/>
    </row>
    <row r="106" spans="1:13" ht="24" customHeight="1">
      <c r="A106" s="94" t="s">
        <v>100</v>
      </c>
      <c r="B106" s="100" t="s">
        <v>101</v>
      </c>
      <c r="C106" s="121" t="s">
        <v>147</v>
      </c>
      <c r="D106" s="183"/>
      <c r="E106" s="183"/>
      <c r="F106" s="179">
        <v>2132000</v>
      </c>
      <c r="G106" s="179"/>
      <c r="H106" s="179"/>
      <c r="I106" s="179"/>
      <c r="J106" s="179"/>
      <c r="K106" s="179"/>
      <c r="L106" s="179">
        <f t="shared" si="12"/>
        <v>2132000</v>
      </c>
      <c r="M106" s="180"/>
    </row>
    <row r="107" spans="1:13" ht="24" customHeight="1">
      <c r="A107" s="230" t="s">
        <v>102</v>
      </c>
      <c r="B107" s="99" t="s">
        <v>103</v>
      </c>
      <c r="C107" s="121" t="s">
        <v>147</v>
      </c>
      <c r="D107" s="183"/>
      <c r="E107" s="183"/>
      <c r="F107" s="179">
        <v>14000</v>
      </c>
      <c r="G107" s="179"/>
      <c r="H107" s="179"/>
      <c r="I107" s="179"/>
      <c r="J107" s="179"/>
      <c r="K107" s="179"/>
      <c r="L107" s="179">
        <f t="shared" si="12"/>
        <v>14000</v>
      </c>
      <c r="M107" s="180"/>
    </row>
    <row r="108" spans="1:13" ht="24" customHeight="1">
      <c r="A108" s="231"/>
      <c r="B108" s="99"/>
      <c r="C108" s="131" t="s">
        <v>146</v>
      </c>
      <c r="D108" s="214"/>
      <c r="E108" s="214"/>
      <c r="F108" s="194">
        <v>72000</v>
      </c>
      <c r="G108" s="194"/>
      <c r="H108" s="194"/>
      <c r="I108" s="194"/>
      <c r="J108" s="194"/>
      <c r="K108" s="194"/>
      <c r="L108" s="194">
        <f>SUM(D108:K108)</f>
        <v>72000</v>
      </c>
      <c r="M108" s="213"/>
    </row>
    <row r="109" spans="1:13" ht="24" customHeight="1">
      <c r="A109" s="94" t="s">
        <v>104</v>
      </c>
      <c r="B109" s="100" t="s">
        <v>105</v>
      </c>
      <c r="C109" s="121" t="s">
        <v>147</v>
      </c>
      <c r="D109" s="183"/>
      <c r="E109" s="183"/>
      <c r="F109" s="179">
        <v>1616000</v>
      </c>
      <c r="G109" s="179"/>
      <c r="H109" s="179"/>
      <c r="I109" s="179"/>
      <c r="J109" s="179"/>
      <c r="K109" s="179"/>
      <c r="L109" s="179">
        <f t="shared" si="12"/>
        <v>1616000</v>
      </c>
      <c r="M109" s="180"/>
    </row>
    <row r="110" spans="1:13" ht="24" customHeight="1">
      <c r="A110" s="94" t="s">
        <v>106</v>
      </c>
      <c r="B110" s="100" t="s">
        <v>107</v>
      </c>
      <c r="C110" s="121" t="s">
        <v>147</v>
      </c>
      <c r="D110" s="183"/>
      <c r="E110" s="183"/>
      <c r="F110" s="179">
        <v>10000</v>
      </c>
      <c r="G110" s="179"/>
      <c r="H110" s="179"/>
      <c r="I110" s="179"/>
      <c r="J110" s="179"/>
      <c r="K110" s="179"/>
      <c r="L110" s="179">
        <f t="shared" si="12"/>
        <v>10000</v>
      </c>
      <c r="M110" s="180"/>
    </row>
    <row r="111" spans="1:13" ht="24" customHeight="1">
      <c r="A111" s="94" t="s">
        <v>108</v>
      </c>
      <c r="B111" s="100" t="s">
        <v>109</v>
      </c>
      <c r="C111" s="121" t="s">
        <v>147</v>
      </c>
      <c r="D111" s="183"/>
      <c r="E111" s="183"/>
      <c r="F111" s="179">
        <v>76000</v>
      </c>
      <c r="G111" s="179"/>
      <c r="H111" s="179"/>
      <c r="I111" s="179"/>
      <c r="J111" s="179"/>
      <c r="K111" s="179"/>
      <c r="L111" s="179">
        <f t="shared" si="12"/>
        <v>76000</v>
      </c>
      <c r="M111" s="180"/>
    </row>
    <row r="112" spans="1:13" ht="24" customHeight="1">
      <c r="A112" s="94" t="s">
        <v>110</v>
      </c>
      <c r="B112" s="100" t="s">
        <v>111</v>
      </c>
      <c r="C112" s="121" t="s">
        <v>147</v>
      </c>
      <c r="D112" s="183"/>
      <c r="E112" s="183"/>
      <c r="F112" s="179">
        <v>260000</v>
      </c>
      <c r="G112" s="179"/>
      <c r="H112" s="179"/>
      <c r="I112" s="179"/>
      <c r="J112" s="179"/>
      <c r="K112" s="179"/>
      <c r="L112" s="179">
        <f t="shared" si="12"/>
        <v>260000</v>
      </c>
      <c r="M112" s="180"/>
    </row>
    <row r="113" spans="1:13" ht="24" customHeight="1">
      <c r="A113" s="94" t="s">
        <v>112</v>
      </c>
      <c r="B113" s="100" t="s">
        <v>113</v>
      </c>
      <c r="C113" s="121" t="s">
        <v>147</v>
      </c>
      <c r="D113" s="183"/>
      <c r="E113" s="183"/>
      <c r="F113" s="179">
        <v>5000</v>
      </c>
      <c r="G113" s="179"/>
      <c r="H113" s="179"/>
      <c r="I113" s="179"/>
      <c r="J113" s="179"/>
      <c r="K113" s="179"/>
      <c r="L113" s="179">
        <f t="shared" si="12"/>
        <v>5000</v>
      </c>
      <c r="M113" s="180"/>
    </row>
    <row r="114" spans="1:13" ht="24" customHeight="1">
      <c r="A114" s="94" t="s">
        <v>114</v>
      </c>
      <c r="B114" s="100" t="s">
        <v>115</v>
      </c>
      <c r="C114" s="121" t="s">
        <v>147</v>
      </c>
      <c r="D114" s="183"/>
      <c r="E114" s="183"/>
      <c r="F114" s="179">
        <v>117000</v>
      </c>
      <c r="G114" s="179"/>
      <c r="H114" s="179"/>
      <c r="I114" s="179"/>
      <c r="J114" s="179"/>
      <c r="K114" s="179"/>
      <c r="L114" s="179">
        <f t="shared" si="12"/>
        <v>117000</v>
      </c>
      <c r="M114" s="180"/>
    </row>
    <row r="115" spans="1:13" ht="24" customHeight="1">
      <c r="A115" s="94" t="s">
        <v>134</v>
      </c>
      <c r="B115" s="100"/>
      <c r="C115" s="121" t="s">
        <v>155</v>
      </c>
      <c r="D115" s="183"/>
      <c r="E115" s="183"/>
      <c r="F115" s="179"/>
      <c r="G115" s="179"/>
      <c r="H115" s="179"/>
      <c r="I115" s="179"/>
      <c r="J115" s="179">
        <v>1565000</v>
      </c>
      <c r="K115" s="179"/>
      <c r="L115" s="179">
        <f>SUM(D115:K115)</f>
        <v>1565000</v>
      </c>
      <c r="M115" s="180"/>
    </row>
    <row r="116" spans="1:13" s="115" customFormat="1" ht="24" customHeight="1">
      <c r="A116" s="132" t="s">
        <v>128</v>
      </c>
      <c r="B116" s="133" t="s">
        <v>123</v>
      </c>
      <c r="C116" s="121" t="s">
        <v>170</v>
      </c>
      <c r="D116" s="181"/>
      <c r="E116" s="181"/>
      <c r="F116" s="181">
        <v>111322</v>
      </c>
      <c r="G116" s="181"/>
      <c r="H116" s="181"/>
      <c r="I116" s="181"/>
      <c r="J116" s="181"/>
      <c r="K116" s="181"/>
      <c r="L116" s="181">
        <f t="shared" si="12"/>
        <v>111322</v>
      </c>
      <c r="M116" s="182"/>
    </row>
    <row r="117" spans="1:13" s="115" customFormat="1" ht="24" customHeight="1">
      <c r="A117" s="132" t="s">
        <v>129</v>
      </c>
      <c r="B117" s="133" t="s">
        <v>125</v>
      </c>
      <c r="C117" s="121" t="s">
        <v>170</v>
      </c>
      <c r="D117" s="181"/>
      <c r="E117" s="181"/>
      <c r="F117" s="181">
        <v>6198</v>
      </c>
      <c r="G117" s="181"/>
      <c r="H117" s="181"/>
      <c r="I117" s="181"/>
      <c r="J117" s="181"/>
      <c r="K117" s="181"/>
      <c r="L117" s="181">
        <f t="shared" si="12"/>
        <v>6198</v>
      </c>
      <c r="M117" s="182"/>
    </row>
    <row r="118" spans="1:13" s="115" customFormat="1" ht="24" customHeight="1">
      <c r="A118" s="132" t="s">
        <v>143</v>
      </c>
      <c r="B118" s="133" t="s">
        <v>121</v>
      </c>
      <c r="C118" s="121" t="s">
        <v>170</v>
      </c>
      <c r="D118" s="181">
        <v>130505</v>
      </c>
      <c r="E118" s="181"/>
      <c r="F118" s="181"/>
      <c r="G118" s="181"/>
      <c r="H118" s="181"/>
      <c r="I118" s="181"/>
      <c r="J118" s="181"/>
      <c r="K118" s="181"/>
      <c r="L118" s="181">
        <f t="shared" si="12"/>
        <v>130505</v>
      </c>
      <c r="M118" s="182"/>
    </row>
    <row r="119" spans="1:13" s="115" customFormat="1" ht="24" customHeight="1">
      <c r="A119" s="132" t="s">
        <v>142</v>
      </c>
      <c r="B119" s="133"/>
      <c r="C119" s="121" t="s">
        <v>170</v>
      </c>
      <c r="D119" s="181">
        <v>72345</v>
      </c>
      <c r="E119" s="181"/>
      <c r="F119" s="181"/>
      <c r="G119" s="181"/>
      <c r="H119" s="181"/>
      <c r="I119" s="181"/>
      <c r="J119" s="181"/>
      <c r="K119" s="181"/>
      <c r="L119" s="181">
        <f t="shared" si="12"/>
        <v>72345</v>
      </c>
      <c r="M119" s="182"/>
    </row>
    <row r="120" spans="1:13" s="115" customFormat="1" ht="24" customHeight="1">
      <c r="A120" s="132" t="s">
        <v>126</v>
      </c>
      <c r="B120" s="133"/>
      <c r="C120" s="121" t="s">
        <v>170</v>
      </c>
      <c r="D120" s="181"/>
      <c r="E120" s="181"/>
      <c r="F120" s="181">
        <v>400000</v>
      </c>
      <c r="G120" s="181"/>
      <c r="H120" s="181"/>
      <c r="I120" s="181"/>
      <c r="J120" s="181"/>
      <c r="K120" s="181"/>
      <c r="L120" s="181">
        <f t="shared" si="12"/>
        <v>400000</v>
      </c>
      <c r="M120" s="182"/>
    </row>
    <row r="121" spans="1:13" s="115" customFormat="1" ht="24" customHeight="1">
      <c r="A121" s="132" t="s">
        <v>127</v>
      </c>
      <c r="B121" s="133" t="s">
        <v>124</v>
      </c>
      <c r="C121" s="121" t="s">
        <v>170</v>
      </c>
      <c r="D121" s="181"/>
      <c r="E121" s="181"/>
      <c r="F121" s="181">
        <v>117000</v>
      </c>
      <c r="G121" s="181"/>
      <c r="H121" s="181"/>
      <c r="I121" s="181"/>
      <c r="J121" s="181"/>
      <c r="K121" s="181"/>
      <c r="L121" s="181">
        <f t="shared" si="12"/>
        <v>117000</v>
      </c>
      <c r="M121" s="182"/>
    </row>
    <row r="122" spans="1:13" s="115" customFormat="1" ht="24" customHeight="1">
      <c r="A122" s="132" t="s">
        <v>122</v>
      </c>
      <c r="B122" s="133"/>
      <c r="C122" s="121" t="s">
        <v>170</v>
      </c>
      <c r="D122" s="181"/>
      <c r="E122" s="181"/>
      <c r="F122" s="181">
        <v>300000</v>
      </c>
      <c r="G122" s="181"/>
      <c r="H122" s="181"/>
      <c r="I122" s="181"/>
      <c r="J122" s="181"/>
      <c r="K122" s="181"/>
      <c r="L122" s="181">
        <f t="shared" si="12"/>
        <v>300000</v>
      </c>
      <c r="M122" s="182"/>
    </row>
    <row r="123" spans="1:13" s="115" customFormat="1" ht="24" customHeight="1">
      <c r="A123" s="102" t="s">
        <v>158</v>
      </c>
      <c r="B123" s="44"/>
      <c r="C123" s="122" t="s">
        <v>146</v>
      </c>
      <c r="D123" s="194">
        <v>100000</v>
      </c>
      <c r="E123" s="194"/>
      <c r="F123" s="194">
        <v>0</v>
      </c>
      <c r="G123" s="194"/>
      <c r="H123" s="194"/>
      <c r="I123" s="194"/>
      <c r="J123" s="194"/>
      <c r="K123" s="194"/>
      <c r="L123" s="194">
        <f aca="true" t="shared" si="13" ref="L123:L130">SUM(D123:K123)</f>
        <v>100000</v>
      </c>
      <c r="M123" s="213"/>
    </row>
    <row r="124" spans="1:13" s="115" customFormat="1" ht="24" customHeight="1">
      <c r="A124" s="102" t="s">
        <v>159</v>
      </c>
      <c r="B124" s="44"/>
      <c r="C124" s="122" t="s">
        <v>146</v>
      </c>
      <c r="D124" s="194"/>
      <c r="E124" s="194"/>
      <c r="F124" s="194">
        <v>300000</v>
      </c>
      <c r="G124" s="194"/>
      <c r="H124" s="194"/>
      <c r="I124" s="194"/>
      <c r="J124" s="194"/>
      <c r="K124" s="194"/>
      <c r="L124" s="194">
        <f t="shared" si="13"/>
        <v>300000</v>
      </c>
      <c r="M124" s="213"/>
    </row>
    <row r="125" spans="1:13" s="115" customFormat="1" ht="24" customHeight="1">
      <c r="A125" s="102" t="s">
        <v>160</v>
      </c>
      <c r="B125" s="44"/>
      <c r="C125" s="122" t="s">
        <v>146</v>
      </c>
      <c r="D125" s="194"/>
      <c r="E125" s="194"/>
      <c r="F125" s="194">
        <v>300000</v>
      </c>
      <c r="G125" s="194"/>
      <c r="H125" s="194"/>
      <c r="I125" s="194"/>
      <c r="J125" s="194"/>
      <c r="K125" s="194"/>
      <c r="L125" s="194">
        <f t="shared" si="13"/>
        <v>300000</v>
      </c>
      <c r="M125" s="213"/>
    </row>
    <row r="126" spans="1:13" s="115" customFormat="1" ht="24" customHeight="1">
      <c r="A126" s="102" t="s">
        <v>161</v>
      </c>
      <c r="B126" s="44"/>
      <c r="C126" s="122" t="s">
        <v>146</v>
      </c>
      <c r="D126" s="194"/>
      <c r="E126" s="194"/>
      <c r="F126" s="194">
        <v>350000</v>
      </c>
      <c r="G126" s="194"/>
      <c r="H126" s="194"/>
      <c r="I126" s="194"/>
      <c r="J126" s="194"/>
      <c r="K126" s="194"/>
      <c r="L126" s="194">
        <f t="shared" si="13"/>
        <v>350000</v>
      </c>
      <c r="M126" s="213"/>
    </row>
    <row r="127" spans="1:13" s="115" customFormat="1" ht="24" customHeight="1">
      <c r="A127" s="102" t="s">
        <v>162</v>
      </c>
      <c r="B127" s="44"/>
      <c r="C127" s="122" t="s">
        <v>146</v>
      </c>
      <c r="D127" s="194"/>
      <c r="E127" s="194"/>
      <c r="F127" s="194">
        <v>280000</v>
      </c>
      <c r="G127" s="194"/>
      <c r="H127" s="194"/>
      <c r="I127" s="194"/>
      <c r="J127" s="194"/>
      <c r="K127" s="194"/>
      <c r="L127" s="194">
        <f t="shared" si="13"/>
        <v>280000</v>
      </c>
      <c r="M127" s="213"/>
    </row>
    <row r="128" spans="1:13" s="115" customFormat="1" ht="24" customHeight="1">
      <c r="A128" s="102" t="s">
        <v>163</v>
      </c>
      <c r="B128" s="44"/>
      <c r="C128" s="122" t="s">
        <v>146</v>
      </c>
      <c r="D128" s="194"/>
      <c r="E128" s="194"/>
      <c r="F128" s="194">
        <v>80000</v>
      </c>
      <c r="G128" s="194"/>
      <c r="H128" s="194"/>
      <c r="I128" s="194"/>
      <c r="J128" s="194"/>
      <c r="K128" s="194"/>
      <c r="L128" s="194">
        <f t="shared" si="13"/>
        <v>80000</v>
      </c>
      <c r="M128" s="213"/>
    </row>
    <row r="129" spans="1:13" s="115" customFormat="1" ht="24" customHeight="1">
      <c r="A129" s="102" t="s">
        <v>164</v>
      </c>
      <c r="B129" s="44"/>
      <c r="C129" s="122" t="s">
        <v>146</v>
      </c>
      <c r="D129" s="194"/>
      <c r="E129" s="194"/>
      <c r="F129" s="194">
        <v>216000</v>
      </c>
      <c r="G129" s="194"/>
      <c r="H129" s="194"/>
      <c r="I129" s="194"/>
      <c r="J129" s="194"/>
      <c r="K129" s="194"/>
      <c r="L129" s="194">
        <f t="shared" si="13"/>
        <v>216000</v>
      </c>
      <c r="M129" s="213"/>
    </row>
    <row r="130" spans="1:13" s="115" customFormat="1" ht="24" customHeight="1" thickBot="1">
      <c r="A130" s="138" t="s">
        <v>165</v>
      </c>
      <c r="B130" s="139"/>
      <c r="C130" s="140" t="s">
        <v>146</v>
      </c>
      <c r="D130" s="249"/>
      <c r="E130" s="249"/>
      <c r="F130" s="249">
        <v>80000</v>
      </c>
      <c r="G130" s="249"/>
      <c r="H130" s="249"/>
      <c r="I130" s="249"/>
      <c r="J130" s="249"/>
      <c r="K130" s="249"/>
      <c r="L130" s="249">
        <f t="shared" si="13"/>
        <v>80000</v>
      </c>
      <c r="M130" s="250"/>
    </row>
    <row r="131" spans="1:13" ht="24" customHeight="1">
      <c r="A131" s="232" t="s">
        <v>154</v>
      </c>
      <c r="B131" s="129"/>
      <c r="C131" s="141" t="s">
        <v>170</v>
      </c>
      <c r="D131" s="237"/>
      <c r="E131" s="237"/>
      <c r="F131" s="220">
        <v>7555480</v>
      </c>
      <c r="G131" s="220"/>
      <c r="H131" s="220"/>
      <c r="I131" s="220"/>
      <c r="J131" s="220"/>
      <c r="K131" s="220"/>
      <c r="L131" s="220">
        <f>SUM(D131:K131)</f>
        <v>7555480</v>
      </c>
      <c r="M131" s="221"/>
    </row>
    <row r="132" spans="1:13" ht="24" customHeight="1" thickBot="1">
      <c r="A132" s="233"/>
      <c r="B132" s="101"/>
      <c r="C132" s="128" t="s">
        <v>146</v>
      </c>
      <c r="D132" s="224"/>
      <c r="E132" s="224"/>
      <c r="F132" s="188">
        <v>5575480</v>
      </c>
      <c r="G132" s="188"/>
      <c r="H132" s="188"/>
      <c r="I132" s="188"/>
      <c r="J132" s="188"/>
      <c r="K132" s="188"/>
      <c r="L132" s="188">
        <f t="shared" si="12"/>
        <v>5575480</v>
      </c>
      <c r="M132" s="193"/>
    </row>
    <row r="133" spans="1:13" s="115" customFormat="1" ht="24" customHeight="1" thickBot="1">
      <c r="A133" s="234" t="s">
        <v>120</v>
      </c>
      <c r="B133" s="235"/>
      <c r="C133" s="236"/>
      <c r="D133" s="189">
        <f>+D74+D76+D77+D79+D81+D83+D84+D85+D86+D87+D89+D91+D93+D95+D97+D99+D100+D101+D102+D104+D105+D106+D107+D109+D110+D111+D112+D113+D114+D115+D116+D117+D118+D119+D120+D121+D122+D131</f>
        <v>202850</v>
      </c>
      <c r="E133" s="189"/>
      <c r="F133" s="189">
        <f>+F74+F76+F77+F79+F81+F83+F84+F85+F86+F87+F89+F91+F93+F95+F97+F99+F100+F101+F102+F104+F105+F106+F107+F109+F110+F111+F112+F113+F114+F115+F116+F117+F118+F119+F120+F121+F122+F131</f>
        <v>31825000</v>
      </c>
      <c r="G133" s="189"/>
      <c r="H133" s="189">
        <f>+H74+H76+H77+H79+H81+H83+H84+H85+H86+H87+H89+H91+H93+H95+H97+H99+H100+H101+H102+H104+H105+H106+H107+H109+H110+H111+H112+H113+H114+H115+H116+H117+H118+H119+H120+H121+H122+H131</f>
        <v>710000</v>
      </c>
      <c r="I133" s="189"/>
      <c r="J133" s="189">
        <f>+J74+J76+J77+J79+J81+J83+J84+J85+J86+J87+J89+J91+J93+J95+J97+J99+J100+J101+J102+J104+J105+J106+J107+J109+J110+J111+J112+J113+J114+J115+J116+J117+J118+J119+J120+J121+J122+J131</f>
        <v>2065000</v>
      </c>
      <c r="K133" s="189"/>
      <c r="L133" s="189">
        <f>+L74+L76+L77+L79+L81+L83+L84+L85+L86+L87+L89+L91+L93+L95+L97+L99+L100+L101+L102+L104+L105+L106+L107+L109+L110+L111+L112+L113+L114+L115+L116+L117+L118+L119+L120+L121+L122+L131</f>
        <v>34802850</v>
      </c>
      <c r="M133" s="192"/>
    </row>
    <row r="134" spans="1:13" ht="24" customHeight="1" thickBot="1">
      <c r="A134" s="227" t="s">
        <v>148</v>
      </c>
      <c r="B134" s="228"/>
      <c r="C134" s="229"/>
      <c r="D134" s="190">
        <f>+D75+D76+D78+D80+D82+D83+D84+D85+D86+D88+D90+D92+D94+D96+D98+D99+D100+D101+D103+D104+D105+D106+D108+D109+D110+D111+D112+D113+D114+D115+D116+D117+D118+D119+D120+D121+D122+D123+D124+D125+D126+D127+D128+D129+D130+D132</f>
        <v>302850</v>
      </c>
      <c r="E134" s="190"/>
      <c r="F134" s="190">
        <f>+F75+F76+F78+F80+F82+F83+F84+F85+F86+F88+F90+F92+F94+F96+F98+F99+F100+F101+F103+F104+F105+F106+F108+F109+F110+F111+F112+F113+F114+F115+F116+F117+F118+F119+F120+F121+F122+F123+F124+F125+F126+F127+F128+F129+F130+F132</f>
        <v>25055000</v>
      </c>
      <c r="G134" s="190"/>
      <c r="H134" s="190">
        <f>+H75+H76+H78+H80+H82+H83+H84+H85+H86+H88+H90+H92+H94+H96+H98+H99+H100+H101+H103+H104+H105+H106+H108+H109+H110+H111+H112+H113+H114+H115+H116+H117+H118+H119+H120+H121+H122+H123+H124+H125+H126+H127+H128+H129+H130+H132</f>
        <v>710000</v>
      </c>
      <c r="I134" s="190"/>
      <c r="J134" s="190">
        <f>+J75+J76+J78+J80+J82+J83+J84+J85+J86+J88+J90+J92+J94+J96+J98+J99+J100+J101+J103+J104+J105+J106+J108+J109+J110+J111+J112+J113+J114+J115+J116+J117+J118+J119+J120+J121+J122+J123+J124+J125+J126+J127+J128+J129+J130+J132</f>
        <v>2065000</v>
      </c>
      <c r="K134" s="190"/>
      <c r="L134" s="190">
        <f>+L75+L76+L78+L80+L82+L83+L84+L85+L86+L88+L90+L92+L94+L96+L98+L99+L100+L101+L103+L104+L105+L106+L108+L109+L110+L111+L112+L113+L114+L115+L116+L117+L118+L119+L120+L121+L122+L123+L124+L125+L126+L127+L128+L129+L130+L132</f>
        <v>28132850</v>
      </c>
      <c r="M134" s="191"/>
    </row>
    <row r="135" spans="2:9" ht="9.75" customHeight="1" thickBot="1">
      <c r="B135" s="37"/>
      <c r="C135" s="117"/>
      <c r="D135" s="2"/>
      <c r="E135" s="2"/>
      <c r="F135" s="37"/>
      <c r="G135" s="37"/>
      <c r="H135" s="37"/>
      <c r="I135" s="37"/>
    </row>
    <row r="136" spans="1:13" ht="21.75" customHeight="1" thickBot="1">
      <c r="A136" s="227" t="s">
        <v>52</v>
      </c>
      <c r="B136" s="228"/>
      <c r="C136" s="229"/>
      <c r="D136" s="189">
        <f>D69+D133</f>
        <v>202850</v>
      </c>
      <c r="E136" s="189"/>
      <c r="F136" s="189">
        <f>F69+F133</f>
        <v>42865000</v>
      </c>
      <c r="G136" s="189"/>
      <c r="H136" s="189">
        <f>H69+H133</f>
        <v>710000</v>
      </c>
      <c r="I136" s="189"/>
      <c r="J136" s="189">
        <f>J69+J133</f>
        <v>2065000</v>
      </c>
      <c r="K136" s="189"/>
      <c r="L136" s="189">
        <f>L69+L133</f>
        <v>45842850</v>
      </c>
      <c r="M136" s="192"/>
    </row>
    <row r="137" spans="1:15" ht="21.75" customHeight="1" thickBot="1">
      <c r="A137" s="227" t="s">
        <v>149</v>
      </c>
      <c r="B137" s="228"/>
      <c r="C137" s="229"/>
      <c r="D137" s="190">
        <f>+D134+D70</f>
        <v>302850</v>
      </c>
      <c r="E137" s="190"/>
      <c r="F137" s="190">
        <f>+F134+F70</f>
        <v>31865000</v>
      </c>
      <c r="G137" s="190"/>
      <c r="H137" s="190">
        <f>+H134+H70</f>
        <v>710000</v>
      </c>
      <c r="I137" s="190"/>
      <c r="J137" s="190">
        <f>+J134+J70</f>
        <v>2065000</v>
      </c>
      <c r="K137" s="190"/>
      <c r="L137" s="190">
        <f>+L134+L70</f>
        <v>34942850</v>
      </c>
      <c r="M137" s="191"/>
      <c r="O137" s="134"/>
    </row>
    <row r="138" spans="1:13" ht="21.75" customHeight="1">
      <c r="A138"/>
      <c r="B138"/>
      <c r="C138" s="115"/>
      <c r="D138"/>
      <c r="E138"/>
      <c r="F138"/>
      <c r="G138"/>
      <c r="H138"/>
      <c r="I138"/>
      <c r="J138"/>
      <c r="K138"/>
      <c r="L138"/>
      <c r="M138"/>
    </row>
    <row r="139" spans="1:13" ht="17.25" customHeight="1" thickBot="1">
      <c r="A139" s="31" t="s">
        <v>139</v>
      </c>
      <c r="B139" s="93"/>
      <c r="C139" s="118"/>
      <c r="D139" s="93"/>
      <c r="E139" s="93"/>
      <c r="F139" s="93"/>
      <c r="G139" s="93"/>
      <c r="H139" s="93"/>
      <c r="I139" s="93"/>
      <c r="J139" s="93"/>
      <c r="K139" s="93"/>
      <c r="L139" s="93"/>
      <c r="M139" s="147" t="s">
        <v>179</v>
      </c>
    </row>
    <row r="140" spans="1:13" ht="24.75" customHeight="1">
      <c r="A140" s="168" t="s">
        <v>44</v>
      </c>
      <c r="B140" s="152" t="s">
        <v>150</v>
      </c>
      <c r="C140" s="152" t="s">
        <v>135</v>
      </c>
      <c r="D140" s="170" t="s">
        <v>130</v>
      </c>
      <c r="E140" s="171"/>
      <c r="F140" s="170" t="s">
        <v>140</v>
      </c>
      <c r="G140" s="171"/>
      <c r="H140" s="170" t="s">
        <v>132</v>
      </c>
      <c r="I140" s="171"/>
      <c r="J140" s="170" t="s">
        <v>131</v>
      </c>
      <c r="K140" s="175"/>
      <c r="L140" s="170" t="s">
        <v>141</v>
      </c>
      <c r="M140" s="177"/>
    </row>
    <row r="141" spans="1:13" ht="25.5" customHeight="1" thickBot="1">
      <c r="A141" s="169"/>
      <c r="B141" s="153"/>
      <c r="C141" s="153"/>
      <c r="D141" s="172"/>
      <c r="E141" s="172"/>
      <c r="F141" s="172"/>
      <c r="G141" s="172"/>
      <c r="H141" s="172"/>
      <c r="I141" s="172"/>
      <c r="J141" s="172"/>
      <c r="K141" s="176"/>
      <c r="L141" s="172"/>
      <c r="M141" s="178"/>
    </row>
    <row r="142" spans="1:13" ht="32.25" customHeight="1">
      <c r="A142" s="105" t="s">
        <v>175</v>
      </c>
      <c r="B142" s="124" t="s">
        <v>151</v>
      </c>
      <c r="C142" s="251" t="s">
        <v>136</v>
      </c>
      <c r="D142" s="238">
        <f>(1274000+20000+75000)/1000</f>
        <v>1369</v>
      </c>
      <c r="E142" s="240"/>
      <c r="F142" s="184">
        <f>+D142+D143</f>
        <v>18418</v>
      </c>
      <c r="G142" s="185"/>
      <c r="H142" s="238">
        <v>0</v>
      </c>
      <c r="I142" s="240"/>
      <c r="J142" s="238">
        <f aca="true" t="shared" si="14" ref="J142:J147">+D142+H142</f>
        <v>1369</v>
      </c>
      <c r="K142" s="239"/>
      <c r="L142" s="184">
        <f>+J142+J143</f>
        <v>18418</v>
      </c>
      <c r="M142" s="225"/>
    </row>
    <row r="143" spans="1:13" ht="32.25" customHeight="1">
      <c r="A143" s="106" t="s">
        <v>45</v>
      </c>
      <c r="B143" s="126" t="s">
        <v>151</v>
      </c>
      <c r="C143" s="252"/>
      <c r="D143" s="215">
        <f>17049000/1000</f>
        <v>17049</v>
      </c>
      <c r="E143" s="216"/>
      <c r="F143" s="186"/>
      <c r="G143" s="187"/>
      <c r="H143" s="215">
        <v>0</v>
      </c>
      <c r="I143" s="216"/>
      <c r="J143" s="215">
        <f t="shared" si="14"/>
        <v>17049</v>
      </c>
      <c r="K143" s="253"/>
      <c r="L143" s="186"/>
      <c r="M143" s="226"/>
    </row>
    <row r="144" spans="1:13" ht="32.25" customHeight="1">
      <c r="A144" s="104" t="s">
        <v>138</v>
      </c>
      <c r="B144" s="125" t="s">
        <v>151</v>
      </c>
      <c r="C144" s="123" t="s">
        <v>137</v>
      </c>
      <c r="D144" s="164">
        <f>4335000/1000</f>
        <v>4335</v>
      </c>
      <c r="E144" s="165"/>
      <c r="F144" s="164">
        <f>+D144</f>
        <v>4335</v>
      </c>
      <c r="G144" s="165"/>
      <c r="H144" s="164">
        <f>+(F136-F137)/1000</f>
        <v>11000</v>
      </c>
      <c r="I144" s="165"/>
      <c r="J144" s="164">
        <f t="shared" si="14"/>
        <v>15335</v>
      </c>
      <c r="K144" s="166"/>
      <c r="L144" s="164">
        <f>+J144</f>
        <v>15335</v>
      </c>
      <c r="M144" s="167"/>
    </row>
    <row r="145" spans="1:13" ht="32.25" customHeight="1">
      <c r="A145" s="104" t="s">
        <v>169</v>
      </c>
      <c r="B145" s="126" t="s">
        <v>151</v>
      </c>
      <c r="C145" s="123" t="s">
        <v>166</v>
      </c>
      <c r="D145" s="164">
        <f>83400/1000</f>
        <v>83.4</v>
      </c>
      <c r="E145" s="165"/>
      <c r="F145" s="164">
        <f>+D145</f>
        <v>83.4</v>
      </c>
      <c r="G145" s="165"/>
      <c r="H145" s="164">
        <v>0</v>
      </c>
      <c r="I145" s="165"/>
      <c r="J145" s="164">
        <f t="shared" si="14"/>
        <v>83.4</v>
      </c>
      <c r="K145" s="166"/>
      <c r="L145" s="164">
        <f>+J145</f>
        <v>83.4</v>
      </c>
      <c r="M145" s="167"/>
    </row>
    <row r="146" spans="1:13" ht="32.25" customHeight="1">
      <c r="A146" s="104" t="s">
        <v>168</v>
      </c>
      <c r="B146" s="125" t="s">
        <v>151</v>
      </c>
      <c r="C146" s="123" t="s">
        <v>167</v>
      </c>
      <c r="D146" s="164">
        <f>71800/1000</f>
        <v>71.8</v>
      </c>
      <c r="E146" s="165"/>
      <c r="F146" s="164">
        <f>+D146</f>
        <v>71.8</v>
      </c>
      <c r="G146" s="165"/>
      <c r="H146" s="164">
        <v>0</v>
      </c>
      <c r="I146" s="165"/>
      <c r="J146" s="164">
        <f t="shared" si="14"/>
        <v>71.8</v>
      </c>
      <c r="K146" s="166"/>
      <c r="L146" s="164">
        <f>+J146</f>
        <v>71.8</v>
      </c>
      <c r="M146" s="167"/>
    </row>
    <row r="147" spans="1:13" ht="32.25" customHeight="1" thickBot="1">
      <c r="A147" s="104" t="s">
        <v>153</v>
      </c>
      <c r="B147" s="127" t="s">
        <v>152</v>
      </c>
      <c r="C147" s="123" t="s">
        <v>136</v>
      </c>
      <c r="D147" s="164">
        <f>562000/1000</f>
        <v>562</v>
      </c>
      <c r="E147" s="165"/>
      <c r="F147" s="164">
        <f>+D147</f>
        <v>562</v>
      </c>
      <c r="G147" s="165"/>
      <c r="H147" s="164">
        <v>0</v>
      </c>
      <c r="I147" s="165"/>
      <c r="J147" s="164">
        <f t="shared" si="14"/>
        <v>562</v>
      </c>
      <c r="K147" s="166"/>
      <c r="L147" s="164">
        <f>+J147</f>
        <v>562</v>
      </c>
      <c r="M147" s="167"/>
    </row>
    <row r="148" spans="1:13" ht="32.25" customHeight="1" thickBot="1">
      <c r="A148" s="160" t="s">
        <v>7</v>
      </c>
      <c r="B148" s="161"/>
      <c r="C148" s="162"/>
      <c r="D148" s="149">
        <f>SUM(D142:E147)</f>
        <v>23470.2</v>
      </c>
      <c r="E148" s="163"/>
      <c r="F148" s="149">
        <f>SUM(F142:G147)</f>
        <v>23470.2</v>
      </c>
      <c r="G148" s="163"/>
      <c r="H148" s="149">
        <f>SUM(H142:I147)</f>
        <v>11000</v>
      </c>
      <c r="I148" s="163"/>
      <c r="J148" s="149">
        <f>SUM(J142:K147)</f>
        <v>34470.200000000004</v>
      </c>
      <c r="K148" s="150"/>
      <c r="L148" s="149">
        <f>SUM(L142:M147)</f>
        <v>34470.200000000004</v>
      </c>
      <c r="M148" s="151"/>
    </row>
    <row r="149" spans="1:13" ht="20.25" customHeight="1">
      <c r="A149" s="38"/>
      <c r="B149" s="32"/>
      <c r="C149" s="119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7.25" customHeight="1" thickBot="1">
      <c r="A150" s="31" t="s">
        <v>180</v>
      </c>
      <c r="B150" s="93"/>
      <c r="C150" s="118"/>
      <c r="D150" s="93"/>
      <c r="E150" s="93"/>
      <c r="F150" s="93"/>
      <c r="G150" s="93"/>
      <c r="H150" s="93"/>
      <c r="I150" s="93"/>
      <c r="J150" s="93"/>
      <c r="K150" s="93"/>
      <c r="L150" s="93"/>
      <c r="M150" s="147" t="s">
        <v>179</v>
      </c>
    </row>
    <row r="151" spans="1:13" ht="24.75" customHeight="1">
      <c r="A151" s="168" t="s">
        <v>44</v>
      </c>
      <c r="B151" s="152" t="s">
        <v>150</v>
      </c>
      <c r="C151" s="152" t="s">
        <v>135</v>
      </c>
      <c r="D151" s="170" t="s">
        <v>130</v>
      </c>
      <c r="E151" s="171"/>
      <c r="F151" s="170" t="s">
        <v>140</v>
      </c>
      <c r="G151" s="171"/>
      <c r="H151" s="170" t="s">
        <v>132</v>
      </c>
      <c r="I151" s="171"/>
      <c r="J151" s="170" t="s">
        <v>131</v>
      </c>
      <c r="K151" s="175"/>
      <c r="L151" s="170" t="s">
        <v>141</v>
      </c>
      <c r="M151" s="177"/>
    </row>
    <row r="152" spans="1:13" ht="25.5" customHeight="1" thickBot="1">
      <c r="A152" s="169"/>
      <c r="B152" s="153"/>
      <c r="C152" s="153"/>
      <c r="D152" s="172"/>
      <c r="E152" s="172"/>
      <c r="F152" s="172"/>
      <c r="G152" s="172"/>
      <c r="H152" s="172"/>
      <c r="I152" s="172"/>
      <c r="J152" s="172"/>
      <c r="K152" s="176"/>
      <c r="L152" s="172"/>
      <c r="M152" s="178"/>
    </row>
    <row r="153" spans="1:13" ht="32.25" customHeight="1">
      <c r="A153" s="104" t="s">
        <v>138</v>
      </c>
      <c r="B153" s="125" t="s">
        <v>151</v>
      </c>
      <c r="C153" s="123" t="s">
        <v>137</v>
      </c>
      <c r="D153" s="164">
        <f>42865000/1000</f>
        <v>42865</v>
      </c>
      <c r="E153" s="165"/>
      <c r="F153" s="164">
        <f>+D153</f>
        <v>42865</v>
      </c>
      <c r="G153" s="165"/>
      <c r="H153" s="164">
        <f>-H148</f>
        <v>-11000</v>
      </c>
      <c r="I153" s="165"/>
      <c r="J153" s="164">
        <f>+F153+H153</f>
        <v>31865</v>
      </c>
      <c r="K153" s="166"/>
      <c r="L153" s="164">
        <f>+J153</f>
        <v>31865</v>
      </c>
      <c r="M153" s="167"/>
    </row>
    <row r="154" spans="1:13" ht="32.25" customHeight="1">
      <c r="A154" s="104" t="s">
        <v>169</v>
      </c>
      <c r="B154" s="126" t="s">
        <v>151</v>
      </c>
      <c r="C154" s="123" t="s">
        <v>166</v>
      </c>
      <c r="D154" s="164">
        <f>710000/1000</f>
        <v>710</v>
      </c>
      <c r="E154" s="165"/>
      <c r="F154" s="164">
        <f>+D154</f>
        <v>710</v>
      </c>
      <c r="G154" s="165"/>
      <c r="H154" s="164">
        <v>0</v>
      </c>
      <c r="I154" s="165"/>
      <c r="J154" s="164">
        <f>+F154+H154</f>
        <v>710</v>
      </c>
      <c r="K154" s="166"/>
      <c r="L154" s="164">
        <f>+J154</f>
        <v>710</v>
      </c>
      <c r="M154" s="167"/>
    </row>
    <row r="155" spans="1:13" ht="32.25" customHeight="1">
      <c r="A155" s="104" t="s">
        <v>176</v>
      </c>
      <c r="B155" s="126" t="s">
        <v>151</v>
      </c>
      <c r="C155" s="123" t="s">
        <v>136</v>
      </c>
      <c r="D155" s="164">
        <f>500000/1000</f>
        <v>500</v>
      </c>
      <c r="E155" s="165"/>
      <c r="F155" s="154">
        <f>+D155+D156</f>
        <v>2065</v>
      </c>
      <c r="G155" s="155"/>
      <c r="H155" s="164">
        <v>0</v>
      </c>
      <c r="I155" s="165"/>
      <c r="J155" s="164">
        <f>+D155+H155</f>
        <v>500</v>
      </c>
      <c r="K155" s="166"/>
      <c r="L155" s="154">
        <f>+J155+J156</f>
        <v>2065</v>
      </c>
      <c r="M155" s="158"/>
    </row>
    <row r="156" spans="1:13" ht="32.25" customHeight="1" thickBot="1">
      <c r="A156" s="104" t="s">
        <v>177</v>
      </c>
      <c r="B156" s="125" t="s">
        <v>151</v>
      </c>
      <c r="C156" s="123" t="s">
        <v>136</v>
      </c>
      <c r="D156" s="164">
        <f>(2065000/1000-D155)</f>
        <v>1565</v>
      </c>
      <c r="E156" s="165"/>
      <c r="F156" s="156"/>
      <c r="G156" s="157"/>
      <c r="H156" s="164">
        <v>0</v>
      </c>
      <c r="I156" s="165"/>
      <c r="J156" s="164">
        <f>+D156+H156</f>
        <v>1565</v>
      </c>
      <c r="K156" s="166"/>
      <c r="L156" s="156"/>
      <c r="M156" s="159"/>
    </row>
    <row r="157" spans="1:13" ht="32.25" customHeight="1" thickBot="1">
      <c r="A157" s="160" t="s">
        <v>7</v>
      </c>
      <c r="B157" s="161"/>
      <c r="C157" s="162"/>
      <c r="D157" s="149">
        <f>SUM(D153:E156)</f>
        <v>45640</v>
      </c>
      <c r="E157" s="163"/>
      <c r="F157" s="149">
        <f>SUM(F153:G156)</f>
        <v>45640</v>
      </c>
      <c r="G157" s="163"/>
      <c r="H157" s="149">
        <f>SUM(H153:I156)</f>
        <v>-11000</v>
      </c>
      <c r="I157" s="163"/>
      <c r="J157" s="149">
        <f>SUM(J153:K156)</f>
        <v>34640</v>
      </c>
      <c r="K157" s="150"/>
      <c r="L157" s="149">
        <f>SUM(L153:M156)</f>
        <v>34640</v>
      </c>
      <c r="M157" s="151"/>
    </row>
    <row r="158" spans="1:13" ht="42" customHeight="1">
      <c r="A158" s="142"/>
      <c r="B158" s="143"/>
      <c r="C158" s="144"/>
      <c r="D158" s="145"/>
      <c r="E158" s="146"/>
      <c r="F158" s="145"/>
      <c r="G158" s="146"/>
      <c r="H158" s="145"/>
      <c r="I158" s="146"/>
      <c r="J158" s="145"/>
      <c r="K158" s="146"/>
      <c r="L158" s="145"/>
      <c r="M158" s="146"/>
    </row>
  </sheetData>
  <mergeCells count="589">
    <mergeCell ref="J145:K145"/>
    <mergeCell ref="H129:I129"/>
    <mergeCell ref="J129:K129"/>
    <mergeCell ref="C142:C143"/>
    <mergeCell ref="D145:E145"/>
    <mergeCell ref="F145:G145"/>
    <mergeCell ref="H145:I145"/>
    <mergeCell ref="J143:K143"/>
    <mergeCell ref="H140:I141"/>
    <mergeCell ref="A137:C137"/>
    <mergeCell ref="D146:E146"/>
    <mergeCell ref="F146:G146"/>
    <mergeCell ref="H146:I146"/>
    <mergeCell ref="J146:K146"/>
    <mergeCell ref="H127:I127"/>
    <mergeCell ref="J127:K127"/>
    <mergeCell ref="L129:M129"/>
    <mergeCell ref="D130:E130"/>
    <mergeCell ref="F130:G130"/>
    <mergeCell ref="H130:I130"/>
    <mergeCell ref="J130:K130"/>
    <mergeCell ref="L130:M130"/>
    <mergeCell ref="D129:E129"/>
    <mergeCell ref="F129:G129"/>
    <mergeCell ref="H125:I125"/>
    <mergeCell ref="J125:K125"/>
    <mergeCell ref="L127:M127"/>
    <mergeCell ref="D128:E128"/>
    <mergeCell ref="F128:G128"/>
    <mergeCell ref="H128:I128"/>
    <mergeCell ref="J128:K128"/>
    <mergeCell ref="L128:M128"/>
    <mergeCell ref="D127:E127"/>
    <mergeCell ref="F127:G127"/>
    <mergeCell ref="H124:I124"/>
    <mergeCell ref="J124:K124"/>
    <mergeCell ref="L125:M125"/>
    <mergeCell ref="D126:E126"/>
    <mergeCell ref="F126:G126"/>
    <mergeCell ref="H126:I126"/>
    <mergeCell ref="J126:K126"/>
    <mergeCell ref="L126:M126"/>
    <mergeCell ref="D125:E125"/>
    <mergeCell ref="F125:G125"/>
    <mergeCell ref="L124:M124"/>
    <mergeCell ref="A74:A75"/>
    <mergeCell ref="D75:E75"/>
    <mergeCell ref="F75:G75"/>
    <mergeCell ref="H75:I75"/>
    <mergeCell ref="L108:M108"/>
    <mergeCell ref="D123:E123"/>
    <mergeCell ref="F123:G123"/>
    <mergeCell ref="H123:I123"/>
    <mergeCell ref="J123:K123"/>
    <mergeCell ref="A107:A108"/>
    <mergeCell ref="D108:E108"/>
    <mergeCell ref="F108:G108"/>
    <mergeCell ref="H108:I108"/>
    <mergeCell ref="J96:K96"/>
    <mergeCell ref="L96:M96"/>
    <mergeCell ref="A93:A94"/>
    <mergeCell ref="L98:M98"/>
    <mergeCell ref="A97:A98"/>
    <mergeCell ref="D98:E98"/>
    <mergeCell ref="F98:G98"/>
    <mergeCell ref="A95:A96"/>
    <mergeCell ref="D96:E96"/>
    <mergeCell ref="F96:G96"/>
    <mergeCell ref="H96:I96"/>
    <mergeCell ref="D94:E94"/>
    <mergeCell ref="F94:G94"/>
    <mergeCell ref="H94:I94"/>
    <mergeCell ref="D95:E95"/>
    <mergeCell ref="F95:G95"/>
    <mergeCell ref="H95:I95"/>
    <mergeCell ref="D90:E90"/>
    <mergeCell ref="F90:G90"/>
    <mergeCell ref="H90:I90"/>
    <mergeCell ref="A91:A92"/>
    <mergeCell ref="D92:E92"/>
    <mergeCell ref="F92:G92"/>
    <mergeCell ref="H92:I92"/>
    <mergeCell ref="A81:A82"/>
    <mergeCell ref="D82:E82"/>
    <mergeCell ref="F82:G82"/>
    <mergeCell ref="H82:I82"/>
    <mergeCell ref="D81:E81"/>
    <mergeCell ref="F81:G81"/>
    <mergeCell ref="H81:I81"/>
    <mergeCell ref="A69:B70"/>
    <mergeCell ref="D78:E78"/>
    <mergeCell ref="F78:G78"/>
    <mergeCell ref="H78:I78"/>
    <mergeCell ref="A77:A78"/>
    <mergeCell ref="D70:E70"/>
    <mergeCell ref="F70:G70"/>
    <mergeCell ref="H70:I70"/>
    <mergeCell ref="D74:E74"/>
    <mergeCell ref="H77:I77"/>
    <mergeCell ref="A55:A56"/>
    <mergeCell ref="D56:E56"/>
    <mergeCell ref="J78:K78"/>
    <mergeCell ref="J75:K75"/>
    <mergeCell ref="A59:A60"/>
    <mergeCell ref="D60:E60"/>
    <mergeCell ref="F60:G60"/>
    <mergeCell ref="H60:I60"/>
    <mergeCell ref="A72:C72"/>
    <mergeCell ref="F77:G77"/>
    <mergeCell ref="A57:A58"/>
    <mergeCell ref="D58:E58"/>
    <mergeCell ref="F58:G58"/>
    <mergeCell ref="H58:I58"/>
    <mergeCell ref="F57:G57"/>
    <mergeCell ref="F56:G56"/>
    <mergeCell ref="H56:I56"/>
    <mergeCell ref="J52:K52"/>
    <mergeCell ref="L52:M52"/>
    <mergeCell ref="J54:K54"/>
    <mergeCell ref="L54:M54"/>
    <mergeCell ref="J56:K56"/>
    <mergeCell ref="L56:M56"/>
    <mergeCell ref="J53:K53"/>
    <mergeCell ref="A53:A54"/>
    <mergeCell ref="D54:E54"/>
    <mergeCell ref="F54:G54"/>
    <mergeCell ref="H54:I54"/>
    <mergeCell ref="D53:E53"/>
    <mergeCell ref="F53:G53"/>
    <mergeCell ref="H53:I53"/>
    <mergeCell ref="A51:A52"/>
    <mergeCell ref="D52:E52"/>
    <mergeCell ref="F52:G52"/>
    <mergeCell ref="H52:I52"/>
    <mergeCell ref="H51:I51"/>
    <mergeCell ref="D51:E51"/>
    <mergeCell ref="F51:G51"/>
    <mergeCell ref="J48:K48"/>
    <mergeCell ref="L48:M48"/>
    <mergeCell ref="A49:A50"/>
    <mergeCell ref="D50:E50"/>
    <mergeCell ref="F50:G50"/>
    <mergeCell ref="H50:I50"/>
    <mergeCell ref="J50:K50"/>
    <mergeCell ref="L50:M50"/>
    <mergeCell ref="A47:A48"/>
    <mergeCell ref="D48:E48"/>
    <mergeCell ref="F48:G48"/>
    <mergeCell ref="H48:I48"/>
    <mergeCell ref="L44:M44"/>
    <mergeCell ref="A43:A44"/>
    <mergeCell ref="A45:A46"/>
    <mergeCell ref="D46:E46"/>
    <mergeCell ref="F46:G46"/>
    <mergeCell ref="H46:I46"/>
    <mergeCell ref="J46:K46"/>
    <mergeCell ref="L46:M46"/>
    <mergeCell ref="D44:E44"/>
    <mergeCell ref="F44:G44"/>
    <mergeCell ref="H44:I44"/>
    <mergeCell ref="J44:K44"/>
    <mergeCell ref="A148:C148"/>
    <mergeCell ref="F134:G134"/>
    <mergeCell ref="D136:E136"/>
    <mergeCell ref="F136:G136"/>
    <mergeCell ref="D148:E148"/>
    <mergeCell ref="D142:E142"/>
    <mergeCell ref="D147:E147"/>
    <mergeCell ref="D143:E143"/>
    <mergeCell ref="D144:E144"/>
    <mergeCell ref="D140:E141"/>
    <mergeCell ref="J142:K142"/>
    <mergeCell ref="A140:A141"/>
    <mergeCell ref="B140:B141"/>
    <mergeCell ref="H142:I142"/>
    <mergeCell ref="H137:I137"/>
    <mergeCell ref="A136:C136"/>
    <mergeCell ref="A102:A103"/>
    <mergeCell ref="D103:E103"/>
    <mergeCell ref="F103:G103"/>
    <mergeCell ref="H103:I103"/>
    <mergeCell ref="D124:E124"/>
    <mergeCell ref="F124:G124"/>
    <mergeCell ref="D137:E137"/>
    <mergeCell ref="F137:G137"/>
    <mergeCell ref="F120:G120"/>
    <mergeCell ref="D121:E121"/>
    <mergeCell ref="A133:C133"/>
    <mergeCell ref="F113:G113"/>
    <mergeCell ref="F121:G121"/>
    <mergeCell ref="D122:E122"/>
    <mergeCell ref="F122:G122"/>
    <mergeCell ref="F132:G132"/>
    <mergeCell ref="D131:E131"/>
    <mergeCell ref="D133:E133"/>
    <mergeCell ref="A79:A80"/>
    <mergeCell ref="A131:A132"/>
    <mergeCell ref="D113:E113"/>
    <mergeCell ref="D112:E112"/>
    <mergeCell ref="D120:E120"/>
    <mergeCell ref="D91:E91"/>
    <mergeCell ref="A87:A88"/>
    <mergeCell ref="D88:E88"/>
    <mergeCell ref="A89:A90"/>
    <mergeCell ref="D119:E119"/>
    <mergeCell ref="A134:C134"/>
    <mergeCell ref="H134:I134"/>
    <mergeCell ref="J134:K134"/>
    <mergeCell ref="D134:E134"/>
    <mergeCell ref="L148:M148"/>
    <mergeCell ref="L140:M141"/>
    <mergeCell ref="L142:M143"/>
    <mergeCell ref="L144:M144"/>
    <mergeCell ref="L147:M147"/>
    <mergeCell ref="L145:M145"/>
    <mergeCell ref="L146:M146"/>
    <mergeCell ref="F133:G133"/>
    <mergeCell ref="H133:I133"/>
    <mergeCell ref="H69:I69"/>
    <mergeCell ref="D118:E118"/>
    <mergeCell ref="F118:G118"/>
    <mergeCell ref="D114:E114"/>
    <mergeCell ref="D132:E132"/>
    <mergeCell ref="F86:G86"/>
    <mergeCell ref="D109:E109"/>
    <mergeCell ref="H115:I115"/>
    <mergeCell ref="D69:E69"/>
    <mergeCell ref="F69:G69"/>
    <mergeCell ref="D66:E66"/>
    <mergeCell ref="F68:G68"/>
    <mergeCell ref="D68:E68"/>
    <mergeCell ref="D61:E61"/>
    <mergeCell ref="F61:G61"/>
    <mergeCell ref="H61:I61"/>
    <mergeCell ref="J61:K61"/>
    <mergeCell ref="F66:G66"/>
    <mergeCell ref="H66:I66"/>
    <mergeCell ref="J66:K66"/>
    <mergeCell ref="D64:E64"/>
    <mergeCell ref="H64:I64"/>
    <mergeCell ref="J64:K64"/>
    <mergeCell ref="F65:G65"/>
    <mergeCell ref="F63:G63"/>
    <mergeCell ref="D62:E62"/>
    <mergeCell ref="F62:G62"/>
    <mergeCell ref="F64:G64"/>
    <mergeCell ref="J113:K113"/>
    <mergeCell ref="J62:K62"/>
    <mergeCell ref="L62:M62"/>
    <mergeCell ref="L64:M64"/>
    <mergeCell ref="L66:M66"/>
    <mergeCell ref="J67:K67"/>
    <mergeCell ref="L69:M69"/>
    <mergeCell ref="L67:M67"/>
    <mergeCell ref="L97:M97"/>
    <mergeCell ref="J112:K112"/>
    <mergeCell ref="F131:G131"/>
    <mergeCell ref="H131:I131"/>
    <mergeCell ref="J131:K131"/>
    <mergeCell ref="L131:M131"/>
    <mergeCell ref="D111:E111"/>
    <mergeCell ref="F111:G111"/>
    <mergeCell ref="H111:I111"/>
    <mergeCell ref="F119:G119"/>
    <mergeCell ref="D116:E116"/>
    <mergeCell ref="F116:G116"/>
    <mergeCell ref="F117:G117"/>
    <mergeCell ref="F112:G112"/>
    <mergeCell ref="H113:I113"/>
    <mergeCell ref="H112:I112"/>
    <mergeCell ref="D110:E110"/>
    <mergeCell ref="F110:G110"/>
    <mergeCell ref="H110:I110"/>
    <mergeCell ref="J110:K110"/>
    <mergeCell ref="D59:E59"/>
    <mergeCell ref="J68:K68"/>
    <mergeCell ref="J93:K93"/>
    <mergeCell ref="L68:M68"/>
    <mergeCell ref="H83:I83"/>
    <mergeCell ref="J76:K76"/>
    <mergeCell ref="L76:M76"/>
    <mergeCell ref="J70:K70"/>
    <mergeCell ref="L87:M87"/>
    <mergeCell ref="J69:K69"/>
    <mergeCell ref="L75:M75"/>
    <mergeCell ref="L72:M72"/>
    <mergeCell ref="L106:M106"/>
    <mergeCell ref="L95:M95"/>
    <mergeCell ref="L102:M102"/>
    <mergeCell ref="L99:M99"/>
    <mergeCell ref="L100:M100"/>
    <mergeCell ref="L80:M80"/>
    <mergeCell ref="L82:M82"/>
    <mergeCell ref="L90:M90"/>
    <mergeCell ref="L43:M43"/>
    <mergeCell ref="D45:E45"/>
    <mergeCell ref="L70:M70"/>
    <mergeCell ref="L78:M78"/>
    <mergeCell ref="D67:E67"/>
    <mergeCell ref="F67:G67"/>
    <mergeCell ref="H67:I67"/>
    <mergeCell ref="D76:E76"/>
    <mergeCell ref="F76:G76"/>
    <mergeCell ref="L74:M74"/>
    <mergeCell ref="H45:I45"/>
    <mergeCell ref="H47:I47"/>
    <mergeCell ref="L47:M47"/>
    <mergeCell ref="D41:E41"/>
    <mergeCell ref="F41:G41"/>
    <mergeCell ref="H41:I41"/>
    <mergeCell ref="J41:K41"/>
    <mergeCell ref="H42:I42"/>
    <mergeCell ref="J42:K42"/>
    <mergeCell ref="L42:M42"/>
    <mergeCell ref="J58:K58"/>
    <mergeCell ref="L58:M58"/>
    <mergeCell ref="L41:M41"/>
    <mergeCell ref="D42:E42"/>
    <mergeCell ref="F42:G42"/>
    <mergeCell ref="J49:K49"/>
    <mergeCell ref="J47:K47"/>
    <mergeCell ref="L49:M49"/>
    <mergeCell ref="J43:K43"/>
    <mergeCell ref="L45:M45"/>
    <mergeCell ref="J51:K51"/>
    <mergeCell ref="L51:M51"/>
    <mergeCell ref="L53:M53"/>
    <mergeCell ref="J55:K55"/>
    <mergeCell ref="L55:M55"/>
    <mergeCell ref="L63:M63"/>
    <mergeCell ref="L61:M61"/>
    <mergeCell ref="J60:K60"/>
    <mergeCell ref="L60:M60"/>
    <mergeCell ref="H76:I76"/>
    <mergeCell ref="J83:K83"/>
    <mergeCell ref="H62:I62"/>
    <mergeCell ref="H63:I63"/>
    <mergeCell ref="J63:K63"/>
    <mergeCell ref="H68:I68"/>
    <mergeCell ref="J82:K82"/>
    <mergeCell ref="H80:I80"/>
    <mergeCell ref="H88:I88"/>
    <mergeCell ref="J57:K57"/>
    <mergeCell ref="H57:I57"/>
    <mergeCell ref="J59:K59"/>
    <mergeCell ref="H86:I86"/>
    <mergeCell ref="J77:K77"/>
    <mergeCell ref="J80:K80"/>
    <mergeCell ref="J74:K74"/>
    <mergeCell ref="H59:I59"/>
    <mergeCell ref="F106:G106"/>
    <mergeCell ref="H106:I106"/>
    <mergeCell ref="J98:K98"/>
    <mergeCell ref="H87:I87"/>
    <mergeCell ref="H91:I91"/>
    <mergeCell ref="J99:K99"/>
    <mergeCell ref="J106:K106"/>
    <mergeCell ref="J101:K101"/>
    <mergeCell ref="H98:I98"/>
    <mergeCell ref="J100:K100"/>
    <mergeCell ref="H144:I144"/>
    <mergeCell ref="J144:K144"/>
    <mergeCell ref="H143:I143"/>
    <mergeCell ref="H89:I89"/>
    <mergeCell ref="H109:I109"/>
    <mergeCell ref="J109:K109"/>
    <mergeCell ref="H107:I107"/>
    <mergeCell ref="J107:K107"/>
    <mergeCell ref="J108:K108"/>
    <mergeCell ref="J111:K111"/>
    <mergeCell ref="D117:E117"/>
    <mergeCell ref="J105:K105"/>
    <mergeCell ref="J97:K97"/>
    <mergeCell ref="H100:I100"/>
    <mergeCell ref="H116:I116"/>
    <mergeCell ref="F114:G114"/>
    <mergeCell ref="J114:K114"/>
    <mergeCell ref="H114:I114"/>
    <mergeCell ref="H101:I101"/>
    <mergeCell ref="D106:E106"/>
    <mergeCell ref="F100:G100"/>
    <mergeCell ref="D99:E99"/>
    <mergeCell ref="F99:G99"/>
    <mergeCell ref="D101:E101"/>
    <mergeCell ref="F101:G101"/>
    <mergeCell ref="D100:E100"/>
    <mergeCell ref="F109:G109"/>
    <mergeCell ref="D107:E107"/>
    <mergeCell ref="F107:G107"/>
    <mergeCell ref="J45:K45"/>
    <mergeCell ref="D102:E102"/>
    <mergeCell ref="F102:G102"/>
    <mergeCell ref="H102:I102"/>
    <mergeCell ref="J102:K102"/>
    <mergeCell ref="F45:G45"/>
    <mergeCell ref="H99:I99"/>
    <mergeCell ref="L57:M57"/>
    <mergeCell ref="L59:M59"/>
    <mergeCell ref="J148:K148"/>
    <mergeCell ref="H55:I55"/>
    <mergeCell ref="H65:I65"/>
    <mergeCell ref="L136:M136"/>
    <mergeCell ref="H136:I136"/>
    <mergeCell ref="J136:K136"/>
    <mergeCell ref="J147:K147"/>
    <mergeCell ref="L104:M104"/>
    <mergeCell ref="L83:M83"/>
    <mergeCell ref="D105:E105"/>
    <mergeCell ref="F105:G105"/>
    <mergeCell ref="H105:I105"/>
    <mergeCell ref="D87:E87"/>
    <mergeCell ref="D104:E104"/>
    <mergeCell ref="F104:G104"/>
    <mergeCell ref="H104:I104"/>
    <mergeCell ref="J104:K104"/>
    <mergeCell ref="L101:M101"/>
    <mergeCell ref="H93:I93"/>
    <mergeCell ref="D63:E63"/>
    <mergeCell ref="F80:G80"/>
    <mergeCell ref="D84:E84"/>
    <mergeCell ref="F84:G84"/>
    <mergeCell ref="D80:E80"/>
    <mergeCell ref="F79:G79"/>
    <mergeCell ref="D93:E93"/>
    <mergeCell ref="F93:G93"/>
    <mergeCell ref="D89:E89"/>
    <mergeCell ref="L91:M91"/>
    <mergeCell ref="J103:K103"/>
    <mergeCell ref="L103:M103"/>
    <mergeCell ref="L89:M89"/>
    <mergeCell ref="L93:M93"/>
    <mergeCell ref="J95:K95"/>
    <mergeCell ref="J92:K92"/>
    <mergeCell ref="L92:M92"/>
    <mergeCell ref="J94:K94"/>
    <mergeCell ref="L94:M94"/>
    <mergeCell ref="H97:I97"/>
    <mergeCell ref="L65:M65"/>
    <mergeCell ref="J65:K65"/>
    <mergeCell ref="L79:M79"/>
    <mergeCell ref="H79:I79"/>
    <mergeCell ref="J79:K79"/>
    <mergeCell ref="H73:I73"/>
    <mergeCell ref="L77:M77"/>
    <mergeCell ref="J88:K88"/>
    <mergeCell ref="L88:M88"/>
    <mergeCell ref="L86:M86"/>
    <mergeCell ref="J73:K73"/>
    <mergeCell ref="L81:M81"/>
    <mergeCell ref="D83:E83"/>
    <mergeCell ref="J81:K81"/>
    <mergeCell ref="D73:E73"/>
    <mergeCell ref="F73:G73"/>
    <mergeCell ref="F83:G83"/>
    <mergeCell ref="F74:G74"/>
    <mergeCell ref="H74:I74"/>
    <mergeCell ref="B37:E37"/>
    <mergeCell ref="J86:K86"/>
    <mergeCell ref="D86:E86"/>
    <mergeCell ref="F37:H37"/>
    <mergeCell ref="D72:E72"/>
    <mergeCell ref="F72:G72"/>
    <mergeCell ref="H72:I72"/>
    <mergeCell ref="D77:E77"/>
    <mergeCell ref="D49:E49"/>
    <mergeCell ref="J72:K72"/>
    <mergeCell ref="A3:A6"/>
    <mergeCell ref="I4:J4"/>
    <mergeCell ref="B3:M3"/>
    <mergeCell ref="K36:M36"/>
    <mergeCell ref="B36:E36"/>
    <mergeCell ref="F36:H36"/>
    <mergeCell ref="B38:E38"/>
    <mergeCell ref="F38:H38"/>
    <mergeCell ref="D65:E65"/>
    <mergeCell ref="D43:E43"/>
    <mergeCell ref="F43:G43"/>
    <mergeCell ref="H43:I43"/>
    <mergeCell ref="F49:G49"/>
    <mergeCell ref="H49:I49"/>
    <mergeCell ref="D57:E57"/>
    <mergeCell ref="A41:C41"/>
    <mergeCell ref="J87:K87"/>
    <mergeCell ref="J91:K91"/>
    <mergeCell ref="F87:G87"/>
    <mergeCell ref="J89:K89"/>
    <mergeCell ref="F89:G89"/>
    <mergeCell ref="F91:G91"/>
    <mergeCell ref="F88:G88"/>
    <mergeCell ref="J90:K90"/>
    <mergeCell ref="J140:K141"/>
    <mergeCell ref="H147:I147"/>
    <mergeCell ref="L84:M84"/>
    <mergeCell ref="D85:E85"/>
    <mergeCell ref="F85:G85"/>
    <mergeCell ref="H85:I85"/>
    <mergeCell ref="J85:K85"/>
    <mergeCell ref="L85:M85"/>
    <mergeCell ref="H84:I84"/>
    <mergeCell ref="J84:K84"/>
    <mergeCell ref="J137:K137"/>
    <mergeCell ref="L137:M137"/>
    <mergeCell ref="J132:K132"/>
    <mergeCell ref="L133:M133"/>
    <mergeCell ref="L132:M132"/>
    <mergeCell ref="L117:M117"/>
    <mergeCell ref="H132:I132"/>
    <mergeCell ref="J133:K133"/>
    <mergeCell ref="L134:M134"/>
    <mergeCell ref="J119:K119"/>
    <mergeCell ref="L120:M120"/>
    <mergeCell ref="L123:M123"/>
    <mergeCell ref="H119:I119"/>
    <mergeCell ref="H120:I120"/>
    <mergeCell ref="H121:I121"/>
    <mergeCell ref="F140:G141"/>
    <mergeCell ref="L113:M113"/>
    <mergeCell ref="L107:M107"/>
    <mergeCell ref="L109:M109"/>
    <mergeCell ref="L110:M110"/>
    <mergeCell ref="J121:K121"/>
    <mergeCell ref="L116:M116"/>
    <mergeCell ref="J120:K120"/>
    <mergeCell ref="J118:K118"/>
    <mergeCell ref="L118:M118"/>
    <mergeCell ref="F144:G144"/>
    <mergeCell ref="F147:G147"/>
    <mergeCell ref="F148:G148"/>
    <mergeCell ref="F142:G143"/>
    <mergeCell ref="L111:M111"/>
    <mergeCell ref="L112:M112"/>
    <mergeCell ref="H122:I122"/>
    <mergeCell ref="J122:K122"/>
    <mergeCell ref="H118:I118"/>
    <mergeCell ref="J115:K115"/>
    <mergeCell ref="L114:M114"/>
    <mergeCell ref="L119:M119"/>
    <mergeCell ref="J116:K116"/>
    <mergeCell ref="L121:M121"/>
    <mergeCell ref="D115:E115"/>
    <mergeCell ref="F115:G115"/>
    <mergeCell ref="D47:E47"/>
    <mergeCell ref="F47:G47"/>
    <mergeCell ref="D55:E55"/>
    <mergeCell ref="F55:G55"/>
    <mergeCell ref="F59:G59"/>
    <mergeCell ref="D97:E97"/>
    <mergeCell ref="F97:G97"/>
    <mergeCell ref="D79:E79"/>
    <mergeCell ref="L73:M73"/>
    <mergeCell ref="H151:I152"/>
    <mergeCell ref="J151:K152"/>
    <mergeCell ref="L151:M152"/>
    <mergeCell ref="H148:I148"/>
    <mergeCell ref="L115:M115"/>
    <mergeCell ref="H117:I117"/>
    <mergeCell ref="J117:K117"/>
    <mergeCell ref="L122:M122"/>
    <mergeCell ref="L105:M105"/>
    <mergeCell ref="A151:A152"/>
    <mergeCell ref="B151:B152"/>
    <mergeCell ref="D151:E152"/>
    <mergeCell ref="F151:G152"/>
    <mergeCell ref="H153:I153"/>
    <mergeCell ref="J153:K153"/>
    <mergeCell ref="L153:M153"/>
    <mergeCell ref="D154:E154"/>
    <mergeCell ref="F154:G154"/>
    <mergeCell ref="H154:I154"/>
    <mergeCell ref="J154:K154"/>
    <mergeCell ref="L154:M154"/>
    <mergeCell ref="D153:E153"/>
    <mergeCell ref="F153:G153"/>
    <mergeCell ref="D156:E156"/>
    <mergeCell ref="H156:I156"/>
    <mergeCell ref="J156:K156"/>
    <mergeCell ref="D155:E155"/>
    <mergeCell ref="H155:I155"/>
    <mergeCell ref="J155:K155"/>
    <mergeCell ref="J157:K157"/>
    <mergeCell ref="L157:M157"/>
    <mergeCell ref="C140:C141"/>
    <mergeCell ref="C151:C152"/>
    <mergeCell ref="F155:G156"/>
    <mergeCell ref="L155:M156"/>
    <mergeCell ref="A157:C157"/>
    <mergeCell ref="D157:E157"/>
    <mergeCell ref="F157:G157"/>
    <mergeCell ref="H157:I157"/>
  </mergeCells>
  <printOptions horizontalCentered="1"/>
  <pageMargins left="0.1968503937007874" right="0.1968503937007874" top="0.35433070866141736" bottom="0.2362204724409449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jakoubkova</cp:lastModifiedBy>
  <cp:lastPrinted>2005-10-04T20:55:47Z</cp:lastPrinted>
  <dcterms:created xsi:type="dcterms:W3CDTF">2005-04-12T20:05:51Z</dcterms:created>
  <dcterms:modified xsi:type="dcterms:W3CDTF">2005-10-07T06:24:11Z</dcterms:modified>
  <cp:category/>
  <cp:version/>
  <cp:contentType/>
  <cp:contentStatus/>
</cp:coreProperties>
</file>