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120" tabRatio="599" firstSheet="5" activeTab="5"/>
  </bookViews>
  <sheets>
    <sheet name="RK-27-2005-06, př. 5 Hosp.1-3" sheetId="1" r:id="rId1"/>
    <sheet name="POHL-záv str4" sheetId="2" r:id="rId2"/>
    <sheet name="Lůžka str 5" sheetId="3" r:id="rId3"/>
    <sheet name="H.Brod str.6-8" sheetId="4" r:id="rId4"/>
    <sheet name="Jihlava  str 9-12" sheetId="5" r:id="rId5"/>
    <sheet name="Pelhřimov str 13-15" sheetId="6" r:id="rId6"/>
    <sheet name=" Třebíč stra16 -19" sheetId="7" r:id="rId7"/>
    <sheet name="N.Město str. 20-23" sheetId="8" r:id="rId8"/>
    <sheet name="DC str.24" sheetId="9" r:id="rId9"/>
    <sheet name="DDKstr. 25" sheetId="10" r:id="rId10"/>
  </sheets>
  <definedNames/>
  <calcPr fullCalcOnLoad="1"/>
</workbook>
</file>

<file path=xl/sharedStrings.xml><?xml version="1.0" encoding="utf-8"?>
<sst xmlns="http://schemas.openxmlformats.org/spreadsheetml/2006/main" count="1907" uniqueCount="503">
  <si>
    <t>2005-2004</t>
  </si>
  <si>
    <t>k 30.6.2005</t>
  </si>
  <si>
    <t xml:space="preserve">Součástí Nemocnice Třebíč je Léčebna dlouhodobě nemocných Moravské Budějovice - 100 lůžek. </t>
  </si>
  <si>
    <t>Celkem k 30.6.2005</t>
  </si>
  <si>
    <t>Dotace</t>
  </si>
  <si>
    <t>Z nájemného ze smluv o nájmu zdr. zařízení</t>
  </si>
  <si>
    <t>Závazky z obchodních vztahů  krátkodobé - 1. pololetí 2004</t>
  </si>
  <si>
    <t>Závazky z obchodních vztahů krátkodobé - 1. pololetí 2005</t>
  </si>
  <si>
    <t>k 28.2.</t>
  </si>
  <si>
    <t>Pohledávky z obchodních vztahů - 1. pololetí 2004</t>
  </si>
  <si>
    <t>Pohledávky z obchodních vztahů - 1. pololetí 2005</t>
  </si>
  <si>
    <t>29.2.2005</t>
  </si>
  <si>
    <t xml:space="preserve">Komentář: </t>
  </si>
  <si>
    <t>k 30.6.2004</t>
  </si>
  <si>
    <t>Dlouhodobé závazky</t>
  </si>
  <si>
    <t>Kategorie</t>
  </si>
  <si>
    <t>IV. Lidské zdroje - rozbor mzdových nákladů</t>
  </si>
  <si>
    <t>Finanční plán 2005</t>
  </si>
  <si>
    <t>Skutečnost k 30.6.2005</t>
  </si>
  <si>
    <t>v  Kč</t>
  </si>
  <si>
    <t>VIII. Komentář ředitele nemocnice k poskytování zdravotní péče a komunikace s pacienty - podle stavu k 31.12.2004</t>
  </si>
  <si>
    <t>Dlouhodobé závazky - 959</t>
  </si>
  <si>
    <t>Nemocnice</t>
  </si>
  <si>
    <t>Náklady celkem</t>
  </si>
  <si>
    <t>Výnosy celkem</t>
  </si>
  <si>
    <t>Třebíč</t>
  </si>
  <si>
    <t>Pelhřimov</t>
  </si>
  <si>
    <t>Jihlava</t>
  </si>
  <si>
    <t>Havlíčkův Brod</t>
  </si>
  <si>
    <t>Přehled hospodaření nemocnic kraje Vysočina</t>
  </si>
  <si>
    <t>Nové Město</t>
  </si>
  <si>
    <t>Celkem</t>
  </si>
  <si>
    <t>k 31.1.</t>
  </si>
  <si>
    <t xml:space="preserve">po lhůtě </t>
  </si>
  <si>
    <t>k 29.2.</t>
  </si>
  <si>
    <t>k 31.3.</t>
  </si>
  <si>
    <t>k 30.4.</t>
  </si>
  <si>
    <t>k 31.5.</t>
  </si>
  <si>
    <t>k 30.6.</t>
  </si>
  <si>
    <t>splatnosti</t>
  </si>
  <si>
    <t xml:space="preserve">Nové Město </t>
  </si>
  <si>
    <t>Hospodářský výsledek</t>
  </si>
  <si>
    <t>k 31.12.2003</t>
  </si>
  <si>
    <t>/v tis. Kč/</t>
  </si>
  <si>
    <t>k 31.12.2004</t>
  </si>
  <si>
    <t xml:space="preserve">K datu </t>
  </si>
  <si>
    <t>Dodavatelé</t>
  </si>
  <si>
    <t>Přijaté zálohy</t>
  </si>
  <si>
    <t>Ostatní závazky</t>
  </si>
  <si>
    <t>K datu</t>
  </si>
  <si>
    <t>31.1.</t>
  </si>
  <si>
    <t>29.2.</t>
  </si>
  <si>
    <t>31.3.</t>
  </si>
  <si>
    <t>30.4.</t>
  </si>
  <si>
    <t>31.5.</t>
  </si>
  <si>
    <t>30.6.</t>
  </si>
  <si>
    <t>31.7.</t>
  </si>
  <si>
    <t>31.8.</t>
  </si>
  <si>
    <t>30.9.</t>
  </si>
  <si>
    <t>31.10.</t>
  </si>
  <si>
    <t>30.11.</t>
  </si>
  <si>
    <t>31.12.</t>
  </si>
  <si>
    <t>Z toho po lhůtě splatnosti</t>
  </si>
  <si>
    <t>do 30 dnů</t>
  </si>
  <si>
    <t>do 90 dnů</t>
  </si>
  <si>
    <t>do 180 dnů</t>
  </si>
  <si>
    <t>do 360 dnů</t>
  </si>
  <si>
    <t>nad 360 dnů</t>
  </si>
  <si>
    <t>Odběratelé</t>
  </si>
  <si>
    <t>Poskytnuté zálohy</t>
  </si>
  <si>
    <t>Ostatní pohledávky</t>
  </si>
  <si>
    <t>I. Náklady, výnosy a hospodářský výsledek</t>
  </si>
  <si>
    <t>II. Závazky  z obchodních vztahů</t>
  </si>
  <si>
    <t>III. Pohledávky z obchodních vztahů</t>
  </si>
  <si>
    <t>Nemocnice Havlíčkův Brod</t>
  </si>
  <si>
    <t>Nemocnice Jihlava</t>
  </si>
  <si>
    <t>Nemocnice Pelhřimov</t>
  </si>
  <si>
    <t>Nemocnice Třebíč</t>
  </si>
  <si>
    <t>Nemocnice Nové Město na Moravě</t>
  </si>
  <si>
    <t>* oddlužení v roce 2003 proběhlo formou návratné finanční výpomoci již v listopadu</t>
  </si>
  <si>
    <t>Rozbor mzdových nákladů podle kategorií</t>
  </si>
  <si>
    <t>Lékaři</t>
  </si>
  <si>
    <t>Farmaceuti</t>
  </si>
  <si>
    <t>Jiní VŠ</t>
  </si>
  <si>
    <t>Jiní SŠ</t>
  </si>
  <si>
    <t>SZP</t>
  </si>
  <si>
    <t>NZP</t>
  </si>
  <si>
    <t>PZT</t>
  </si>
  <si>
    <t>THP</t>
  </si>
  <si>
    <t>Dělníci a provozní pracovníci</t>
  </si>
  <si>
    <t>Průměrný přepočtený počet</t>
  </si>
  <si>
    <t>mzdové náklady</t>
  </si>
  <si>
    <t>Průměrná mzda</t>
  </si>
  <si>
    <t>IV. Lidské zdroje</t>
  </si>
  <si>
    <t>Oddělení</t>
  </si>
  <si>
    <t xml:space="preserve">Lůžka </t>
  </si>
  <si>
    <t>Obložnost</t>
  </si>
  <si>
    <t>+/-</t>
  </si>
  <si>
    <t>interní</t>
  </si>
  <si>
    <t>infekční</t>
  </si>
  <si>
    <t>TRN</t>
  </si>
  <si>
    <t>neurologické</t>
  </si>
  <si>
    <t>psychiatrie</t>
  </si>
  <si>
    <t>pediatrie</t>
  </si>
  <si>
    <t>gynekologie</t>
  </si>
  <si>
    <t>chirurgické</t>
  </si>
  <si>
    <t xml:space="preserve">ARO </t>
  </si>
  <si>
    <t>ortopedické</t>
  </si>
  <si>
    <t>urologické</t>
  </si>
  <si>
    <t>ORL</t>
  </si>
  <si>
    <t>oftalmologie</t>
  </si>
  <si>
    <t>kožní</t>
  </si>
  <si>
    <t>radioterapeutické</t>
  </si>
  <si>
    <t>rehabilitační</t>
  </si>
  <si>
    <t>následná péče</t>
  </si>
  <si>
    <t>centrální JIP</t>
  </si>
  <si>
    <t>V. Lůžkový fond</t>
  </si>
  <si>
    <t>ostatní zdrav.pracovníci nelékaři s odbornou způsobilostí</t>
  </si>
  <si>
    <t>všeobecné sestry, porodní asistentky</t>
  </si>
  <si>
    <t>zdrav.pracovníci nelékaři s odb. a special. způsobilostí</t>
  </si>
  <si>
    <t>zdrav.pracovníci nelékaři pod odborn. dohledem nebo přímým vedením</t>
  </si>
  <si>
    <t>jiní odborní pracovníci nelékaři s odbornou způsobilostí</t>
  </si>
  <si>
    <t>pedagogičtí pracovníci</t>
  </si>
  <si>
    <t>dělníci a provozní pracovníci</t>
  </si>
  <si>
    <t>Výnosové a nákladové ukazatele</t>
  </si>
  <si>
    <t>Hlavní  činnost</t>
  </si>
  <si>
    <t>Dopl. činnost</t>
  </si>
  <si>
    <t>činnost</t>
  </si>
  <si>
    <t>Tržby z prodeje služeb /úč. 602/</t>
  </si>
  <si>
    <t>- tržby od zdrav.pojišťoven</t>
  </si>
  <si>
    <t>- tržby mimo zdrav. pojištění</t>
  </si>
  <si>
    <t>Tržby za prodané zboží /úč. 604/</t>
  </si>
  <si>
    <t>- tržby za prodej v lékárnách</t>
  </si>
  <si>
    <t>Aktivace /sesk.úč. 62/</t>
  </si>
  <si>
    <t>Ostatní výnosy /sesk.úč. 64/</t>
  </si>
  <si>
    <t>- zúčtování fondů /úč.648/</t>
  </si>
  <si>
    <t>Tržby z prodeje majetku /sesk.úč.65/</t>
  </si>
  <si>
    <t>- tržby z prodeje DM /úč. 651/</t>
  </si>
  <si>
    <t>Provozní dotace /úč. 691/</t>
  </si>
  <si>
    <t>Spotřeba materiálu /úč. 501/</t>
  </si>
  <si>
    <t>- spotřeba léčivých přípravků</t>
  </si>
  <si>
    <t>- krev a krevní výrobky</t>
  </si>
  <si>
    <t>- spec.zdravotnický materiál</t>
  </si>
  <si>
    <t>- potraviny</t>
  </si>
  <si>
    <t>- PHM</t>
  </si>
  <si>
    <t>- všeobecný materiál</t>
  </si>
  <si>
    <t>Spotřeba energie /úč. 502/</t>
  </si>
  <si>
    <t>Spotřeba ostat. nesklad. dodávek /úč. 503/</t>
  </si>
  <si>
    <t>Prodané zboží /úč. 504/</t>
  </si>
  <si>
    <t>Služby /sesk.úč. 51/</t>
  </si>
  <si>
    <t>- opravy a udržování /úč. 511/</t>
  </si>
  <si>
    <t>- ostatní služby /úč. 518/</t>
  </si>
  <si>
    <t xml:space="preserve">          - služby spojů</t>
  </si>
  <si>
    <t xml:space="preserve">          - dopravné </t>
  </si>
  <si>
    <t xml:space="preserve">          - nájemné</t>
  </si>
  <si>
    <t xml:space="preserve">          - ostatní služby</t>
  </si>
  <si>
    <t>Osobní náklady /sesk.úč. 52/</t>
  </si>
  <si>
    <t>- mzdové náklady /úč. 521/</t>
  </si>
  <si>
    <t xml:space="preserve">          -  platy zaměstnanců</t>
  </si>
  <si>
    <t xml:space="preserve">          - ostatní osobní náklady</t>
  </si>
  <si>
    <t>- sociální pojištění /úč. 524-528/</t>
  </si>
  <si>
    <t>Daně a poplatky /sesk.úč. 53/</t>
  </si>
  <si>
    <t>Ostatní náklady /sesk.úč. 54/</t>
  </si>
  <si>
    <t>Odpisy, prodaný majetek /sesk.úč. 55/</t>
  </si>
  <si>
    <t>- odpisy dlouhodob.  majetku /úč. 551/</t>
  </si>
  <si>
    <t>Daň z příjmů /sesk.úč. 59/</t>
  </si>
  <si>
    <t>Vývoj plnění plánu</t>
  </si>
  <si>
    <t>v %</t>
  </si>
  <si>
    <t>Kumulovaně</t>
  </si>
  <si>
    <t>- DHM</t>
  </si>
  <si>
    <t>Nové Město na Moravě</t>
  </si>
  <si>
    <t>Součástí Nemocnice je Léčebna dlouhodobě nemocných TRN Buchtův kopec - 162 lůžek (62 následná péče, 100 TRN)</t>
  </si>
  <si>
    <t>Lůžka</t>
  </si>
  <si>
    <t>Rozpis čerpání</t>
  </si>
  <si>
    <t>Příspěvek na sociální sestru, knihovnu a živelní pojištění</t>
  </si>
  <si>
    <t>Z nájemného ze smluv o nájmu zdravotnických zařízení</t>
  </si>
  <si>
    <t>Prostředky z příkazních smluv</t>
  </si>
  <si>
    <t>Z příjmu z prodeje movitého majetku</t>
  </si>
  <si>
    <t>Dotace ze státního rozpočtu</t>
  </si>
  <si>
    <t>Příspěvek na provoz celkem</t>
  </si>
  <si>
    <t>Investiční dotace celkem</t>
  </si>
  <si>
    <t>VII. Vývoj plnění plánu</t>
  </si>
  <si>
    <t>VI. Dotace</t>
  </si>
  <si>
    <t>psychiatrické</t>
  </si>
  <si>
    <t>pediatrické</t>
  </si>
  <si>
    <t>gynekologické</t>
  </si>
  <si>
    <t>oftalmologické</t>
  </si>
  <si>
    <t>Národní program zdraví, úřady práce</t>
  </si>
  <si>
    <t>Závazky a pohledávky z obchodních vztahů - krátkodobé</t>
  </si>
  <si>
    <t>Příspěvek na provoz v Kč</t>
  </si>
  <si>
    <t>Investiční dotace v Kč</t>
  </si>
  <si>
    <t>Bilance pohledávek a závazků</t>
  </si>
  <si>
    <t>Příspěvek na provoz  Kč</t>
  </si>
  <si>
    <t>Investiční dotace v  Kč</t>
  </si>
  <si>
    <t>v tis. Kč</t>
  </si>
  <si>
    <t>Kumulovaná ztráta</t>
  </si>
  <si>
    <t>Ztráta let minulých</t>
  </si>
  <si>
    <t>HV  - běžné období</t>
  </si>
  <si>
    <t>2002</t>
  </si>
  <si>
    <t>Celkem kumulovaná ztráta</t>
  </si>
  <si>
    <t>2004</t>
  </si>
  <si>
    <t>Jiná dotace</t>
  </si>
  <si>
    <t>Z uvedených dotací tvoří  dotace z nájemného za movitý a nemovitý majetek celkem</t>
  </si>
  <si>
    <t>v Kč</t>
  </si>
  <si>
    <t>- DDHM</t>
  </si>
  <si>
    <t>Jiná dotace - úřad práce</t>
  </si>
  <si>
    <t>Nemovitý majetek § 3522, položka 6351 v Kč</t>
  </si>
  <si>
    <t>Převedené prostředky z roku 2004</t>
  </si>
  <si>
    <t>dotace ze smluv o nájmu movitého a nemovitého majetku</t>
  </si>
  <si>
    <t xml:space="preserve">dotace z příkazních smluv </t>
  </si>
  <si>
    <t xml:space="preserve">celkem </t>
  </si>
  <si>
    <t xml:space="preserve"> vlastní zdroje organizace</t>
  </si>
  <si>
    <t>UZ 00051</t>
  </si>
  <si>
    <t>UZ 00052</t>
  </si>
  <si>
    <t>UZ 00055</t>
  </si>
  <si>
    <t>UZ 00000</t>
  </si>
  <si>
    <t xml:space="preserve">položka 6351 </t>
  </si>
  <si>
    <t>Přestavba centrálních operačních sálů</t>
  </si>
  <si>
    <t>Přestavba společných laboratoří</t>
  </si>
  <si>
    <t>Počítačová síť, optické kabely</t>
  </si>
  <si>
    <t>Přestavba skladů</t>
  </si>
  <si>
    <t>CELKEM stavební investice - nemovitý majetek</t>
  </si>
  <si>
    <t>Movitý majetek § 3522, položka 6351 v Kč</t>
  </si>
  <si>
    <t>dotace "Stravovací provoz"</t>
  </si>
  <si>
    <t>celkem cena</t>
  </si>
  <si>
    <t>Strojní investice</t>
  </si>
  <si>
    <t>00052</t>
  </si>
  <si>
    <t>CT - doplatek z roku 2004</t>
  </si>
  <si>
    <t>Celotělový denzitometr</t>
  </si>
  <si>
    <t>Anesteziologickoresuscitační komplex</t>
  </si>
  <si>
    <t>Přístroj EEG</t>
  </si>
  <si>
    <t>Biochemický analyzátor včetně vybavení</t>
  </si>
  <si>
    <t>Gynekologický ultrazvuk s dopplerem + kardiotokograf</t>
  </si>
  <si>
    <t>Vybavení COS</t>
  </si>
  <si>
    <t>Rozšíření NIS</t>
  </si>
  <si>
    <t>Vybavení centrálních JIP, ARO</t>
  </si>
  <si>
    <t>Vybavení rekonstruovaných prostor rehabilitačního centra a lůžek následné péče</t>
  </si>
  <si>
    <t>CELKEM strojní investice - movitý majetek</t>
  </si>
  <si>
    <t>CELKEM INVESTICE</t>
  </si>
  <si>
    <t xml:space="preserve"> vlastní zdroje </t>
  </si>
  <si>
    <t>dotace z kapitálových výdajů</t>
  </si>
  <si>
    <t>dotace z nájemného</t>
  </si>
  <si>
    <t>Jiná dotace - z kapitálových výdajů</t>
  </si>
  <si>
    <t>Prostředky z investičního fondu</t>
  </si>
  <si>
    <t>Název akce</t>
  </si>
  <si>
    <t>faktura</t>
  </si>
  <si>
    <t>Instalace nového kotle</t>
  </si>
  <si>
    <t>Projekt vybudování JIP</t>
  </si>
  <si>
    <t>Projekt změna projektové dokumentace rekonstrukce infekčního pavilonu + ONM</t>
  </si>
  <si>
    <t>Projekt magnetická rezonance</t>
  </si>
  <si>
    <t>Projekt výtah (diag.pavilon+ozařovny) - studie využití diagnostického pavilonu</t>
  </si>
  <si>
    <t>Rekonstrukce výměníkové stanice kuchyně</t>
  </si>
  <si>
    <t>Porodní sál(nadstandart) - stavba+projekt.dokumentace+vybavení</t>
  </si>
  <si>
    <t>Plastická chyrurgie (stavba+vybavení)</t>
  </si>
  <si>
    <t>VZT-rekonstrukce filtračních systémů</t>
  </si>
  <si>
    <t>Unistav - dostavba NN</t>
  </si>
  <si>
    <t>50066/02</t>
  </si>
  <si>
    <t>Ekon - TZ infekčního pavilonu</t>
  </si>
  <si>
    <t>50073/02</t>
  </si>
  <si>
    <t>Penta - TZ infekčního pavilonu</t>
  </si>
  <si>
    <t>50027/03</t>
  </si>
  <si>
    <t>Penta - TZ diagnostického pavilonu HTO</t>
  </si>
  <si>
    <t>50007/03</t>
  </si>
  <si>
    <t>Penta - TZ interního pavilonu bronchoskopie</t>
  </si>
  <si>
    <t>50048/03</t>
  </si>
  <si>
    <t>Pozemní stavby - TZ diagnostického pavilonu</t>
  </si>
  <si>
    <t>50002/03</t>
  </si>
  <si>
    <t>50019/03</t>
  </si>
  <si>
    <t>Pozemní stavby - Tzpříjem B (cytoskopie)</t>
  </si>
  <si>
    <t>50028/03</t>
  </si>
  <si>
    <t>CELKEM nemovitý majetek</t>
  </si>
  <si>
    <t>Dialyzační monitor</t>
  </si>
  <si>
    <t>Endokamera na urologickom oddělení</t>
  </si>
  <si>
    <t>Ultrazvukový přístroj</t>
  </si>
  <si>
    <t>Resususcitační lůžko s příslušenstvím pro ARO</t>
  </si>
  <si>
    <t>Artroskop + shaver</t>
  </si>
  <si>
    <t>Mrazící box pro kostní banku</t>
  </si>
  <si>
    <t>Bronchoskop</t>
  </si>
  <si>
    <t>Kardiotokograf</t>
  </si>
  <si>
    <t>Výměna vybavení centrální kuchyně</t>
  </si>
  <si>
    <t>Interní oddělení - JIP, jednotka UPS</t>
  </si>
  <si>
    <t>Kopírka</t>
  </si>
  <si>
    <t>zvedák pro imobilní pacienty</t>
  </si>
  <si>
    <t>Fibroskop</t>
  </si>
  <si>
    <t>Anemat mini - narkotizační přístroj</t>
  </si>
  <si>
    <t>Infuzní pumpa</t>
  </si>
  <si>
    <t>Injekční dávkovač</t>
  </si>
  <si>
    <t>EMG</t>
  </si>
  <si>
    <t>Fototerapeutická kabina</t>
  </si>
  <si>
    <t>Ureterorenoskop</t>
  </si>
  <si>
    <t>Laparoskopické instrumentárium</t>
  </si>
  <si>
    <t>Digitalizace Fomei</t>
  </si>
  <si>
    <t>Esophagoskop</t>
  </si>
  <si>
    <t>Siemens - splátky RDG</t>
  </si>
  <si>
    <t>12532/02</t>
  </si>
  <si>
    <t>Sodat - splátky software pro VS</t>
  </si>
  <si>
    <t>50045/03</t>
  </si>
  <si>
    <t>Unistav - monitory ARO</t>
  </si>
  <si>
    <t>50036/03</t>
  </si>
  <si>
    <t>Hoyer - sensor</t>
  </si>
  <si>
    <t>50059/03</t>
  </si>
  <si>
    <t>Hypokramed - CO2 Endoflator</t>
  </si>
  <si>
    <t>50057/01</t>
  </si>
  <si>
    <t>Olympus - endoskopie kamera VISERA</t>
  </si>
  <si>
    <t>50016/04</t>
  </si>
  <si>
    <t>Tiši Zdenk - TZ interního pavilonu</t>
  </si>
  <si>
    <t>50020/04</t>
  </si>
  <si>
    <t>Hospimed - optický přístroj (oční)</t>
  </si>
  <si>
    <t>50021/04</t>
  </si>
  <si>
    <t>Rezerva</t>
  </si>
  <si>
    <t>CELKEM movitý majetek</t>
  </si>
  <si>
    <t>Dotace z majetkového odboru</t>
  </si>
  <si>
    <t xml:space="preserve"> vlastní zdroje</t>
  </si>
  <si>
    <t>dotace z nájmu</t>
  </si>
  <si>
    <t>VI. Dotace, čerpání investičního fondu</t>
  </si>
  <si>
    <t>Dotace z kapitálových výdajů</t>
  </si>
  <si>
    <t>Příspěvek na sociální sestru, knihovnu a živelní pojištění, dotace z kapitálových výdajů (lineár)</t>
  </si>
  <si>
    <t>splátky úvěrů</t>
  </si>
  <si>
    <t>projekt rekonstrukce hlavní budovy</t>
  </si>
  <si>
    <t>stavební úpravy pro CT</t>
  </si>
  <si>
    <t>CELKEM investice -nemovitý majetek</t>
  </si>
  <si>
    <t>Spirální CT</t>
  </si>
  <si>
    <t>Sanitní vozidlo</t>
  </si>
  <si>
    <t>Technologie stravovacího provozu</t>
  </si>
  <si>
    <t>Obnova zdravotní techniky</t>
  </si>
  <si>
    <t>CELKEM investice- movitý majetek</t>
  </si>
  <si>
    <t>VI. Dotace a čerpání investičního fondu</t>
  </si>
  <si>
    <t>plán celkem</t>
  </si>
  <si>
    <t>zbývá  dočerpat</t>
  </si>
  <si>
    <t>mimořádná dotace z prodeje nemovitostí</t>
  </si>
  <si>
    <t>UZ 00999</t>
  </si>
  <si>
    <r>
      <t xml:space="preserve">Rekonstrukce stravovacího provozu </t>
    </r>
    <r>
      <rPr>
        <sz val="8"/>
        <color indexed="12"/>
        <rFont val="Arial CE"/>
        <family val="2"/>
      </rPr>
      <t xml:space="preserve">- </t>
    </r>
    <r>
      <rPr>
        <sz val="8"/>
        <rFont val="Arial CE"/>
        <family val="2"/>
      </rPr>
      <t>stavba + koridory *)</t>
    </r>
  </si>
  <si>
    <t>PD stravovací provoz</t>
  </si>
  <si>
    <t>Pozemstav pozastávka UNP</t>
  </si>
  <si>
    <t>Pozemstav pozastávka PAO</t>
  </si>
  <si>
    <t>Pozemstav pozastávka COS</t>
  </si>
  <si>
    <t>RDG chirurgie - stavební úpravy,montáž RDG</t>
  </si>
  <si>
    <t>Poplatky za soutěž - fa. GORDION</t>
  </si>
  <si>
    <t>Rezerva havárie stavební a strojní</t>
  </si>
  <si>
    <t>CELKEM investice- nemovitý majetek</t>
  </si>
  <si>
    <t>z příjmů z prodeje movitého majetku</t>
  </si>
  <si>
    <r>
      <t>Rekonstrukce stravovacího provozu -</t>
    </r>
    <r>
      <rPr>
        <b/>
        <sz val="8"/>
        <rFont val="Arial CE"/>
        <family val="2"/>
      </rPr>
      <t xml:space="preserve"> technologie *)</t>
    </r>
  </si>
  <si>
    <t>Stravovací systém</t>
  </si>
  <si>
    <t>Elektrický konvektomat - stravovací provoz</t>
  </si>
  <si>
    <t>RDG - Chirurgie</t>
  </si>
  <si>
    <t>Kolek k RDG chirurgie</t>
  </si>
  <si>
    <t>RDG - LDN repas</t>
  </si>
  <si>
    <t>Kolek k LDN repas</t>
  </si>
  <si>
    <t>Hematologie - koagulometr Sysmex CA-540</t>
  </si>
  <si>
    <t>Frankovací stroj</t>
  </si>
  <si>
    <t>Zdrojový most ARO</t>
  </si>
  <si>
    <t>Resuscitační lůžko</t>
  </si>
  <si>
    <t>Antidekubitní systém</t>
  </si>
  <si>
    <t>Ventilátor ARO</t>
  </si>
  <si>
    <t>Kardiotokograf gynekologie</t>
  </si>
  <si>
    <t>Funduskamera oční</t>
  </si>
  <si>
    <t>Elektronická závora areál</t>
  </si>
  <si>
    <t>Řídící informační systém OZVI</t>
  </si>
  <si>
    <t>Software stravovací provoz - TIPA</t>
  </si>
  <si>
    <t>Rezerva na havárie strojní</t>
  </si>
  <si>
    <t>Dotace "Stravovací provoz"</t>
  </si>
  <si>
    <t>Tržby za vlastní výrobky /úč. 601/</t>
  </si>
  <si>
    <t xml:space="preserve">Dotace ze SR </t>
  </si>
  <si>
    <t>celkem  (bez dotace ze SR)</t>
  </si>
  <si>
    <t>ISPROFIN</t>
  </si>
  <si>
    <t>Tabletovací systém výdeje stravy a objednávkový systém zaměstnanců - dokončení</t>
  </si>
  <si>
    <t>dokončení projektové dokumentace "Rekonstrukce a přístavba int.pavilonu" do vydání stavebního povolení</t>
  </si>
  <si>
    <t>stavební úpravy horního podlaží neurologie</t>
  </si>
  <si>
    <t>Lékárna - výdejna léků</t>
  </si>
  <si>
    <t>RTG pracoviště Buchtův kopec</t>
  </si>
  <si>
    <t>REKO gynekologie včetně přístrojového vybavení</t>
  </si>
  <si>
    <t>dofinancování přístrojového vybavení z roku 2004 - videodueendoskop</t>
  </si>
  <si>
    <t>Skiaskopicko-skiagrafický komplet s C ramenem</t>
  </si>
  <si>
    <t>spirometrický systém</t>
  </si>
  <si>
    <t>defibrilátor</t>
  </si>
  <si>
    <t>přenosné EKG</t>
  </si>
  <si>
    <t>sonda gamakamery</t>
  </si>
  <si>
    <t>server</t>
  </si>
  <si>
    <t>obměna zastaralé výpočetní techniky</t>
  </si>
  <si>
    <t>převozové vozidlo</t>
  </si>
  <si>
    <t>dialyzační přístroje</t>
  </si>
  <si>
    <t>Rezerva na nepředvídané havárie</t>
  </si>
  <si>
    <t>Sklopná stěna s velkoplošným zesilovačem a digitalizací obrazu, fixní kolmá osa rentgenka-zesilocač</t>
  </si>
  <si>
    <t>UZ přístroj vyšší třídy</t>
  </si>
  <si>
    <t>PACS, obrazový,archivační a komunikační systém</t>
  </si>
  <si>
    <t xml:space="preserve">dotace z kapitálových výdajů </t>
  </si>
  <si>
    <t>Dotace k kapitálových výdajů</t>
  </si>
  <si>
    <t>Příspěvek na sociální sestru, knihovnu a živelní pojištění,z kapitálových výdajů</t>
  </si>
  <si>
    <t>Mimořádná dotace z prodeje nemovitostí</t>
  </si>
  <si>
    <t>Jiné - kapitálové výdaje, mimořádná účelová dotace</t>
  </si>
  <si>
    <t>HV bez dotace</t>
  </si>
  <si>
    <t xml:space="preserve">Výnosy </t>
  </si>
  <si>
    <t>celkem</t>
  </si>
  <si>
    <t>z toho dotace</t>
  </si>
  <si>
    <t>HV</t>
  </si>
  <si>
    <t>Rozdíl (HV celkem) 2005 -2004</t>
  </si>
  <si>
    <t xml:space="preserve">VII. Komentář ředitele nemocnice </t>
  </si>
  <si>
    <t>Komentář: Náklady roku 2005 se vyvíjí v souladu s FP. V porovnání s r.2004 jsou náklady vyšší o 1672tis, přičemž rozdíl mezi nárůstem výše nájemného a snížením odpisů činí 1991tis. Tzn.že pokud by nedošlo ke změně nájemného byly by celkové náklady v porovnání s minulým rokem nižší o 300tis. Kč. Nejvýraznější nárust nákladů kromě již zmíněného nájmu je v položce DDHM a to proto, že na počátku roku došlo k přestěhování dvou odd. ( oční a ORL) do nových prostorů s nutnou potřebou obnovy stávajícího vybavení. Celkové náklady nepřekračují 50% FP. Výše hospodářského výsledku není ovlivněna pouze udržením nákladů v mezích plánu, ale především překročením výnosů v oblasti tržeb od ZP o 3,8% oproti minulému období tj. o 8466 tis. Kč.Provozní dotace byla v lednu a únoru zaúčtována do výnosů dle předpokládaného FP i přesto, že nebyl schválen tak, aby dotace zohledňovala předpokládanou skutečnost a nedocházelo ke zkreslování HV, na konci čtvrtletí však byla dotace ponížena pouze na skutečnou obdrženou výši, tj 122 tis. měsíčně na vybrané činnosti, jelikož bylo nutné k odeslané účetní závěrce odsouhlasení výše provozní dotace poskytnuté zřizovatelem. Stav dotace ke konci období odpovídá schálenému plánu.</t>
  </si>
  <si>
    <t>Komentář:V průběhu pololetí došlo ke snížení závazků  a to jak z obchodních vztahů, tak směrem ke zřizovateli, především z důvodu částečné úhrady dohadných položek za II. pol. od ZP, kromě VZP, která uvedenou úhradu odložila až do října letošního roku. Dále se zde neprojevilo plánované profinancování investic, jejichž úhrada ovlivní výši finančního majetku až v druhém pololetí. U pohledávek se projevuje narůstající podíl v kategorii po splatnosti do 30 a 90 dnů, která je ovlivněna prodlužujícími se platbami od VZP. Tato situace znemožňuje jakékoliv operativní plánování v oblasti cash-flow.</t>
  </si>
  <si>
    <t>Komentář:V lůžkovém fondu došlo ke změně u dětského odd. kdy došlo ke snížení dvou neonatologických lůžek, na odd. ORL a očním došlo po přestěhování do nových prostor ke snížení o uvedený počet lůžek. Tím se mírně zvýšila i efektivita těchto odd. měřená obložností.</t>
  </si>
  <si>
    <t xml:space="preserve">Komentář:Z rozboru mzdových nákladů je zřejmá snaha o udržení průměrných mezd na určité výši s tím, že je kladen důraz na zainteresovanost zdravotnického personálu na hospodářských výsledcích jednotlivých odd. Na výši HV je závislý celkový objem mimořádných odměn pro jednotlivé kategorie pracovníků. Odměny za II. čtvrtletí byly vyplaceny až v měsíci červenci po zhodnocení hospodaření, tudíž se v průměrných mzdách neprojevily. </t>
  </si>
  <si>
    <t>Komentář: Plnění plánu probíhá zcela rovnoměrně a to jak na straně výnosové, tak nákladové. Mírnější procentní přečerpání v oblasti spotřeby materiálu ( bylo způsobeno nákupem DDHM nutného pro vybavení přestěhovaných odd. očního a ušního a současně s tím vybavení operačních sálů pro zákroky těchto odd. ) a energie koriguje procentní nedočerpání osobních nákladů a služeb. Výše hospodářského výsledku po odečtení dotace je v porovnání se stejným obdobím minulého roku vyšší o 1610 tis.kč. Celkový HV naznačuje, že i přes navýšení základních platů zdravotnického personálu od září letošního roku, by se měl udržet v kladných číslech. Na tomto místě je však nutné připomenout, že výše HV zcela nekoresponduje se schopností splácet závazky nemocnice. Tomu odpovídá i stav bilance pohledávek a závazků, kdy celkové závazky jsou vyšší než pohledávky o téměř 41 mil. Kč. včetně závazku vůči zřizovateli (zůstatek bezúročné půjčky ve výši 11250tis.kč, která má být splacena do konce letošního roku).</t>
  </si>
  <si>
    <t>1) V oblasti podmínek poskytování zdravotní péče pokračuje tendence ke slučování činností a to zejména v oblasti ambulantní péče, kde jsou nastavována jednotná pravidla pro ošetřování pacientů v době ÚPS za spolupráce veškerých chirurgických odborností. Plánováno je nastavení i v interních oborech. 2) Probíhá sloučení OKB, Ria  a MKB laboratoří a v současně době intenzivně probíhají stavební práce. V prvních měsících roku došlo k přemístění odd. ORL a očního z již nevyhovujících prostorů budovy F do nově vybudovaných prostorů v budově nové přístavby. Současně s tím byly nově vybaveny sály pro operační zákroky těchto oddělení. 3) Bylo uzavřeno výběrové řízení na provoz osteologického centra. Na základě toho bylo vypsáno výběrové řízení na dodávku celotělového denzitometru. 4) V oblasti informovanosti veřejnosti pokračuje tvorba webových stránek. 5) V oblasti vzdělávání byla řada našich lékářů úspěšná v posledních termínech atestací I. a II. stupně dle starého postupu vzdělávání ve zdravotnictví. 6) Byly učiněny kroky k zahájení prací na nových prostorách pro rehabilitaci v budově G( provozní budova). Byla zpracována projektová dokumentace a vypsáno výběrové řízení na dodavatele stavebních prací. 7) V průběhu pololetí bylo vypsáno několik poptávkových řízení především na nákup zdravotnického materiálu a léčiv. Současně s těmito poptávkovými řízeními neustále probíhají cenová porovnání u výrobků od více dodavatelů tak, aby se cenová hladina zdravotnického materiálu neúměrně nezvyšovala.Díky zainteresovanosti zdravotnického personálu na HV odd. je tento postup kladně vnímán a jsou přijímány i podněty od zdrav. personálu ke zvýšení efektivity jejich odd.</t>
  </si>
  <si>
    <t xml:space="preserve">Komentář: Uvedená lůžková kapacity odpovídá nasmlouvanému počtu lůžek u VZP. Celková obložnost mírně narostla v důsledku růstu počtu hospitalizovaných pacientů. </t>
  </si>
  <si>
    <t xml:space="preserve">Komentář: V důsledku neustálého tlaku na úhrady a zkracování dob po splatnosti provozních dluhů (hrozba zastavení dodávek) je pro nemocnici velmi obtížné uvolnit zdroje na úhradu starých investičních závazků. </t>
  </si>
  <si>
    <t>VIII. Komentář ředitele nemocnice k poskytování zdravotní péče a komunikace s pacienty</t>
  </si>
  <si>
    <t>Komentář: Zlepšeného výsledku hospodaření bylo dosaženo především díky nárůstu výnosů. V důsledku růstu výkonů rostly i náklady, ale méně než výnosy. Nejvíce rostly tržby od zdravotních pojišťoven, kde se pozitivně projevily doplatky VZP za zdravotní péči provedenou v minulých pololetích a vydání úhradové vyhlášky pro 1. pololetí 2005. Meziroční optické zhoršení výsledku hospodaření bez dotací je dáno především snížením o provozní dotaci na úhradu splátek lineárního urychlovače (v 1. pololetí 2004 se nesplácel), ale v nákladech splátky 1. pololetí 2005 zůstaly.</t>
  </si>
  <si>
    <t>Komentář: Vyšší růst závazků než pohledávek je dán převedením dluhu vůči firmě B.Braun z roku 2002 ve výši 10,5 mil. Kč z podrozvahové evidence do účetní evidence v 1. pololetí 2005, kdy byl závazek po důkladném prověření konečně uznán. Po zohlednění této skutečnosti je zřejmé, že růst pohledávek převyšuje růst závazků. Faktem zůstává růst pohledávek především za VZP, což má negativní dopad do platební schopnosti nemocnice. Pohledávky po lhůtě splatnosti vzrostly proti konci roku 2004 o 26,2 mil. Kč na celkových 70,8 mil. Kč a proti tomu závazky po lhůtě splatnosti, díky téměř nulovým novým investicím, klesly o 14,2 mil. Kč na celkových 152,4 mil. Kč.</t>
  </si>
  <si>
    <t>Komentář: Celkový počet pracovníků je stabilizovaný, do konce roku 2005 není očekávána jeho významná změna. Nezanedbatelný růst průměrné mzdy lékařů a farmaceutů je dán nastavenými motivačními pravidly, jejichž splnění znamenalo významný finanční přínos pro nemocnici.</t>
  </si>
  <si>
    <t>Komentář: Hospodářský výsledek za I. pololetí 2005 je ovlivněn nárůstem mzdových tarifů od 1.1. Dalším významným vlivem je snížení provozní dotace (odchod ZZS a využití dotace na oddlužení v roce 2004 do provozu).</t>
  </si>
  <si>
    <t>Komentář: Počty lůžek na jednotlivých odděleních se proti stavu minulého roku nemění, při průměrné ošetřovací době 6.42 dne je obložnost 79.79%.</t>
  </si>
  <si>
    <t xml:space="preserve">Komentář: Stav závazků a pohledávek po lhůtě splatnosti nevíce ovlivňuje platební morálka VZP. Z tohoto důvodu v I. Čtvrtletí 2005 narůstaly pohledávky po lhůtě splatnosti a návazně na nedostatek finančních prostředků i pohledávky po lhůtě splatnosti. Ve II. čtvrtletí se nárůst závazků a pohledávek po lhůtě splatnosti zastavil.
</t>
  </si>
  <si>
    <t>Komentář:  Vyšší podíl čerpání nákladů i dosažených výnosů za I. pololetí odpovídá dosažené výkonnosti vyjádřené ve vykázaných bodech. Ve II. pololetí je čerpání nákladů vlivem dovolených a menší výkonností v měsíci prosinci nižší. Této skutečnosti odpovídá i předpokládaná výše výnosů. V porovnání s I. pololetím roku 2004 dochází k poklesu spotřeby materiálu, k poklesu čerpání prostředků na opravy. Vyšší spotřeba energie v korunovém vyjádření je způsobena nárůstem cen. Objem mzdových prostředků je z převážné části způsobem nárůstem tarifů. V oblasti výnosů je pokles způsoben odchodem ZZS a snížením plateb od zdravotních pojišťoven, předepsanou regulační srážkou za předepsaná léčiva v roce 2004 ve výši 2106 tis. Kč a snížením provozní dotace, kdy bylo možné v roce 2004 použít dotaci na oddlužení do provozu. Doplatky od zdravotních pojišťoven za zdravotní péči poskytnutou v I. pololetí nepředpokládáme.</t>
  </si>
  <si>
    <t>Mzdové náklady podle kategorií</t>
  </si>
  <si>
    <t>Komentář: V souladu se zrušení PO Jemnice od 1.1.2005, s projektem Optimalizace počtu zdravotního personálu na lůžko a tím plnění vyhlášky č. 101/2002 Sb. a dále pak díky rozšíření LDN Třebíč došlo u kategorií zdravotních pracovníků k dílčím změnám v počt</t>
  </si>
  <si>
    <t>LDN Třebíč</t>
  </si>
  <si>
    <t>Komentář: K nemocnici patří dále  111 lůžek léčebny pro dlouhodobě nemocné v Moravských Budějovicích. Od 1.7.2004 se počet lůžek v LDN mění na 100, stejně tak pro rok 2005.</t>
  </si>
  <si>
    <t>celkem cena investiční dotace (bez převodu z minulého roku</t>
  </si>
  <si>
    <t>plán celkem (včetne převodů z minulého roku)</t>
  </si>
  <si>
    <t>zbývá  dočerpat (včetně převodů z minulého roku)</t>
  </si>
  <si>
    <t>Stavební investice</t>
  </si>
  <si>
    <t>- všeobecný materiál + materiál údržba</t>
  </si>
  <si>
    <t>Ztráta minulých let</t>
  </si>
  <si>
    <t>VIII. Komentář k probíhajícím projektům - stav k 30.6.2005 + komentář k úseku ošetřovatelské péče</t>
  </si>
  <si>
    <t>IX. Nákup strojních investic za 1. pololetí 2005 - zdůvodnění</t>
  </si>
  <si>
    <r>
      <t>Příspěvek na sociální sestru, knihovnu,</t>
    </r>
    <r>
      <rPr>
        <b/>
        <sz val="8"/>
        <rFont val="Times New Roman"/>
        <family val="1"/>
      </rPr>
      <t xml:space="preserve"> oční školu </t>
    </r>
    <r>
      <rPr>
        <b/>
        <sz val="8"/>
        <rFont val="Times New Roman"/>
        <family val="1"/>
      </rPr>
      <t>a živelní pojištění, jiný typ dotace z rozpočtu OSVZ</t>
    </r>
  </si>
  <si>
    <r>
      <t>Komentář:</t>
    </r>
    <r>
      <rPr>
        <sz val="8"/>
        <rFont val="Arial CE"/>
        <family val="2"/>
      </rPr>
      <t xml:space="preserve">  </t>
    </r>
    <r>
      <rPr>
        <sz val="8"/>
        <color indexed="10"/>
        <rFont val="Arial CE"/>
        <family val="0"/>
      </rPr>
      <t>Nárůst závazků</t>
    </r>
    <r>
      <rPr>
        <sz val="8"/>
        <rFont val="Arial CE"/>
        <family val="2"/>
      </rPr>
      <t xml:space="preserve"> je způsoben zaúčtováním investičních faktur za rekonstrukci str. provozu ve výši cca 14 835tis. Kč a pořízením přístrojového vybavení (frankovací stroj a vyhřívaná podložka na dětské) ve výši cca 114 tis. Kč. Závazky budou uhrazeny v souladu se smlouvami. Na účtu 959 – dlouhodobé závazky – je zůstatek 998,67tis. Kč, v nemž je i částka 625tis. Kč (prominutá část splátky půjčky od KrÚ, neboť k 30.6.2005 nebyla oboustranně podepsaná darovací smlouva, na jejímž základě dojde k přeúčtování na rezervní fond a bude čerpáno na krytí  ztráty z minulých let, bude provedeno v 8/05).</t>
    </r>
  </si>
  <si>
    <t>LDN Buchtův kopec</t>
  </si>
  <si>
    <t>TRN Buchtův kopec</t>
  </si>
  <si>
    <t xml:space="preserve">Komentář:  Nemocnice Nové Město na Moravě dosáhla k 30.6.2005 příznivého hospodářského výsledku a to ve výši zisku 4 816 tis. Kč. Z toho v hlavní činnosti byl dosažen zisk ve výši 4 226 tis. Kč a v doplňkové činosti zisku 590 tis. Kč. Příjmová stránka nemocnice je poměrně limitovaná, přesto byl dosažen nárůst výnosů ve výši 2,5 % ( v nominální hodnotě po odečtení vlivu  dotací činí nárůst 6 268 tis. ). Tržby od zdravotních pojišťoven narostly o 8 686 tis. Kč a došlo k mírnému snížení tržeb za prodané zboží z lékárny ( vliv DPH, lékové regulace). Nárůst zaznamemaly i náklady jako celek ( vlivem nárůstu mzdových prostředků a služeb, energií), ale podařilo se ( vlivem úsporných opatření při hospodaření) snížit spotřebu materiálu ( léčivých přípravků a zdravotního materiálu) v porovnání s rokem 2004 o 5 323 tis. Kč.        </t>
  </si>
  <si>
    <t xml:space="preserve">Komentář:  O tom, že finanční prostředky pojišťoven nestačí pokrývat potřeby zdravotních zařízení vypovídá i vývoj bilance plateb od zdravotních pojišťoven. I v 1.pololetí roku 2005 dochází k nárůstu pohledávek a posunu ve lhůtě splatnosti ( nárůst pohledávek do 90 dnů po splatnosti). Jedná se o pohledávky od ZP, faktury za krev a v nepatrné výši od cizích státních příslušníků). Příznivě je třeba  hodnotit skutečnost, že se daří závazky hradit včas a finační situace je stabilní.      
</t>
  </si>
  <si>
    <t xml:space="preserve">Komentář: K podstatnému snížení počtu pracovníků jsme byli nuceni přistoupit již v roce 2004. V roce 2005 došlo pouze k nepatrným změnám u jednotlivých kategorií zaměstnanců. Došlo k mírnému nárůstu průměrné mzdy na 17 606 Kč ( což představuje 1 %). I nadále je neustále prováděna analýza počtu zaměstnanců na jednotlivých odděleních.   </t>
  </si>
  <si>
    <t xml:space="preserve">Komentář: Pro rok 2005 byl stanoven vyrovnaný rozpočet hospodaření, finanční  a investiční plán, plán oprav a objem prostředků na platy a odměny za pracovní pohotovost. Zároveň byla stanovena opatření, která měla vést ke splnění všech výše uvedených ukazatelů. O ekonomické a finanční stabilitě naší organizace svědčí příznivý vývoj plnění plánu a dosažení zisku k 30.6.2005 ve výši 4 816 tis. Kč. Daří se zajišťovat soulad mezi náklady a výnosy, regulovat růst mzdových nákladů a s tím souvisejích nákladů na sociální a zdravotní pojištění a povinný příděl do FKSP. Vývoj v oblasti tržeb odpovídá plánu. V oblasti nákladů se podařilo dodržet plán spotřeby materiálu, došlo k mírnému nárůstu v oblasti služeb ( o 4 %). Toto navýšení je ovllivněno zejména nárůstem nákladů na drobnou údržbu a opravy majetku. V oblasti osobních nákladů se jeví úspora, avšak nutné navýšení mzdových prostředků od září 2005 ( dle Sbírky zákonů č. 307/2005 a nařízení vlády ze dne 13.července 2005, kterými se řídí platové poměry zaměstnaců ve veřejné správě) povede k nevyhnutelnému nárůstu mzdových nákladů s přímým dopadem do nákladů organizace jako celku.   </t>
  </si>
  <si>
    <t xml:space="preserve">Komentář: Z uvedené tabulky vyplývá, že v roce 2005 nedošlo ve srovnání s rokem 2004 k nárůstu počtu lůžek.  Projevuje se snaha o optimální využití lůžkové kapacity. U oddělení ORL a oftalmologie došlo k jejich sloučení a lůžka jsou využívána podle potřeby obou oddělení ,což odůvodňuje vysokou obložnost u oddělení ORL.    </t>
  </si>
  <si>
    <t>Další lůžka - vyčleněné léčebny při nemocnici</t>
  </si>
  <si>
    <t>Hospodářský výsledek celkem</t>
  </si>
  <si>
    <t>Dětské centrum Jihlava</t>
  </si>
  <si>
    <t>Schválený plán na rok 2005</t>
  </si>
  <si>
    <t>Stav k 30.6.2005</t>
  </si>
  <si>
    <t xml:space="preserve">Hlavní </t>
  </si>
  <si>
    <t>Doplňková</t>
  </si>
  <si>
    <t xml:space="preserve">Doplňková </t>
  </si>
  <si>
    <t>HČ</t>
  </si>
  <si>
    <t>DČ</t>
  </si>
  <si>
    <t>%</t>
  </si>
  <si>
    <t xml:space="preserve">      z toho: zúčtování fondů /úč.648/</t>
  </si>
  <si>
    <t xml:space="preserve">      z toho: tržby z prodeje dlouhod. majetku /úč. 651/</t>
  </si>
  <si>
    <t xml:space="preserve">       z toho: opravy a udržování /úč. 511/</t>
  </si>
  <si>
    <t xml:space="preserve">           ostatní služby /úč. 518/</t>
  </si>
  <si>
    <t xml:space="preserve">     z toho: mzdové náklady /úč. 521/</t>
  </si>
  <si>
    <t xml:space="preserve">           v tom: platy zaměstnanců</t>
  </si>
  <si>
    <t xml:space="preserve">                    ostatní osobní náklady</t>
  </si>
  <si>
    <t xml:space="preserve">           sociální pojištění /úč. 524-528/</t>
  </si>
  <si>
    <t xml:space="preserve">      z toho: odpisy dlouhodobého majetku /úč. 551/</t>
  </si>
  <si>
    <t>Fondy v tis. Kč</t>
  </si>
  <si>
    <t>Zůstatek účtu k 31.12.2004</t>
  </si>
  <si>
    <t>Schválený plán pro rok 2005</t>
  </si>
  <si>
    <t>Skutečnost k 30. 6. 2005</t>
  </si>
  <si>
    <t>Stav k 1.1.2005</t>
  </si>
  <si>
    <t>Tvorba</t>
  </si>
  <si>
    <t>Čerpání</t>
  </si>
  <si>
    <t>Stav k 31.12.2005</t>
  </si>
  <si>
    <t>Běžný účet celkem</t>
  </si>
  <si>
    <t>-</t>
  </si>
  <si>
    <t>z toho: fond odměn</t>
  </si>
  <si>
    <t xml:space="preserve">          rezervní fond</t>
  </si>
  <si>
    <t xml:space="preserve">          provozní prostř.</t>
  </si>
  <si>
    <t xml:space="preserve">          investiční fond</t>
  </si>
  <si>
    <t>Běžný účet FKSP</t>
  </si>
  <si>
    <t>z toho po lhůtě splatnosti</t>
  </si>
  <si>
    <t>31-90</t>
  </si>
  <si>
    <t>91-180</t>
  </si>
  <si>
    <t>181-360</t>
  </si>
  <si>
    <t>nad 360</t>
  </si>
  <si>
    <t>Pohledávky 2004</t>
  </si>
  <si>
    <t>Pohledávky 2005</t>
  </si>
  <si>
    <t>Rozdíl</t>
  </si>
  <si>
    <t>Závazky 2004</t>
  </si>
  <si>
    <t>Závazky 2005</t>
  </si>
  <si>
    <t>Rozbor mzdových nákladů v Kč</t>
  </si>
  <si>
    <t>1. pololetí 2004</t>
  </si>
  <si>
    <t>všeobecné sestry</t>
  </si>
  <si>
    <t>dělníci</t>
  </si>
  <si>
    <t>mzdy celkem</t>
  </si>
  <si>
    <t>průměrný přepočtený počet</t>
  </si>
  <si>
    <t>průměrný přepočtený počet k poslednímu dnu</t>
  </si>
  <si>
    <t>průměrný plat zaměstnanců</t>
  </si>
  <si>
    <t>1. pololetí 2005</t>
  </si>
  <si>
    <t>Rozdíl v přepočteném počtu zaměstnanců</t>
  </si>
  <si>
    <t>Rozdíl v průměrném platu</t>
  </si>
  <si>
    <t>Dětský domov Kamenice nad Lipou</t>
  </si>
  <si>
    <t>skutečnost k 30.6.2005</t>
  </si>
  <si>
    <t>stav k 30. 6.</t>
  </si>
  <si>
    <t>ostatní zdrav. prac. nelékaři s odb. zp.</t>
  </si>
  <si>
    <t>jiní zdrav. prac. nelékaři s odb. způsob.</t>
  </si>
  <si>
    <t>ostatní zdrav. prac. nelékaři s odb. způsob.</t>
  </si>
  <si>
    <t>zdrav. prac. nelék. pod odbor. dohledem</t>
  </si>
  <si>
    <t>jiní odborní prac. nelékaři</t>
  </si>
  <si>
    <t>Finanční plán a průběžné plnění k 30.6.</t>
  </si>
  <si>
    <t>zdrav. prac. nelék.s odb. a special. způsob.</t>
  </si>
  <si>
    <t>Rozdíl 2005 - 2004</t>
  </si>
  <si>
    <t>počet stran: 25</t>
  </si>
  <si>
    <t>RK-27-2005-06, př. 5</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</si>
</sst>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0"/>
    <numFmt numFmtId="167" formatCode="00000"/>
    <numFmt numFmtId="168" formatCode="&quot;Yes&quot;;&quot;Yes&quot;;&quot;No&quot;"/>
    <numFmt numFmtId="169" formatCode="&quot;True&quot;;&quot;True&quot;;&quot;False&quot;"/>
    <numFmt numFmtId="170" formatCode="&quot;On&quot;;&quot;On&quot;;&quot;Off&quot;"/>
    <numFmt numFmtId="171" formatCode="#,##0;\-#,##0"/>
    <numFmt numFmtId="172" formatCode="#,##0;[Red]\-#,##0"/>
    <numFmt numFmtId="173" formatCode="#,##0.00;\-#,##0.00"/>
    <numFmt numFmtId="174" formatCode="#,##0.00;[Red]\-#,##0.00"/>
    <numFmt numFmtId="175" formatCode="#,##0.00000"/>
  </numFmts>
  <fonts count="40">
    <font>
      <sz val="10"/>
      <name val="Arial CE"/>
      <family val="0"/>
    </font>
    <font>
      <b/>
      <sz val="12"/>
      <name val="Arial CE"/>
      <family val="2"/>
    </font>
    <font>
      <b/>
      <sz val="10"/>
      <name val="Arial CE"/>
      <family val="2"/>
    </font>
    <font>
      <b/>
      <sz val="8"/>
      <name val="Arial CE"/>
      <family val="2"/>
    </font>
    <font>
      <sz val="8"/>
      <name val="Arial CE"/>
      <family val="2"/>
    </font>
    <font>
      <b/>
      <sz val="8"/>
      <color indexed="10"/>
      <name val="Arial CE"/>
      <family val="2"/>
    </font>
    <font>
      <b/>
      <sz val="10"/>
      <color indexed="10"/>
      <name val="Arial CE"/>
      <family val="2"/>
    </font>
    <font>
      <sz val="7"/>
      <name val="Arial CE"/>
      <family val="2"/>
    </font>
    <font>
      <b/>
      <sz val="14"/>
      <name val="Arial CE"/>
      <family val="2"/>
    </font>
    <font>
      <b/>
      <sz val="7"/>
      <name val="Arial CE"/>
      <family val="2"/>
    </font>
    <font>
      <b/>
      <sz val="8"/>
      <name val="Times New Roman"/>
      <family val="1"/>
    </font>
    <font>
      <b/>
      <sz val="8"/>
      <name val="Times New Roman CE"/>
      <family val="1"/>
    </font>
    <font>
      <b/>
      <sz val="7"/>
      <name val="Times New Roman"/>
      <family val="1"/>
    </font>
    <font>
      <u val="single"/>
      <sz val="10"/>
      <color indexed="12"/>
      <name val="Arial CE"/>
      <family val="0"/>
    </font>
    <font>
      <u val="single"/>
      <sz val="10"/>
      <color indexed="36"/>
      <name val="Arial CE"/>
      <family val="0"/>
    </font>
    <font>
      <sz val="15.25"/>
      <name val="Arial CE"/>
      <family val="0"/>
    </font>
    <font>
      <sz val="16.5"/>
      <name val="Arial CE"/>
      <family val="0"/>
    </font>
    <font>
      <b/>
      <sz val="12"/>
      <color indexed="10"/>
      <name val="Arial CE"/>
      <family val="2"/>
    </font>
    <font>
      <sz val="10"/>
      <color indexed="10"/>
      <name val="Arial CE"/>
      <family val="2"/>
    </font>
    <font>
      <b/>
      <sz val="12"/>
      <name val="Times New Roman"/>
      <family val="1"/>
    </font>
    <font>
      <b/>
      <sz val="10"/>
      <name val="Times New Roman"/>
      <family val="1"/>
    </font>
    <font>
      <sz val="9"/>
      <name val="Times New Roman"/>
      <family val="1"/>
    </font>
    <font>
      <b/>
      <sz val="11.5"/>
      <name val="Arial CE"/>
      <family val="2"/>
    </font>
    <font>
      <sz val="11.75"/>
      <name val="Arial CE"/>
      <family val="0"/>
    </font>
    <font>
      <sz val="11.25"/>
      <name val="Arial CE"/>
      <family val="0"/>
    </font>
    <font>
      <b/>
      <sz val="9.75"/>
      <name val="Arial CE"/>
      <family val="2"/>
    </font>
    <font>
      <sz val="17"/>
      <name val="Arial CE"/>
      <family val="0"/>
    </font>
    <font>
      <sz val="16"/>
      <name val="Arial CE"/>
      <family val="0"/>
    </font>
    <font>
      <b/>
      <sz val="8.5"/>
      <name val="Arial CE"/>
      <family val="2"/>
    </font>
    <font>
      <sz val="10"/>
      <name val="Times New Roman CE"/>
      <family val="1"/>
    </font>
    <font>
      <sz val="8"/>
      <color indexed="12"/>
      <name val="Arial CE"/>
      <family val="2"/>
    </font>
    <font>
      <sz val="8"/>
      <color indexed="10"/>
      <name val="Arial CE"/>
      <family val="0"/>
    </font>
    <font>
      <b/>
      <sz val="8"/>
      <color indexed="12"/>
      <name val="Arial CE"/>
      <family val="0"/>
    </font>
    <font>
      <b/>
      <sz val="8"/>
      <color indexed="10"/>
      <name val="Times New Roman"/>
      <family val="1"/>
    </font>
    <font>
      <b/>
      <sz val="10"/>
      <color indexed="14"/>
      <name val="Arial CE"/>
      <family val="0"/>
    </font>
    <font>
      <b/>
      <sz val="8.25"/>
      <name val="Arial CE"/>
      <family val="2"/>
    </font>
    <font>
      <sz val="12"/>
      <name val="Arial CE"/>
      <family val="2"/>
    </font>
    <font>
      <b/>
      <sz val="9"/>
      <name val="Arial CE"/>
      <family val="2"/>
    </font>
    <font>
      <sz val="9"/>
      <name val="Arial CE"/>
      <family val="2"/>
    </font>
    <font>
      <sz val="6"/>
      <name val="Arial CE"/>
      <family val="2"/>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100">
    <border>
      <left/>
      <right/>
      <top/>
      <bottom/>
      <diagonal/>
    </border>
    <border>
      <left style="thin"/>
      <right style="thin"/>
      <top style="thin"/>
      <bottom style="thin"/>
    </border>
    <border>
      <left style="thin"/>
      <right style="thin"/>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thin"/>
      <bottom style="thin"/>
    </border>
    <border>
      <left style="thin"/>
      <right style="medium"/>
      <top style="medium"/>
      <bottom style="thin"/>
    </border>
    <border>
      <left style="thin"/>
      <right style="medium"/>
      <top style="thin"/>
      <bottom>
        <color indexed="63"/>
      </bottom>
    </border>
    <border>
      <left style="medium"/>
      <right>
        <color indexed="63"/>
      </right>
      <top>
        <color indexed="63"/>
      </top>
      <bottom style="medium"/>
    </border>
    <border>
      <left style="thin"/>
      <right style="medium"/>
      <top>
        <color indexed="63"/>
      </top>
      <bottom style="medium"/>
    </border>
    <border>
      <left style="medium"/>
      <right style="medium"/>
      <top style="medium"/>
      <bottom>
        <color indexed="63"/>
      </bottom>
    </border>
    <border>
      <left style="medium"/>
      <right style="thin"/>
      <top style="medium"/>
      <bottom>
        <color indexed="63"/>
      </bottom>
    </border>
    <border>
      <left style="thin"/>
      <right style="medium"/>
      <top style="medium"/>
      <bottom>
        <color indexed="63"/>
      </bottom>
    </border>
    <border>
      <left style="medium"/>
      <right style="medium"/>
      <top style="thin"/>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right style="thin"/>
      <top style="medium"/>
      <bottom style="medium"/>
    </border>
    <border>
      <left style="thin"/>
      <right style="medium"/>
      <top style="medium"/>
      <bottom style="medium"/>
    </border>
    <border>
      <left style="medium"/>
      <right style="medium"/>
      <top>
        <color indexed="63"/>
      </top>
      <bottom style="thin"/>
    </border>
    <border>
      <left>
        <color indexed="63"/>
      </left>
      <right style="thin"/>
      <top>
        <color indexed="63"/>
      </top>
      <bottom style="thin"/>
    </border>
    <border>
      <left style="medium"/>
      <right style="medium"/>
      <top style="thin"/>
      <bottom>
        <color indexed="63"/>
      </bottom>
    </border>
    <border>
      <left style="medium"/>
      <right style="medium"/>
      <top>
        <color indexed="63"/>
      </top>
      <bottom style="medium"/>
    </border>
    <border>
      <left>
        <color indexed="63"/>
      </left>
      <right style="thin"/>
      <top>
        <color indexed="63"/>
      </top>
      <bottom style="medium"/>
    </border>
    <border>
      <left style="thin"/>
      <right>
        <color indexed="63"/>
      </right>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style="thin"/>
      <top>
        <color indexed="63"/>
      </top>
      <bottom style="medium"/>
    </border>
    <border>
      <left style="thin"/>
      <right>
        <color indexed="63"/>
      </right>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style="medium"/>
      <right style="thin"/>
      <top style="medium"/>
      <bottom style="thin"/>
    </border>
    <border>
      <left style="thin"/>
      <right style="thin"/>
      <top style="medium"/>
      <bottom style="thin"/>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style="medium"/>
      <right style="thin"/>
      <top style="medium"/>
      <bottom style="medium"/>
    </border>
    <border>
      <left>
        <color indexed="63"/>
      </left>
      <right>
        <color indexed="63"/>
      </right>
      <top>
        <color indexed="63"/>
      </top>
      <bottom style="medium"/>
    </border>
    <border>
      <left style="medium"/>
      <right>
        <color indexed="63"/>
      </right>
      <top style="medium"/>
      <bottom style="thin"/>
    </border>
    <border>
      <left>
        <color indexed="63"/>
      </left>
      <right style="medium"/>
      <top style="medium"/>
      <bottom style="medium"/>
    </border>
    <border>
      <left style="medium"/>
      <right>
        <color indexed="63"/>
      </right>
      <top style="thin"/>
      <bottom style="medium"/>
    </border>
    <border>
      <left style="medium"/>
      <right style="medium"/>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thin"/>
      <bottom style="thin"/>
    </border>
    <border>
      <left>
        <color indexed="63"/>
      </left>
      <right style="thin"/>
      <top style="medium"/>
      <bottom style="medium"/>
    </border>
    <border>
      <left style="medium"/>
      <right>
        <color indexed="63"/>
      </right>
      <top style="medium"/>
      <bottom>
        <color indexed="63"/>
      </bottom>
    </border>
    <border>
      <left style="medium"/>
      <right style="medium"/>
      <top style="medium"/>
      <bottom style="thin"/>
    </border>
    <border>
      <left>
        <color indexed="63"/>
      </left>
      <right>
        <color indexed="63"/>
      </right>
      <top style="thin"/>
      <bottom>
        <color indexed="63"/>
      </bottom>
    </border>
    <border>
      <left>
        <color indexed="63"/>
      </left>
      <right>
        <color indexed="63"/>
      </right>
      <top style="thin"/>
      <bottom style="medium"/>
    </border>
    <border>
      <left>
        <color indexed="63"/>
      </left>
      <right>
        <color indexed="63"/>
      </right>
      <top style="medium"/>
      <bottom style="thin"/>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style="medium"/>
      <top style="medium"/>
      <bottom style="thin"/>
    </border>
    <border>
      <left>
        <color indexed="63"/>
      </left>
      <right style="thin"/>
      <top style="thick"/>
      <bottom style="thin"/>
    </border>
    <border>
      <left style="thin"/>
      <right style="thin"/>
      <top style="thick"/>
      <bottom style="thin"/>
    </border>
    <border>
      <left>
        <color indexed="63"/>
      </left>
      <right>
        <color indexed="63"/>
      </right>
      <top style="thick"/>
      <bottom style="thin"/>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medium"/>
      <bottom style="medium"/>
    </border>
    <border>
      <left style="medium"/>
      <right style="thin"/>
      <top>
        <color indexed="63"/>
      </top>
      <bottom style="thick"/>
    </border>
    <border>
      <left style="thin"/>
      <right style="thin"/>
      <top>
        <color indexed="63"/>
      </top>
      <bottom style="thick"/>
    </border>
    <border>
      <left style="thin"/>
      <right style="medium"/>
      <top>
        <color indexed="63"/>
      </top>
      <bottom style="thick"/>
    </border>
    <border>
      <left style="medium"/>
      <right>
        <color indexed="63"/>
      </right>
      <top style="medium"/>
      <bottom style="double"/>
    </border>
    <border>
      <left style="thin"/>
      <right style="thin"/>
      <top style="medium"/>
      <bottom style="double"/>
    </border>
    <border>
      <left style="thin"/>
      <right>
        <color indexed="63"/>
      </right>
      <top style="medium"/>
      <bottom style="double"/>
    </border>
    <border>
      <left style="medium"/>
      <right style="medium"/>
      <top style="medium"/>
      <bottom style="double"/>
    </border>
    <border>
      <left style="medium"/>
      <right style="thin"/>
      <top style="medium"/>
      <bottom style="double"/>
    </border>
    <border>
      <left>
        <color indexed="63"/>
      </left>
      <right>
        <color indexed="63"/>
      </right>
      <top style="medium"/>
      <bottom style="double"/>
    </border>
    <border>
      <left style="thin"/>
      <right style="medium"/>
      <top style="medium"/>
      <bottom style="double"/>
    </border>
    <border>
      <left style="medium"/>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medium"/>
      <right style="medium"/>
      <top>
        <color indexed="63"/>
      </top>
      <bottom style="double"/>
    </border>
    <border>
      <left style="medium"/>
      <right style="thin"/>
      <top>
        <color indexed="63"/>
      </top>
      <bottom style="double"/>
    </border>
    <border>
      <left>
        <color indexed="63"/>
      </left>
      <right style="medium"/>
      <top style="medium"/>
      <bottom>
        <color indexed="63"/>
      </bottom>
    </border>
    <border>
      <left style="thin"/>
      <right style="thin"/>
      <top style="medium"/>
      <bottom>
        <color indexed="63"/>
      </bottom>
    </border>
    <border>
      <left>
        <color indexed="63"/>
      </left>
      <right style="medium"/>
      <top style="thin"/>
      <bottom style="medium"/>
    </border>
    <border>
      <left>
        <color indexed="63"/>
      </left>
      <right style="thin"/>
      <top style="medium"/>
      <bottom>
        <color indexed="63"/>
      </bottom>
    </border>
    <border>
      <left>
        <color indexed="63"/>
      </left>
      <right style="thick"/>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3" fontId="4" fillId="0" borderId="1">
      <alignment horizontal="center" vertical="center" wrapText="1"/>
      <protection/>
    </xf>
    <xf numFmtId="9" fontId="0" fillId="0" borderId="0" applyFont="0" applyFill="0" applyBorder="0" applyAlignment="0" applyProtection="0"/>
    <xf numFmtId="0" fontId="14" fillId="0" borderId="0" applyNumberFormat="0" applyFill="0" applyBorder="0" applyAlignment="0" applyProtection="0"/>
  </cellStyleXfs>
  <cellXfs count="1184">
    <xf numFmtId="0" fontId="0" fillId="0" borderId="0" xfId="0" applyAlignment="1">
      <alignment/>
    </xf>
    <xf numFmtId="0" fontId="3" fillId="2" borderId="2" xfId="0" applyFont="1" applyFill="1" applyBorder="1" applyAlignment="1">
      <alignment horizontal="center" vertical="center" wrapText="1"/>
    </xf>
    <xf numFmtId="3" fontId="3" fillId="0" borderId="3" xfId="0" applyNumberFormat="1" applyFont="1" applyBorder="1" applyAlignment="1">
      <alignment vertical="center"/>
    </xf>
    <xf numFmtId="3" fontId="3" fillId="0" borderId="4" xfId="0" applyNumberFormat="1" applyFont="1" applyBorder="1" applyAlignment="1">
      <alignment vertical="center"/>
    </xf>
    <xf numFmtId="3" fontId="3" fillId="0" borderId="1" xfId="0" applyNumberFormat="1" applyFont="1" applyBorder="1" applyAlignment="1">
      <alignment vertical="center"/>
    </xf>
    <xf numFmtId="3" fontId="3" fillId="0" borderId="5" xfId="0" applyNumberFormat="1" applyFont="1" applyBorder="1" applyAlignment="1">
      <alignment vertical="center"/>
    </xf>
    <xf numFmtId="3"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3" fontId="3" fillId="0" borderId="9" xfId="0" applyNumberFormat="1" applyFont="1" applyBorder="1" applyAlignment="1">
      <alignment vertical="center"/>
    </xf>
    <xf numFmtId="0" fontId="3" fillId="2" borderId="10" xfId="0" applyFont="1" applyFill="1" applyBorder="1" applyAlignment="1">
      <alignment horizontal="center" vertical="center" wrapText="1"/>
    </xf>
    <xf numFmtId="3" fontId="3" fillId="0" borderId="11" xfId="0" applyNumberFormat="1" applyFont="1" applyBorder="1" applyAlignment="1">
      <alignment vertical="center"/>
    </xf>
    <xf numFmtId="3" fontId="3" fillId="0" borderId="12" xfId="0" applyNumberFormat="1" applyFont="1" applyBorder="1" applyAlignment="1">
      <alignment vertical="center"/>
    </xf>
    <xf numFmtId="3" fontId="4" fillId="0" borderId="13" xfId="0" applyNumberFormat="1" applyFont="1" applyBorder="1" applyAlignment="1">
      <alignment vertical="center"/>
    </xf>
    <xf numFmtId="3" fontId="4" fillId="0" borderId="5" xfId="0" applyNumberFormat="1" applyFont="1" applyBorder="1" applyAlignment="1">
      <alignment vertical="center"/>
    </xf>
    <xf numFmtId="3" fontId="4" fillId="0" borderId="7" xfId="0" applyNumberFormat="1" applyFont="1" applyBorder="1" applyAlignment="1">
      <alignment vertical="center"/>
    </xf>
    <xf numFmtId="3" fontId="4" fillId="0" borderId="14" xfId="0" applyNumberFormat="1" applyFont="1" applyBorder="1" applyAlignment="1">
      <alignment vertical="center"/>
    </xf>
    <xf numFmtId="0" fontId="3" fillId="2" borderId="15" xfId="0" applyFont="1" applyFill="1" applyBorder="1" applyAlignment="1">
      <alignment horizontal="center"/>
    </xf>
    <xf numFmtId="0" fontId="3" fillId="2" borderId="16" xfId="0" applyFont="1" applyFill="1" applyBorder="1" applyAlignment="1">
      <alignment horizontal="center"/>
    </xf>
    <xf numFmtId="0" fontId="4" fillId="0" borderId="17" xfId="0"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0" fontId="4" fillId="0" borderId="20" xfId="0" applyFont="1" applyBorder="1" applyAlignment="1">
      <alignment vertical="center"/>
    </xf>
    <xf numFmtId="3" fontId="3" fillId="0" borderId="21" xfId="0" applyNumberFormat="1" applyFont="1" applyBorder="1" applyAlignment="1">
      <alignment vertical="center"/>
    </xf>
    <xf numFmtId="3" fontId="5" fillId="2" borderId="16" xfId="0" applyNumberFormat="1" applyFont="1" applyFill="1" applyBorder="1" applyAlignment="1">
      <alignment vertical="center"/>
    </xf>
    <xf numFmtId="0" fontId="1" fillId="0" borderId="0" xfId="0" applyFont="1" applyAlignment="1">
      <alignment/>
    </xf>
    <xf numFmtId="3" fontId="3" fillId="0" borderId="22" xfId="0" applyNumberFormat="1" applyFont="1" applyBorder="1" applyAlignment="1">
      <alignment vertical="center"/>
    </xf>
    <xf numFmtId="3" fontId="3" fillId="0" borderId="23" xfId="0" applyNumberFormat="1" applyFont="1" applyBorder="1" applyAlignment="1">
      <alignment vertical="center"/>
    </xf>
    <xf numFmtId="0" fontId="4" fillId="0" borderId="0" xfId="0" applyFont="1" applyAlignment="1">
      <alignment horizontal="right"/>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xf>
    <xf numFmtId="49" fontId="3" fillId="2" borderId="24"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0" fontId="0" fillId="0" borderId="0" xfId="0" applyAlignment="1">
      <alignment vertical="center"/>
    </xf>
    <xf numFmtId="3" fontId="3" fillId="0" borderId="26" xfId="0" applyNumberFormat="1" applyFont="1" applyBorder="1" applyAlignment="1">
      <alignment vertical="center"/>
    </xf>
    <xf numFmtId="3" fontId="3" fillId="0" borderId="27" xfId="0" applyNumberFormat="1" applyFont="1" applyBorder="1" applyAlignment="1">
      <alignment vertical="center"/>
    </xf>
    <xf numFmtId="3" fontId="3" fillId="0" borderId="28" xfId="0" applyNumberFormat="1" applyFont="1" applyBorder="1" applyAlignment="1">
      <alignment vertical="center"/>
    </xf>
    <xf numFmtId="3" fontId="3" fillId="0" borderId="14" xfId="0" applyNumberFormat="1" applyFont="1" applyBorder="1" applyAlignment="1">
      <alignment vertical="center"/>
    </xf>
    <xf numFmtId="3" fontId="3" fillId="0" borderId="29" xfId="0" applyNumberFormat="1" applyFont="1" applyBorder="1" applyAlignment="1">
      <alignment vertical="center"/>
    </xf>
    <xf numFmtId="3" fontId="3" fillId="0" borderId="25" xfId="0" applyNumberFormat="1" applyFont="1" applyBorder="1" applyAlignment="1">
      <alignment vertical="center"/>
    </xf>
    <xf numFmtId="3" fontId="3" fillId="0" borderId="30" xfId="0" applyNumberFormat="1" applyFont="1" applyBorder="1" applyAlignment="1">
      <alignment vertical="center"/>
    </xf>
    <xf numFmtId="3" fontId="3" fillId="0" borderId="31" xfId="0" applyNumberFormat="1" applyFont="1" applyBorder="1" applyAlignment="1">
      <alignment vertical="center"/>
    </xf>
    <xf numFmtId="3" fontId="3" fillId="0" borderId="3" xfId="0" applyNumberFormat="1" applyFont="1" applyFill="1" applyBorder="1" applyAlignment="1">
      <alignment vertical="center"/>
    </xf>
    <xf numFmtId="3" fontId="3" fillId="0" borderId="1" xfId="0" applyNumberFormat="1" applyFont="1" applyFill="1" applyBorder="1" applyAlignment="1">
      <alignment vertical="center"/>
    </xf>
    <xf numFmtId="3" fontId="3" fillId="0" borderId="8" xfId="0" applyNumberFormat="1" applyFont="1" applyFill="1" applyBorder="1" applyAlignment="1">
      <alignment vertical="center"/>
    </xf>
    <xf numFmtId="3" fontId="3" fillId="2" borderId="32" xfId="0" applyNumberFormat="1" applyFont="1" applyFill="1" applyBorder="1" applyAlignment="1">
      <alignment vertical="center"/>
    </xf>
    <xf numFmtId="3" fontId="5" fillId="2" borderId="33" xfId="0" applyNumberFormat="1" applyFont="1" applyFill="1" applyBorder="1" applyAlignment="1">
      <alignment vertical="center"/>
    </xf>
    <xf numFmtId="14" fontId="3" fillId="0" borderId="34" xfId="0" applyNumberFormat="1" applyFont="1" applyFill="1" applyBorder="1" applyAlignment="1">
      <alignment horizontal="center" vertical="center"/>
    </xf>
    <xf numFmtId="3" fontId="3" fillId="0" borderId="35" xfId="0" applyNumberFormat="1" applyFont="1" applyFill="1" applyBorder="1" applyAlignment="1">
      <alignment vertical="center"/>
    </xf>
    <xf numFmtId="14" fontId="3" fillId="0" borderId="20" xfId="0" applyNumberFormat="1" applyFont="1" applyFill="1" applyBorder="1" applyAlignment="1">
      <alignment horizontal="center" vertical="center"/>
    </xf>
    <xf numFmtId="3" fontId="3" fillId="0" borderId="30" xfId="0" applyNumberFormat="1" applyFont="1" applyFill="1" applyBorder="1" applyAlignment="1">
      <alignment vertical="center"/>
    </xf>
    <xf numFmtId="14" fontId="3" fillId="0" borderId="36" xfId="0" applyNumberFormat="1" applyFont="1" applyFill="1" applyBorder="1" applyAlignment="1">
      <alignment horizontal="center" vertical="center"/>
    </xf>
    <xf numFmtId="3" fontId="3" fillId="0" borderId="26" xfId="0" applyNumberFormat="1" applyFont="1" applyFill="1" applyBorder="1" applyAlignment="1">
      <alignment vertical="center"/>
    </xf>
    <xf numFmtId="14" fontId="3" fillId="0" borderId="37" xfId="0" applyNumberFormat="1" applyFont="1" applyFill="1" applyBorder="1" applyAlignment="1">
      <alignment horizontal="center" vertical="center"/>
    </xf>
    <xf numFmtId="3" fontId="3" fillId="0" borderId="38" xfId="0" applyNumberFormat="1" applyFont="1" applyFill="1" applyBorder="1" applyAlignment="1">
      <alignment vertical="center"/>
    </xf>
    <xf numFmtId="3" fontId="3" fillId="0" borderId="2" xfId="0" applyNumberFormat="1" applyFont="1" applyFill="1" applyBorder="1" applyAlignment="1">
      <alignment vertical="center"/>
    </xf>
    <xf numFmtId="3" fontId="3" fillId="0" borderId="21" xfId="0" applyNumberFormat="1" applyFont="1" applyFill="1" applyBorder="1" applyAlignment="1">
      <alignment vertical="center"/>
    </xf>
    <xf numFmtId="3" fontId="3" fillId="2" borderId="39" xfId="0" applyNumberFormat="1" applyFont="1" applyFill="1" applyBorder="1" applyAlignment="1">
      <alignment vertical="center"/>
    </xf>
    <xf numFmtId="14" fontId="3" fillId="0" borderId="40" xfId="0" applyNumberFormat="1" applyFont="1" applyFill="1" applyBorder="1" applyAlignment="1">
      <alignment horizontal="center" vertical="center"/>
    </xf>
    <xf numFmtId="14" fontId="3" fillId="0" borderId="41" xfId="0" applyNumberFormat="1" applyFont="1" applyFill="1" applyBorder="1" applyAlignment="1">
      <alignment horizontal="center" vertical="center"/>
    </xf>
    <xf numFmtId="14" fontId="3" fillId="0" borderId="42"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xf>
    <xf numFmtId="3" fontId="3" fillId="0" borderId="22" xfId="0" applyNumberFormat="1" applyFont="1" applyFill="1" applyBorder="1" applyAlignment="1">
      <alignment vertical="center"/>
    </xf>
    <xf numFmtId="3" fontId="3" fillId="0" borderId="5" xfId="0" applyNumberFormat="1" applyFont="1" applyFill="1" applyBorder="1" applyAlignment="1">
      <alignment vertical="center"/>
    </xf>
    <xf numFmtId="3" fontId="3" fillId="0" borderId="28" xfId="0" applyNumberFormat="1" applyFont="1" applyFill="1" applyBorder="1" applyAlignment="1">
      <alignment vertical="center"/>
    </xf>
    <xf numFmtId="3" fontId="3" fillId="0" borderId="43" xfId="0" applyNumberFormat="1" applyFont="1" applyFill="1" applyBorder="1" applyAlignment="1">
      <alignment vertical="center"/>
    </xf>
    <xf numFmtId="0" fontId="3" fillId="2" borderId="8"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0" borderId="0" xfId="0" applyBorder="1" applyAlignment="1">
      <alignment vertical="top"/>
    </xf>
    <xf numFmtId="14" fontId="3" fillId="0" borderId="0" xfId="0" applyNumberFormat="1" applyFont="1" applyFill="1" applyBorder="1" applyAlignment="1">
      <alignment horizontal="center"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horizontal="right" vertical="center" wrapText="1"/>
    </xf>
    <xf numFmtId="0" fontId="3" fillId="2" borderId="44" xfId="0" applyFont="1" applyFill="1" applyBorder="1" applyAlignment="1">
      <alignment horizontal="center" vertical="center" wrapText="1"/>
    </xf>
    <xf numFmtId="3" fontId="3" fillId="0" borderId="45" xfId="0" applyNumberFormat="1" applyFont="1" applyBorder="1" applyAlignment="1">
      <alignment vertical="center"/>
    </xf>
    <xf numFmtId="3" fontId="3" fillId="0" borderId="46" xfId="0" applyNumberFormat="1" applyFont="1" applyBorder="1" applyAlignment="1">
      <alignment vertical="center"/>
    </xf>
    <xf numFmtId="3" fontId="3" fillId="0" borderId="47" xfId="0" applyNumberFormat="1" applyFont="1" applyBorder="1" applyAlignment="1">
      <alignment vertical="center"/>
    </xf>
    <xf numFmtId="3" fontId="3" fillId="0" borderId="44" xfId="0" applyNumberFormat="1" applyFont="1" applyBorder="1" applyAlignment="1">
      <alignment vertical="center"/>
    </xf>
    <xf numFmtId="3" fontId="3" fillId="0" borderId="48" xfId="0" applyNumberFormat="1" applyFont="1" applyBorder="1" applyAlignment="1">
      <alignment vertical="center"/>
    </xf>
    <xf numFmtId="3" fontId="3" fillId="0" borderId="35" xfId="0" applyNumberFormat="1" applyFont="1" applyBorder="1" applyAlignment="1">
      <alignment vertical="center"/>
    </xf>
    <xf numFmtId="0" fontId="3" fillId="2" borderId="23" xfId="0" applyFont="1" applyFill="1" applyBorder="1" applyAlignment="1">
      <alignment horizontal="center" vertical="center" wrapText="1"/>
    </xf>
    <xf numFmtId="0" fontId="3" fillId="2" borderId="7" xfId="0" applyFont="1" applyFill="1" applyBorder="1" applyAlignment="1">
      <alignment horizontal="center" vertical="center" wrapText="1"/>
    </xf>
    <xf numFmtId="3" fontId="3" fillId="0" borderId="49" xfId="0" applyNumberFormat="1" applyFont="1" applyBorder="1" applyAlignment="1">
      <alignment vertical="center"/>
    </xf>
    <xf numFmtId="3" fontId="3" fillId="0" borderId="7" xfId="0" applyNumberFormat="1" applyFont="1" applyFill="1" applyBorder="1" applyAlignment="1">
      <alignment vertical="center"/>
    </xf>
    <xf numFmtId="0" fontId="1" fillId="0" borderId="0" xfId="0" applyFont="1" applyBorder="1" applyAlignment="1">
      <alignment/>
    </xf>
    <xf numFmtId="3" fontId="4" fillId="0" borderId="4" xfId="0" applyNumberFormat="1" applyFont="1" applyBorder="1" applyAlignment="1">
      <alignment vertical="center"/>
    </xf>
    <xf numFmtId="0" fontId="4" fillId="0" borderId="0" xfId="0" applyFont="1" applyBorder="1" applyAlignment="1">
      <alignment/>
    </xf>
    <xf numFmtId="3" fontId="3" fillId="2" borderId="43" xfId="0" applyNumberFormat="1" applyFont="1" applyFill="1" applyBorder="1" applyAlignment="1">
      <alignment vertical="center"/>
    </xf>
    <xf numFmtId="3" fontId="3" fillId="2" borderId="2" xfId="0" applyNumberFormat="1" applyFont="1" applyFill="1" applyBorder="1" applyAlignment="1">
      <alignment vertical="center"/>
    </xf>
    <xf numFmtId="0" fontId="3" fillId="2" borderId="16" xfId="0" applyFont="1" applyFill="1" applyBorder="1" applyAlignment="1">
      <alignment horizontal="center" vertical="center" wrapText="1"/>
    </xf>
    <xf numFmtId="0" fontId="3" fillId="2" borderId="6" xfId="0" applyFont="1" applyFill="1" applyBorder="1" applyAlignment="1">
      <alignment horizontal="center" vertical="center" wrapText="1"/>
    </xf>
    <xf numFmtId="3" fontId="5" fillId="0" borderId="4" xfId="0" applyNumberFormat="1" applyFont="1" applyFill="1" applyBorder="1" applyAlignment="1">
      <alignment horizontal="right" vertical="center" wrapText="1"/>
    </xf>
    <xf numFmtId="3" fontId="5" fillId="0" borderId="16" xfId="0" applyNumberFormat="1" applyFont="1" applyFill="1" applyBorder="1" applyAlignment="1">
      <alignment horizontal="right" vertical="center" wrapText="1"/>
    </xf>
    <xf numFmtId="3" fontId="5" fillId="0" borderId="4" xfId="0" applyNumberFormat="1" applyFont="1" applyFill="1" applyBorder="1" applyAlignment="1">
      <alignment vertical="center"/>
    </xf>
    <xf numFmtId="3" fontId="5" fillId="0" borderId="5" xfId="0" applyNumberFormat="1" applyFont="1" applyFill="1" applyBorder="1" applyAlignment="1">
      <alignment vertical="center"/>
    </xf>
    <xf numFmtId="3" fontId="5" fillId="0" borderId="7" xfId="0" applyNumberFormat="1" applyFont="1" applyFill="1" applyBorder="1" applyAlignment="1">
      <alignment vertical="center"/>
    </xf>
    <xf numFmtId="3" fontId="3" fillId="0" borderId="50" xfId="0" applyNumberFormat="1" applyFont="1" applyFill="1" applyBorder="1" applyAlignment="1">
      <alignment vertical="center"/>
    </xf>
    <xf numFmtId="14" fontId="3" fillId="2" borderId="37" xfId="0" applyNumberFormat="1" applyFont="1" applyFill="1" applyBorder="1" applyAlignment="1">
      <alignment horizontal="center" vertical="center"/>
    </xf>
    <xf numFmtId="3" fontId="3" fillId="2" borderId="38" xfId="0" applyNumberFormat="1" applyFont="1" applyFill="1" applyBorder="1" applyAlignment="1">
      <alignment vertical="center"/>
    </xf>
    <xf numFmtId="3" fontId="5" fillId="2" borderId="16" xfId="0" applyNumberFormat="1" applyFont="1" applyFill="1" applyBorder="1" applyAlignment="1">
      <alignment horizontal="right" wrapText="1"/>
    </xf>
    <xf numFmtId="3" fontId="5" fillId="0" borderId="11" xfId="0" applyNumberFormat="1" applyFont="1" applyFill="1" applyBorder="1" applyAlignment="1">
      <alignment vertical="center"/>
    </xf>
    <xf numFmtId="3" fontId="5" fillId="0" borderId="12" xfId="0" applyNumberFormat="1" applyFont="1" applyFill="1" applyBorder="1" applyAlignment="1">
      <alignment vertical="center"/>
    </xf>
    <xf numFmtId="3" fontId="5" fillId="0" borderId="44" xfId="0" applyNumberFormat="1" applyFont="1" applyFill="1" applyBorder="1" applyAlignment="1">
      <alignment vertical="center"/>
    </xf>
    <xf numFmtId="0" fontId="0" fillId="0" borderId="20" xfId="0" applyBorder="1" applyAlignment="1">
      <alignment/>
    </xf>
    <xf numFmtId="0" fontId="0" fillId="0" borderId="51" xfId="0" applyBorder="1" applyAlignment="1">
      <alignment/>
    </xf>
    <xf numFmtId="0" fontId="0" fillId="0" borderId="34" xfId="0" applyBorder="1" applyAlignment="1">
      <alignment/>
    </xf>
    <xf numFmtId="3"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vertical="center"/>
    </xf>
    <xf numFmtId="0" fontId="0" fillId="0" borderId="0" xfId="0" applyBorder="1" applyAlignment="1">
      <alignment/>
    </xf>
    <xf numFmtId="3" fontId="3" fillId="0" borderId="20" xfId="0" applyNumberFormat="1" applyFont="1" applyFill="1" applyBorder="1" applyAlignment="1">
      <alignment vertical="center"/>
    </xf>
    <xf numFmtId="14" fontId="3" fillId="0" borderId="0" xfId="0" applyNumberFormat="1" applyFont="1" applyFill="1" applyBorder="1" applyAlignment="1">
      <alignment horizontal="left" vertical="center"/>
    </xf>
    <xf numFmtId="3" fontId="3" fillId="2" borderId="52" xfId="0" applyNumberFormat="1" applyFont="1" applyFill="1" applyBorder="1" applyAlignment="1">
      <alignment vertical="center"/>
    </xf>
    <xf numFmtId="3" fontId="3" fillId="0" borderId="51" xfId="0" applyNumberFormat="1" applyFont="1" applyBorder="1" applyAlignment="1">
      <alignment/>
    </xf>
    <xf numFmtId="3" fontId="3" fillId="0" borderId="0" xfId="0" applyNumberFormat="1" applyFont="1" applyBorder="1" applyAlignment="1">
      <alignment/>
    </xf>
    <xf numFmtId="2" fontId="3" fillId="0" borderId="40" xfId="0" applyNumberFormat="1" applyFont="1" applyFill="1" applyBorder="1" applyAlignment="1">
      <alignment vertical="center"/>
    </xf>
    <xf numFmtId="3" fontId="7" fillId="0" borderId="3" xfId="0" applyNumberFormat="1" applyFont="1" applyFill="1" applyBorder="1" applyAlignment="1">
      <alignment vertical="center"/>
    </xf>
    <xf numFmtId="2" fontId="3" fillId="0" borderId="41" xfId="0" applyNumberFormat="1" applyFont="1" applyFill="1" applyBorder="1" applyAlignment="1">
      <alignment vertical="center"/>
    </xf>
    <xf numFmtId="3" fontId="7" fillId="0" borderId="1" xfId="0" applyNumberFormat="1" applyFont="1" applyFill="1" applyBorder="1" applyAlignment="1">
      <alignment vertical="center"/>
    </xf>
    <xf numFmtId="2" fontId="3" fillId="2" borderId="53" xfId="0" applyNumberFormat="1" applyFont="1" applyFill="1" applyBorder="1" applyAlignment="1">
      <alignment vertical="center"/>
    </xf>
    <xf numFmtId="3" fontId="9" fillId="2" borderId="32" xfId="0" applyNumberFormat="1" applyFont="1" applyFill="1" applyBorder="1" applyAlignment="1">
      <alignment vertical="center"/>
    </xf>
    <xf numFmtId="3" fontId="3" fillId="2" borderId="33" xfId="0" applyNumberFormat="1" applyFont="1" applyFill="1" applyBorder="1" applyAlignment="1">
      <alignment vertical="center"/>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44" xfId="0" applyFont="1" applyFill="1" applyBorder="1" applyAlignment="1">
      <alignment horizontal="center" vertical="center" wrapText="1"/>
    </xf>
    <xf numFmtId="2" fontId="3" fillId="0" borderId="42" xfId="0" applyNumberFormat="1" applyFont="1" applyFill="1" applyBorder="1" applyAlignment="1">
      <alignment vertical="center"/>
    </xf>
    <xf numFmtId="3" fontId="3" fillId="0" borderId="46" xfId="0" applyNumberFormat="1" applyFont="1" applyFill="1" applyBorder="1" applyAlignment="1">
      <alignment vertical="center"/>
    </xf>
    <xf numFmtId="0" fontId="9" fillId="2" borderId="23" xfId="0" applyFont="1" applyFill="1" applyBorder="1" applyAlignment="1">
      <alignment horizontal="center" vertical="center" wrapText="1"/>
    </xf>
    <xf numFmtId="3" fontId="3" fillId="0" borderId="25" xfId="0" applyNumberFormat="1" applyFont="1" applyFill="1" applyBorder="1" applyAlignment="1">
      <alignment vertical="center"/>
    </xf>
    <xf numFmtId="3" fontId="4" fillId="0" borderId="0" xfId="0" applyNumberFormat="1" applyFont="1" applyAlignment="1">
      <alignment/>
    </xf>
    <xf numFmtId="0" fontId="3" fillId="2" borderId="15" xfId="0" applyFont="1" applyFill="1" applyBorder="1" applyAlignment="1">
      <alignment horizontal="center" vertical="center" wrapText="1"/>
    </xf>
    <xf numFmtId="0" fontId="3" fillId="2" borderId="10" xfId="0" applyFont="1" applyFill="1" applyBorder="1" applyAlignment="1" quotePrefix="1">
      <alignment horizontal="center" vertical="center"/>
    </xf>
    <xf numFmtId="0" fontId="10" fillId="0" borderId="3" xfId="0" applyFont="1" applyBorder="1" applyAlignment="1">
      <alignment horizontal="right" vertical="center"/>
    </xf>
    <xf numFmtId="0" fontId="10" fillId="0" borderId="11" xfId="0" applyFont="1" applyBorder="1" applyAlignment="1">
      <alignment horizontal="center" vertical="center"/>
    </xf>
    <xf numFmtId="0" fontId="3" fillId="0" borderId="11" xfId="0" applyFont="1" applyBorder="1" applyAlignment="1">
      <alignment vertical="center"/>
    </xf>
    <xf numFmtId="164" fontId="10" fillId="0" borderId="40" xfId="0" applyNumberFormat="1" applyFont="1" applyBorder="1" applyAlignment="1">
      <alignment horizontal="right" vertical="center"/>
    </xf>
    <xf numFmtId="164" fontId="10" fillId="0" borderId="11" xfId="0" applyNumberFormat="1" applyFont="1" applyBorder="1" applyAlignment="1">
      <alignment horizontal="right" vertical="center"/>
    </xf>
    <xf numFmtId="0" fontId="3" fillId="0" borderId="4" xfId="0" applyFont="1" applyBorder="1" applyAlignment="1">
      <alignment vertical="center"/>
    </xf>
    <xf numFmtId="0" fontId="10" fillId="0" borderId="1" xfId="0" applyFont="1" applyBorder="1" applyAlignment="1">
      <alignment horizontal="right" vertical="center"/>
    </xf>
    <xf numFmtId="0" fontId="10" fillId="0" borderId="12" xfId="0" applyFont="1" applyBorder="1" applyAlignment="1">
      <alignment horizontal="center" vertical="center"/>
    </xf>
    <xf numFmtId="0" fontId="3" fillId="0" borderId="12" xfId="0" applyFont="1" applyBorder="1" applyAlignment="1">
      <alignment vertical="center"/>
    </xf>
    <xf numFmtId="164" fontId="10" fillId="0" borderId="41" xfId="0" applyNumberFormat="1" applyFont="1" applyBorder="1" applyAlignment="1">
      <alignment horizontal="right" vertical="center"/>
    </xf>
    <xf numFmtId="164" fontId="10" fillId="0" borderId="12" xfId="0" applyNumberFormat="1" applyFont="1" applyBorder="1" applyAlignment="1">
      <alignment horizontal="right" vertical="center"/>
    </xf>
    <xf numFmtId="0" fontId="3" fillId="0" borderId="5" xfId="0" applyFont="1" applyBorder="1" applyAlignment="1">
      <alignment vertical="center"/>
    </xf>
    <xf numFmtId="0" fontId="10" fillId="0" borderId="8" xfId="0" applyFont="1" applyBorder="1" applyAlignment="1">
      <alignment horizontal="right" vertical="center"/>
    </xf>
    <xf numFmtId="0" fontId="10" fillId="0" borderId="47" xfId="0" applyFont="1" applyBorder="1" applyAlignment="1">
      <alignment horizontal="center" vertical="center"/>
    </xf>
    <xf numFmtId="0" fontId="3" fillId="0" borderId="47" xfId="0" applyFont="1" applyBorder="1" applyAlignment="1">
      <alignment vertical="center"/>
    </xf>
    <xf numFmtId="164" fontId="10" fillId="0" borderId="42" xfId="0" applyNumberFormat="1" applyFont="1" applyBorder="1" applyAlignment="1">
      <alignment horizontal="right" vertical="center"/>
    </xf>
    <xf numFmtId="164" fontId="10" fillId="0" borderId="47" xfId="0" applyNumberFormat="1" applyFont="1" applyBorder="1" applyAlignment="1">
      <alignment horizontal="right" vertical="center"/>
    </xf>
    <xf numFmtId="0" fontId="3" fillId="0" borderId="14" xfId="0" applyFont="1" applyBorder="1" applyAlignment="1">
      <alignment vertical="center"/>
    </xf>
    <xf numFmtId="0" fontId="3" fillId="2" borderId="32" xfId="0" applyFont="1" applyFill="1" applyBorder="1" applyAlignment="1">
      <alignment horizontal="right" vertical="center"/>
    </xf>
    <xf numFmtId="0" fontId="10" fillId="2" borderId="39" xfId="0" applyFont="1" applyFill="1" applyBorder="1" applyAlignment="1">
      <alignment horizontal="center" vertical="center"/>
    </xf>
    <xf numFmtId="0" fontId="3" fillId="2" borderId="39" xfId="0" applyFont="1" applyFill="1" applyBorder="1" applyAlignment="1">
      <alignment horizontal="right" vertical="center" wrapText="1"/>
    </xf>
    <xf numFmtId="164" fontId="10" fillId="2" borderId="53" xfId="0" applyNumberFormat="1" applyFont="1" applyFill="1" applyBorder="1" applyAlignment="1">
      <alignment horizontal="right" vertical="center"/>
    </xf>
    <xf numFmtId="164" fontId="10" fillId="2" borderId="39" xfId="0" applyNumberFormat="1" applyFont="1" applyFill="1" applyBorder="1" applyAlignment="1">
      <alignment horizontal="right" vertical="center"/>
    </xf>
    <xf numFmtId="0" fontId="3" fillId="2" borderId="33" xfId="0" applyFont="1" applyFill="1" applyBorder="1" applyAlignment="1">
      <alignment horizontal="right" vertical="center" wrapText="1"/>
    </xf>
    <xf numFmtId="0" fontId="3" fillId="2" borderId="16" xfId="0" applyFont="1" applyFill="1" applyBorder="1" applyAlignment="1" quotePrefix="1">
      <alignment horizontal="center" vertical="center"/>
    </xf>
    <xf numFmtId="164" fontId="10" fillId="0" borderId="4" xfId="0" applyNumberFormat="1" applyFont="1" applyBorder="1" applyAlignment="1">
      <alignment horizontal="right" vertical="center"/>
    </xf>
    <xf numFmtId="164" fontId="10" fillId="0" borderId="5" xfId="0" applyNumberFormat="1" applyFont="1" applyBorder="1" applyAlignment="1">
      <alignment horizontal="right" vertical="center"/>
    </xf>
    <xf numFmtId="164" fontId="10" fillId="0" borderId="14" xfId="0" applyNumberFormat="1" applyFont="1" applyBorder="1" applyAlignment="1">
      <alignment horizontal="right" vertical="center"/>
    </xf>
    <xf numFmtId="164" fontId="10" fillId="2" borderId="33" xfId="0" applyNumberFormat="1" applyFont="1" applyFill="1" applyBorder="1" applyAlignment="1">
      <alignment horizontal="right" vertical="center"/>
    </xf>
    <xf numFmtId="0" fontId="10" fillId="0" borderId="46" xfId="0" applyFont="1" applyBorder="1" applyAlignment="1">
      <alignment horizontal="center" vertical="center"/>
    </xf>
    <xf numFmtId="0" fontId="4" fillId="0" borderId="36" xfId="0" applyFont="1" applyBorder="1" applyAlignment="1">
      <alignment vertical="center"/>
    </xf>
    <xf numFmtId="0" fontId="6" fillId="2" borderId="52" xfId="0" applyFont="1" applyFill="1" applyBorder="1" applyAlignment="1">
      <alignment vertical="center"/>
    </xf>
    <xf numFmtId="3" fontId="5" fillId="2" borderId="54" xfId="0" applyNumberFormat="1" applyFont="1" applyFill="1" applyBorder="1" applyAlignment="1">
      <alignment vertical="center"/>
    </xf>
    <xf numFmtId="3" fontId="3" fillId="0" borderId="43" xfId="0" applyNumberFormat="1" applyFont="1" applyBorder="1" applyAlignment="1">
      <alignment vertical="center"/>
    </xf>
    <xf numFmtId="3" fontId="3" fillId="0" borderId="2" xfId="0" applyNumberFormat="1" applyFont="1" applyBorder="1" applyAlignment="1">
      <alignment vertical="center"/>
    </xf>
    <xf numFmtId="3" fontId="3" fillId="0" borderId="16" xfId="0" applyNumberFormat="1"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3" fillId="2" borderId="54" xfId="0" applyFont="1" applyFill="1" applyBorder="1" applyAlignment="1">
      <alignment vertical="center"/>
    </xf>
    <xf numFmtId="0" fontId="3" fillId="2" borderId="32" xfId="0" applyFont="1" applyFill="1" applyBorder="1" applyAlignment="1">
      <alignment vertical="center"/>
    </xf>
    <xf numFmtId="0" fontId="3" fillId="0" borderId="3"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7" xfId="0" applyFont="1" applyBorder="1" applyAlignment="1">
      <alignment horizontal="center" vertical="center"/>
    </xf>
    <xf numFmtId="0" fontId="3" fillId="2" borderId="39" xfId="0" applyFont="1" applyFill="1" applyBorder="1" applyAlignment="1">
      <alignment horizontal="center" vertical="center"/>
    </xf>
    <xf numFmtId="164" fontId="3" fillId="0" borderId="40" xfId="0" applyNumberFormat="1" applyFont="1" applyBorder="1" applyAlignment="1">
      <alignment vertical="center"/>
    </xf>
    <xf numFmtId="164" fontId="3" fillId="0" borderId="11" xfId="0" applyNumberFormat="1" applyFont="1" applyBorder="1" applyAlignment="1">
      <alignment vertical="center"/>
    </xf>
    <xf numFmtId="164" fontId="3" fillId="0" borderId="41" xfId="0" applyNumberFormat="1" applyFont="1" applyBorder="1" applyAlignment="1">
      <alignment vertical="center"/>
    </xf>
    <xf numFmtId="164" fontId="3" fillId="0" borderId="12" xfId="0" applyNumberFormat="1" applyFont="1" applyBorder="1" applyAlignment="1">
      <alignment vertical="center"/>
    </xf>
    <xf numFmtId="164" fontId="3" fillId="0" borderId="42" xfId="0" applyNumberFormat="1" applyFont="1" applyBorder="1" applyAlignment="1">
      <alignment vertical="center"/>
    </xf>
    <xf numFmtId="164" fontId="3" fillId="0" borderId="47" xfId="0" applyNumberFormat="1" applyFont="1" applyBorder="1" applyAlignment="1">
      <alignment vertical="center"/>
    </xf>
    <xf numFmtId="164" fontId="3" fillId="2" borderId="53" xfId="0" applyNumberFormat="1" applyFont="1" applyFill="1" applyBorder="1" applyAlignment="1">
      <alignment vertical="center"/>
    </xf>
    <xf numFmtId="164" fontId="3" fillId="2" borderId="39" xfId="0" applyNumberFormat="1" applyFont="1" applyFill="1" applyBorder="1" applyAlignment="1">
      <alignment vertical="center"/>
    </xf>
    <xf numFmtId="3" fontId="3" fillId="0" borderId="12" xfId="0" applyNumberFormat="1" applyFont="1" applyFill="1" applyBorder="1" applyAlignment="1">
      <alignment vertical="center"/>
    </xf>
    <xf numFmtId="3" fontId="3" fillId="0" borderId="9" xfId="0" applyNumberFormat="1" applyFont="1" applyFill="1" applyBorder="1" applyAlignment="1">
      <alignment vertical="center"/>
    </xf>
    <xf numFmtId="3" fontId="3" fillId="2" borderId="15" xfId="0" applyNumberFormat="1" applyFont="1" applyFill="1" applyBorder="1" applyAlignment="1">
      <alignment vertical="center"/>
    </xf>
    <xf numFmtId="3" fontId="3" fillId="2" borderId="10" xfId="0" applyNumberFormat="1" applyFont="1" applyFill="1" applyBorder="1" applyAlignment="1">
      <alignment vertical="center"/>
    </xf>
    <xf numFmtId="3" fontId="3" fillId="2" borderId="55" xfId="0" applyNumberFormat="1" applyFont="1" applyFill="1" applyBorder="1" applyAlignment="1">
      <alignment vertical="center"/>
    </xf>
    <xf numFmtId="3" fontId="4" fillId="0" borderId="3" xfId="0" applyNumberFormat="1" applyFont="1" applyBorder="1" applyAlignment="1">
      <alignment vertical="center" wrapText="1"/>
    </xf>
    <xf numFmtId="3" fontId="4" fillId="0" borderId="1" xfId="0" applyNumberFormat="1" applyFont="1" applyFill="1" applyBorder="1" applyAlignment="1">
      <alignment vertical="center" wrapText="1"/>
    </xf>
    <xf numFmtId="3" fontId="4" fillId="0" borderId="1" xfId="0" applyNumberFormat="1" applyFont="1" applyBorder="1" applyAlignment="1">
      <alignment vertical="center" wrapText="1"/>
    </xf>
    <xf numFmtId="3" fontId="3" fillId="2" borderId="32" xfId="0" applyNumberFormat="1" applyFont="1" applyFill="1" applyBorder="1" applyAlignment="1">
      <alignment vertical="center" wrapText="1"/>
    </xf>
    <xf numFmtId="3" fontId="4" fillId="0" borderId="13" xfId="0" applyNumberFormat="1" applyFont="1" applyFill="1" applyBorder="1" applyAlignment="1">
      <alignment vertical="center" wrapText="1"/>
    </xf>
    <xf numFmtId="3" fontId="4" fillId="0" borderId="4" xfId="0" applyNumberFormat="1" applyFont="1" applyFill="1" applyBorder="1" applyAlignment="1">
      <alignment vertical="center" wrapText="1"/>
    </xf>
    <xf numFmtId="3" fontId="4" fillId="0" borderId="4" xfId="0" applyNumberFormat="1" applyFont="1" applyBorder="1" applyAlignment="1">
      <alignment vertical="center" wrapText="1"/>
    </xf>
    <xf numFmtId="3" fontId="3" fillId="2" borderId="39" xfId="0" applyNumberFormat="1" applyFont="1" applyFill="1" applyBorder="1" applyAlignment="1">
      <alignment vertical="center" wrapText="1"/>
    </xf>
    <xf numFmtId="3" fontId="3" fillId="2" borderId="33" xfId="0" applyNumberFormat="1" applyFont="1" applyFill="1" applyBorder="1" applyAlignment="1">
      <alignment vertical="center" wrapText="1"/>
    </xf>
    <xf numFmtId="0" fontId="3" fillId="2" borderId="50" xfId="0" applyFont="1" applyFill="1" applyBorder="1" applyAlignment="1">
      <alignment horizontal="centerContinuous" vertical="center"/>
    </xf>
    <xf numFmtId="0" fontId="3" fillId="2" borderId="13" xfId="0" applyFont="1" applyFill="1" applyBorder="1" applyAlignment="1">
      <alignment horizontal="centerContinuous" vertical="center"/>
    </xf>
    <xf numFmtId="3" fontId="4" fillId="0" borderId="5" xfId="0" applyNumberFormat="1" applyFont="1" applyFill="1" applyBorder="1" applyAlignment="1">
      <alignment vertical="center" wrapText="1"/>
    </xf>
    <xf numFmtId="0" fontId="3" fillId="2" borderId="23" xfId="0" applyFont="1" applyFill="1" applyBorder="1" applyAlignment="1" quotePrefix="1">
      <alignment horizontal="center"/>
    </xf>
    <xf numFmtId="0" fontId="3" fillId="2" borderId="7" xfId="0" applyFont="1" applyFill="1" applyBorder="1" applyAlignment="1">
      <alignment horizontal="center"/>
    </xf>
    <xf numFmtId="3" fontId="4" fillId="0" borderId="3" xfId="0" applyNumberFormat="1" applyFont="1" applyFill="1" applyBorder="1" applyAlignment="1">
      <alignment vertical="center" wrapText="1"/>
    </xf>
    <xf numFmtId="3" fontId="4" fillId="0" borderId="21" xfId="0" applyNumberFormat="1" applyFont="1" applyBorder="1" applyAlignment="1">
      <alignment/>
    </xf>
    <xf numFmtId="3" fontId="4" fillId="2" borderId="54" xfId="0" applyNumberFormat="1" applyFont="1" applyFill="1" applyBorder="1" applyAlignment="1">
      <alignment/>
    </xf>
    <xf numFmtId="10" fontId="4" fillId="0" borderId="5" xfId="0" applyNumberFormat="1" applyFont="1" applyBorder="1" applyAlignment="1">
      <alignment/>
    </xf>
    <xf numFmtId="10" fontId="4" fillId="2" borderId="33" xfId="0" applyNumberFormat="1" applyFont="1" applyFill="1" applyBorder="1" applyAlignment="1">
      <alignment/>
    </xf>
    <xf numFmtId="3" fontId="4" fillId="0" borderId="49" xfId="0" applyNumberFormat="1" applyFont="1" applyBorder="1" applyAlignment="1">
      <alignment/>
    </xf>
    <xf numFmtId="3" fontId="3" fillId="2" borderId="54" xfId="0" applyNumberFormat="1" applyFont="1" applyFill="1" applyBorder="1" applyAlignment="1">
      <alignment/>
    </xf>
    <xf numFmtId="10" fontId="3" fillId="2" borderId="33" xfId="0" applyNumberFormat="1" applyFont="1" applyFill="1" applyBorder="1" applyAlignment="1">
      <alignment/>
    </xf>
    <xf numFmtId="3" fontId="3" fillId="0" borderId="34" xfId="0" applyNumberFormat="1" applyFont="1" applyBorder="1" applyAlignment="1">
      <alignment vertical="center"/>
    </xf>
    <xf numFmtId="3" fontId="4" fillId="0" borderId="21" xfId="0" applyNumberFormat="1" applyFont="1" applyFill="1" applyBorder="1" applyAlignment="1">
      <alignment vertical="center" wrapText="1"/>
    </xf>
    <xf numFmtId="3" fontId="4" fillId="0" borderId="22" xfId="0" applyNumberFormat="1" applyFont="1" applyFill="1" applyBorder="1" applyAlignment="1">
      <alignment vertical="center" wrapText="1"/>
    </xf>
    <xf numFmtId="3" fontId="4" fillId="0" borderId="49" xfId="0" applyNumberFormat="1" applyFont="1" applyFill="1" applyBorder="1" applyAlignment="1">
      <alignment vertical="center" wrapText="1"/>
    </xf>
    <xf numFmtId="3" fontId="4" fillId="0" borderId="28" xfId="0" applyNumberFormat="1" applyFont="1" applyFill="1" applyBorder="1" applyAlignment="1">
      <alignment vertical="center" wrapText="1"/>
    </xf>
    <xf numFmtId="0" fontId="3" fillId="2" borderId="56" xfId="0" applyFont="1" applyFill="1" applyBorder="1" applyAlignment="1">
      <alignment horizontal="centerContinuous" vertical="center"/>
    </xf>
    <xf numFmtId="0" fontId="3" fillId="2" borderId="49" xfId="0" applyFont="1" applyFill="1" applyBorder="1" applyAlignment="1">
      <alignment horizontal="centerContinuous" vertical="center"/>
    </xf>
    <xf numFmtId="3" fontId="4" fillId="0" borderId="50" xfId="0" applyNumberFormat="1" applyFont="1" applyFill="1" applyBorder="1" applyAlignment="1">
      <alignment vertical="center" wrapText="1"/>
    </xf>
    <xf numFmtId="3" fontId="4" fillId="0" borderId="21" xfId="0" applyNumberFormat="1" applyFont="1" applyBorder="1" applyAlignment="1">
      <alignment vertical="center" wrapText="1"/>
    </xf>
    <xf numFmtId="3" fontId="4" fillId="0" borderId="8" xfId="0" applyNumberFormat="1" applyFont="1" applyFill="1" applyBorder="1" applyAlignment="1">
      <alignment vertical="center" wrapText="1"/>
    </xf>
    <xf numFmtId="3" fontId="3" fillId="2" borderId="53" xfId="0" applyNumberFormat="1" applyFont="1" applyFill="1" applyBorder="1" applyAlignment="1">
      <alignment vertical="center" wrapText="1"/>
    </xf>
    <xf numFmtId="3" fontId="4" fillId="0" borderId="22" xfId="0" applyNumberFormat="1" applyFont="1" applyBorder="1" applyAlignment="1">
      <alignment vertical="center" wrapText="1"/>
    </xf>
    <xf numFmtId="3" fontId="3" fillId="2" borderId="54" xfId="0" applyNumberFormat="1" applyFont="1" applyFill="1" applyBorder="1" applyAlignment="1">
      <alignment vertical="center" wrapText="1"/>
    </xf>
    <xf numFmtId="3" fontId="3" fillId="2" borderId="57" xfId="0" applyNumberFormat="1" applyFont="1" applyFill="1" applyBorder="1" applyAlignment="1">
      <alignment vertical="center" wrapText="1"/>
    </xf>
    <xf numFmtId="3" fontId="4" fillId="0" borderId="5" xfId="0" applyNumberFormat="1" applyFont="1" applyBorder="1" applyAlignment="1">
      <alignment vertical="center" wrapText="1"/>
    </xf>
    <xf numFmtId="3" fontId="4" fillId="0" borderId="14" xfId="0" applyNumberFormat="1" applyFont="1" applyFill="1" applyBorder="1" applyAlignment="1">
      <alignment vertical="center" wrapText="1"/>
    </xf>
    <xf numFmtId="10" fontId="4" fillId="0" borderId="14" xfId="0" applyNumberFormat="1" applyFont="1" applyBorder="1" applyAlignment="1">
      <alignment/>
    </xf>
    <xf numFmtId="3" fontId="3" fillId="0" borderId="0" xfId="0" applyNumberFormat="1" applyFont="1" applyBorder="1" applyAlignment="1">
      <alignment vertical="center"/>
    </xf>
    <xf numFmtId="0" fontId="0" fillId="0" borderId="0" xfId="0" applyAlignment="1">
      <alignment horizontal="center"/>
    </xf>
    <xf numFmtId="0" fontId="3" fillId="2" borderId="54"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2" fillId="0" borderId="0" xfId="0" applyFont="1" applyAlignment="1">
      <alignment/>
    </xf>
    <xf numFmtId="0" fontId="0" fillId="0" borderId="0" xfId="0" applyAlignment="1">
      <alignment horizontal="right"/>
    </xf>
    <xf numFmtId="0" fontId="0" fillId="0" borderId="0" xfId="0" applyAlignment="1">
      <alignment horizontal="center" vertical="center"/>
    </xf>
    <xf numFmtId="0" fontId="4" fillId="0" borderId="0" xfId="0" applyFont="1" applyAlignment="1">
      <alignment horizontal="center" vertical="center"/>
    </xf>
    <xf numFmtId="0" fontId="10" fillId="0" borderId="41" xfId="0" applyFont="1" applyBorder="1" applyAlignment="1">
      <alignment horizontal="justify" vertical="center"/>
    </xf>
    <xf numFmtId="0" fontId="10" fillId="0" borderId="21" xfId="0" applyFont="1" applyBorder="1" applyAlignment="1">
      <alignment horizontal="right" vertical="center"/>
    </xf>
    <xf numFmtId="3" fontId="10" fillId="0" borderId="12" xfId="0" applyNumberFormat="1" applyFont="1" applyBorder="1" applyAlignment="1">
      <alignment horizontal="right" vertical="center"/>
    </xf>
    <xf numFmtId="0" fontId="10" fillId="0" borderId="42" xfId="0" applyFont="1" applyBorder="1" applyAlignment="1">
      <alignment horizontal="justify" vertical="center"/>
    </xf>
    <xf numFmtId="0" fontId="10" fillId="0" borderId="28" xfId="0" applyFont="1" applyBorder="1" applyAlignment="1">
      <alignment horizontal="right" vertical="center"/>
    </xf>
    <xf numFmtId="3" fontId="10" fillId="0" borderId="47" xfId="0" applyNumberFormat="1" applyFont="1" applyBorder="1" applyAlignment="1">
      <alignment horizontal="right" vertical="center"/>
    </xf>
    <xf numFmtId="0" fontId="10" fillId="2" borderId="53" xfId="0" applyFont="1" applyFill="1" applyBorder="1" applyAlignment="1">
      <alignment horizontal="justify" vertical="center"/>
    </xf>
    <xf numFmtId="0" fontId="7" fillId="0" borderId="0" xfId="0" applyFont="1" applyAlignment="1">
      <alignment vertical="center"/>
    </xf>
    <xf numFmtId="0" fontId="4" fillId="0" borderId="0" xfId="0" applyFont="1" applyAlignment="1">
      <alignment vertical="center"/>
    </xf>
    <xf numFmtId="0" fontId="0" fillId="0" borderId="0" xfId="0" applyBorder="1" applyAlignment="1">
      <alignment/>
    </xf>
    <xf numFmtId="3" fontId="10" fillId="0" borderId="12" xfId="0" applyNumberFormat="1" applyFont="1" applyBorder="1" applyAlignment="1">
      <alignment horizontal="center" vertical="center"/>
    </xf>
    <xf numFmtId="1" fontId="0" fillId="0" borderId="0" xfId="0" applyNumberFormat="1" applyAlignment="1">
      <alignment horizontal="center"/>
    </xf>
    <xf numFmtId="1" fontId="19" fillId="0" borderId="0" xfId="0" applyNumberFormat="1" applyFont="1" applyAlignment="1">
      <alignment horizontal="center"/>
    </xf>
    <xf numFmtId="0" fontId="10" fillId="0" borderId="40" xfId="0" applyFont="1" applyBorder="1" applyAlignment="1">
      <alignment horizontal="justify" vertical="center"/>
    </xf>
    <xf numFmtId="0" fontId="10" fillId="0" borderId="22" xfId="0" applyFont="1" applyBorder="1" applyAlignment="1">
      <alignment horizontal="right" vertical="center"/>
    </xf>
    <xf numFmtId="3" fontId="10" fillId="0" borderId="11" xfId="0" applyNumberFormat="1" applyFont="1" applyBorder="1" applyAlignment="1">
      <alignment horizontal="right" vertical="center"/>
    </xf>
    <xf numFmtId="3" fontId="10" fillId="0" borderId="11" xfId="0" applyNumberFormat="1" applyFont="1" applyBorder="1" applyAlignment="1">
      <alignment horizontal="center" vertical="center"/>
    </xf>
    <xf numFmtId="0" fontId="3" fillId="2" borderId="58" xfId="0" applyFont="1" applyFill="1" applyBorder="1" applyAlignment="1">
      <alignment horizontal="center" vertical="center" wrapText="1"/>
    </xf>
    <xf numFmtId="0" fontId="3" fillId="2" borderId="44" xfId="0" applyFont="1" applyFill="1" applyBorder="1" applyAlignment="1" quotePrefix="1">
      <alignment horizontal="center" vertical="center"/>
    </xf>
    <xf numFmtId="0" fontId="3" fillId="2" borderId="7" xfId="0" applyFont="1" applyFill="1" applyBorder="1" applyAlignment="1" quotePrefix="1">
      <alignment horizontal="center" vertical="center"/>
    </xf>
    <xf numFmtId="0" fontId="0" fillId="0" borderId="0" xfId="0" applyFont="1" applyAlignment="1">
      <alignment/>
    </xf>
    <xf numFmtId="0" fontId="3" fillId="0" borderId="0" xfId="0" applyFont="1" applyBorder="1" applyAlignment="1">
      <alignment/>
    </xf>
    <xf numFmtId="0" fontId="3" fillId="2" borderId="43" xfId="0" applyFont="1" applyFill="1" applyBorder="1" applyAlignment="1">
      <alignment horizontal="center" vertical="center" wrapText="1"/>
    </xf>
    <xf numFmtId="0" fontId="3" fillId="2" borderId="33" xfId="0" applyFont="1" applyFill="1" applyBorder="1" applyAlignment="1" quotePrefix="1">
      <alignment horizontal="center" vertical="center"/>
    </xf>
    <xf numFmtId="0" fontId="3" fillId="2" borderId="47" xfId="0" applyFont="1" applyFill="1" applyBorder="1" applyAlignment="1">
      <alignment horizontal="center" vertical="center" wrapText="1"/>
    </xf>
    <xf numFmtId="3" fontId="5" fillId="2" borderId="10" xfId="0" applyNumberFormat="1" applyFont="1" applyFill="1" applyBorder="1" applyAlignment="1">
      <alignment horizontal="right" wrapText="1"/>
    </xf>
    <xf numFmtId="0" fontId="3" fillId="2" borderId="39" xfId="0" applyFont="1" applyFill="1" applyBorder="1" applyAlignment="1">
      <alignment horizontal="center" vertical="center" wrapText="1"/>
    </xf>
    <xf numFmtId="3" fontId="3" fillId="0" borderId="51" xfId="0" applyNumberFormat="1" applyFont="1" applyFill="1" applyBorder="1" applyAlignment="1">
      <alignment vertical="center"/>
    </xf>
    <xf numFmtId="3" fontId="3" fillId="0" borderId="34" xfId="0" applyNumberFormat="1" applyFont="1" applyFill="1" applyBorder="1" applyAlignment="1">
      <alignment vertical="center"/>
    </xf>
    <xf numFmtId="3" fontId="4" fillId="0" borderId="19" xfId="0" applyNumberFormat="1" applyFont="1" applyBorder="1" applyAlignment="1">
      <alignment vertical="center"/>
    </xf>
    <xf numFmtId="3" fontId="3" fillId="0" borderId="47" xfId="0" applyNumberFormat="1" applyFont="1" applyFill="1" applyBorder="1" applyAlignment="1">
      <alignment vertical="center"/>
    </xf>
    <xf numFmtId="14" fontId="3" fillId="0" borderId="59" xfId="0" applyNumberFormat="1" applyFont="1" applyFill="1" applyBorder="1" applyAlignment="1">
      <alignment horizontal="center" vertical="center"/>
    </xf>
    <xf numFmtId="0" fontId="3" fillId="2" borderId="52" xfId="0" applyFont="1" applyFill="1" applyBorder="1" applyAlignment="1">
      <alignment/>
    </xf>
    <xf numFmtId="0" fontId="3" fillId="2" borderId="52" xfId="0" applyFont="1" applyFill="1" applyBorder="1" applyAlignment="1">
      <alignment horizontal="left"/>
    </xf>
    <xf numFmtId="3" fontId="3" fillId="2" borderId="53" xfId="0" applyNumberFormat="1" applyFont="1" applyFill="1" applyBorder="1" applyAlignment="1">
      <alignment/>
    </xf>
    <xf numFmtId="3" fontId="3" fillId="2" borderId="32" xfId="0" applyNumberFormat="1" applyFont="1" applyFill="1" applyBorder="1" applyAlignment="1">
      <alignment/>
    </xf>
    <xf numFmtId="3" fontId="3" fillId="2" borderId="33" xfId="0" applyNumberFormat="1" applyFont="1" applyFill="1" applyBorder="1" applyAlignment="1">
      <alignment/>
    </xf>
    <xf numFmtId="0" fontId="3" fillId="0" borderId="0" xfId="0" applyFont="1" applyAlignment="1">
      <alignment horizontal="right"/>
    </xf>
    <xf numFmtId="0" fontId="12" fillId="0" borderId="41" xfId="0" applyFont="1" applyBorder="1" applyAlignment="1">
      <alignment horizontal="justify" vertical="center"/>
    </xf>
    <xf numFmtId="3" fontId="4" fillId="0" borderId="19" xfId="0" applyNumberFormat="1" applyFont="1" applyFill="1" applyBorder="1" applyAlignment="1">
      <alignment vertical="center" wrapText="1"/>
    </xf>
    <xf numFmtId="3" fontId="3" fillId="0" borderId="37" xfId="0" applyNumberFormat="1" applyFont="1" applyFill="1" applyBorder="1" applyAlignment="1">
      <alignment vertical="center"/>
    </xf>
    <xf numFmtId="3" fontId="5" fillId="0" borderId="34" xfId="0" applyNumberFormat="1" applyFont="1" applyFill="1" applyBorder="1" applyAlignment="1">
      <alignment vertical="center"/>
    </xf>
    <xf numFmtId="3" fontId="5" fillId="0" borderId="20" xfId="0" applyNumberFormat="1" applyFont="1" applyFill="1" applyBorder="1" applyAlignment="1">
      <alignment vertical="center"/>
    </xf>
    <xf numFmtId="3" fontId="5" fillId="0" borderId="51" xfId="0" applyNumberFormat="1" applyFont="1" applyFill="1" applyBorder="1" applyAlignment="1">
      <alignment vertical="center"/>
    </xf>
    <xf numFmtId="164" fontId="10" fillId="0" borderId="46" xfId="0" applyNumberFormat="1" applyFont="1" applyBorder="1" applyAlignment="1">
      <alignment horizontal="right" vertical="center"/>
    </xf>
    <xf numFmtId="164" fontId="3" fillId="2" borderId="33" xfId="0" applyNumberFormat="1" applyFont="1" applyFill="1" applyBorder="1" applyAlignment="1">
      <alignment horizontal="right" vertical="center" wrapText="1"/>
    </xf>
    <xf numFmtId="3" fontId="3" fillId="0" borderId="60" xfId="0" applyNumberFormat="1" applyFont="1" applyBorder="1" applyAlignment="1">
      <alignment vertical="center"/>
    </xf>
    <xf numFmtId="3" fontId="5" fillId="2" borderId="55" xfId="0" applyNumberFormat="1" applyFont="1" applyFill="1" applyBorder="1" applyAlignment="1">
      <alignment vertical="center"/>
    </xf>
    <xf numFmtId="3" fontId="5" fillId="2" borderId="10" xfId="0" applyNumberFormat="1" applyFont="1" applyFill="1" applyBorder="1" applyAlignment="1">
      <alignment vertical="center"/>
    </xf>
    <xf numFmtId="3" fontId="3" fillId="0" borderId="61" xfId="0" applyNumberFormat="1" applyFont="1" applyBorder="1" applyAlignment="1">
      <alignment vertical="center"/>
    </xf>
    <xf numFmtId="3" fontId="3" fillId="0" borderId="62" xfId="0" applyNumberFormat="1" applyFont="1" applyBorder="1" applyAlignment="1">
      <alignment vertical="center"/>
    </xf>
    <xf numFmtId="0" fontId="10" fillId="2" borderId="63" xfId="0" applyFont="1" applyFill="1" applyBorder="1" applyAlignment="1">
      <alignment horizontal="center" vertical="center" wrapText="1"/>
    </xf>
    <xf numFmtId="0" fontId="10" fillId="2" borderId="32" xfId="0" applyFont="1" applyFill="1" applyBorder="1" applyAlignment="1">
      <alignment horizontal="center" vertical="center" wrapText="1"/>
    </xf>
    <xf numFmtId="3" fontId="10" fillId="0" borderId="1" xfId="0" applyNumberFormat="1" applyFont="1" applyFill="1" applyBorder="1" applyAlignment="1">
      <alignment horizontal="right" vertical="center" wrapText="1"/>
    </xf>
    <xf numFmtId="3" fontId="10" fillId="0" borderId="3" xfId="0" applyNumberFormat="1" applyFont="1" applyFill="1" applyBorder="1" applyAlignment="1">
      <alignment horizontal="right" vertical="center" wrapText="1"/>
    </xf>
    <xf numFmtId="3" fontId="10" fillId="2" borderId="32" xfId="0" applyNumberFormat="1" applyFont="1" applyFill="1" applyBorder="1" applyAlignment="1">
      <alignment horizontal="right" vertical="center" wrapText="1"/>
    </xf>
    <xf numFmtId="3" fontId="10" fillId="0" borderId="10" xfId="0" applyNumberFormat="1" applyFont="1" applyBorder="1" applyAlignment="1">
      <alignment horizontal="right" vertical="center" wrapText="1"/>
    </xf>
    <xf numFmtId="3" fontId="10" fillId="0" borderId="8" xfId="0" applyNumberFormat="1" applyFont="1" applyFill="1" applyBorder="1" applyAlignment="1">
      <alignment horizontal="right" vertical="center" wrapText="1"/>
    </xf>
    <xf numFmtId="3" fontId="10" fillId="0" borderId="15" xfId="0" applyNumberFormat="1" applyFont="1" applyBorder="1" applyAlignment="1">
      <alignment horizontal="right" vertical="center" wrapText="1"/>
    </xf>
    <xf numFmtId="3" fontId="10" fillId="0" borderId="39" xfId="0" applyNumberFormat="1" applyFont="1" applyBorder="1" applyAlignment="1">
      <alignment horizontal="right" vertical="center" wrapText="1"/>
    </xf>
    <xf numFmtId="0" fontId="10" fillId="2" borderId="54" xfId="0" applyFont="1" applyFill="1" applyBorder="1" applyAlignment="1">
      <alignment horizontal="center" vertical="center" wrapText="1"/>
    </xf>
    <xf numFmtId="3" fontId="10" fillId="2" borderId="63" xfId="0" applyNumberFormat="1" applyFont="1" applyFill="1" applyBorder="1" applyAlignment="1">
      <alignment horizontal="right" vertical="center" wrapText="1"/>
    </xf>
    <xf numFmtId="3" fontId="10" fillId="2" borderId="54" xfId="0" applyNumberFormat="1" applyFont="1" applyFill="1" applyBorder="1" applyAlignment="1">
      <alignment horizontal="right" vertical="center" wrapText="1"/>
    </xf>
    <xf numFmtId="0" fontId="0" fillId="0" borderId="0" xfId="0" applyAlignment="1">
      <alignment/>
    </xf>
    <xf numFmtId="0" fontId="3" fillId="0" borderId="28" xfId="0" applyFont="1" applyBorder="1" applyAlignment="1">
      <alignment vertical="center" wrapText="1"/>
    </xf>
    <xf numFmtId="0" fontId="3" fillId="2" borderId="54" xfId="0" applyFont="1" applyFill="1" applyBorder="1" applyAlignment="1">
      <alignment vertical="center"/>
    </xf>
    <xf numFmtId="3" fontId="3" fillId="2" borderId="39" xfId="0" applyNumberFormat="1" applyFont="1" applyFill="1" applyBorder="1" applyAlignment="1">
      <alignment/>
    </xf>
    <xf numFmtId="3" fontId="10" fillId="0" borderId="5" xfId="0" applyNumberFormat="1" applyFont="1" applyBorder="1" applyAlignment="1">
      <alignment horizontal="center" vertical="center"/>
    </xf>
    <xf numFmtId="3" fontId="10" fillId="0" borderId="14" xfId="0" applyNumberFormat="1" applyFont="1" applyBorder="1" applyAlignment="1">
      <alignment horizontal="center" vertical="center"/>
    </xf>
    <xf numFmtId="0" fontId="10" fillId="2" borderId="39" xfId="0" applyFont="1" applyFill="1" applyBorder="1" applyAlignment="1">
      <alignment vertical="center"/>
    </xf>
    <xf numFmtId="3" fontId="10" fillId="2" borderId="39" xfId="0" applyNumberFormat="1" applyFont="1" applyFill="1" applyBorder="1" applyAlignment="1">
      <alignment vertical="center"/>
    </xf>
    <xf numFmtId="3" fontId="10" fillId="2" borderId="33" xfId="0" applyNumberFormat="1" applyFont="1" applyFill="1" applyBorder="1" applyAlignment="1">
      <alignment vertical="center"/>
    </xf>
    <xf numFmtId="0" fontId="2" fillId="0" borderId="0" xfId="0" applyFont="1" applyAlignment="1">
      <alignment/>
    </xf>
    <xf numFmtId="0" fontId="0" fillId="0" borderId="0" xfId="0" applyFont="1" applyAlignment="1">
      <alignment/>
    </xf>
    <xf numFmtId="0" fontId="0" fillId="0" borderId="0" xfId="0" applyFont="1" applyAlignment="1">
      <alignment/>
    </xf>
    <xf numFmtId="0" fontId="10" fillId="2" borderId="33" xfId="0" applyFont="1" applyFill="1" applyBorder="1" applyAlignment="1">
      <alignment horizontal="center" vertical="center" wrapText="1"/>
    </xf>
    <xf numFmtId="3" fontId="10" fillId="0" borderId="7" xfId="0" applyNumberFormat="1" applyFont="1" applyFill="1" applyBorder="1" applyAlignment="1">
      <alignment horizontal="right" vertical="center" wrapText="1"/>
    </xf>
    <xf numFmtId="3" fontId="10" fillId="0" borderId="5" xfId="0" applyNumberFormat="1" applyFont="1" applyFill="1" applyBorder="1" applyAlignment="1">
      <alignment horizontal="right" vertical="center" wrapText="1"/>
    </xf>
    <xf numFmtId="3" fontId="10" fillId="0" borderId="12" xfId="0" applyNumberFormat="1" applyFont="1" applyFill="1" applyBorder="1" applyAlignment="1">
      <alignment horizontal="right" vertical="center" wrapText="1"/>
    </xf>
    <xf numFmtId="3" fontId="10" fillId="0" borderId="21" xfId="0" applyNumberFormat="1" applyFont="1" applyBorder="1" applyAlignment="1">
      <alignment horizontal="right" vertical="center" wrapText="1"/>
    </xf>
    <xf numFmtId="4" fontId="10" fillId="0" borderId="21" xfId="0" applyNumberFormat="1" applyFont="1" applyBorder="1" applyAlignment="1">
      <alignment horizontal="right" vertical="center" wrapText="1"/>
    </xf>
    <xf numFmtId="3" fontId="10" fillId="0" borderId="11" xfId="0" applyNumberFormat="1" applyFont="1" applyFill="1" applyBorder="1" applyAlignment="1">
      <alignment horizontal="right" vertical="center" wrapText="1"/>
    </xf>
    <xf numFmtId="3" fontId="10" fillId="0" borderId="22" xfId="0" applyNumberFormat="1" applyFont="1" applyBorder="1" applyAlignment="1">
      <alignment horizontal="right" vertical="center" wrapText="1"/>
    </xf>
    <xf numFmtId="3" fontId="10" fillId="0" borderId="4" xfId="0" applyNumberFormat="1" applyFont="1" applyFill="1" applyBorder="1" applyAlignment="1">
      <alignment horizontal="right" vertical="center" wrapText="1"/>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2" borderId="16" xfId="0" applyFont="1" applyFill="1" applyBorder="1" applyAlignment="1">
      <alignment horizontal="center" vertical="center" wrapText="1"/>
    </xf>
    <xf numFmtId="3" fontId="10" fillId="0" borderId="14" xfId="0" applyNumberFormat="1" applyFont="1" applyFill="1" applyBorder="1" applyAlignment="1">
      <alignment horizontal="right" vertical="center" wrapText="1"/>
    </xf>
    <xf numFmtId="3" fontId="10" fillId="2" borderId="33" xfId="0" applyNumberFormat="1" applyFont="1" applyFill="1" applyBorder="1" applyAlignment="1">
      <alignment horizontal="right" vertical="center" wrapText="1"/>
    </xf>
    <xf numFmtId="3" fontId="10" fillId="0" borderId="47" xfId="0" applyNumberFormat="1" applyFont="1" applyFill="1" applyBorder="1" applyAlignment="1">
      <alignment horizontal="right" vertical="center" wrapText="1"/>
    </xf>
    <xf numFmtId="3" fontId="10" fillId="0" borderId="28" xfId="0" applyNumberFormat="1" applyFont="1" applyBorder="1" applyAlignment="1">
      <alignment horizontal="right" vertical="center" wrapText="1"/>
    </xf>
    <xf numFmtId="3" fontId="10" fillId="2" borderId="39" xfId="0" applyNumberFormat="1" applyFont="1" applyFill="1" applyBorder="1" applyAlignment="1">
      <alignment horizontal="right" vertical="center" wrapText="1"/>
    </xf>
    <xf numFmtId="0" fontId="10" fillId="2" borderId="38" xfId="0" applyFont="1" applyFill="1" applyBorder="1" applyAlignment="1">
      <alignment horizontal="center" vertical="center" wrapText="1"/>
    </xf>
    <xf numFmtId="3" fontId="10" fillId="0" borderId="35" xfId="0" applyNumberFormat="1" applyFont="1" applyBorder="1" applyAlignment="1">
      <alignment horizontal="right" vertical="center" wrapText="1"/>
    </xf>
    <xf numFmtId="3" fontId="10" fillId="0" borderId="30" xfId="0" applyNumberFormat="1" applyFont="1" applyBorder="1" applyAlignment="1">
      <alignment horizontal="right" vertical="center" wrapText="1"/>
    </xf>
    <xf numFmtId="4" fontId="10" fillId="0" borderId="30" xfId="0" applyNumberFormat="1" applyFont="1" applyBorder="1" applyAlignment="1">
      <alignment horizontal="right" vertical="center" wrapText="1"/>
    </xf>
    <xf numFmtId="3" fontId="10" fillId="0" borderId="26" xfId="0" applyNumberFormat="1" applyFont="1" applyBorder="1" applyAlignment="1">
      <alignment horizontal="right" vertical="center" wrapText="1"/>
    </xf>
    <xf numFmtId="3" fontId="3" fillId="0" borderId="64" xfId="0" applyNumberFormat="1" applyFont="1" applyBorder="1" applyAlignment="1">
      <alignment vertical="center"/>
    </xf>
    <xf numFmtId="3" fontId="5" fillId="2" borderId="15" xfId="0" applyNumberFormat="1" applyFont="1" applyFill="1" applyBorder="1" applyAlignment="1">
      <alignment vertical="center"/>
    </xf>
    <xf numFmtId="14" fontId="3" fillId="0" borderId="51" xfId="0" applyNumberFormat="1" applyFont="1" applyFill="1" applyBorder="1" applyAlignment="1">
      <alignment horizontal="center" vertical="center"/>
    </xf>
    <xf numFmtId="3" fontId="3" fillId="0" borderId="10" xfId="0" applyNumberFormat="1" applyFont="1" applyBorder="1" applyAlignment="1">
      <alignment vertical="center"/>
    </xf>
    <xf numFmtId="14" fontId="3" fillId="0" borderId="58" xfId="0" applyNumberFormat="1" applyFont="1" applyFill="1" applyBorder="1" applyAlignment="1">
      <alignment horizontal="center" vertical="center"/>
    </xf>
    <xf numFmtId="3" fontId="3" fillId="0" borderId="23" xfId="0" applyNumberFormat="1" applyFont="1" applyFill="1" applyBorder="1" applyAlignment="1">
      <alignment vertical="center"/>
    </xf>
    <xf numFmtId="3" fontId="3" fillId="0" borderId="6" xfId="0" applyNumberFormat="1" applyFont="1" applyFill="1" applyBorder="1" applyAlignment="1">
      <alignment vertical="center"/>
    </xf>
    <xf numFmtId="3" fontId="3" fillId="0" borderId="27" xfId="0" applyNumberFormat="1" applyFont="1" applyFill="1" applyBorder="1" applyAlignment="1">
      <alignment vertical="center"/>
    </xf>
    <xf numFmtId="14" fontId="3" fillId="2" borderId="56" xfId="0" applyNumberFormat="1" applyFont="1" applyFill="1" applyBorder="1" applyAlignment="1">
      <alignment horizontal="center" vertical="center"/>
    </xf>
    <xf numFmtId="3" fontId="3" fillId="2" borderId="49" xfId="0" applyNumberFormat="1" applyFont="1" applyFill="1" applyBorder="1" applyAlignment="1">
      <alignment vertical="center"/>
    </xf>
    <xf numFmtId="3" fontId="3" fillId="2" borderId="50" xfId="0" applyNumberFormat="1" applyFont="1" applyFill="1" applyBorder="1" applyAlignment="1">
      <alignment vertical="center"/>
    </xf>
    <xf numFmtId="3" fontId="5" fillId="2" borderId="13" xfId="0" applyNumberFormat="1" applyFont="1" applyFill="1" applyBorder="1" applyAlignment="1">
      <alignment vertical="center"/>
    </xf>
    <xf numFmtId="3" fontId="3" fillId="2" borderId="45" xfId="0" applyNumberFormat="1" applyFont="1" applyFill="1" applyBorder="1" applyAlignment="1">
      <alignment vertical="center"/>
    </xf>
    <xf numFmtId="3" fontId="5" fillId="2" borderId="13" xfId="0" applyNumberFormat="1" applyFont="1" applyFill="1" applyBorder="1" applyAlignment="1">
      <alignment horizontal="right" wrapText="1"/>
    </xf>
    <xf numFmtId="3" fontId="3" fillId="2" borderId="65" xfId="0" applyNumberFormat="1" applyFont="1" applyFill="1" applyBorder="1" applyAlignment="1">
      <alignment vertical="center"/>
    </xf>
    <xf numFmtId="3" fontId="5" fillId="0" borderId="7" xfId="0" applyNumberFormat="1" applyFont="1" applyFill="1" applyBorder="1" applyAlignment="1">
      <alignment horizontal="right" vertical="center" wrapText="1"/>
    </xf>
    <xf numFmtId="3" fontId="5" fillId="0" borderId="37" xfId="0" applyNumberFormat="1" applyFont="1" applyFill="1" applyBorder="1" applyAlignment="1">
      <alignment vertical="center"/>
    </xf>
    <xf numFmtId="14" fontId="3" fillId="2" borderId="15" xfId="0" applyNumberFormat="1" applyFont="1" applyFill="1" applyBorder="1" applyAlignment="1">
      <alignment horizontal="center" vertical="center"/>
    </xf>
    <xf numFmtId="3" fontId="5" fillId="2" borderId="16" xfId="0" applyNumberFormat="1" applyFont="1" applyFill="1" applyBorder="1" applyAlignment="1">
      <alignment horizontal="right" vertical="center" wrapText="1"/>
    </xf>
    <xf numFmtId="3" fontId="3" fillId="2" borderId="37" xfId="0" applyNumberFormat="1" applyFont="1" applyFill="1" applyBorder="1" applyAlignment="1">
      <alignment vertical="center"/>
    </xf>
    <xf numFmtId="2" fontId="3" fillId="0" borderId="46" xfId="0" applyNumberFormat="1" applyFont="1" applyFill="1" applyBorder="1" applyAlignment="1">
      <alignment vertical="center"/>
    </xf>
    <xf numFmtId="2" fontId="3" fillId="0" borderId="47" xfId="0" applyNumberFormat="1" applyFont="1" applyFill="1" applyBorder="1" applyAlignment="1">
      <alignment vertical="center"/>
    </xf>
    <xf numFmtId="2" fontId="3" fillId="0" borderId="12" xfId="0" applyNumberFormat="1" applyFont="1" applyFill="1" applyBorder="1" applyAlignment="1">
      <alignment vertical="center"/>
    </xf>
    <xf numFmtId="2" fontId="3" fillId="2" borderId="39" xfId="0" applyNumberFormat="1" applyFont="1" applyFill="1" applyBorder="1" applyAlignment="1">
      <alignment vertical="center"/>
    </xf>
    <xf numFmtId="165" fontId="3" fillId="0" borderId="11" xfId="0" applyNumberFormat="1" applyFont="1" applyBorder="1" applyAlignment="1">
      <alignment vertical="center"/>
    </xf>
    <xf numFmtId="165" fontId="3" fillId="0" borderId="12" xfId="0" applyNumberFormat="1" applyFont="1" applyBorder="1" applyAlignment="1">
      <alignment vertical="center"/>
    </xf>
    <xf numFmtId="165" fontId="3" fillId="0" borderId="47" xfId="0" applyNumberFormat="1" applyFont="1" applyBorder="1" applyAlignment="1">
      <alignment vertical="center"/>
    </xf>
    <xf numFmtId="165" fontId="3" fillId="2" borderId="39" xfId="0" applyNumberFormat="1" applyFont="1" applyFill="1" applyBorder="1" applyAlignment="1">
      <alignment horizontal="right" vertical="center" wrapText="1"/>
    </xf>
    <xf numFmtId="0" fontId="3" fillId="2" borderId="32" xfId="0" applyFont="1" applyFill="1" applyBorder="1" applyAlignment="1" quotePrefix="1">
      <alignment horizontal="center" vertical="center"/>
    </xf>
    <xf numFmtId="164" fontId="10" fillId="0" borderId="3" xfId="0" applyNumberFormat="1" applyFont="1" applyBorder="1" applyAlignment="1">
      <alignment horizontal="right" vertical="center"/>
    </xf>
    <xf numFmtId="164" fontId="10" fillId="0" borderId="1" xfId="0" applyNumberFormat="1" applyFont="1" applyBorder="1" applyAlignment="1">
      <alignment horizontal="right" vertical="center"/>
    </xf>
    <xf numFmtId="164" fontId="10" fillId="0" borderId="8" xfId="0" applyNumberFormat="1" applyFont="1" applyBorder="1" applyAlignment="1">
      <alignment horizontal="right" vertical="center"/>
    </xf>
    <xf numFmtId="164" fontId="10" fillId="2" borderId="32" xfId="0" applyNumberFormat="1" applyFont="1" applyFill="1" applyBorder="1" applyAlignment="1">
      <alignment horizontal="right" vertical="center"/>
    </xf>
    <xf numFmtId="0" fontId="1" fillId="3" borderId="0" xfId="0" applyFont="1" applyFill="1" applyAlignment="1">
      <alignment/>
    </xf>
    <xf numFmtId="0" fontId="0" fillId="3" borderId="0" xfId="0" applyFill="1" applyAlignment="1">
      <alignment/>
    </xf>
    <xf numFmtId="3" fontId="4" fillId="0" borderId="12" xfId="0" applyNumberFormat="1" applyFont="1" applyBorder="1" applyAlignment="1">
      <alignment vertical="center"/>
    </xf>
    <xf numFmtId="3" fontId="4" fillId="0" borderId="44" xfId="0" applyNumberFormat="1" applyFont="1" applyBorder="1" applyAlignment="1">
      <alignment vertical="center"/>
    </xf>
    <xf numFmtId="0" fontId="9" fillId="0" borderId="21" xfId="0" applyFont="1" applyBorder="1" applyAlignment="1">
      <alignment vertical="center" wrapText="1"/>
    </xf>
    <xf numFmtId="10" fontId="4" fillId="0" borderId="19" xfId="0" applyNumberFormat="1" applyFont="1" applyBorder="1" applyAlignment="1">
      <alignment/>
    </xf>
    <xf numFmtId="3" fontId="4" fillId="0" borderId="29" xfId="0" applyNumberFormat="1" applyFont="1" applyFill="1" applyBorder="1" applyAlignment="1">
      <alignment/>
    </xf>
    <xf numFmtId="3" fontId="3" fillId="0" borderId="44" xfId="0" applyNumberFormat="1" applyFont="1" applyFill="1" applyBorder="1" applyAlignment="1">
      <alignment vertical="center"/>
    </xf>
    <xf numFmtId="0" fontId="0" fillId="0" borderId="1" xfId="0" applyBorder="1" applyAlignment="1">
      <alignment/>
    </xf>
    <xf numFmtId="3" fontId="4" fillId="0" borderId="1" xfId="0" applyNumberFormat="1" applyFont="1" applyBorder="1" applyAlignment="1">
      <alignment vertical="center"/>
    </xf>
    <xf numFmtId="3" fontId="4" fillId="0" borderId="6" xfId="0" applyNumberFormat="1" applyFont="1" applyBorder="1" applyAlignment="1">
      <alignment vertical="center"/>
    </xf>
    <xf numFmtId="0" fontId="0" fillId="0" borderId="6" xfId="0" applyBorder="1" applyAlignment="1">
      <alignment/>
    </xf>
    <xf numFmtId="14" fontId="3" fillId="2" borderId="65" xfId="0" applyNumberFormat="1" applyFont="1" applyFill="1" applyBorder="1" applyAlignment="1">
      <alignment horizontal="center" vertical="center"/>
    </xf>
    <xf numFmtId="3" fontId="3" fillId="2" borderId="48" xfId="0" applyNumberFormat="1" applyFont="1" applyFill="1" applyBorder="1" applyAlignment="1">
      <alignment vertical="center"/>
    </xf>
    <xf numFmtId="0" fontId="9" fillId="0" borderId="28" xfId="0" applyFont="1" applyBorder="1" applyAlignment="1">
      <alignment vertical="center" wrapText="1"/>
    </xf>
    <xf numFmtId="3" fontId="3" fillId="2" borderId="48" xfId="0" applyNumberFormat="1" applyFont="1" applyFill="1" applyBorder="1" applyAlignment="1">
      <alignment horizontal="right" vertical="center" wrapText="1"/>
    </xf>
    <xf numFmtId="3" fontId="3" fillId="2" borderId="50" xfId="0" applyNumberFormat="1" applyFont="1" applyFill="1" applyBorder="1" applyAlignment="1">
      <alignment horizontal="right" vertical="center" wrapText="1"/>
    </xf>
    <xf numFmtId="3" fontId="3" fillId="2" borderId="56" xfId="0" applyNumberFormat="1" applyFont="1" applyFill="1" applyBorder="1" applyAlignment="1">
      <alignment vertical="center"/>
    </xf>
    <xf numFmtId="3" fontId="5" fillId="2" borderId="45" xfId="0" applyNumberFormat="1" applyFont="1" applyFill="1" applyBorder="1" applyAlignment="1">
      <alignment horizontal="right" wrapText="1"/>
    </xf>
    <xf numFmtId="3" fontId="3" fillId="2" borderId="38" xfId="0" applyNumberFormat="1" applyFont="1" applyFill="1" applyBorder="1" applyAlignment="1">
      <alignment horizontal="right" vertical="center" wrapText="1"/>
    </xf>
    <xf numFmtId="3" fontId="3" fillId="2" borderId="2" xfId="0" applyNumberFormat="1" applyFont="1" applyFill="1" applyBorder="1" applyAlignment="1">
      <alignment horizontal="right" vertical="center" wrapText="1"/>
    </xf>
    <xf numFmtId="0" fontId="17" fillId="3" borderId="0" xfId="0" applyFont="1" applyFill="1" applyAlignment="1">
      <alignment/>
    </xf>
    <xf numFmtId="0" fontId="21" fillId="3" borderId="0" xfId="0" applyFont="1" applyFill="1" applyAlignment="1">
      <alignment/>
    </xf>
    <xf numFmtId="3" fontId="4" fillId="0" borderId="3" xfId="0" applyNumberFormat="1" applyFont="1" applyBorder="1" applyAlignment="1">
      <alignment vertical="center"/>
    </xf>
    <xf numFmtId="0" fontId="9" fillId="2" borderId="8" xfId="0" applyFont="1" applyFill="1" applyBorder="1" applyAlignment="1">
      <alignment horizontal="center" vertical="center" wrapText="1"/>
    </xf>
    <xf numFmtId="3" fontId="3" fillId="0" borderId="66" xfId="0" applyNumberFormat="1" applyFont="1" applyBorder="1" applyAlignment="1">
      <alignment vertical="center"/>
    </xf>
    <xf numFmtId="3" fontId="3" fillId="0" borderId="67" xfId="0" applyNumberFormat="1" applyFont="1" applyBorder="1" applyAlignment="1">
      <alignment vertical="center"/>
    </xf>
    <xf numFmtId="164" fontId="3" fillId="2" borderId="39" xfId="0" applyNumberFormat="1" applyFont="1" applyFill="1" applyBorder="1" applyAlignment="1">
      <alignment horizontal="right" vertical="center" wrapText="1"/>
    </xf>
    <xf numFmtId="0" fontId="3" fillId="2" borderId="39" xfId="0" applyFont="1" applyFill="1" applyBorder="1" applyAlignment="1" quotePrefix="1">
      <alignment horizontal="center" vertical="center"/>
    </xf>
    <xf numFmtId="164" fontId="10" fillId="0" borderId="16" xfId="0" applyNumberFormat="1" applyFont="1" applyBorder="1" applyAlignment="1">
      <alignment horizontal="right" vertical="center"/>
    </xf>
    <xf numFmtId="3" fontId="3" fillId="2" borderId="68" xfId="0" applyNumberFormat="1" applyFont="1" applyFill="1" applyBorder="1" applyAlignment="1">
      <alignment vertical="center"/>
    </xf>
    <xf numFmtId="3" fontId="4" fillId="0" borderId="11" xfId="0" applyNumberFormat="1" applyFont="1" applyBorder="1" applyAlignment="1">
      <alignment vertical="center"/>
    </xf>
    <xf numFmtId="165" fontId="3" fillId="0" borderId="44" xfId="0" applyNumberFormat="1" applyFont="1" applyBorder="1" applyAlignment="1">
      <alignment vertical="center"/>
    </xf>
    <xf numFmtId="165" fontId="11" fillId="2" borderId="39" xfId="0" applyNumberFormat="1" applyFont="1" applyFill="1" applyBorder="1" applyAlignment="1">
      <alignment horizontal="right" vertical="center" wrapText="1"/>
    </xf>
    <xf numFmtId="0" fontId="3" fillId="2" borderId="69" xfId="0" applyFont="1" applyFill="1" applyBorder="1" applyAlignment="1" quotePrefix="1">
      <alignment horizontal="center" vertical="center"/>
    </xf>
    <xf numFmtId="164" fontId="10" fillId="0" borderId="70" xfId="0" applyNumberFormat="1" applyFont="1" applyBorder="1" applyAlignment="1">
      <alignment horizontal="right" vertical="center"/>
    </xf>
    <xf numFmtId="164" fontId="10" fillId="0" borderId="71" xfId="0" applyNumberFormat="1" applyFont="1" applyBorder="1" applyAlignment="1">
      <alignment horizontal="right" vertical="center"/>
    </xf>
    <xf numFmtId="164" fontId="10" fillId="2" borderId="57" xfId="0" applyNumberFormat="1" applyFont="1" applyFill="1" applyBorder="1" applyAlignment="1">
      <alignment horizontal="right" vertical="center"/>
    </xf>
    <xf numFmtId="165" fontId="3" fillId="0" borderId="3" xfId="0" applyNumberFormat="1" applyFont="1" applyBorder="1" applyAlignment="1">
      <alignment vertical="center"/>
    </xf>
    <xf numFmtId="165" fontId="3" fillId="0" borderId="1" xfId="0" applyNumberFormat="1" applyFont="1" applyBorder="1" applyAlignment="1">
      <alignment vertical="center"/>
    </xf>
    <xf numFmtId="165" fontId="3" fillId="0" borderId="6" xfId="0" applyNumberFormat="1" applyFont="1" applyBorder="1" applyAlignment="1">
      <alignment vertical="center"/>
    </xf>
    <xf numFmtId="165" fontId="11" fillId="2" borderId="32" xfId="0" applyNumberFormat="1" applyFont="1" applyFill="1" applyBorder="1" applyAlignment="1">
      <alignment horizontal="right" vertical="center" wrapText="1"/>
    </xf>
    <xf numFmtId="0" fontId="3" fillId="0" borderId="34" xfId="0" applyFont="1" applyFill="1" applyBorder="1" applyAlignment="1">
      <alignment/>
    </xf>
    <xf numFmtId="0" fontId="3" fillId="0" borderId="20" xfId="0" applyFont="1" applyBorder="1" applyAlignment="1">
      <alignment/>
    </xf>
    <xf numFmtId="0" fontId="3" fillId="0" borderId="51" xfId="0" applyFont="1" applyBorder="1" applyAlignment="1">
      <alignment/>
    </xf>
    <xf numFmtId="3" fontId="3" fillId="2" borderId="37" xfId="0" applyNumberFormat="1" applyFont="1" applyFill="1" applyBorder="1" applyAlignment="1">
      <alignment/>
    </xf>
    <xf numFmtId="3" fontId="3" fillId="0" borderId="34" xfId="0" applyNumberFormat="1" applyFont="1" applyFill="1" applyBorder="1" applyAlignment="1">
      <alignment/>
    </xf>
    <xf numFmtId="3" fontId="3" fillId="0" borderId="20" xfId="0" applyNumberFormat="1" applyFont="1" applyBorder="1" applyAlignment="1">
      <alignment/>
    </xf>
    <xf numFmtId="0" fontId="3" fillId="2" borderId="45" xfId="0" applyFont="1" applyFill="1" applyBorder="1" applyAlignment="1">
      <alignment horizontal="center" vertical="center" wrapText="1"/>
    </xf>
    <xf numFmtId="0" fontId="3" fillId="2" borderId="38" xfId="0" applyFont="1" applyFill="1" applyBorder="1" applyAlignment="1">
      <alignment horizontal="center" vertical="center" wrapText="1"/>
    </xf>
    <xf numFmtId="3" fontId="4" fillId="0" borderId="8" xfId="0" applyNumberFormat="1" applyFont="1" applyBorder="1" applyAlignment="1">
      <alignment vertical="center" wrapText="1"/>
    </xf>
    <xf numFmtId="3" fontId="4" fillId="0" borderId="28" xfId="0" applyNumberFormat="1" applyFont="1" applyBorder="1" applyAlignment="1">
      <alignment vertical="center" wrapText="1"/>
    </xf>
    <xf numFmtId="3" fontId="4" fillId="0" borderId="41" xfId="0" applyNumberFormat="1" applyFont="1" applyBorder="1" applyAlignment="1">
      <alignment vertical="center" wrapText="1"/>
    </xf>
    <xf numFmtId="3" fontId="4" fillId="0" borderId="72" xfId="0" applyNumberFormat="1" applyFont="1" applyBorder="1" applyAlignment="1">
      <alignment vertical="center" wrapText="1"/>
    </xf>
    <xf numFmtId="3" fontId="4" fillId="0" borderId="70" xfId="0" applyNumberFormat="1" applyFont="1" applyBorder="1" applyAlignment="1">
      <alignment vertical="center" wrapText="1"/>
    </xf>
    <xf numFmtId="3" fontId="4" fillId="0" borderId="49" xfId="0" applyNumberFormat="1" applyFont="1" applyBorder="1" applyAlignment="1">
      <alignment vertical="center" wrapText="1"/>
    </xf>
    <xf numFmtId="3" fontId="4" fillId="0" borderId="50" xfId="0" applyNumberFormat="1" applyFont="1" applyBorder="1" applyAlignment="1">
      <alignment vertical="center" wrapText="1"/>
    </xf>
    <xf numFmtId="3" fontId="4" fillId="0" borderId="13" xfId="0" applyNumberFormat="1" applyFont="1" applyBorder="1" applyAlignment="1">
      <alignment vertical="center" wrapText="1"/>
    </xf>
    <xf numFmtId="3" fontId="4" fillId="0" borderId="23" xfId="0" applyNumberFormat="1" applyFont="1" applyBorder="1" applyAlignment="1">
      <alignment vertical="center" wrapText="1"/>
    </xf>
    <xf numFmtId="3" fontId="4" fillId="0" borderId="6" xfId="0" applyNumberFormat="1" applyFont="1" applyBorder="1" applyAlignment="1">
      <alignment vertical="center" wrapText="1"/>
    </xf>
    <xf numFmtId="3" fontId="4" fillId="0" borderId="16" xfId="0" applyNumberFormat="1" applyFont="1" applyBorder="1" applyAlignment="1">
      <alignment vertical="center" wrapText="1"/>
    </xf>
    <xf numFmtId="0" fontId="3" fillId="2" borderId="50" xfId="0" applyFont="1" applyFill="1" applyBorder="1" applyAlignment="1">
      <alignment horizontal="center" vertical="center" wrapText="1"/>
    </xf>
    <xf numFmtId="4" fontId="3" fillId="2" borderId="45" xfId="0" applyNumberFormat="1" applyFont="1" applyFill="1" applyBorder="1" applyAlignment="1">
      <alignment horizontal="center" vertical="center" wrapText="1"/>
    </xf>
    <xf numFmtId="0" fontId="4" fillId="0" borderId="0" xfId="0" applyFont="1" applyAlignment="1">
      <alignment/>
    </xf>
    <xf numFmtId="0" fontId="3" fillId="2" borderId="49" xfId="0" applyFont="1" applyFill="1" applyBorder="1" applyAlignment="1">
      <alignment horizontal="center" vertical="center" wrapText="1"/>
    </xf>
    <xf numFmtId="4" fontId="3" fillId="0" borderId="3" xfId="0" applyNumberFormat="1" applyFont="1" applyBorder="1" applyAlignment="1">
      <alignment vertical="center"/>
    </xf>
    <xf numFmtId="4" fontId="3" fillId="0" borderId="11" xfId="0" applyNumberFormat="1" applyFont="1" applyBorder="1" applyAlignment="1">
      <alignment vertical="center"/>
    </xf>
    <xf numFmtId="4" fontId="3" fillId="0" borderId="12" xfId="0" applyNumberFormat="1" applyFont="1" applyBorder="1" applyAlignment="1">
      <alignment vertical="center"/>
    </xf>
    <xf numFmtId="4" fontId="3" fillId="2" borderId="32" xfId="0" applyNumberFormat="1" applyFont="1" applyFill="1" applyBorder="1" applyAlignment="1">
      <alignment vertical="center"/>
    </xf>
    <xf numFmtId="4" fontId="3" fillId="2" borderId="39" xfId="0" applyNumberFormat="1" applyFont="1" applyFill="1" applyBorder="1" applyAlignment="1">
      <alignment vertical="center"/>
    </xf>
    <xf numFmtId="4" fontId="3" fillId="2" borderId="48" xfId="0" applyNumberFormat="1" applyFont="1" applyFill="1" applyBorder="1" applyAlignment="1">
      <alignment horizontal="center" vertical="center" wrapText="1"/>
    </xf>
    <xf numFmtId="4" fontId="3" fillId="2" borderId="38"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4" fontId="3" fillId="2" borderId="2" xfId="0" applyNumberFormat="1" applyFont="1" applyFill="1" applyBorder="1" applyAlignment="1" quotePrefix="1">
      <alignment horizontal="center" vertical="center" wrapText="1"/>
    </xf>
    <xf numFmtId="4" fontId="3" fillId="0" borderId="35" xfId="0" applyNumberFormat="1" applyFont="1" applyBorder="1" applyAlignment="1">
      <alignment vertical="center"/>
    </xf>
    <xf numFmtId="4" fontId="3" fillId="2" borderId="63" xfId="0" applyNumberFormat="1" applyFont="1" applyFill="1" applyBorder="1" applyAlignment="1">
      <alignment vertical="center"/>
    </xf>
    <xf numFmtId="4" fontId="0" fillId="0" borderId="0" xfId="0" applyNumberFormat="1" applyAlignment="1">
      <alignment/>
    </xf>
    <xf numFmtId="4" fontId="3" fillId="0" borderId="0" xfId="0" applyNumberFormat="1" applyFont="1" applyAlignment="1">
      <alignment/>
    </xf>
    <xf numFmtId="4" fontId="4" fillId="0" borderId="0" xfId="0" applyNumberFormat="1" applyFont="1" applyAlignment="1">
      <alignment/>
    </xf>
    <xf numFmtId="4" fontId="3" fillId="0" borderId="31" xfId="0" applyNumberFormat="1" applyFont="1" applyBorder="1" applyAlignment="1">
      <alignment vertical="center"/>
    </xf>
    <xf numFmtId="4" fontId="3" fillId="0" borderId="47" xfId="0" applyNumberFormat="1" applyFont="1" applyBorder="1" applyAlignment="1">
      <alignment vertical="center"/>
    </xf>
    <xf numFmtId="4" fontId="3" fillId="0" borderId="9" xfId="0" applyNumberFormat="1" applyFont="1" applyBorder="1" applyAlignment="1">
      <alignment vertical="center"/>
    </xf>
    <xf numFmtId="4" fontId="3" fillId="0" borderId="46" xfId="0" applyNumberFormat="1" applyFont="1" applyBorder="1" applyAlignment="1">
      <alignment vertical="center"/>
    </xf>
    <xf numFmtId="0" fontId="0" fillId="0" borderId="3" xfId="0" applyBorder="1" applyAlignment="1">
      <alignment/>
    </xf>
    <xf numFmtId="3" fontId="4" fillId="0" borderId="41" xfId="0" applyNumberFormat="1" applyFont="1" applyFill="1" applyBorder="1" applyAlignment="1">
      <alignment vertical="center" wrapText="1"/>
    </xf>
    <xf numFmtId="3" fontId="4" fillId="0" borderId="73" xfId="0" applyNumberFormat="1" applyFont="1" applyBorder="1" applyAlignment="1">
      <alignment vertical="center" wrapText="1"/>
    </xf>
    <xf numFmtId="3" fontId="3" fillId="2" borderId="54" xfId="0" applyNumberFormat="1" applyFont="1" applyFill="1" applyBorder="1" applyAlignment="1">
      <alignment vertical="center"/>
    </xf>
    <xf numFmtId="10" fontId="3" fillId="2" borderId="33" xfId="0" applyNumberFormat="1" applyFont="1" applyFill="1" applyBorder="1" applyAlignment="1">
      <alignment vertical="center"/>
    </xf>
    <xf numFmtId="0" fontId="3" fillId="4" borderId="34" xfId="0" applyFont="1" applyFill="1" applyBorder="1" applyAlignment="1">
      <alignment/>
    </xf>
    <xf numFmtId="0" fontId="3" fillId="4" borderId="20" xfId="0" applyFont="1" applyFill="1" applyBorder="1" applyAlignment="1">
      <alignment/>
    </xf>
    <xf numFmtId="0" fontId="9" fillId="2" borderId="38" xfId="0" applyFont="1" applyFill="1" applyBorder="1" applyAlignment="1">
      <alignment horizontal="center" vertical="center" wrapText="1"/>
    </xf>
    <xf numFmtId="3" fontId="4" fillId="0" borderId="22" xfId="0" applyNumberFormat="1" applyFont="1" applyBorder="1" applyAlignment="1">
      <alignment vertical="center"/>
    </xf>
    <xf numFmtId="3" fontId="0" fillId="0" borderId="0" xfId="0" applyNumberFormat="1" applyAlignment="1">
      <alignment/>
    </xf>
    <xf numFmtId="3" fontId="0" fillId="0" borderId="0" xfId="0" applyNumberFormat="1" applyAlignment="1">
      <alignment/>
    </xf>
    <xf numFmtId="3" fontId="3" fillId="2" borderId="50" xfId="0" applyNumberFormat="1" applyFont="1" applyFill="1" applyBorder="1" applyAlignment="1">
      <alignment horizontal="center" vertical="center" wrapText="1"/>
    </xf>
    <xf numFmtId="3" fontId="9" fillId="2" borderId="38"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63" xfId="0" applyNumberFormat="1" applyFont="1" applyFill="1" applyBorder="1" applyAlignment="1">
      <alignment vertical="center"/>
    </xf>
    <xf numFmtId="3" fontId="4" fillId="0" borderId="30" xfId="0" applyNumberFormat="1" applyFont="1" applyBorder="1" applyAlignment="1">
      <alignment vertical="center" wrapText="1"/>
    </xf>
    <xf numFmtId="3" fontId="4" fillId="0" borderId="62" xfId="0" applyNumberFormat="1" applyFont="1" applyBorder="1" applyAlignment="1">
      <alignment vertical="center" wrapText="1"/>
    </xf>
    <xf numFmtId="3" fontId="4" fillId="0" borderId="26" xfId="0" applyNumberFormat="1" applyFont="1" applyFill="1" applyBorder="1" applyAlignment="1">
      <alignment vertical="center" wrapText="1"/>
    </xf>
    <xf numFmtId="3" fontId="4" fillId="0" borderId="74" xfId="0" applyNumberFormat="1" applyFont="1" applyBorder="1" applyAlignment="1">
      <alignment vertical="center" wrapText="1"/>
    </xf>
    <xf numFmtId="3" fontId="4" fillId="0" borderId="75" xfId="0" applyNumberFormat="1" applyFont="1" applyBorder="1" applyAlignment="1">
      <alignment vertical="center" wrapText="1"/>
    </xf>
    <xf numFmtId="3" fontId="4" fillId="0" borderId="76" xfId="0" applyNumberFormat="1" applyFont="1" applyBorder="1" applyAlignment="1">
      <alignment vertical="center" wrapText="1"/>
    </xf>
    <xf numFmtId="3" fontId="4" fillId="0" borderId="35" xfId="0" applyNumberFormat="1" applyFont="1" applyBorder="1" applyAlignment="1">
      <alignment vertical="center" wrapText="1"/>
    </xf>
    <xf numFmtId="3" fontId="4" fillId="0" borderId="77" xfId="0" applyNumberFormat="1" applyFont="1" applyBorder="1" applyAlignment="1">
      <alignment vertical="center" wrapText="1"/>
    </xf>
    <xf numFmtId="3" fontId="4" fillId="0" borderId="26" xfId="0" applyNumberFormat="1" applyFont="1" applyBorder="1" applyAlignment="1">
      <alignment vertical="center" wrapText="1"/>
    </xf>
    <xf numFmtId="0" fontId="3" fillId="2" borderId="6" xfId="0" applyFont="1" applyFill="1" applyBorder="1" applyAlignment="1">
      <alignment horizontal="center" vertical="center"/>
    </xf>
    <xf numFmtId="0" fontId="3" fillId="2" borderId="48" xfId="0" applyFont="1" applyFill="1" applyBorder="1" applyAlignment="1">
      <alignment horizontal="center" vertical="center" wrapText="1"/>
    </xf>
    <xf numFmtId="0" fontId="3" fillId="2" borderId="2" xfId="0" applyFont="1" applyFill="1" applyBorder="1" applyAlignment="1" quotePrefix="1">
      <alignment horizontal="center" vertical="center" wrapText="1"/>
    </xf>
    <xf numFmtId="3" fontId="4" fillId="0" borderId="49" xfId="0" applyNumberFormat="1" applyFont="1" applyBorder="1" applyAlignment="1">
      <alignment vertical="center"/>
    </xf>
    <xf numFmtId="3" fontId="4" fillId="0" borderId="50" xfId="0" applyNumberFormat="1" applyFont="1" applyBorder="1" applyAlignment="1">
      <alignment vertical="center"/>
    </xf>
    <xf numFmtId="3" fontId="4" fillId="0" borderId="22" xfId="0" applyNumberFormat="1" applyFont="1" applyBorder="1" applyAlignment="1">
      <alignment/>
    </xf>
    <xf numFmtId="3" fontId="4" fillId="0" borderId="3" xfId="0" applyNumberFormat="1" applyFont="1" applyBorder="1" applyAlignment="1">
      <alignment/>
    </xf>
    <xf numFmtId="3" fontId="4" fillId="0" borderId="41" xfId="0" applyNumberFormat="1" applyFont="1" applyBorder="1" applyAlignment="1">
      <alignment/>
    </xf>
    <xf numFmtId="3" fontId="4" fillId="0" borderId="1" xfId="0" applyNumberFormat="1" applyFont="1" applyBorder="1" applyAlignment="1">
      <alignment/>
    </xf>
    <xf numFmtId="3" fontId="4" fillId="0" borderId="21" xfId="0" applyNumberFormat="1" applyFont="1" applyFill="1" applyBorder="1" applyAlignment="1">
      <alignment/>
    </xf>
    <xf numFmtId="3" fontId="4" fillId="0" borderId="41" xfId="0" applyNumberFormat="1" applyFont="1" applyFill="1" applyBorder="1" applyAlignment="1">
      <alignment/>
    </xf>
    <xf numFmtId="3" fontId="4" fillId="0" borderId="1" xfId="0" applyNumberFormat="1" applyFont="1" applyFill="1" applyBorder="1" applyAlignment="1">
      <alignment/>
    </xf>
    <xf numFmtId="3" fontId="4" fillId="0" borderId="78" xfId="0" applyNumberFormat="1" applyFont="1" applyBorder="1" applyAlignment="1">
      <alignment vertical="center" wrapText="1"/>
    </xf>
    <xf numFmtId="3" fontId="4" fillId="0" borderId="23" xfId="0" applyNumberFormat="1" applyFont="1" applyBorder="1" applyAlignment="1">
      <alignment/>
    </xf>
    <xf numFmtId="3" fontId="4" fillId="0" borderId="44" xfId="0" applyNumberFormat="1" applyFont="1" applyBorder="1" applyAlignment="1">
      <alignment/>
    </xf>
    <xf numFmtId="3" fontId="4" fillId="0" borderId="7" xfId="0" applyNumberFormat="1" applyFont="1" applyFill="1" applyBorder="1" applyAlignment="1">
      <alignment vertical="center" wrapText="1"/>
    </xf>
    <xf numFmtId="3" fontId="4" fillId="0" borderId="25" xfId="0" applyNumberFormat="1" applyFont="1" applyFill="1" applyBorder="1" applyAlignment="1">
      <alignment vertical="center" wrapText="1"/>
    </xf>
    <xf numFmtId="3" fontId="9" fillId="0" borderId="0" xfId="0" applyNumberFormat="1" applyFont="1" applyAlignment="1">
      <alignment/>
    </xf>
    <xf numFmtId="3" fontId="4" fillId="0" borderId="69" xfId="0" applyNumberFormat="1" applyFont="1" applyBorder="1" applyAlignment="1">
      <alignment vertical="center" wrapText="1"/>
    </xf>
    <xf numFmtId="3" fontId="10" fillId="0" borderId="39" xfId="0" applyNumberFormat="1" applyFont="1" applyFill="1" applyBorder="1" applyAlignment="1">
      <alignment horizontal="right" vertical="center" wrapText="1"/>
    </xf>
    <xf numFmtId="4" fontId="3" fillId="0" borderId="49" xfId="0" applyNumberFormat="1" applyFont="1" applyFill="1" applyBorder="1" applyAlignment="1">
      <alignment vertical="center"/>
    </xf>
    <xf numFmtId="4" fontId="3" fillId="0" borderId="21" xfId="0" applyNumberFormat="1" applyFont="1" applyFill="1" applyBorder="1" applyAlignment="1">
      <alignment vertical="center"/>
    </xf>
    <xf numFmtId="4" fontId="3" fillId="0" borderId="23" xfId="0" applyNumberFormat="1" applyFont="1" applyFill="1" applyBorder="1" applyAlignment="1">
      <alignment vertical="center"/>
    </xf>
    <xf numFmtId="4" fontId="3" fillId="2" borderId="10" xfId="0" applyNumberFormat="1" applyFont="1" applyFill="1" applyBorder="1" applyAlignment="1">
      <alignment vertical="center"/>
    </xf>
    <xf numFmtId="0" fontId="3" fillId="0" borderId="11" xfId="0" applyFont="1" applyFill="1" applyBorder="1" applyAlignment="1">
      <alignment vertical="center"/>
    </xf>
    <xf numFmtId="164" fontId="10" fillId="0" borderId="11" xfId="0" applyNumberFormat="1" applyFont="1" applyFill="1" applyBorder="1" applyAlignment="1">
      <alignment horizontal="right" vertical="center"/>
    </xf>
    <xf numFmtId="0" fontId="3" fillId="0" borderId="12" xfId="0" applyFont="1" applyFill="1" applyBorder="1" applyAlignment="1">
      <alignment vertical="center"/>
    </xf>
    <xf numFmtId="0" fontId="3" fillId="0" borderId="47" xfId="0" applyFont="1" applyFill="1" applyBorder="1" applyAlignment="1">
      <alignment vertical="center"/>
    </xf>
    <xf numFmtId="164" fontId="10" fillId="0" borderId="46" xfId="0" applyNumberFormat="1" applyFont="1" applyFill="1" applyBorder="1" applyAlignment="1">
      <alignment horizontal="right" vertical="center"/>
    </xf>
    <xf numFmtId="0" fontId="4" fillId="0" borderId="0" xfId="0" applyFont="1" applyBorder="1" applyAlignment="1">
      <alignment vertical="top"/>
    </xf>
    <xf numFmtId="0" fontId="2" fillId="0" borderId="0" xfId="0" applyFont="1" applyFill="1" applyAlignment="1">
      <alignment/>
    </xf>
    <xf numFmtId="0" fontId="18" fillId="0" borderId="0" xfId="0" applyFont="1" applyFill="1" applyAlignment="1">
      <alignment/>
    </xf>
    <xf numFmtId="0" fontId="0" fillId="0" borderId="0" xfId="0" applyFill="1" applyAlignment="1">
      <alignment/>
    </xf>
    <xf numFmtId="0" fontId="4" fillId="0" borderId="0" xfId="0" applyFont="1" applyBorder="1" applyAlignment="1">
      <alignment/>
    </xf>
    <xf numFmtId="0" fontId="3" fillId="2" borderId="54" xfId="0" applyFont="1" applyFill="1" applyBorder="1" applyAlignment="1">
      <alignment horizontal="right" vertical="center"/>
    </xf>
    <xf numFmtId="0" fontId="3" fillId="2" borderId="39" xfId="0" applyFont="1" applyFill="1" applyBorder="1" applyAlignment="1">
      <alignment horizontal="right" vertical="center" wrapText="1"/>
    </xf>
    <xf numFmtId="0" fontId="10" fillId="2" borderId="33" xfId="0" applyFont="1" applyFill="1" applyBorder="1" applyAlignment="1">
      <alignment horizontal="center" vertical="center"/>
    </xf>
    <xf numFmtId="164" fontId="3" fillId="2" borderId="39" xfId="0" applyNumberFormat="1" applyFont="1" applyFill="1" applyBorder="1" applyAlignment="1">
      <alignment horizontal="right" vertical="center" wrapText="1"/>
    </xf>
    <xf numFmtId="0" fontId="0" fillId="0" borderId="0" xfId="0" applyBorder="1" applyAlignment="1">
      <alignment wrapText="1"/>
    </xf>
    <xf numFmtId="4" fontId="4" fillId="0" borderId="35" xfId="0" applyNumberFormat="1" applyFont="1" applyBorder="1" applyAlignment="1">
      <alignment vertical="center"/>
    </xf>
    <xf numFmtId="4" fontId="4" fillId="0" borderId="35" xfId="0" applyNumberFormat="1" applyFont="1" applyFill="1" applyBorder="1" applyAlignment="1">
      <alignment vertical="center"/>
    </xf>
    <xf numFmtId="4" fontId="4" fillId="0" borderId="3" xfId="0" applyNumberFormat="1" applyFont="1" applyFill="1" applyBorder="1" applyAlignment="1">
      <alignment vertical="center"/>
    </xf>
    <xf numFmtId="4" fontId="4" fillId="0" borderId="3" xfId="0" applyNumberFormat="1" applyFont="1" applyBorder="1" applyAlignment="1">
      <alignment vertical="center"/>
    </xf>
    <xf numFmtId="4" fontId="4" fillId="0" borderId="22" xfId="0" applyNumberFormat="1" applyFont="1" applyBorder="1" applyAlignment="1">
      <alignment vertical="center"/>
    </xf>
    <xf numFmtId="4" fontId="4" fillId="0" borderId="4" xfId="0" applyNumberFormat="1" applyFont="1" applyBorder="1" applyAlignment="1">
      <alignment vertical="center"/>
    </xf>
    <xf numFmtId="4" fontId="4" fillId="0" borderId="30" xfId="0" applyNumberFormat="1" applyFont="1" applyBorder="1" applyAlignment="1">
      <alignment vertical="center"/>
    </xf>
    <xf numFmtId="4" fontId="4" fillId="0" borderId="30" xfId="0" applyNumberFormat="1" applyFont="1" applyFill="1" applyBorder="1" applyAlignment="1">
      <alignment vertical="center"/>
    </xf>
    <xf numFmtId="4" fontId="4" fillId="0" borderId="1" xfId="0" applyNumberFormat="1" applyFont="1" applyFill="1" applyBorder="1" applyAlignment="1">
      <alignment vertical="center"/>
    </xf>
    <xf numFmtId="4" fontId="7" fillId="0" borderId="1" xfId="0" applyNumberFormat="1" applyFont="1" applyFill="1" applyBorder="1" applyAlignment="1">
      <alignment/>
    </xf>
    <xf numFmtId="4" fontId="4" fillId="0" borderId="1" xfId="0" applyNumberFormat="1" applyFont="1" applyBorder="1" applyAlignment="1">
      <alignment vertical="center"/>
    </xf>
    <xf numFmtId="4" fontId="4" fillId="0" borderId="26" xfId="0" applyNumberFormat="1" applyFont="1" applyBorder="1" applyAlignment="1">
      <alignment vertical="center"/>
    </xf>
    <xf numFmtId="4" fontId="4" fillId="0" borderId="26" xfId="0" applyNumberFormat="1" applyFont="1" applyFill="1" applyBorder="1" applyAlignment="1">
      <alignment vertical="center"/>
    </xf>
    <xf numFmtId="4" fontId="4" fillId="0" borderId="8" xfId="0" applyNumberFormat="1" applyFont="1" applyBorder="1" applyAlignment="1">
      <alignment vertical="center"/>
    </xf>
    <xf numFmtId="4" fontId="7" fillId="0" borderId="8" xfId="0" applyNumberFormat="1" applyFont="1" applyBorder="1" applyAlignment="1">
      <alignment/>
    </xf>
    <xf numFmtId="4" fontId="3" fillId="2" borderId="63" xfId="0" applyNumberFormat="1" applyFont="1" applyFill="1" applyBorder="1" applyAlignment="1">
      <alignment vertical="center"/>
    </xf>
    <xf numFmtId="4" fontId="3" fillId="2" borderId="32" xfId="0" applyNumberFormat="1" applyFont="1" applyFill="1" applyBorder="1" applyAlignment="1">
      <alignment vertical="center"/>
    </xf>
    <xf numFmtId="4" fontId="3" fillId="2" borderId="33" xfId="0" applyNumberFormat="1" applyFont="1" applyFill="1" applyBorder="1" applyAlignment="1">
      <alignment vertical="center"/>
    </xf>
    <xf numFmtId="4" fontId="3" fillId="2" borderId="54" xfId="0" applyNumberFormat="1" applyFont="1" applyFill="1" applyBorder="1" applyAlignment="1">
      <alignment vertical="center"/>
    </xf>
    <xf numFmtId="4" fontId="0" fillId="0" borderId="0" xfId="0" applyNumberFormat="1" applyFont="1" applyAlignment="1">
      <alignment/>
    </xf>
    <xf numFmtId="4" fontId="7" fillId="0" borderId="0" xfId="0" applyNumberFormat="1" applyFont="1" applyAlignment="1">
      <alignment/>
    </xf>
    <xf numFmtId="4" fontId="3" fillId="2" borderId="48" xfId="0" applyNumberFormat="1" applyFont="1" applyFill="1" applyBorder="1" applyAlignment="1">
      <alignment horizontal="center" vertical="center" wrapText="1"/>
    </xf>
    <xf numFmtId="4" fontId="3" fillId="2" borderId="50" xfId="0" applyNumberFormat="1" applyFont="1" applyFill="1" applyBorder="1" applyAlignment="1">
      <alignment horizontal="center" vertical="center" wrapText="1"/>
    </xf>
    <xf numFmtId="4" fontId="3" fillId="2" borderId="27" xfId="0" applyNumberFormat="1"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2" xfId="0" applyNumberFormat="1" applyFont="1" applyFill="1" applyBorder="1" applyAlignment="1" quotePrefix="1">
      <alignment horizontal="center" vertical="center" wrapText="1"/>
    </xf>
    <xf numFmtId="4" fontId="3" fillId="2" borderId="6" xfId="0" applyNumberFormat="1" applyFont="1" applyFill="1" applyBorder="1" applyAlignment="1">
      <alignment horizontal="center" vertical="center"/>
    </xf>
    <xf numFmtId="4" fontId="4" fillId="0" borderId="77" xfId="0" applyNumberFormat="1" applyFont="1" applyBorder="1" applyAlignment="1">
      <alignment vertical="center"/>
    </xf>
    <xf numFmtId="4" fontId="7" fillId="0" borderId="1" xfId="0" applyNumberFormat="1" applyFont="1" applyBorder="1" applyAlignment="1">
      <alignment/>
    </xf>
    <xf numFmtId="4" fontId="4" fillId="0" borderId="62" xfId="0" applyNumberFormat="1" applyFont="1" applyFill="1" applyBorder="1" applyAlignment="1">
      <alignment vertical="center"/>
    </xf>
    <xf numFmtId="4" fontId="4" fillId="0" borderId="62" xfId="0" applyNumberFormat="1" applyFont="1" applyBorder="1" applyAlignment="1">
      <alignment vertical="center"/>
    </xf>
    <xf numFmtId="4" fontId="3" fillId="2" borderId="79" xfId="0" applyNumberFormat="1" applyFont="1" applyFill="1" applyBorder="1" applyAlignment="1">
      <alignment vertical="center"/>
    </xf>
    <xf numFmtId="4" fontId="0" fillId="0" borderId="0" xfId="0" applyNumberFormat="1" applyAlignment="1">
      <alignment/>
    </xf>
    <xf numFmtId="0" fontId="34" fillId="0" borderId="0" xfId="0" applyFont="1" applyAlignment="1">
      <alignment/>
    </xf>
    <xf numFmtId="0" fontId="1" fillId="0" borderId="0" xfId="0" applyFont="1" applyFill="1" applyAlignment="1">
      <alignment/>
    </xf>
    <xf numFmtId="0" fontId="10" fillId="0" borderId="4" xfId="0" applyFont="1" applyBorder="1" applyAlignment="1">
      <alignment horizontal="center" vertical="center"/>
    </xf>
    <xf numFmtId="0" fontId="10" fillId="0" borderId="25"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8" xfId="0" applyFont="1" applyBorder="1" applyAlignment="1">
      <alignment vertical="center"/>
    </xf>
    <xf numFmtId="0" fontId="3" fillId="0" borderId="8" xfId="0" applyFont="1" applyBorder="1" applyAlignment="1">
      <alignment horizontal="center" vertical="center"/>
    </xf>
    <xf numFmtId="0" fontId="3" fillId="2" borderId="32" xfId="0" applyFont="1" applyFill="1" applyBorder="1" applyAlignment="1">
      <alignment horizontal="center" vertical="center"/>
    </xf>
    <xf numFmtId="0" fontId="10" fillId="2" borderId="53" xfId="0" applyFont="1" applyFill="1" applyBorder="1" applyAlignment="1">
      <alignment horizontal="left" vertical="center" wrapText="1"/>
    </xf>
    <xf numFmtId="0" fontId="0" fillId="0" borderId="0" xfId="0" applyFont="1" applyFill="1" applyAlignment="1">
      <alignment/>
    </xf>
    <xf numFmtId="0" fontId="8" fillId="0" borderId="0" xfId="0" applyFont="1" applyAlignment="1">
      <alignment horizontal="centerContinuous"/>
    </xf>
    <xf numFmtId="0" fontId="0"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centerContinuous"/>
    </xf>
    <xf numFmtId="0" fontId="4" fillId="2" borderId="28" xfId="0" applyFont="1" applyFill="1" applyBorder="1" applyAlignment="1">
      <alignment horizontal="center"/>
    </xf>
    <xf numFmtId="0" fontId="4" fillId="2" borderId="8" xfId="0" applyFont="1" applyFill="1" applyBorder="1" applyAlignment="1">
      <alignment horizontal="center"/>
    </xf>
    <xf numFmtId="0" fontId="4" fillId="2" borderId="14" xfId="0" applyFont="1" applyFill="1" applyBorder="1" applyAlignment="1">
      <alignment horizontal="center"/>
    </xf>
    <xf numFmtId="0" fontId="4" fillId="2" borderId="13" xfId="0" applyFont="1" applyFill="1" applyBorder="1" applyAlignment="1">
      <alignment horizontal="center"/>
    </xf>
    <xf numFmtId="0" fontId="4" fillId="2" borderId="50" xfId="0" applyFont="1" applyFill="1" applyBorder="1" applyAlignment="1">
      <alignment horizontal="center"/>
    </xf>
    <xf numFmtId="0" fontId="4" fillId="2" borderId="80" xfId="0" applyFont="1" applyFill="1" applyBorder="1" applyAlignment="1">
      <alignment horizontal="center"/>
    </xf>
    <xf numFmtId="0" fontId="4" fillId="2" borderId="81" xfId="0" applyFont="1" applyFill="1" applyBorder="1" applyAlignment="1">
      <alignment horizontal="center"/>
    </xf>
    <xf numFmtId="0" fontId="4" fillId="2" borderId="82" xfId="0" applyFont="1" applyFill="1" applyBorder="1" applyAlignment="1">
      <alignment horizontal="center"/>
    </xf>
    <xf numFmtId="0" fontId="4" fillId="2" borderId="43" xfId="0" applyFont="1" applyFill="1" applyBorder="1" applyAlignment="1">
      <alignment horizontal="center"/>
    </xf>
    <xf numFmtId="0" fontId="4" fillId="2" borderId="2" xfId="0" applyFont="1" applyFill="1" applyBorder="1" applyAlignment="1">
      <alignment horizontal="center"/>
    </xf>
    <xf numFmtId="0" fontId="4" fillId="2" borderId="16" xfId="0" applyFont="1" applyFill="1" applyBorder="1" applyAlignment="1">
      <alignment horizontal="center"/>
    </xf>
    <xf numFmtId="0" fontId="4" fillId="0" borderId="40" xfId="0" applyFont="1" applyBorder="1" applyAlignment="1">
      <alignment horizontal="left" vertical="center" wrapText="1"/>
    </xf>
    <xf numFmtId="10" fontId="3" fillId="0" borderId="4" xfId="0" applyNumberFormat="1" applyFont="1" applyFill="1" applyBorder="1" applyAlignment="1">
      <alignment vertical="center" wrapText="1"/>
    </xf>
    <xf numFmtId="10" fontId="3" fillId="0" borderId="3" xfId="0" applyNumberFormat="1" applyFont="1" applyFill="1" applyBorder="1" applyAlignment="1">
      <alignment vertical="center" wrapText="1"/>
    </xf>
    <xf numFmtId="0" fontId="4" fillId="0" borderId="41" xfId="0" applyFont="1" applyBorder="1" applyAlignment="1">
      <alignment horizontal="left" vertical="center" wrapText="1"/>
    </xf>
    <xf numFmtId="0" fontId="7" fillId="0" borderId="41" xfId="0" applyFont="1" applyBorder="1" applyAlignment="1">
      <alignment horizontal="left" vertical="center" wrapText="1"/>
    </xf>
    <xf numFmtId="0" fontId="4" fillId="0" borderId="58" xfId="0" applyFont="1" applyBorder="1" applyAlignment="1">
      <alignment horizontal="left" vertical="center" wrapText="1"/>
    </xf>
    <xf numFmtId="10" fontId="3" fillId="0" borderId="25" xfId="0" applyNumberFormat="1" applyFont="1" applyFill="1" applyBorder="1" applyAlignment="1">
      <alignment vertical="center" wrapText="1"/>
    </xf>
    <xf numFmtId="10" fontId="3" fillId="0" borderId="9" xfId="0" applyNumberFormat="1" applyFont="1" applyFill="1" applyBorder="1" applyAlignment="1">
      <alignment vertical="center" wrapText="1"/>
    </xf>
    <xf numFmtId="0" fontId="3" fillId="2" borderId="53" xfId="0" applyFont="1" applyFill="1" applyBorder="1" applyAlignment="1">
      <alignment horizontal="left" vertical="center" wrapText="1"/>
    </xf>
    <xf numFmtId="10" fontId="3" fillId="2" borderId="33" xfId="0" applyNumberFormat="1" applyFont="1" applyFill="1" applyBorder="1" applyAlignment="1">
      <alignment vertical="center" wrapText="1"/>
    </xf>
    <xf numFmtId="10" fontId="3" fillId="2" borderId="32" xfId="0" applyNumberFormat="1" applyFont="1" applyFill="1" applyBorder="1" applyAlignment="1">
      <alignment vertical="center" wrapText="1"/>
    </xf>
    <xf numFmtId="0" fontId="4" fillId="0" borderId="56" xfId="0" applyFont="1" applyBorder="1" applyAlignment="1">
      <alignment horizontal="left" vertical="center" wrapText="1"/>
    </xf>
    <xf numFmtId="0" fontId="4" fillId="0" borderId="41" xfId="0" applyFont="1" applyBorder="1" applyAlignment="1">
      <alignment vertical="center" wrapText="1"/>
    </xf>
    <xf numFmtId="0" fontId="4" fillId="0" borderId="58" xfId="0" applyFont="1" applyBorder="1" applyAlignment="1">
      <alignment vertical="center" wrapText="1"/>
    </xf>
    <xf numFmtId="3" fontId="4" fillId="0" borderId="14" xfId="0" applyNumberFormat="1" applyFont="1" applyBorder="1" applyAlignment="1">
      <alignment vertical="center" wrapText="1"/>
    </xf>
    <xf numFmtId="0" fontId="9" fillId="2" borderId="43"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34" xfId="0" applyFont="1" applyBorder="1" applyAlignment="1">
      <alignment/>
    </xf>
    <xf numFmtId="3" fontId="3" fillId="0" borderId="34" xfId="0" applyNumberFormat="1" applyFont="1" applyBorder="1" applyAlignment="1">
      <alignment/>
    </xf>
    <xf numFmtId="3" fontId="3" fillId="0" borderId="21" xfId="0" applyNumberFormat="1" applyFont="1" applyBorder="1" applyAlignment="1" quotePrefix="1">
      <alignment horizontal="center"/>
    </xf>
    <xf numFmtId="3" fontId="3" fillId="0" borderId="1" xfId="0" applyNumberFormat="1" applyFont="1" applyBorder="1" applyAlignment="1" quotePrefix="1">
      <alignment horizontal="center"/>
    </xf>
    <xf numFmtId="3" fontId="3" fillId="0" borderId="4" xfId="0" applyNumberFormat="1" applyFont="1" applyBorder="1" applyAlignment="1" quotePrefix="1">
      <alignment horizontal="center"/>
    </xf>
    <xf numFmtId="3" fontId="3" fillId="0" borderId="20" xfId="0" applyNumberFormat="1" applyFont="1" applyBorder="1" applyAlignment="1" quotePrefix="1">
      <alignment horizontal="center"/>
    </xf>
    <xf numFmtId="0" fontId="9" fillId="0" borderId="20" xfId="0" applyFont="1" applyBorder="1" applyAlignment="1">
      <alignment/>
    </xf>
    <xf numFmtId="3" fontId="3" fillId="0" borderId="21" xfId="0" applyNumberFormat="1" applyFont="1" applyBorder="1" applyAlignment="1">
      <alignment/>
    </xf>
    <xf numFmtId="3" fontId="3" fillId="0" borderId="1" xfId="0" applyNumberFormat="1" applyFont="1" applyBorder="1" applyAlignment="1">
      <alignment/>
    </xf>
    <xf numFmtId="3" fontId="3" fillId="0" borderId="5" xfId="0" applyNumberFormat="1" applyFont="1" applyBorder="1" applyAlignment="1">
      <alignment/>
    </xf>
    <xf numFmtId="3" fontId="3" fillId="0" borderId="21" xfId="0" applyNumberFormat="1" applyFont="1" applyBorder="1" applyAlignment="1" quotePrefix="1">
      <alignment horizontal="right"/>
    </xf>
    <xf numFmtId="3" fontId="3" fillId="0" borderId="1" xfId="0" applyNumberFormat="1" applyFont="1" applyBorder="1" applyAlignment="1" quotePrefix="1">
      <alignment horizontal="right"/>
    </xf>
    <xf numFmtId="3" fontId="3" fillId="0" borderId="20" xfId="0" applyNumberFormat="1" applyFont="1" applyBorder="1" applyAlignment="1" quotePrefix="1">
      <alignment horizontal="right"/>
    </xf>
    <xf numFmtId="0" fontId="9" fillId="0" borderId="51" xfId="0" applyFont="1" applyBorder="1" applyAlignment="1">
      <alignment/>
    </xf>
    <xf numFmtId="3" fontId="3" fillId="0" borderId="23" xfId="0" applyNumberFormat="1" applyFont="1" applyBorder="1" applyAlignment="1">
      <alignment/>
    </xf>
    <xf numFmtId="3" fontId="3" fillId="0" borderId="6" xfId="0" applyNumberFormat="1" applyFont="1" applyBorder="1" applyAlignment="1">
      <alignment/>
    </xf>
    <xf numFmtId="3" fontId="3" fillId="0" borderId="7" xfId="0" applyNumberFormat="1" applyFont="1" applyBorder="1" applyAlignment="1">
      <alignment/>
    </xf>
    <xf numFmtId="0" fontId="3" fillId="2" borderId="1" xfId="0" applyFont="1" applyFill="1" applyBorder="1" applyAlignment="1">
      <alignment horizontal="center"/>
    </xf>
    <xf numFmtId="3" fontId="3" fillId="2" borderId="1" xfId="0" applyNumberFormat="1" applyFont="1" applyFill="1" applyBorder="1" applyAlignment="1">
      <alignment horizontal="center"/>
    </xf>
    <xf numFmtId="3" fontId="3" fillId="2" borderId="12" xfId="0" applyNumberFormat="1" applyFont="1" applyFill="1" applyBorder="1" applyAlignment="1">
      <alignment horizontal="center"/>
    </xf>
    <xf numFmtId="3" fontId="3" fillId="2" borderId="5" xfId="0" applyNumberFormat="1" applyFont="1" applyFill="1" applyBorder="1" applyAlignment="1">
      <alignment horizontal="center"/>
    </xf>
    <xf numFmtId="0" fontId="3" fillId="0" borderId="21" xfId="0" applyFont="1" applyBorder="1" applyAlignment="1">
      <alignment/>
    </xf>
    <xf numFmtId="3" fontId="3" fillId="0" borderId="12" xfId="0" applyNumberFormat="1" applyFont="1" applyBorder="1" applyAlignment="1">
      <alignment/>
    </xf>
    <xf numFmtId="0" fontId="3" fillId="0" borderId="28" xfId="0" applyFont="1" applyBorder="1" applyAlignment="1">
      <alignment/>
    </xf>
    <xf numFmtId="3" fontId="3" fillId="0" borderId="47" xfId="0" applyNumberFormat="1" applyFont="1" applyBorder="1" applyAlignment="1">
      <alignment/>
    </xf>
    <xf numFmtId="3" fontId="3" fillId="0" borderId="8" xfId="0" applyNumberFormat="1" applyFont="1" applyBorder="1" applyAlignment="1">
      <alignment/>
    </xf>
    <xf numFmtId="3" fontId="3" fillId="0" borderId="14" xfId="0" applyNumberFormat="1" applyFont="1" applyBorder="1" applyAlignment="1">
      <alignment/>
    </xf>
    <xf numFmtId="0" fontId="3" fillId="2" borderId="54" xfId="0" applyFont="1" applyFill="1" applyBorder="1" applyAlignment="1">
      <alignment/>
    </xf>
    <xf numFmtId="0" fontId="3" fillId="0" borderId="29" xfId="0" applyFont="1" applyBorder="1" applyAlignment="1">
      <alignment/>
    </xf>
    <xf numFmtId="3" fontId="3" fillId="0" borderId="46" xfId="0" applyNumberFormat="1" applyFont="1" applyBorder="1" applyAlignment="1">
      <alignment/>
    </xf>
    <xf numFmtId="3" fontId="3" fillId="0" borderId="9" xfId="0" applyNumberFormat="1" applyFont="1" applyBorder="1" applyAlignment="1">
      <alignment/>
    </xf>
    <xf numFmtId="3" fontId="3" fillId="0" borderId="25" xfId="0" applyNumberFormat="1" applyFont="1" applyBorder="1" applyAlignment="1">
      <alignment/>
    </xf>
    <xf numFmtId="0" fontId="3" fillId="0" borderId="23" xfId="0" applyFont="1" applyBorder="1" applyAlignment="1">
      <alignment/>
    </xf>
    <xf numFmtId="3" fontId="3" fillId="0" borderId="44" xfId="0" applyNumberFormat="1" applyFont="1" applyBorder="1" applyAlignment="1">
      <alignment/>
    </xf>
    <xf numFmtId="3" fontId="7" fillId="0" borderId="83" xfId="0" applyNumberFormat="1" applyFont="1" applyFill="1" applyBorder="1" applyAlignment="1">
      <alignment vertical="center" wrapText="1"/>
    </xf>
    <xf numFmtId="3" fontId="7" fillId="5" borderId="84" xfId="0" applyNumberFormat="1" applyFont="1" applyFill="1" applyBorder="1" applyAlignment="1">
      <alignment vertical="center"/>
    </xf>
    <xf numFmtId="3" fontId="7" fillId="5" borderId="85" xfId="0" applyNumberFormat="1" applyFont="1" applyFill="1" applyBorder="1" applyAlignment="1">
      <alignment vertical="center"/>
    </xf>
    <xf numFmtId="3" fontId="7" fillId="0" borderId="86" xfId="0" applyNumberFormat="1" applyFont="1" applyBorder="1" applyAlignment="1">
      <alignment vertical="center"/>
    </xf>
    <xf numFmtId="3" fontId="39" fillId="0" borderId="41" xfId="0" applyNumberFormat="1" applyFont="1" applyFill="1" applyBorder="1" applyAlignment="1">
      <alignment vertical="center" wrapText="1"/>
    </xf>
    <xf numFmtId="4" fontId="7" fillId="0" borderId="1" xfId="0" applyNumberFormat="1" applyFont="1" applyFill="1" applyBorder="1" applyAlignment="1">
      <alignment vertical="center"/>
    </xf>
    <xf numFmtId="4" fontId="7" fillId="0" borderId="12" xfId="0" applyNumberFormat="1" applyFont="1" applyFill="1" applyBorder="1" applyAlignment="1">
      <alignment vertical="center"/>
    </xf>
    <xf numFmtId="0" fontId="4" fillId="0" borderId="3" xfId="0" applyFont="1" applyBorder="1" applyAlignment="1">
      <alignment/>
    </xf>
    <xf numFmtId="4" fontId="7" fillId="0" borderId="20" xfId="0" applyNumberFormat="1" applyFont="1" applyBorder="1" applyAlignment="1">
      <alignment vertical="center"/>
    </xf>
    <xf numFmtId="3" fontId="39" fillId="0" borderId="42" xfId="0" applyNumberFormat="1" applyFont="1" applyFill="1" applyBorder="1" applyAlignment="1">
      <alignment vertical="center" wrapText="1"/>
    </xf>
    <xf numFmtId="4" fontId="7" fillId="0" borderId="8" xfId="0" applyNumberFormat="1" applyFont="1" applyFill="1" applyBorder="1" applyAlignment="1">
      <alignment vertical="center"/>
    </xf>
    <xf numFmtId="4" fontId="7" fillId="0" borderId="47" xfId="0" applyNumberFormat="1" applyFont="1" applyFill="1" applyBorder="1" applyAlignment="1">
      <alignment vertical="center"/>
    </xf>
    <xf numFmtId="0" fontId="4" fillId="0" borderId="8" xfId="0" applyFont="1" applyBorder="1" applyAlignment="1">
      <alignment/>
    </xf>
    <xf numFmtId="4" fontId="7" fillId="0" borderId="36" xfId="0" applyNumberFormat="1" applyFont="1" applyBorder="1" applyAlignment="1">
      <alignment vertical="center"/>
    </xf>
    <xf numFmtId="3" fontId="39" fillId="2" borderId="53" xfId="0" applyNumberFormat="1" applyFont="1" applyFill="1" applyBorder="1" applyAlignment="1">
      <alignment vertical="center" wrapText="1"/>
    </xf>
    <xf numFmtId="3" fontId="7" fillId="2" borderId="52" xfId="0" applyNumberFormat="1" applyFont="1" applyFill="1" applyBorder="1" applyAlignment="1">
      <alignment horizontal="right" vertical="center"/>
    </xf>
    <xf numFmtId="3" fontId="7" fillId="5" borderId="87" xfId="0" applyNumberFormat="1" applyFont="1" applyFill="1" applyBorder="1" applyAlignment="1">
      <alignment vertical="center"/>
    </xf>
    <xf numFmtId="4" fontId="7" fillId="0" borderId="21" xfId="0" applyNumberFormat="1" applyFont="1" applyFill="1" applyBorder="1" applyAlignment="1">
      <alignment vertical="center"/>
    </xf>
    <xf numFmtId="4" fontId="7" fillId="0" borderId="28" xfId="0" applyNumberFormat="1" applyFont="1" applyFill="1" applyBorder="1" applyAlignment="1">
      <alignment vertical="center"/>
    </xf>
    <xf numFmtId="3" fontId="7" fillId="2" borderId="32" xfId="0" applyNumberFormat="1" applyFont="1" applyFill="1" applyBorder="1" applyAlignment="1">
      <alignment horizontal="right" vertical="center"/>
    </xf>
    <xf numFmtId="3" fontId="9" fillId="2" borderId="54" xfId="0" applyNumberFormat="1" applyFont="1" applyFill="1" applyBorder="1" applyAlignment="1">
      <alignment vertical="center" wrapText="1"/>
    </xf>
    <xf numFmtId="3" fontId="3" fillId="2" borderId="32" xfId="0" applyNumberFormat="1" applyFont="1" applyFill="1" applyBorder="1" applyAlignment="1">
      <alignment horizontal="right" vertical="center"/>
    </xf>
    <xf numFmtId="3" fontId="3" fillId="0" borderId="20" xfId="0" applyNumberFormat="1" applyFont="1" applyBorder="1" applyAlignment="1">
      <alignment horizontal="center"/>
    </xf>
    <xf numFmtId="4" fontId="7" fillId="5" borderId="1" xfId="0" applyNumberFormat="1" applyFont="1" applyFill="1" applyBorder="1" applyAlignment="1">
      <alignment vertical="center"/>
    </xf>
    <xf numFmtId="4" fontId="7" fillId="5" borderId="21" xfId="0" applyNumberFormat="1" applyFont="1" applyFill="1" applyBorder="1" applyAlignment="1">
      <alignment vertical="center"/>
    </xf>
    <xf numFmtId="4" fontId="7" fillId="5" borderId="12" xfId="0" applyNumberFormat="1" applyFont="1" applyFill="1" applyBorder="1" applyAlignment="1">
      <alignment vertical="center"/>
    </xf>
    <xf numFmtId="4" fontId="7" fillId="5" borderId="8" xfId="0" applyNumberFormat="1" applyFont="1" applyFill="1" applyBorder="1" applyAlignment="1">
      <alignment vertical="center"/>
    </xf>
    <xf numFmtId="4" fontId="7" fillId="5" borderId="28" xfId="0" applyNumberFormat="1" applyFont="1" applyFill="1" applyBorder="1" applyAlignment="1">
      <alignment vertical="center"/>
    </xf>
    <xf numFmtId="4" fontId="7" fillId="5" borderId="47" xfId="0" applyNumberFormat="1" applyFont="1" applyFill="1" applyBorder="1" applyAlignment="1">
      <alignment vertical="center"/>
    </xf>
    <xf numFmtId="3" fontId="7" fillId="2" borderId="53" xfId="0" applyNumberFormat="1" applyFont="1" applyFill="1" applyBorder="1" applyAlignment="1">
      <alignment horizontal="right" vertical="center"/>
    </xf>
    <xf numFmtId="3" fontId="7" fillId="2" borderId="79" xfId="0" applyNumberFormat="1" applyFont="1" applyFill="1" applyBorder="1" applyAlignment="1">
      <alignment horizontal="right" vertical="center"/>
    </xf>
    <xf numFmtId="3" fontId="7" fillId="2" borderId="39" xfId="0" applyNumberFormat="1" applyFont="1" applyFill="1" applyBorder="1" applyAlignment="1">
      <alignment horizontal="right" vertical="center"/>
    </xf>
    <xf numFmtId="3" fontId="7" fillId="2" borderId="54" xfId="0" applyNumberFormat="1" applyFont="1" applyFill="1" applyBorder="1" applyAlignment="1">
      <alignment horizontal="right" vertical="center"/>
    </xf>
    <xf numFmtId="4" fontId="3" fillId="2" borderId="33" xfId="0" applyNumberFormat="1" applyFont="1" applyFill="1" applyBorder="1" applyAlignment="1">
      <alignment vertical="center"/>
    </xf>
    <xf numFmtId="4" fontId="3" fillId="2" borderId="32" xfId="0" applyNumberFormat="1" applyFont="1" applyFill="1" applyBorder="1" applyAlignment="1">
      <alignment horizontal="right" vertical="center"/>
    </xf>
    <xf numFmtId="4" fontId="3" fillId="2" borderId="39" xfId="0" applyNumberFormat="1" applyFont="1" applyFill="1" applyBorder="1" applyAlignment="1">
      <alignment horizontal="right" vertical="center"/>
    </xf>
    <xf numFmtId="4" fontId="3" fillId="2" borderId="33" xfId="0" applyNumberFormat="1" applyFont="1" applyFill="1" applyBorder="1" applyAlignment="1">
      <alignment horizontal="right" vertical="center"/>
    </xf>
    <xf numFmtId="3" fontId="3" fillId="2" borderId="63" xfId="0" applyNumberFormat="1" applyFont="1" applyFill="1" applyBorder="1" applyAlignment="1">
      <alignment vertical="center" wrapText="1"/>
    </xf>
    <xf numFmtId="10" fontId="4" fillId="2" borderId="32" xfId="0" applyNumberFormat="1" applyFont="1" applyFill="1" applyBorder="1" applyAlignment="1">
      <alignment vertical="center" wrapText="1"/>
    </xf>
    <xf numFmtId="0" fontId="4" fillId="2" borderId="45" xfId="0" applyFont="1" applyFill="1" applyBorder="1" applyAlignment="1">
      <alignment horizontal="center"/>
    </xf>
    <xf numFmtId="0" fontId="4" fillId="2" borderId="10" xfId="0" applyFont="1" applyFill="1" applyBorder="1" applyAlignment="1">
      <alignment horizontal="center"/>
    </xf>
    <xf numFmtId="10" fontId="3" fillId="0" borderId="11" xfId="0" applyNumberFormat="1" applyFont="1" applyFill="1" applyBorder="1" applyAlignment="1">
      <alignment vertical="center" wrapText="1"/>
    </xf>
    <xf numFmtId="10" fontId="3" fillId="0" borderId="46" xfId="0" applyNumberFormat="1" applyFont="1" applyFill="1" applyBorder="1" applyAlignment="1">
      <alignment vertical="center" wrapText="1"/>
    </xf>
    <xf numFmtId="10" fontId="3" fillId="2" borderId="39" xfId="0" applyNumberFormat="1" applyFont="1" applyFill="1" applyBorder="1" applyAlignment="1">
      <alignment vertical="center" wrapText="1"/>
    </xf>
    <xf numFmtId="10" fontId="4" fillId="2" borderId="53" xfId="0" applyNumberFormat="1" applyFont="1" applyFill="1" applyBorder="1" applyAlignment="1">
      <alignment vertical="center" wrapText="1"/>
    </xf>
    <xf numFmtId="3" fontId="9" fillId="2" borderId="32" xfId="0" applyNumberFormat="1" applyFont="1" applyFill="1" applyBorder="1" applyAlignment="1">
      <alignment horizontal="center" vertical="center" wrapText="1"/>
    </xf>
    <xf numFmtId="3" fontId="9" fillId="2" borderId="39" xfId="0" applyNumberFormat="1" applyFont="1" applyFill="1" applyBorder="1" applyAlignment="1">
      <alignment horizontal="center" vertical="center" wrapText="1"/>
    </xf>
    <xf numFmtId="3" fontId="9" fillId="2" borderId="52" xfId="0" applyNumberFormat="1" applyFont="1" applyFill="1" applyBorder="1" applyAlignment="1">
      <alignment horizontal="center" vertical="center" wrapText="1"/>
    </xf>
    <xf numFmtId="3" fontId="4" fillId="0" borderId="11" xfId="0" applyNumberFormat="1" applyFont="1" applyBorder="1" applyAlignment="1">
      <alignment vertical="center" wrapText="1"/>
    </xf>
    <xf numFmtId="3" fontId="9" fillId="2" borderId="54" xfId="0" applyNumberFormat="1" applyFont="1" applyFill="1" applyBorder="1" applyAlignment="1">
      <alignment horizontal="center" vertical="center" wrapText="1"/>
    </xf>
    <xf numFmtId="0" fontId="0" fillId="0" borderId="0" xfId="0" applyAlignment="1">
      <alignment wrapText="1"/>
    </xf>
    <xf numFmtId="3" fontId="9" fillId="2" borderId="79" xfId="0" applyNumberFormat="1" applyFont="1" applyFill="1" applyBorder="1" applyAlignment="1">
      <alignment horizontal="center" vertical="center" wrapText="1"/>
    </xf>
    <xf numFmtId="3" fontId="7" fillId="5" borderId="88" xfId="0" applyNumberFormat="1" applyFont="1" applyFill="1" applyBorder="1" applyAlignment="1">
      <alignment vertical="center"/>
    </xf>
    <xf numFmtId="4" fontId="7" fillId="5" borderId="62" xfId="0" applyNumberFormat="1" applyFont="1" applyFill="1" applyBorder="1" applyAlignment="1">
      <alignment vertical="center"/>
    </xf>
    <xf numFmtId="4" fontId="7" fillId="5" borderId="66" xfId="0" applyNumberFormat="1" applyFont="1" applyFill="1" applyBorder="1" applyAlignment="1">
      <alignment vertical="center"/>
    </xf>
    <xf numFmtId="3" fontId="7" fillId="5" borderId="83" xfId="0" applyNumberFormat="1" applyFont="1" applyFill="1" applyBorder="1" applyAlignment="1">
      <alignment vertical="center"/>
    </xf>
    <xf numFmtId="4" fontId="7" fillId="5" borderId="41" xfId="0" applyNumberFormat="1" applyFont="1" applyFill="1" applyBorder="1" applyAlignment="1">
      <alignment vertical="center"/>
    </xf>
    <xf numFmtId="4" fontId="7" fillId="5" borderId="42" xfId="0" applyNumberFormat="1" applyFont="1" applyFill="1" applyBorder="1" applyAlignment="1">
      <alignment vertical="center"/>
    </xf>
    <xf numFmtId="3" fontId="9" fillId="2" borderId="33" xfId="0" applyNumberFormat="1" applyFont="1" applyFill="1" applyBorder="1" applyAlignment="1">
      <alignment horizontal="center" vertical="center" wrapText="1"/>
    </xf>
    <xf numFmtId="3" fontId="7" fillId="5" borderId="89" xfId="0" applyNumberFormat="1" applyFont="1" applyFill="1" applyBorder="1" applyAlignment="1">
      <alignment vertical="center"/>
    </xf>
    <xf numFmtId="4" fontId="7" fillId="5" borderId="5" xfId="0" applyNumberFormat="1" applyFont="1" applyFill="1" applyBorder="1" applyAlignment="1">
      <alignment vertical="center"/>
    </xf>
    <xf numFmtId="4" fontId="7" fillId="5" borderId="14" xfId="0" applyNumberFormat="1" applyFont="1" applyFill="1" applyBorder="1" applyAlignment="1">
      <alignment vertical="center"/>
    </xf>
    <xf numFmtId="3" fontId="7" fillId="2" borderId="33" xfId="0" applyNumberFormat="1" applyFont="1" applyFill="1" applyBorder="1" applyAlignment="1">
      <alignment horizontal="right" vertical="center"/>
    </xf>
    <xf numFmtId="3" fontId="9" fillId="2" borderId="53" xfId="0" applyNumberFormat="1" applyFont="1" applyFill="1" applyBorder="1" applyAlignment="1">
      <alignment vertical="center" wrapText="1"/>
    </xf>
    <xf numFmtId="4" fontId="3" fillId="2" borderId="54" xfId="0" applyNumberFormat="1" applyFont="1" applyFill="1" applyBorder="1" applyAlignment="1">
      <alignment vertical="center"/>
    </xf>
    <xf numFmtId="4" fontId="3" fillId="2" borderId="54" xfId="0" applyNumberFormat="1" applyFont="1" applyFill="1" applyBorder="1" applyAlignment="1">
      <alignment horizontal="right" vertical="center"/>
    </xf>
    <xf numFmtId="3" fontId="7" fillId="0" borderId="90" xfId="0" applyNumberFormat="1" applyFont="1" applyFill="1" applyBorder="1" applyAlignment="1">
      <alignment vertical="center" wrapText="1"/>
    </xf>
    <xf numFmtId="3" fontId="7" fillId="5" borderId="91" xfId="0" applyNumberFormat="1" applyFont="1" applyFill="1" applyBorder="1" applyAlignment="1">
      <alignment vertical="center"/>
    </xf>
    <xf numFmtId="3" fontId="7" fillId="5" borderId="92" xfId="0" applyNumberFormat="1" applyFont="1" applyFill="1" applyBorder="1" applyAlignment="1">
      <alignment vertical="center"/>
    </xf>
    <xf numFmtId="0" fontId="4" fillId="0" borderId="91" xfId="0" applyFont="1" applyBorder="1" applyAlignment="1">
      <alignment/>
    </xf>
    <xf numFmtId="3" fontId="7" fillId="0" borderId="93" xfId="0" applyNumberFormat="1" applyFont="1" applyBorder="1" applyAlignment="1">
      <alignment vertical="center"/>
    </xf>
    <xf numFmtId="3" fontId="7" fillId="2" borderId="57" xfId="0" applyNumberFormat="1" applyFont="1" applyFill="1" applyBorder="1" applyAlignment="1">
      <alignment horizontal="right" vertical="center"/>
    </xf>
    <xf numFmtId="3" fontId="3" fillId="2" borderId="33" xfId="0" applyNumberFormat="1" applyFont="1" applyFill="1" applyBorder="1" applyAlignment="1">
      <alignment horizontal="right" vertical="center"/>
    </xf>
    <xf numFmtId="3" fontId="7" fillId="5" borderId="94" xfId="0" applyNumberFormat="1" applyFont="1" applyFill="1" applyBorder="1" applyAlignment="1">
      <alignment vertical="center"/>
    </xf>
    <xf numFmtId="0" fontId="2" fillId="0" borderId="0" xfId="0" applyFont="1" applyAlignment="1">
      <alignment/>
    </xf>
    <xf numFmtId="0" fontId="0" fillId="0" borderId="70" xfId="0" applyBorder="1" applyAlignment="1">
      <alignment/>
    </xf>
    <xf numFmtId="0" fontId="0" fillId="0" borderId="15" xfId="0" applyBorder="1" applyAlignment="1">
      <alignment/>
    </xf>
    <xf numFmtId="0" fontId="0" fillId="0" borderId="69" xfId="0" applyBorder="1" applyAlignment="1">
      <alignment/>
    </xf>
    <xf numFmtId="0" fontId="10" fillId="0" borderId="40" xfId="0" applyFont="1" applyBorder="1" applyAlignment="1">
      <alignment vertical="center" wrapText="1"/>
    </xf>
    <xf numFmtId="0" fontId="0" fillId="0" borderId="57" xfId="0" applyBorder="1" applyAlignment="1">
      <alignment/>
    </xf>
    <xf numFmtId="0" fontId="10" fillId="2" borderId="64" xfId="0" applyFont="1" applyFill="1" applyBorder="1" applyAlignment="1">
      <alignment vertical="center" wrapText="1"/>
    </xf>
    <xf numFmtId="0" fontId="0" fillId="0" borderId="95" xfId="0" applyBorder="1" applyAlignment="1">
      <alignment/>
    </xf>
    <xf numFmtId="0" fontId="6" fillId="2" borderId="23" xfId="0" applyFont="1" applyFill="1" applyBorder="1" applyAlignment="1">
      <alignment vertical="center"/>
    </xf>
    <xf numFmtId="0" fontId="0" fillId="0" borderId="7" xfId="0" applyBorder="1" applyAlignment="1">
      <alignment/>
    </xf>
    <xf numFmtId="0" fontId="10" fillId="2" borderId="53" xfId="0" applyFont="1" applyFill="1" applyBorder="1" applyAlignment="1">
      <alignment vertical="center" wrapText="1"/>
    </xf>
    <xf numFmtId="0" fontId="0" fillId="0" borderId="15" xfId="0" applyBorder="1" applyAlignment="1">
      <alignment horizontal="center" vertical="center" wrapText="1"/>
    </xf>
    <xf numFmtId="0" fontId="10" fillId="0" borderId="41" xfId="0" applyFont="1" applyBorder="1" applyAlignment="1">
      <alignment vertical="center" wrapText="1"/>
    </xf>
    <xf numFmtId="0" fontId="0" fillId="0" borderId="72" xfId="0" applyBorder="1" applyAlignment="1">
      <alignment/>
    </xf>
    <xf numFmtId="49" fontId="2" fillId="2" borderId="49" xfId="0" applyNumberFormat="1" applyFont="1" applyFill="1" applyBorder="1" applyAlignment="1">
      <alignment horizontal="left" vertical="center"/>
    </xf>
    <xf numFmtId="0" fontId="0" fillId="0" borderId="13" xfId="0" applyBorder="1" applyAlignment="1">
      <alignment horizontal="left"/>
    </xf>
    <xf numFmtId="0" fontId="0" fillId="0" borderId="21" xfId="0" applyFont="1" applyBorder="1" applyAlignment="1">
      <alignment horizontal="left" vertical="center"/>
    </xf>
    <xf numFmtId="0" fontId="0" fillId="0" borderId="5" xfId="0" applyBorder="1" applyAlignment="1">
      <alignment horizontal="left"/>
    </xf>
    <xf numFmtId="49" fontId="3" fillId="2" borderId="64"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9" fillId="2" borderId="6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0" xfId="0" applyBorder="1" applyAlignment="1">
      <alignment horizontal="center" vertical="center" wrapText="1"/>
    </xf>
    <xf numFmtId="49" fontId="9" fillId="2" borderId="19" xfId="0" applyNumberFormat="1" applyFont="1" applyFill="1" applyBorder="1" applyAlignment="1">
      <alignment horizontal="center" vertical="center" wrapText="1"/>
    </xf>
    <xf numFmtId="0" fontId="7" fillId="0" borderId="16" xfId="0" applyFont="1" applyBorder="1" applyAlignment="1">
      <alignment horizontal="center" vertical="center" wrapText="1"/>
    </xf>
    <xf numFmtId="0" fontId="4" fillId="0" borderId="21" xfId="0" applyFont="1" applyBorder="1" applyAlignment="1">
      <alignment vertical="center"/>
    </xf>
    <xf numFmtId="0" fontId="0" fillId="0" borderId="5" xfId="0" applyBorder="1" applyAlignment="1">
      <alignment/>
    </xf>
    <xf numFmtId="49" fontId="2" fillId="2" borderId="53" xfId="0" applyNumberFormat="1" applyFont="1" applyFill="1" applyBorder="1" applyAlignment="1">
      <alignment horizontal="center" vertical="center"/>
    </xf>
    <xf numFmtId="0" fontId="0" fillId="0" borderId="79" xfId="0" applyBorder="1" applyAlignment="1">
      <alignment horizontal="center" vertical="center"/>
    </xf>
    <xf numFmtId="0" fontId="0" fillId="0" borderId="57" xfId="0" applyBorder="1" applyAlignment="1">
      <alignment horizontal="center" vertical="center"/>
    </xf>
    <xf numFmtId="49" fontId="3" fillId="2" borderId="61" xfId="0" applyNumberFormat="1" applyFont="1" applyFill="1" applyBorder="1" applyAlignment="1">
      <alignment horizontal="center" vertical="center" wrapText="1"/>
    </xf>
    <xf numFmtId="0" fontId="3" fillId="2" borderId="64" xfId="0" applyFont="1" applyFill="1" applyBorder="1" applyAlignment="1">
      <alignment horizontal="left" vertical="center" wrapText="1"/>
    </xf>
    <xf numFmtId="0" fontId="4" fillId="0" borderId="15" xfId="0" applyFont="1" applyBorder="1" applyAlignment="1">
      <alignment horizontal="left" vertical="center" wrapText="1"/>
    </xf>
    <xf numFmtId="0" fontId="3" fillId="2" borderId="17"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29" xfId="0" applyBorder="1" applyAlignment="1">
      <alignment/>
    </xf>
    <xf numFmtId="49" fontId="3" fillId="2" borderId="60" xfId="0" applyNumberFormat="1" applyFont="1" applyFill="1" applyBorder="1" applyAlignment="1">
      <alignment horizontal="center" vertical="center" wrapText="1"/>
    </xf>
    <xf numFmtId="0" fontId="2" fillId="0" borderId="18" xfId="0" applyFont="1" applyBorder="1" applyAlignment="1">
      <alignment vertical="center" wrapText="1"/>
    </xf>
    <xf numFmtId="0" fontId="0" fillId="0" borderId="29" xfId="0" applyBorder="1" applyAlignment="1">
      <alignment vertical="center" wrapText="1"/>
    </xf>
    <xf numFmtId="0" fontId="0" fillId="0" borderId="43" xfId="0" applyBorder="1" applyAlignment="1">
      <alignment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3" fillId="2" borderId="56"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0" fillId="0" borderId="73" xfId="0" applyBorder="1" applyAlignment="1">
      <alignment horizontal="center" vertical="center" wrapText="1"/>
    </xf>
    <xf numFmtId="0" fontId="0" fillId="0" borderId="68" xfId="0" applyBorder="1" applyAlignment="1">
      <alignment horizontal="center" vertical="center" wrapText="1"/>
    </xf>
    <xf numFmtId="0" fontId="3" fillId="2" borderId="54" xfId="0" applyFont="1" applyFill="1" applyBorder="1" applyAlignment="1">
      <alignment horizontal="center" vertical="center"/>
    </xf>
    <xf numFmtId="0" fontId="3" fillId="2" borderId="32" xfId="0" applyFont="1" applyFill="1" applyBorder="1" applyAlignment="1">
      <alignment horizontal="center" vertical="center"/>
    </xf>
    <xf numFmtId="0" fontId="0" fillId="0" borderId="33" xfId="0" applyBorder="1" applyAlignment="1">
      <alignment/>
    </xf>
    <xf numFmtId="0" fontId="3" fillId="2" borderId="63" xfId="0" applyFont="1" applyFill="1" applyBorder="1" applyAlignment="1">
      <alignment horizontal="center" vertical="center"/>
    </xf>
    <xf numFmtId="0" fontId="3" fillId="2" borderId="39" xfId="0" applyFont="1" applyFill="1" applyBorder="1" applyAlignment="1">
      <alignment horizontal="center" vertical="center"/>
    </xf>
    <xf numFmtId="49" fontId="1" fillId="2" borderId="53" xfId="0" applyNumberFormat="1" applyFont="1" applyFill="1" applyBorder="1" applyAlignment="1">
      <alignment horizontal="center" vertical="center"/>
    </xf>
    <xf numFmtId="0" fontId="0" fillId="0" borderId="79" xfId="0" applyBorder="1" applyAlignment="1">
      <alignment vertical="center"/>
    </xf>
    <xf numFmtId="0" fontId="0" fillId="0" borderId="57" xfId="0" applyBorder="1" applyAlignment="1">
      <alignment vertical="center"/>
    </xf>
    <xf numFmtId="49" fontId="2" fillId="2" borderId="17" xfId="0" applyNumberFormat="1" applyFont="1" applyFill="1" applyBorder="1" applyAlignment="1">
      <alignment horizontal="left" vertical="center"/>
    </xf>
    <xf numFmtId="0" fontId="0" fillId="0" borderId="59" xfId="0" applyFont="1" applyBorder="1" applyAlignment="1">
      <alignment horizontal="left" vertical="center"/>
    </xf>
    <xf numFmtId="0" fontId="0" fillId="0" borderId="37" xfId="0" applyFont="1" applyBorder="1" applyAlignment="1">
      <alignment horizontal="left" vertical="center"/>
    </xf>
    <xf numFmtId="0" fontId="2" fillId="2" borderId="56" xfId="0" applyFont="1" applyFill="1" applyBorder="1" applyAlignment="1">
      <alignment horizontal="center" vertical="center"/>
    </xf>
    <xf numFmtId="0" fontId="2" fillId="2" borderId="68" xfId="0" applyFont="1" applyFill="1" applyBorder="1" applyAlignment="1">
      <alignment horizontal="center" vertical="center"/>
    </xf>
    <xf numFmtId="0" fontId="0" fillId="0" borderId="68" xfId="0" applyBorder="1" applyAlignment="1">
      <alignment horizontal="center" vertical="center"/>
    </xf>
    <xf numFmtId="0" fontId="0" fillId="0" borderId="73" xfId="0" applyBorder="1" applyAlignment="1">
      <alignment horizontal="center" vertical="center"/>
    </xf>
    <xf numFmtId="0" fontId="9" fillId="2" borderId="53" xfId="0" applyFont="1" applyFill="1" applyBorder="1" applyAlignment="1">
      <alignment horizontal="left" vertical="center" wrapText="1"/>
    </xf>
    <xf numFmtId="0" fontId="7" fillId="0" borderId="79" xfId="0" applyFont="1" applyBorder="1" applyAlignment="1">
      <alignment horizontal="left" vertical="center" wrapText="1"/>
    </xf>
    <xf numFmtId="0" fontId="0" fillId="0" borderId="79" xfId="0" applyBorder="1" applyAlignment="1">
      <alignment horizontal="left" vertical="center" wrapText="1"/>
    </xf>
    <xf numFmtId="0" fontId="0" fillId="0" borderId="57" xfId="0" applyBorder="1" applyAlignment="1">
      <alignment horizontal="left" vertical="center" wrapText="1"/>
    </xf>
    <xf numFmtId="0" fontId="9" fillId="2" borderId="17" xfId="0" applyFont="1" applyFill="1" applyBorder="1" applyAlignment="1">
      <alignment horizontal="center" vertical="center" wrapText="1"/>
    </xf>
    <xf numFmtId="0" fontId="9" fillId="2" borderId="37" xfId="0" applyFont="1" applyFill="1" applyBorder="1" applyAlignment="1">
      <alignment horizontal="center" vertical="center" wrapText="1"/>
    </xf>
    <xf numFmtId="1" fontId="19" fillId="0" borderId="55" xfId="0" applyNumberFormat="1" applyFont="1" applyBorder="1" applyAlignment="1">
      <alignment horizontal="right" vertical="top"/>
    </xf>
    <xf numFmtId="0" fontId="0" fillId="0" borderId="55" xfId="0" applyBorder="1" applyAlignment="1">
      <alignment horizontal="right"/>
    </xf>
    <xf numFmtId="0" fontId="2" fillId="2" borderId="17" xfId="0" applyFont="1" applyFill="1" applyBorder="1" applyAlignment="1">
      <alignment horizontal="left" vertical="center"/>
    </xf>
    <xf numFmtId="0" fontId="2" fillId="2" borderId="37" xfId="0" applyFont="1" applyFill="1" applyBorder="1" applyAlignment="1">
      <alignment horizontal="left" vertical="center"/>
    </xf>
    <xf numFmtId="0" fontId="9" fillId="2" borderId="53" xfId="0" applyFont="1" applyFill="1" applyBorder="1" applyAlignment="1">
      <alignment horizontal="right" vertical="center"/>
    </xf>
    <xf numFmtId="0" fontId="7" fillId="0" borderId="79" xfId="0" applyFont="1" applyBorder="1" applyAlignment="1">
      <alignment horizontal="right" vertical="center"/>
    </xf>
    <xf numFmtId="0" fontId="0" fillId="0" borderId="79" xfId="0" applyBorder="1" applyAlignment="1">
      <alignment horizontal="right" vertical="center"/>
    </xf>
    <xf numFmtId="0" fontId="0" fillId="0" borderId="57" xfId="0" applyBorder="1" applyAlignment="1">
      <alignment horizontal="right" vertical="center"/>
    </xf>
    <xf numFmtId="3" fontId="3" fillId="2" borderId="53" xfId="0" applyNumberFormat="1" applyFont="1" applyFill="1" applyBorder="1" applyAlignment="1">
      <alignment horizontal="left" vertical="center" wrapText="1"/>
    </xf>
    <xf numFmtId="0" fontId="0" fillId="0" borderId="79" xfId="0" applyBorder="1" applyAlignment="1">
      <alignment/>
    </xf>
    <xf numFmtId="0" fontId="3" fillId="2" borderId="21" xfId="0" applyFont="1" applyFill="1" applyBorder="1" applyAlignment="1">
      <alignment horizontal="center" vertical="center" wrapText="1"/>
    </xf>
    <xf numFmtId="0" fontId="0" fillId="0" borderId="1" xfId="0" applyBorder="1" applyAlignment="1">
      <alignment/>
    </xf>
    <xf numFmtId="0" fontId="0" fillId="0" borderId="0" xfId="0" applyBorder="1" applyAlignment="1">
      <alignment horizontal="center" vertical="top" wrapText="1"/>
    </xf>
    <xf numFmtId="0" fontId="3" fillId="2" borderId="1" xfId="0" applyFont="1" applyFill="1" applyBorder="1" applyAlignment="1">
      <alignment horizontal="center" vertical="center" wrapText="1"/>
    </xf>
    <xf numFmtId="0" fontId="0" fillId="0" borderId="12" xfId="0" applyBorder="1" applyAlignment="1">
      <alignment/>
    </xf>
    <xf numFmtId="0" fontId="3" fillId="2" borderId="49" xfId="0" applyFont="1" applyFill="1" applyBorder="1" applyAlignment="1">
      <alignment horizontal="center" vertical="center" wrapText="1"/>
    </xf>
    <xf numFmtId="0" fontId="0" fillId="0" borderId="50" xfId="0" applyBorder="1" applyAlignment="1">
      <alignment/>
    </xf>
    <xf numFmtId="0" fontId="0" fillId="0" borderId="13" xfId="0" applyBorder="1" applyAlignment="1">
      <alignment/>
    </xf>
    <xf numFmtId="0" fontId="3" fillId="2" borderId="14" xfId="0" applyFont="1" applyFill="1" applyBorder="1" applyAlignment="1">
      <alignment horizontal="center" vertical="center" wrapText="1"/>
    </xf>
    <xf numFmtId="0" fontId="0" fillId="0" borderId="16" xfId="0" applyBorder="1" applyAlignment="1">
      <alignment horizontal="center" vertical="center" wrapText="1"/>
    </xf>
    <xf numFmtId="3" fontId="3" fillId="2" borderId="15" xfId="0" applyNumberFormat="1" applyFont="1" applyFill="1" applyBorder="1" applyAlignment="1">
      <alignment horizontal="center" vertical="center" wrapText="1"/>
    </xf>
    <xf numFmtId="0" fontId="0" fillId="0" borderId="69" xfId="0" applyBorder="1" applyAlignment="1">
      <alignment horizontal="center" vertical="center" wrapText="1"/>
    </xf>
    <xf numFmtId="3" fontId="4" fillId="0" borderId="43" xfId="0" applyNumberFormat="1" applyFont="1" applyFill="1" applyBorder="1" applyAlignment="1">
      <alignment vertical="center" wrapText="1"/>
    </xf>
    <xf numFmtId="0" fontId="0" fillId="0" borderId="2" xfId="0" applyFill="1" applyBorder="1" applyAlignment="1">
      <alignment/>
    </xf>
    <xf numFmtId="0" fontId="0" fillId="0" borderId="16" xfId="0" applyFill="1" applyBorder="1" applyAlignment="1">
      <alignment/>
    </xf>
    <xf numFmtId="0" fontId="3" fillId="2" borderId="42"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50" xfId="0" applyBorder="1" applyAlignment="1">
      <alignment horizontal="center" vertical="center" wrapText="1"/>
    </xf>
    <xf numFmtId="0" fontId="0" fillId="0" borderId="45" xfId="0" applyBorder="1" applyAlignment="1">
      <alignment/>
    </xf>
    <xf numFmtId="3" fontId="4" fillId="0" borderId="21" xfId="0" applyNumberFormat="1" applyFont="1" applyFill="1" applyBorder="1" applyAlignment="1">
      <alignment vertical="center" wrapText="1"/>
    </xf>
    <xf numFmtId="3" fontId="3" fillId="2" borderId="15" xfId="0" applyNumberFormat="1" applyFont="1" applyFill="1" applyBorder="1" applyAlignment="1">
      <alignment horizontal="left" vertical="center" wrapText="1"/>
    </xf>
    <xf numFmtId="0" fontId="0" fillId="0" borderId="55" xfId="0" applyBorder="1" applyAlignment="1">
      <alignment/>
    </xf>
    <xf numFmtId="3" fontId="3" fillId="2" borderId="54" xfId="0" applyNumberFormat="1" applyFont="1" applyFill="1" applyBorder="1" applyAlignment="1">
      <alignment vertical="center" wrapText="1"/>
    </xf>
    <xf numFmtId="0" fontId="2" fillId="2" borderId="32" xfId="0" applyFont="1" applyFill="1" applyBorder="1" applyAlignment="1">
      <alignment/>
    </xf>
    <xf numFmtId="0" fontId="2" fillId="2" borderId="33" xfId="0" applyFont="1" applyFill="1" applyBorder="1" applyAlignment="1">
      <alignment/>
    </xf>
    <xf numFmtId="3" fontId="3" fillId="2" borderId="53" xfId="0" applyNumberFormat="1" applyFont="1" applyFill="1" applyBorder="1" applyAlignment="1">
      <alignment horizontal="center" vertical="center" wrapText="1"/>
    </xf>
    <xf numFmtId="0" fontId="0" fillId="0" borderId="79" xfId="0" applyBorder="1" applyAlignment="1">
      <alignment horizontal="center" vertical="center" wrapText="1"/>
    </xf>
    <xf numFmtId="0" fontId="0" fillId="0" borderId="57" xfId="0" applyBorder="1" applyAlignment="1">
      <alignment horizontal="center" vertical="center" wrapText="1"/>
    </xf>
    <xf numFmtId="0" fontId="4" fillId="0" borderId="47" xfId="0" applyFont="1" applyBorder="1" applyAlignment="1">
      <alignment horizontal="left" vertical="top" wrapText="1"/>
    </xf>
    <xf numFmtId="0" fontId="4" fillId="0" borderId="66" xfId="0" applyFont="1" applyBorder="1" applyAlignment="1">
      <alignment horizontal="left" vertical="top" wrapText="1"/>
    </xf>
    <xf numFmtId="0" fontId="4" fillId="0" borderId="26" xfId="0" applyFont="1" applyBorder="1" applyAlignment="1">
      <alignment horizontal="left" vertical="top" wrapText="1"/>
    </xf>
    <xf numFmtId="0" fontId="4" fillId="0" borderId="46" xfId="0" applyFont="1" applyBorder="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left" vertical="top" wrapText="1"/>
    </xf>
    <xf numFmtId="0" fontId="4" fillId="0" borderId="11" xfId="0" applyFont="1" applyBorder="1" applyAlignment="1">
      <alignment horizontal="left" vertical="top" wrapText="1"/>
    </xf>
    <xf numFmtId="0" fontId="4" fillId="0" borderId="77" xfId="0" applyFont="1" applyBorder="1" applyAlignment="1">
      <alignment horizontal="left" vertical="top" wrapText="1"/>
    </xf>
    <xf numFmtId="0" fontId="4" fillId="0" borderId="35" xfId="0" applyFont="1" applyBorder="1" applyAlignment="1">
      <alignment horizontal="left" vertical="top" wrapText="1"/>
    </xf>
    <xf numFmtId="0" fontId="0" fillId="0" borderId="62" xfId="0" applyBorder="1" applyAlignment="1">
      <alignment/>
    </xf>
    <xf numFmtId="0" fontId="0" fillId="0" borderId="30" xfId="0" applyBorder="1" applyAlignment="1">
      <alignment/>
    </xf>
    <xf numFmtId="3" fontId="10" fillId="0" borderId="12" xfId="0" applyNumberFormat="1" applyFont="1" applyBorder="1" applyAlignment="1">
      <alignment horizontal="right" vertical="center" wrapText="1"/>
    </xf>
    <xf numFmtId="3" fontId="0" fillId="0" borderId="72" xfId="0" applyNumberFormat="1" applyBorder="1" applyAlignment="1">
      <alignment vertical="center" wrapText="1"/>
    </xf>
    <xf numFmtId="0" fontId="0" fillId="0" borderId="42" xfId="0" applyBorder="1" applyAlignment="1">
      <alignment vertical="center"/>
    </xf>
    <xf numFmtId="0" fontId="0" fillId="0" borderId="66" xfId="0" applyBorder="1" applyAlignment="1">
      <alignment/>
    </xf>
    <xf numFmtId="0" fontId="0" fillId="0" borderId="26" xfId="0" applyBorder="1" applyAlignment="1">
      <alignment/>
    </xf>
    <xf numFmtId="0" fontId="0" fillId="0" borderId="40" xfId="0" applyBorder="1" applyAlignment="1">
      <alignment/>
    </xf>
    <xf numFmtId="0" fontId="0" fillId="0" borderId="77" xfId="0" applyBorder="1" applyAlignment="1">
      <alignment/>
    </xf>
    <xf numFmtId="0" fontId="0" fillId="0" borderId="35" xfId="0" applyBorder="1" applyAlignment="1">
      <alignment/>
    </xf>
    <xf numFmtId="0" fontId="0" fillId="0" borderId="47" xfId="0" applyBorder="1" applyAlignment="1">
      <alignment vertical="center" wrapText="1"/>
    </xf>
    <xf numFmtId="0" fontId="0" fillId="0" borderId="71" xfId="0" applyBorder="1" applyAlignment="1">
      <alignment vertical="center" wrapText="1"/>
    </xf>
    <xf numFmtId="0" fontId="0" fillId="0" borderId="11" xfId="0" applyBorder="1" applyAlignment="1">
      <alignment vertical="center" wrapText="1"/>
    </xf>
    <xf numFmtId="0" fontId="0" fillId="0" borderId="70" xfId="0" applyBorder="1" applyAlignment="1">
      <alignment vertical="center" wrapText="1"/>
    </xf>
    <xf numFmtId="0" fontId="2" fillId="2" borderId="49" xfId="0" applyFont="1" applyFill="1" applyBorder="1" applyAlignment="1">
      <alignment horizontal="center" vertical="center" wrapText="1"/>
    </xf>
    <xf numFmtId="0" fontId="0" fillId="0" borderId="13" xfId="0" applyBorder="1" applyAlignment="1">
      <alignment vertical="center" wrapText="1"/>
    </xf>
    <xf numFmtId="0" fontId="0" fillId="0" borderId="21" xfId="0" applyBorder="1" applyAlignment="1">
      <alignment vertical="center" wrapText="1"/>
    </xf>
    <xf numFmtId="0" fontId="0" fillId="0" borderId="5" xfId="0" applyBorder="1" applyAlignment="1">
      <alignment vertical="center" wrapText="1"/>
    </xf>
    <xf numFmtId="0" fontId="0" fillId="0" borderId="21" xfId="0" applyBorder="1" applyAlignment="1">
      <alignment/>
    </xf>
    <xf numFmtId="3" fontId="3" fillId="2" borderId="41" xfId="0" applyNumberFormat="1" applyFont="1" applyFill="1" applyBorder="1" applyAlignment="1">
      <alignment horizontal="left" vertical="center" wrapText="1"/>
    </xf>
    <xf numFmtId="0" fontId="0" fillId="0" borderId="62" xfId="0" applyBorder="1" applyAlignment="1">
      <alignment/>
    </xf>
    <xf numFmtId="3" fontId="3" fillId="2" borderId="41" xfId="0" applyNumberFormat="1" applyFont="1" applyFill="1" applyBorder="1" applyAlignment="1">
      <alignment horizontal="center" vertical="center" wrapText="1"/>
    </xf>
    <xf numFmtId="0" fontId="0" fillId="2" borderId="62" xfId="0" applyFill="1" applyBorder="1" applyAlignment="1">
      <alignment horizontal="center" vertical="center" wrapText="1"/>
    </xf>
    <xf numFmtId="0" fontId="0" fillId="2" borderId="72" xfId="0" applyFill="1" applyBorder="1" applyAlignment="1">
      <alignment horizontal="center" vertical="center" wrapText="1"/>
    </xf>
    <xf numFmtId="3" fontId="4" fillId="0" borderId="21" xfId="0" applyNumberFormat="1" applyFont="1" applyFill="1" applyBorder="1" applyAlignment="1" quotePrefix="1">
      <alignment vertical="center" wrapText="1"/>
    </xf>
    <xf numFmtId="3" fontId="4" fillId="0" borderId="28" xfId="0" applyNumberFormat="1" applyFont="1" applyFill="1" applyBorder="1" applyAlignment="1">
      <alignment vertical="center" wrapText="1"/>
    </xf>
    <xf numFmtId="0" fontId="0" fillId="0" borderId="8" xfId="0" applyBorder="1" applyAlignment="1">
      <alignment/>
    </xf>
    <xf numFmtId="0" fontId="0" fillId="0" borderId="14" xfId="0" applyBorder="1" applyAlignment="1">
      <alignment/>
    </xf>
    <xf numFmtId="3" fontId="4" fillId="0" borderId="49" xfId="0" applyNumberFormat="1" applyFont="1" applyFill="1" applyBorder="1" applyAlignment="1">
      <alignment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0" borderId="6" xfId="0" applyBorder="1" applyAlignment="1">
      <alignment/>
    </xf>
    <xf numFmtId="3" fontId="4" fillId="0" borderId="22" xfId="0" applyNumberFormat="1" applyFont="1" applyFill="1" applyBorder="1" applyAlignment="1">
      <alignment vertical="center" wrapText="1"/>
    </xf>
    <xf numFmtId="0" fontId="0" fillId="0" borderId="3" xfId="0" applyBorder="1" applyAlignment="1">
      <alignment/>
    </xf>
    <xf numFmtId="0" fontId="0" fillId="0" borderId="4" xfId="0" applyBorder="1" applyAlignment="1">
      <alignment/>
    </xf>
    <xf numFmtId="0" fontId="3" fillId="2" borderId="8" xfId="0" applyFont="1" applyFill="1"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3" fillId="2" borderId="71" xfId="0" applyFont="1" applyFill="1" applyBorder="1" applyAlignment="1">
      <alignment horizontal="center" vertical="center" wrapText="1"/>
    </xf>
    <xf numFmtId="0" fontId="0" fillId="0" borderId="78" xfId="0" applyBorder="1" applyAlignment="1">
      <alignment horizontal="center" vertical="center" wrapText="1"/>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3" xfId="0" applyFont="1" applyFill="1" applyBorder="1" applyAlignment="1">
      <alignment horizontal="center" vertical="center"/>
    </xf>
    <xf numFmtId="0" fontId="20" fillId="2" borderId="54" xfId="0" applyFont="1" applyFill="1" applyBorder="1" applyAlignment="1">
      <alignment vertical="center" wrapText="1"/>
    </xf>
    <xf numFmtId="0" fontId="0" fillId="0" borderId="32" xfId="0" applyBorder="1" applyAlignment="1">
      <alignment vertical="center"/>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0" fillId="0" borderId="24" xfId="0" applyBorder="1" applyAlignment="1">
      <alignment horizontal="center" vertical="center" wrapText="1"/>
    </xf>
    <xf numFmtId="0" fontId="10" fillId="0" borderId="28" xfId="0" applyFont="1" applyBorder="1" applyAlignment="1">
      <alignment horizontal="justify" vertical="center"/>
    </xf>
    <xf numFmtId="0" fontId="10" fillId="2" borderId="54" xfId="0" applyFont="1" applyFill="1" applyBorder="1" applyAlignment="1">
      <alignment horizontal="justify" vertical="center"/>
    </xf>
    <xf numFmtId="0" fontId="2" fillId="2" borderId="49" xfId="0" applyFont="1" applyFill="1" applyBorder="1" applyAlignment="1">
      <alignment horizontal="left" vertical="center"/>
    </xf>
    <xf numFmtId="0" fontId="0" fillId="0" borderId="21" xfId="0" applyBorder="1" applyAlignment="1">
      <alignment horizontal="left" vertical="center"/>
    </xf>
    <xf numFmtId="0" fontId="0" fillId="0" borderId="64" xfId="0" applyBorder="1" applyAlignment="1">
      <alignment vertical="top" wrapText="1"/>
    </xf>
    <xf numFmtId="0" fontId="0" fillId="0" borderId="61" xfId="0" applyBorder="1" applyAlignment="1">
      <alignment vertical="top" wrapText="1"/>
    </xf>
    <xf numFmtId="0" fontId="0" fillId="0" borderId="95" xfId="0" applyBorder="1" applyAlignment="1">
      <alignment wrapText="1"/>
    </xf>
    <xf numFmtId="0" fontId="0" fillId="0" borderId="24" xfId="0" applyBorder="1" applyAlignment="1">
      <alignment vertical="top" wrapText="1"/>
    </xf>
    <xf numFmtId="0" fontId="0" fillId="0" borderId="0" xfId="0" applyBorder="1" applyAlignment="1">
      <alignment vertical="top" wrapText="1"/>
    </xf>
    <xf numFmtId="0" fontId="0" fillId="0" borderId="78" xfId="0" applyBorder="1" applyAlignment="1">
      <alignment wrapText="1"/>
    </xf>
    <xf numFmtId="0" fontId="0" fillId="0" borderId="15" xfId="0" applyBorder="1" applyAlignment="1">
      <alignment vertical="top" wrapText="1"/>
    </xf>
    <xf numFmtId="0" fontId="0" fillId="0" borderId="55" xfId="0" applyBorder="1" applyAlignment="1">
      <alignment vertical="top" wrapText="1"/>
    </xf>
    <xf numFmtId="0" fontId="0" fillId="0" borderId="69" xfId="0" applyBorder="1" applyAlignment="1">
      <alignment wrapText="1"/>
    </xf>
    <xf numFmtId="0" fontId="10" fillId="0" borderId="21" xfId="0" applyFont="1" applyBorder="1" applyAlignment="1">
      <alignment horizontal="justify" vertical="center"/>
    </xf>
    <xf numFmtId="0" fontId="2" fillId="2" borderId="79" xfId="0" applyFont="1" applyFill="1" applyBorder="1" applyAlignment="1">
      <alignment horizontal="center" vertical="center"/>
    </xf>
    <xf numFmtId="0" fontId="2" fillId="2" borderId="53" xfId="0" applyFont="1" applyFill="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0" fillId="0" borderId="0" xfId="0" applyAlignment="1">
      <alignment/>
    </xf>
    <xf numFmtId="0" fontId="3" fillId="2" borderId="6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9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10" fillId="0" borderId="21" xfId="0" applyFont="1" applyBorder="1" applyAlignment="1">
      <alignment vertical="center" wrapText="1"/>
    </xf>
    <xf numFmtId="0" fontId="4" fillId="0" borderId="1" xfId="0" applyFont="1" applyBorder="1" applyAlignment="1">
      <alignment vertical="center"/>
    </xf>
    <xf numFmtId="0" fontId="20" fillId="2" borderId="23" xfId="0" applyFont="1" applyFill="1" applyBorder="1" applyAlignment="1">
      <alignment vertical="center" wrapText="1"/>
    </xf>
    <xf numFmtId="0" fontId="0" fillId="0" borderId="6" xfId="0" applyBorder="1" applyAlignment="1">
      <alignment vertical="center"/>
    </xf>
    <xf numFmtId="3" fontId="10" fillId="0" borderId="11" xfId="0" applyNumberFormat="1" applyFont="1" applyBorder="1" applyAlignment="1">
      <alignment horizontal="right" vertical="center" wrapText="1"/>
    </xf>
    <xf numFmtId="3" fontId="10" fillId="2" borderId="44" xfId="0" applyNumberFormat="1" applyFont="1" applyFill="1" applyBorder="1" applyAlignment="1">
      <alignment horizontal="right" vertical="center" wrapText="1"/>
    </xf>
    <xf numFmtId="3" fontId="4" fillId="0" borderId="97" xfId="0" applyNumberFormat="1" applyFont="1" applyBorder="1" applyAlignment="1">
      <alignment vertical="center" wrapText="1"/>
    </xf>
    <xf numFmtId="0" fontId="10" fillId="0" borderId="22" xfId="0" applyFont="1" applyBorder="1" applyAlignment="1">
      <alignment vertical="center" wrapText="1"/>
    </xf>
    <xf numFmtId="0" fontId="4" fillId="0" borderId="3" xfId="0" applyFont="1" applyBorder="1" applyAlignment="1">
      <alignment vertical="center"/>
    </xf>
    <xf numFmtId="0" fontId="20" fillId="2" borderId="39" xfId="0" applyFont="1" applyFill="1" applyBorder="1" applyAlignment="1">
      <alignment horizontal="right" vertical="center" wrapText="1"/>
    </xf>
    <xf numFmtId="0" fontId="0" fillId="0" borderId="57" xfId="0" applyBorder="1" applyAlignment="1">
      <alignment vertical="center" wrapText="1"/>
    </xf>
    <xf numFmtId="0" fontId="4" fillId="0" borderId="72" xfId="0" applyFont="1" applyBorder="1" applyAlignment="1">
      <alignment vertical="center" wrapText="1"/>
    </xf>
    <xf numFmtId="0" fontId="0" fillId="0" borderId="72" xfId="0" applyBorder="1" applyAlignment="1">
      <alignment vertical="center" wrapText="1"/>
    </xf>
    <xf numFmtId="0" fontId="4" fillId="0" borderId="47" xfId="0" applyFont="1" applyBorder="1" applyAlignment="1">
      <alignment vertical="top" wrapText="1"/>
    </xf>
    <xf numFmtId="0" fontId="0" fillId="0" borderId="66" xfId="0" applyBorder="1" applyAlignment="1">
      <alignment vertical="top"/>
    </xf>
    <xf numFmtId="0" fontId="0" fillId="0" borderId="26" xfId="0" applyBorder="1" applyAlignment="1">
      <alignment vertical="top"/>
    </xf>
    <xf numFmtId="0" fontId="0" fillId="0" borderId="46" xfId="0" applyBorder="1" applyAlignment="1">
      <alignment vertical="top"/>
    </xf>
    <xf numFmtId="0" fontId="0" fillId="0" borderId="0" xfId="0" applyBorder="1" applyAlignment="1">
      <alignment vertical="top"/>
    </xf>
    <xf numFmtId="0" fontId="0" fillId="0" borderId="31" xfId="0" applyBorder="1" applyAlignment="1">
      <alignment vertical="top"/>
    </xf>
    <xf numFmtId="0" fontId="0" fillId="0" borderId="11" xfId="0" applyBorder="1" applyAlignment="1">
      <alignment vertical="top"/>
    </xf>
    <xf numFmtId="0" fontId="0" fillId="0" borderId="77" xfId="0" applyBorder="1" applyAlignment="1">
      <alignment vertical="top"/>
    </xf>
    <xf numFmtId="0" fontId="0" fillId="0" borderId="35" xfId="0" applyBorder="1" applyAlignment="1">
      <alignment vertical="top"/>
    </xf>
    <xf numFmtId="0" fontId="3" fillId="2" borderId="19"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0" borderId="28" xfId="0" applyFont="1" applyBorder="1" applyAlignment="1">
      <alignment vertical="center" wrapText="1"/>
    </xf>
    <xf numFmtId="0" fontId="0" fillId="0" borderId="47" xfId="0" applyBorder="1" applyAlignment="1">
      <alignment/>
    </xf>
    <xf numFmtId="0" fontId="3" fillId="2" borderId="49" xfId="0" applyFont="1" applyFill="1" applyBorder="1" applyAlignment="1">
      <alignment horizontal="left" vertical="center" wrapText="1"/>
    </xf>
    <xf numFmtId="0" fontId="4" fillId="0" borderId="45" xfId="0" applyFont="1" applyBorder="1" applyAlignment="1">
      <alignment/>
    </xf>
    <xf numFmtId="0" fontId="4" fillId="0" borderId="23" xfId="0" applyFont="1" applyBorder="1" applyAlignment="1">
      <alignment wrapText="1"/>
    </xf>
    <xf numFmtId="0" fontId="4" fillId="0" borderId="44" xfId="0" applyFont="1" applyBorder="1" applyAlignment="1">
      <alignment/>
    </xf>
    <xf numFmtId="0" fontId="3" fillId="0" borderId="21" xfId="0" applyFont="1" applyBorder="1" applyAlignment="1">
      <alignment vertical="center" wrapText="1"/>
    </xf>
    <xf numFmtId="0" fontId="3" fillId="2" borderId="54" xfId="0" applyFont="1" applyFill="1" applyBorder="1" applyAlignment="1">
      <alignment vertical="center"/>
    </xf>
    <xf numFmtId="0" fontId="4" fillId="0" borderId="39" xfId="0" applyFont="1" applyBorder="1" applyAlignment="1">
      <alignment vertical="center"/>
    </xf>
    <xf numFmtId="0" fontId="3" fillId="2" borderId="17" xfId="0" applyFont="1" applyFill="1" applyBorder="1" applyAlignment="1">
      <alignment horizontal="left" vertical="center" wrapText="1"/>
    </xf>
    <xf numFmtId="0" fontId="0" fillId="0" borderId="37" xfId="0" applyBorder="1" applyAlignment="1">
      <alignment wrapText="1"/>
    </xf>
    <xf numFmtId="4" fontId="11" fillId="2" borderId="54" xfId="0" applyNumberFormat="1" applyFont="1" applyFill="1" applyBorder="1" applyAlignment="1">
      <alignment vertical="center"/>
    </xf>
    <xf numFmtId="0" fontId="11" fillId="0" borderId="32" xfId="0" applyFont="1" applyBorder="1" applyAlignment="1">
      <alignment/>
    </xf>
    <xf numFmtId="0" fontId="29" fillId="0" borderId="32" xfId="0" applyFont="1" applyBorder="1" applyAlignment="1">
      <alignment/>
    </xf>
    <xf numFmtId="0" fontId="29" fillId="0" borderId="33" xfId="0" applyFont="1" applyBorder="1" applyAlignment="1">
      <alignment/>
    </xf>
    <xf numFmtId="4" fontId="3" fillId="2" borderId="53" xfId="0" applyNumberFormat="1" applyFont="1" applyFill="1" applyBorder="1" applyAlignment="1">
      <alignment vertical="center"/>
    </xf>
    <xf numFmtId="3" fontId="11" fillId="0" borderId="21" xfId="20" applyFont="1" applyBorder="1" applyAlignment="1">
      <alignment horizontal="left" vertical="center" wrapText="1"/>
      <protection/>
    </xf>
    <xf numFmtId="0" fontId="11" fillId="0" borderId="1" xfId="0" applyFont="1" applyBorder="1" applyAlignment="1">
      <alignment/>
    </xf>
    <xf numFmtId="0" fontId="29" fillId="0" borderId="1" xfId="0" applyFont="1" applyBorder="1" applyAlignment="1">
      <alignment/>
    </xf>
    <xf numFmtId="0" fontId="29" fillId="0" borderId="5" xfId="0" applyFont="1" applyBorder="1" applyAlignment="1">
      <alignment/>
    </xf>
    <xf numFmtId="4" fontId="3" fillId="0" borderId="21" xfId="0" applyNumberFormat="1" applyFont="1" applyBorder="1" applyAlignment="1">
      <alignment vertical="center"/>
    </xf>
    <xf numFmtId="0" fontId="0" fillId="0" borderId="5" xfId="0" applyBorder="1" applyAlignment="1">
      <alignment vertical="center"/>
    </xf>
    <xf numFmtId="3" fontId="11" fillId="0" borderId="28" xfId="20" applyFont="1" applyBorder="1" applyAlignment="1">
      <alignment horizontal="left" vertical="center" wrapText="1"/>
      <protection/>
    </xf>
    <xf numFmtId="0" fontId="11" fillId="0" borderId="8" xfId="0" applyFont="1" applyBorder="1" applyAlignment="1">
      <alignment/>
    </xf>
    <xf numFmtId="0" fontId="29" fillId="0" borderId="8" xfId="0" applyFont="1" applyBorder="1" applyAlignment="1">
      <alignment/>
    </xf>
    <xf numFmtId="0" fontId="29" fillId="0" borderId="14" xfId="0" applyFont="1" applyBorder="1" applyAlignment="1">
      <alignment/>
    </xf>
    <xf numFmtId="4" fontId="3" fillId="0" borderId="24" xfId="0" applyNumberFormat="1" applyFont="1" applyBorder="1" applyAlignment="1">
      <alignment vertical="center"/>
    </xf>
    <xf numFmtId="0" fontId="0" fillId="0" borderId="78" xfId="0" applyBorder="1" applyAlignment="1">
      <alignment vertical="center"/>
    </xf>
    <xf numFmtId="3" fontId="11" fillId="0" borderId="22" xfId="20" applyFont="1" applyBorder="1" applyAlignment="1">
      <alignment horizontal="left" vertical="center" wrapText="1"/>
      <protection/>
    </xf>
    <xf numFmtId="0" fontId="11" fillId="0" borderId="3" xfId="0" applyFont="1" applyBorder="1" applyAlignment="1">
      <alignment/>
    </xf>
    <xf numFmtId="0" fontId="29" fillId="0" borderId="3" xfId="0" applyFont="1" applyBorder="1" applyAlignment="1">
      <alignment/>
    </xf>
    <xf numFmtId="0" fontId="29" fillId="0" borderId="4" xfId="0" applyFont="1" applyBorder="1" applyAlignment="1">
      <alignment/>
    </xf>
    <xf numFmtId="0" fontId="0" fillId="0" borderId="50" xfId="0" applyFont="1" applyBorder="1" applyAlignment="1">
      <alignment/>
    </xf>
    <xf numFmtId="0" fontId="0" fillId="0" borderId="6" xfId="0" applyFont="1" applyBorder="1" applyAlignment="1">
      <alignment/>
    </xf>
    <xf numFmtId="4" fontId="3" fillId="2" borderId="45" xfId="0" applyNumberFormat="1" applyFont="1" applyFill="1" applyBorder="1" applyAlignment="1">
      <alignment horizontal="center" vertical="center" wrapText="1"/>
    </xf>
    <xf numFmtId="0" fontId="0" fillId="0" borderId="48" xfId="0" applyBorder="1" applyAlignment="1">
      <alignment horizontal="center" vertical="center" wrapText="1"/>
    </xf>
    <xf numFmtId="4" fontId="3" fillId="2" borderId="56" xfId="0" applyNumberFormat="1" applyFont="1" applyFill="1" applyBorder="1" applyAlignment="1">
      <alignment horizontal="center" vertical="center" wrapText="1"/>
    </xf>
    <xf numFmtId="4" fontId="3" fillId="2" borderId="58" xfId="0" applyNumberFormat="1" applyFont="1" applyFill="1" applyBorder="1" applyAlignment="1">
      <alignment horizontal="center" vertical="center" wrapText="1"/>
    </xf>
    <xf numFmtId="0" fontId="0" fillId="0" borderId="97" xfId="0" applyBorder="1" applyAlignment="1">
      <alignment horizontal="center" vertical="center" wrapText="1"/>
    </xf>
    <xf numFmtId="0" fontId="20" fillId="2" borderId="58" xfId="0" applyFont="1" applyFill="1" applyBorder="1" applyAlignment="1">
      <alignment vertical="center" wrapText="1"/>
    </xf>
    <xf numFmtId="0" fontId="0" fillId="0" borderId="67" xfId="0" applyBorder="1" applyAlignment="1">
      <alignment/>
    </xf>
    <xf numFmtId="0" fontId="0" fillId="0" borderId="27" xfId="0" applyBorder="1" applyAlignment="1">
      <alignment/>
    </xf>
    <xf numFmtId="0" fontId="20" fillId="2" borderId="53" xfId="0" applyFont="1" applyFill="1" applyBorder="1" applyAlignment="1">
      <alignment vertical="center" wrapText="1"/>
    </xf>
    <xf numFmtId="0" fontId="0" fillId="0" borderId="79" xfId="0" applyBorder="1" applyAlignment="1">
      <alignment/>
    </xf>
    <xf numFmtId="0" fontId="0" fillId="0" borderId="63" xfId="0" applyBorder="1" applyAlignment="1">
      <alignment/>
    </xf>
    <xf numFmtId="0" fontId="0" fillId="0" borderId="0" xfId="0" applyAlignment="1">
      <alignment vertical="top" wrapText="1"/>
    </xf>
    <xf numFmtId="0" fontId="10" fillId="0" borderId="56" xfId="0" applyFont="1" applyBorder="1" applyAlignment="1">
      <alignment vertical="center" wrapText="1"/>
    </xf>
    <xf numFmtId="0" fontId="0" fillId="0" borderId="68" xfId="0" applyBorder="1" applyAlignment="1">
      <alignment/>
    </xf>
    <xf numFmtId="0" fontId="0" fillId="0" borderId="48" xfId="0" applyBorder="1" applyAlignment="1">
      <alignment/>
    </xf>
    <xf numFmtId="4" fontId="3" fillId="0" borderId="22" xfId="0" applyNumberFormat="1" applyFont="1" applyBorder="1" applyAlignment="1">
      <alignment vertical="center"/>
    </xf>
    <xf numFmtId="0" fontId="0" fillId="0" borderId="4" xfId="0" applyBorder="1" applyAlignment="1">
      <alignment vertical="center"/>
    </xf>
    <xf numFmtId="0" fontId="2" fillId="2" borderId="32" xfId="0" applyFont="1" applyFill="1" applyBorder="1" applyAlignment="1">
      <alignment vertical="center"/>
    </xf>
    <xf numFmtId="0" fontId="2" fillId="2" borderId="33" xfId="0" applyFont="1" applyFill="1" applyBorder="1" applyAlignment="1">
      <alignment vertical="center"/>
    </xf>
    <xf numFmtId="0" fontId="3" fillId="2" borderId="17"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9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0" borderId="41" xfId="0" applyFont="1" applyBorder="1" applyAlignment="1">
      <alignment vertical="center" wrapText="1"/>
    </xf>
    <xf numFmtId="0" fontId="3" fillId="0" borderId="30" xfId="0" applyFont="1" applyBorder="1" applyAlignment="1">
      <alignment vertical="center" wrapText="1"/>
    </xf>
    <xf numFmtId="0" fontId="3" fillId="0" borderId="58" xfId="0" applyFont="1" applyBorder="1" applyAlignment="1">
      <alignment vertical="center" wrapText="1"/>
    </xf>
    <xf numFmtId="0" fontId="3" fillId="0" borderId="27" xfId="0" applyFont="1" applyBorder="1" applyAlignment="1">
      <alignment vertical="center" wrapText="1"/>
    </xf>
    <xf numFmtId="0" fontId="3" fillId="2" borderId="53" xfId="0" applyFont="1" applyFill="1" applyBorder="1" applyAlignment="1">
      <alignment vertical="center"/>
    </xf>
    <xf numFmtId="0" fontId="3" fillId="2" borderId="63" xfId="0" applyFont="1" applyFill="1" applyBorder="1" applyAlignment="1">
      <alignment vertical="center"/>
    </xf>
    <xf numFmtId="0" fontId="4" fillId="0" borderId="66" xfId="0" applyFont="1" applyBorder="1" applyAlignment="1">
      <alignment vertical="top" wrapText="1"/>
    </xf>
    <xf numFmtId="0" fontId="4" fillId="0" borderId="26" xfId="0" applyFont="1" applyBorder="1" applyAlignment="1">
      <alignment vertical="top" wrapText="1"/>
    </xf>
    <xf numFmtId="0" fontId="4" fillId="0" borderId="46" xfId="0" applyFont="1" applyBorder="1" applyAlignment="1">
      <alignment vertical="top" wrapText="1"/>
    </xf>
    <xf numFmtId="0" fontId="4" fillId="0" borderId="0" xfId="0" applyFont="1" applyBorder="1" applyAlignment="1">
      <alignment vertical="top" wrapText="1"/>
    </xf>
    <xf numFmtId="0" fontId="4" fillId="0" borderId="31" xfId="0" applyFont="1" applyBorder="1" applyAlignment="1">
      <alignment vertical="top" wrapText="1"/>
    </xf>
    <xf numFmtId="0" fontId="4" fillId="0" borderId="11" xfId="0" applyFont="1" applyBorder="1" applyAlignment="1">
      <alignment vertical="top" wrapText="1"/>
    </xf>
    <xf numFmtId="0" fontId="4" fillId="0" borderId="77" xfId="0" applyFont="1" applyBorder="1" applyAlignment="1">
      <alignment vertical="top" wrapText="1"/>
    </xf>
    <xf numFmtId="0" fontId="4" fillId="0" borderId="35" xfId="0" applyFont="1" applyBorder="1" applyAlignment="1">
      <alignment vertical="top" wrapText="1"/>
    </xf>
    <xf numFmtId="0" fontId="2" fillId="2" borderId="64" xfId="0" applyFont="1" applyFill="1" applyBorder="1" applyAlignment="1">
      <alignment horizontal="left" vertical="center"/>
    </xf>
    <xf numFmtId="0" fontId="2" fillId="2" borderId="95" xfId="0" applyFont="1" applyFill="1" applyBorder="1" applyAlignment="1">
      <alignment horizontal="left" vertical="center"/>
    </xf>
    <xf numFmtId="0" fontId="2" fillId="2" borderId="15" xfId="0" applyFont="1" applyFill="1" applyBorder="1" applyAlignment="1">
      <alignment horizontal="left" vertical="center"/>
    </xf>
    <xf numFmtId="0" fontId="2" fillId="2" borderId="69" xfId="0" applyFont="1" applyFill="1" applyBorder="1" applyAlignment="1">
      <alignment horizontal="left" vertical="center"/>
    </xf>
    <xf numFmtId="0" fontId="2" fillId="2" borderId="57" xfId="0" applyFont="1" applyFill="1" applyBorder="1" applyAlignment="1">
      <alignment horizontal="center" vertical="center"/>
    </xf>
    <xf numFmtId="0" fontId="10" fillId="0" borderId="56" xfId="0" applyFont="1" applyBorder="1" applyAlignment="1">
      <alignment horizontal="justify" vertical="center"/>
    </xf>
    <xf numFmtId="0" fontId="10" fillId="0" borderId="73" xfId="0" applyFont="1" applyBorder="1" applyAlignment="1">
      <alignment horizontal="justify" vertical="center"/>
    </xf>
    <xf numFmtId="0" fontId="4" fillId="0" borderId="47" xfId="0" applyFont="1" applyBorder="1" applyAlignment="1">
      <alignment vertical="top"/>
    </xf>
    <xf numFmtId="0" fontId="4" fillId="0" borderId="66" xfId="0" applyFont="1" applyBorder="1" applyAlignment="1">
      <alignment vertical="top"/>
    </xf>
    <xf numFmtId="0" fontId="4" fillId="0" borderId="26" xfId="0" applyFont="1" applyBorder="1" applyAlignment="1">
      <alignment/>
    </xf>
    <xf numFmtId="0" fontId="4" fillId="0" borderId="46" xfId="0" applyFont="1" applyBorder="1" applyAlignment="1">
      <alignment vertical="top"/>
    </xf>
    <xf numFmtId="0" fontId="4" fillId="0" borderId="0" xfId="0" applyFont="1" applyBorder="1" applyAlignment="1">
      <alignment vertical="top"/>
    </xf>
    <xf numFmtId="0" fontId="4" fillId="0" borderId="31" xfId="0" applyFont="1" applyBorder="1" applyAlignment="1">
      <alignment/>
    </xf>
    <xf numFmtId="0" fontId="4" fillId="0" borderId="11" xfId="0" applyFont="1" applyBorder="1" applyAlignment="1">
      <alignment vertical="top"/>
    </xf>
    <xf numFmtId="0" fontId="4" fillId="0" borderId="77" xfId="0" applyFont="1" applyBorder="1" applyAlignment="1">
      <alignment vertical="top"/>
    </xf>
    <xf numFmtId="0" fontId="4" fillId="0" borderId="35" xfId="0" applyFont="1" applyBorder="1" applyAlignment="1">
      <alignment/>
    </xf>
    <xf numFmtId="4" fontId="3" fillId="0" borderId="1" xfId="0" applyNumberFormat="1" applyFont="1" applyBorder="1" applyAlignment="1">
      <alignment vertical="center"/>
    </xf>
    <xf numFmtId="0" fontId="4" fillId="0" borderId="42" xfId="0" applyFont="1" applyBorder="1" applyAlignment="1">
      <alignment vertical="center"/>
    </xf>
    <xf numFmtId="0" fontId="0" fillId="0" borderId="66" xfId="0" applyBorder="1" applyAlignment="1">
      <alignment vertical="center"/>
    </xf>
    <xf numFmtId="0" fontId="0" fillId="0" borderId="26"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40" xfId="0" applyBorder="1" applyAlignment="1">
      <alignment vertical="center"/>
    </xf>
    <xf numFmtId="0" fontId="0" fillId="0" borderId="77" xfId="0" applyBorder="1" applyAlignment="1">
      <alignment vertical="center"/>
    </xf>
    <xf numFmtId="0" fontId="0" fillId="0" borderId="35" xfId="0" applyBorder="1" applyAlignment="1">
      <alignment vertical="center"/>
    </xf>
    <xf numFmtId="0" fontId="0" fillId="0" borderId="62" xfId="0" applyBorder="1" applyAlignment="1">
      <alignment horizontal="center" vertical="center" wrapText="1"/>
    </xf>
    <xf numFmtId="0" fontId="0" fillId="0" borderId="72" xfId="0" applyBorder="1" applyAlignment="1">
      <alignment horizontal="center" vertical="center" wrapText="1"/>
    </xf>
    <xf numFmtId="4" fontId="3" fillId="0" borderId="50" xfId="0" applyNumberFormat="1" applyFont="1" applyBorder="1" applyAlignment="1">
      <alignment vertical="center"/>
    </xf>
    <xf numFmtId="4" fontId="3" fillId="2" borderId="6" xfId="0" applyNumberFormat="1" applyFont="1" applyFill="1" applyBorder="1" applyAlignment="1">
      <alignment vertical="center"/>
    </xf>
    <xf numFmtId="4" fontId="10" fillId="0" borderId="47" xfId="0" applyNumberFormat="1" applyFont="1" applyBorder="1" applyAlignment="1">
      <alignment horizontal="right" vertical="center" wrapText="1"/>
    </xf>
    <xf numFmtId="0" fontId="0" fillId="0" borderId="46" xfId="0" applyBorder="1" applyAlignment="1">
      <alignment vertical="center" wrapText="1"/>
    </xf>
    <xf numFmtId="0" fontId="0" fillId="0" borderId="78" xfId="0" applyBorder="1" applyAlignment="1">
      <alignment vertical="center" wrapText="1"/>
    </xf>
    <xf numFmtId="0" fontId="3" fillId="0" borderId="56" xfId="0" applyFont="1" applyBorder="1" applyAlignment="1">
      <alignment vertical="center" wrapText="1"/>
    </xf>
    <xf numFmtId="0" fontId="3" fillId="0" borderId="48" xfId="0" applyFont="1" applyBorder="1" applyAlignment="1">
      <alignment vertical="center" wrapText="1"/>
    </xf>
    <xf numFmtId="0" fontId="0" fillId="0" borderId="46" xfId="0" applyBorder="1" applyAlignment="1">
      <alignment/>
    </xf>
    <xf numFmtId="0" fontId="0" fillId="0" borderId="0" xfId="0" applyBorder="1" applyAlignment="1">
      <alignment/>
    </xf>
    <xf numFmtId="0" fontId="0" fillId="0" borderId="31" xfId="0" applyBorder="1" applyAlignment="1">
      <alignment/>
    </xf>
    <xf numFmtId="0" fontId="0" fillId="0" borderId="11" xfId="0" applyBorder="1" applyAlignment="1">
      <alignment/>
    </xf>
    <xf numFmtId="3" fontId="3" fillId="2" borderId="53" xfId="0" applyNumberFormat="1" applyFont="1" applyFill="1" applyBorder="1" applyAlignment="1">
      <alignment vertical="center"/>
    </xf>
    <xf numFmtId="0" fontId="2" fillId="2" borderId="64" xfId="0" applyFont="1" applyFill="1" applyBorder="1" applyAlignment="1">
      <alignment horizontal="center" vertical="center" wrapText="1"/>
    </xf>
    <xf numFmtId="0" fontId="0" fillId="0" borderId="61" xfId="0" applyFont="1" applyBorder="1" applyAlignment="1">
      <alignment/>
    </xf>
    <xf numFmtId="0" fontId="0" fillId="0" borderId="61" xfId="0" applyBorder="1" applyAlignment="1">
      <alignment/>
    </xf>
    <xf numFmtId="0" fontId="4" fillId="0" borderId="26" xfId="0" applyFont="1" applyBorder="1" applyAlignment="1">
      <alignment wrapText="1"/>
    </xf>
    <xf numFmtId="0" fontId="4" fillId="0" borderId="31" xfId="0" applyFont="1" applyBorder="1" applyAlignment="1">
      <alignment wrapText="1"/>
    </xf>
    <xf numFmtId="0" fontId="4" fillId="0" borderId="35" xfId="0" applyFont="1" applyBorder="1" applyAlignment="1">
      <alignment wrapText="1"/>
    </xf>
    <xf numFmtId="3" fontId="3" fillId="2" borderId="39" xfId="0" applyNumberFormat="1" applyFont="1" applyFill="1" applyBorder="1" applyAlignment="1">
      <alignment vertical="center"/>
    </xf>
    <xf numFmtId="3" fontId="11" fillId="0" borderId="56" xfId="20" applyFont="1" applyBorder="1" applyAlignment="1">
      <alignment horizontal="left" vertical="center" wrapText="1"/>
      <protection/>
    </xf>
    <xf numFmtId="3" fontId="11" fillId="0" borderId="68" xfId="20" applyFont="1" applyBorder="1" applyAlignment="1">
      <alignment horizontal="left" vertical="center" wrapText="1"/>
      <protection/>
    </xf>
    <xf numFmtId="3" fontId="11" fillId="0" borderId="73" xfId="20" applyFont="1" applyBorder="1" applyAlignment="1">
      <alignment horizontal="left" vertical="center" wrapText="1"/>
      <protection/>
    </xf>
    <xf numFmtId="0" fontId="0" fillId="0" borderId="46" xfId="0" applyBorder="1" applyAlignment="1">
      <alignment vertical="top" wrapText="1"/>
    </xf>
    <xf numFmtId="0" fontId="0" fillId="0" borderId="31" xfId="0" applyBorder="1" applyAlignment="1">
      <alignment vertical="top" wrapText="1"/>
    </xf>
    <xf numFmtId="0" fontId="0" fillId="0" borderId="11" xfId="0" applyBorder="1" applyAlignment="1">
      <alignment vertical="top" wrapText="1"/>
    </xf>
    <xf numFmtId="0" fontId="0" fillId="0" borderId="77" xfId="0" applyBorder="1" applyAlignment="1">
      <alignment vertical="top" wrapText="1"/>
    </xf>
    <xf numFmtId="0" fontId="0" fillId="0" borderId="35" xfId="0" applyBorder="1" applyAlignment="1">
      <alignment vertical="top" wrapText="1"/>
    </xf>
    <xf numFmtId="3" fontId="3" fillId="2" borderId="32" xfId="0" applyNumberFormat="1" applyFont="1" applyFill="1" applyBorder="1" applyAlignment="1">
      <alignment vertical="center"/>
    </xf>
    <xf numFmtId="3" fontId="3" fillId="2" borderId="33" xfId="0" applyNumberFormat="1" applyFont="1" applyFill="1" applyBorder="1" applyAlignment="1">
      <alignment vertical="center"/>
    </xf>
    <xf numFmtId="3" fontId="3" fillId="2" borderId="64" xfId="0" applyNumberFormat="1" applyFont="1" applyFill="1" applyBorder="1" applyAlignment="1">
      <alignment horizontal="center" vertical="center" wrapText="1"/>
    </xf>
    <xf numFmtId="3" fontId="0" fillId="0" borderId="15" xfId="0" applyNumberFormat="1" applyBorder="1" applyAlignment="1">
      <alignment horizontal="center" vertical="center" wrapText="1"/>
    </xf>
    <xf numFmtId="3" fontId="3" fillId="2" borderId="19" xfId="0" applyNumberFormat="1" applyFont="1" applyFill="1" applyBorder="1" applyAlignment="1">
      <alignment horizontal="center" vertical="center" wrapText="1"/>
    </xf>
    <xf numFmtId="3" fontId="0" fillId="0" borderId="16" xfId="0" applyNumberFormat="1" applyBorder="1" applyAlignment="1">
      <alignment horizontal="center" vertical="center" wrapText="1"/>
    </xf>
    <xf numFmtId="3" fontId="3" fillId="0" borderId="3" xfId="0" applyNumberFormat="1" applyFont="1" applyBorder="1" applyAlignment="1">
      <alignment vertical="center"/>
    </xf>
    <xf numFmtId="3" fontId="3" fillId="0" borderId="4" xfId="0" applyNumberFormat="1" applyFont="1" applyBorder="1" applyAlignment="1">
      <alignment vertical="center"/>
    </xf>
    <xf numFmtId="3" fontId="11" fillId="0" borderId="40" xfId="20" applyFont="1" applyBorder="1" applyAlignment="1">
      <alignment horizontal="left" vertical="center" wrapText="1"/>
      <protection/>
    </xf>
    <xf numFmtId="3" fontId="11" fillId="0" borderId="77" xfId="20" applyFont="1" applyBorder="1" applyAlignment="1">
      <alignment horizontal="left" vertical="center" wrapText="1"/>
      <protection/>
    </xf>
    <xf numFmtId="3" fontId="11" fillId="0" borderId="70" xfId="20" applyFont="1" applyBorder="1" applyAlignment="1">
      <alignment horizontal="left" vertical="center" wrapText="1"/>
      <protection/>
    </xf>
    <xf numFmtId="3" fontId="3" fillId="2" borderId="63" xfId="0" applyNumberFormat="1" applyFont="1" applyFill="1" applyBorder="1" applyAlignment="1">
      <alignment vertical="center"/>
    </xf>
    <xf numFmtId="3" fontId="4" fillId="0" borderId="3" xfId="0" applyNumberFormat="1" applyFont="1" applyBorder="1" applyAlignment="1">
      <alignment vertical="center"/>
    </xf>
    <xf numFmtId="3" fontId="4" fillId="0" borderId="4" xfId="0" applyNumberFormat="1" applyFont="1" applyBorder="1" applyAlignment="1">
      <alignment vertical="center"/>
    </xf>
    <xf numFmtId="0" fontId="3" fillId="2" borderId="64" xfId="0" applyFont="1" applyFill="1" applyBorder="1" applyAlignment="1">
      <alignment horizontal="center" vertical="center" wrapText="1"/>
    </xf>
    <xf numFmtId="0" fontId="0" fillId="0" borderId="0" xfId="0" applyAlignment="1">
      <alignment vertical="center"/>
    </xf>
    <xf numFmtId="3" fontId="11" fillId="0" borderId="41" xfId="20" applyFont="1" applyBorder="1" applyAlignment="1">
      <alignment horizontal="left" vertical="center" wrapText="1"/>
      <protection/>
    </xf>
    <xf numFmtId="3" fontId="11" fillId="0" borderId="62" xfId="20" applyFont="1" applyBorder="1" applyAlignment="1">
      <alignment horizontal="left" vertical="center" wrapText="1"/>
      <protection/>
    </xf>
    <xf numFmtId="3" fontId="11" fillId="0" borderId="72" xfId="20" applyFont="1" applyBorder="1" applyAlignment="1">
      <alignment horizontal="left" vertical="center" wrapText="1"/>
      <protection/>
    </xf>
    <xf numFmtId="0" fontId="3" fillId="2" borderId="5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3" fontId="3" fillId="2" borderId="50" xfId="0" applyNumberFormat="1" applyFont="1" applyFill="1" applyBorder="1" applyAlignment="1">
      <alignment horizontal="center" vertical="center" wrapText="1"/>
    </xf>
    <xf numFmtId="3" fontId="3" fillId="2" borderId="13"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16" xfId="0" applyNumberFormat="1" applyFont="1" applyFill="1" applyBorder="1" applyAlignment="1">
      <alignment horizontal="center" vertical="center" wrapText="1"/>
    </xf>
    <xf numFmtId="3" fontId="11" fillId="0" borderId="64" xfId="20" applyFont="1" applyBorder="1" applyAlignment="1">
      <alignment horizontal="left" vertical="center" wrapText="1"/>
      <protection/>
    </xf>
    <xf numFmtId="3" fontId="11" fillId="0" borderId="61" xfId="20" applyFont="1" applyBorder="1" applyAlignment="1">
      <alignment horizontal="left" vertical="center" wrapText="1"/>
      <protection/>
    </xf>
    <xf numFmtId="3" fontId="11" fillId="0" borderId="95" xfId="20" applyFont="1" applyBorder="1" applyAlignment="1">
      <alignment horizontal="left" vertical="center" wrapText="1"/>
      <protection/>
    </xf>
    <xf numFmtId="3" fontId="3" fillId="0" borderId="1" xfId="0" applyNumberFormat="1" applyFont="1" applyBorder="1" applyAlignment="1">
      <alignment vertical="center"/>
    </xf>
    <xf numFmtId="3" fontId="0" fillId="0" borderId="5" xfId="0" applyNumberFormat="1" applyBorder="1" applyAlignment="1">
      <alignment/>
    </xf>
    <xf numFmtId="0" fontId="3" fillId="2" borderId="38" xfId="0" applyFont="1" applyFill="1" applyBorder="1" applyAlignment="1">
      <alignment horizontal="center" vertical="center" wrapText="1"/>
    </xf>
    <xf numFmtId="0" fontId="3" fillId="2" borderId="61" xfId="0" applyFont="1" applyFill="1" applyBorder="1" applyAlignment="1">
      <alignment horizontal="center" vertical="center" wrapText="1"/>
    </xf>
    <xf numFmtId="3" fontId="3" fillId="0" borderId="50" xfId="0" applyNumberFormat="1" applyFont="1" applyBorder="1" applyAlignment="1">
      <alignment vertical="center"/>
    </xf>
    <xf numFmtId="3" fontId="0" fillId="0" borderId="13" xfId="0" applyNumberFormat="1" applyBorder="1" applyAlignment="1">
      <alignment/>
    </xf>
    <xf numFmtId="0" fontId="0" fillId="0" borderId="66" xfId="0" applyBorder="1" applyAlignment="1">
      <alignment vertical="top" wrapText="1"/>
    </xf>
    <xf numFmtId="0" fontId="0" fillId="0" borderId="26" xfId="0" applyBorder="1" applyAlignment="1">
      <alignment wrapText="1"/>
    </xf>
    <xf numFmtId="0" fontId="0" fillId="0" borderId="31" xfId="0" applyBorder="1" applyAlignment="1">
      <alignment wrapText="1"/>
    </xf>
    <xf numFmtId="0" fontId="0" fillId="0" borderId="35" xfId="0" applyBorder="1" applyAlignment="1">
      <alignment wrapText="1"/>
    </xf>
    <xf numFmtId="4" fontId="11" fillId="2" borderId="53" xfId="0" applyNumberFormat="1" applyFont="1" applyFill="1" applyBorder="1" applyAlignment="1">
      <alignment vertical="center"/>
    </xf>
    <xf numFmtId="0" fontId="0" fillId="0" borderId="63" xfId="0" applyBorder="1" applyAlignment="1">
      <alignment/>
    </xf>
    <xf numFmtId="3" fontId="11" fillId="0" borderId="30" xfId="20" applyFont="1" applyBorder="1" applyAlignment="1">
      <alignment horizontal="left" vertical="center" wrapText="1"/>
      <protection/>
    </xf>
    <xf numFmtId="3" fontId="11" fillId="0" borderId="58" xfId="20" applyFont="1" applyBorder="1" applyAlignment="1">
      <alignment horizontal="left" vertical="center" wrapText="1"/>
      <protection/>
    </xf>
    <xf numFmtId="3" fontId="11" fillId="0" borderId="67" xfId="20" applyFont="1" applyBorder="1" applyAlignment="1">
      <alignment horizontal="left" vertical="center" wrapText="1"/>
      <protection/>
    </xf>
    <xf numFmtId="3" fontId="11" fillId="0" borderId="27" xfId="20" applyFont="1" applyBorder="1" applyAlignment="1">
      <alignment horizontal="left" vertical="center" wrapText="1"/>
      <protection/>
    </xf>
    <xf numFmtId="3" fontId="11" fillId="0" borderId="35" xfId="20" applyFont="1" applyBorder="1" applyAlignment="1">
      <alignment horizontal="left" vertical="center" wrapText="1"/>
      <protection/>
    </xf>
    <xf numFmtId="4" fontId="3" fillId="2" borderId="45" xfId="0" applyNumberFormat="1" applyFont="1" applyFill="1" applyBorder="1" applyAlignment="1">
      <alignment horizontal="center" vertical="center" wrapText="1"/>
    </xf>
    <xf numFmtId="4" fontId="0" fillId="0" borderId="48" xfId="0" applyNumberFormat="1" applyFont="1" applyBorder="1" applyAlignment="1">
      <alignment/>
    </xf>
    <xf numFmtId="4" fontId="3" fillId="2" borderId="64" xfId="0" applyNumberFormat="1" applyFont="1" applyFill="1" applyBorder="1" applyAlignment="1">
      <alignment horizontal="center" vertical="center" wrapText="1"/>
    </xf>
    <xf numFmtId="4" fontId="0" fillId="0" borderId="15" xfId="0" applyNumberFormat="1" applyFont="1" applyBorder="1" applyAlignment="1">
      <alignment horizontal="center" vertical="center" wrapText="1"/>
    </xf>
    <xf numFmtId="4" fontId="3" fillId="2" borderId="19" xfId="0" applyNumberFormat="1" applyFont="1" applyFill="1" applyBorder="1" applyAlignment="1">
      <alignment horizontal="center" vertical="center" wrapText="1"/>
    </xf>
    <xf numFmtId="4" fontId="0" fillId="0" borderId="16" xfId="0" applyNumberFormat="1" applyFont="1" applyBorder="1" applyAlignment="1">
      <alignment horizontal="center" vertical="center" wrapText="1"/>
    </xf>
    <xf numFmtId="0" fontId="2" fillId="2" borderId="58" xfId="0" applyFont="1" applyFill="1" applyBorder="1" applyAlignment="1">
      <alignment horizontal="left" vertical="center" wrapText="1"/>
    </xf>
    <xf numFmtId="0" fontId="0" fillId="0" borderId="67" xfId="0" applyBorder="1" applyAlignment="1">
      <alignment horizontal="left"/>
    </xf>
    <xf numFmtId="0" fontId="0" fillId="0" borderId="27" xfId="0" applyBorder="1" applyAlignment="1">
      <alignment horizontal="left"/>
    </xf>
    <xf numFmtId="0" fontId="0" fillId="0" borderId="62" xfId="0" applyBorder="1" applyAlignment="1">
      <alignment horizontal="left" vertical="center" wrapText="1"/>
    </xf>
    <xf numFmtId="0" fontId="0" fillId="0" borderId="30" xfId="0" applyBorder="1" applyAlignment="1">
      <alignment horizontal="left" vertical="center" wrapText="1"/>
    </xf>
    <xf numFmtId="0" fontId="2" fillId="2" borderId="56" xfId="0" applyFont="1" applyFill="1" applyBorder="1" applyAlignment="1">
      <alignment horizontal="center" vertical="center" wrapText="1"/>
    </xf>
    <xf numFmtId="0" fontId="0" fillId="0" borderId="68" xfId="0" applyBorder="1" applyAlignment="1">
      <alignment/>
    </xf>
    <xf numFmtId="0" fontId="0" fillId="0" borderId="48" xfId="0" applyBorder="1" applyAlignment="1">
      <alignment/>
    </xf>
    <xf numFmtId="0" fontId="0" fillId="0" borderId="61" xfId="0" applyBorder="1" applyAlignment="1">
      <alignment horizontal="left" vertical="center" wrapText="1"/>
    </xf>
    <xf numFmtId="0" fontId="0" fillId="0" borderId="98" xfId="0" applyBorder="1" applyAlignment="1">
      <alignment horizontal="left" vertical="center" wrapText="1"/>
    </xf>
    <xf numFmtId="0" fontId="0" fillId="0" borderId="77" xfId="0" applyBorder="1" applyAlignment="1">
      <alignment horizontal="left" vertical="center" wrapText="1"/>
    </xf>
    <xf numFmtId="0" fontId="0" fillId="0" borderId="35" xfId="0" applyBorder="1" applyAlignment="1">
      <alignment horizontal="left" vertical="center" wrapText="1"/>
    </xf>
    <xf numFmtId="3" fontId="11" fillId="0" borderId="24" xfId="20" applyFont="1" applyBorder="1" applyAlignment="1">
      <alignment horizontal="left" vertical="center" wrapText="1"/>
      <protection/>
    </xf>
    <xf numFmtId="0" fontId="0" fillId="0" borderId="0" xfId="0" applyBorder="1" applyAlignment="1">
      <alignment horizontal="left" vertical="center" wrapText="1"/>
    </xf>
    <xf numFmtId="0" fontId="0" fillId="0" borderId="31" xfId="0" applyBorder="1" applyAlignment="1">
      <alignment horizontal="left" vertical="center" wrapText="1"/>
    </xf>
    <xf numFmtId="4" fontId="10" fillId="2" borderId="44" xfId="0" applyNumberFormat="1" applyFont="1" applyFill="1" applyBorder="1" applyAlignment="1">
      <alignment horizontal="right" vertical="center" wrapText="1"/>
    </xf>
    <xf numFmtId="4" fontId="4" fillId="0" borderId="97" xfId="0" applyNumberFormat="1" applyFont="1" applyBorder="1" applyAlignment="1">
      <alignment vertical="center" wrapText="1"/>
    </xf>
    <xf numFmtId="4" fontId="10" fillId="0" borderId="12" xfId="0" applyNumberFormat="1" applyFont="1" applyBorder="1" applyAlignment="1">
      <alignment vertical="center" wrapText="1"/>
    </xf>
    <xf numFmtId="4" fontId="10" fillId="0" borderId="72" xfId="0" applyNumberFormat="1" applyFont="1" applyBorder="1" applyAlignment="1">
      <alignment vertical="center" wrapText="1"/>
    </xf>
    <xf numFmtId="0" fontId="10" fillId="0" borderId="42" xfId="0" applyFont="1" applyBorder="1" applyAlignment="1">
      <alignment vertical="center" wrapText="1"/>
    </xf>
    <xf numFmtId="0" fontId="4" fillId="0" borderId="66" xfId="0" applyFont="1" applyBorder="1" applyAlignment="1">
      <alignment vertical="center"/>
    </xf>
    <xf numFmtId="0" fontId="4" fillId="0" borderId="26" xfId="0" applyFont="1" applyBorder="1" applyAlignment="1">
      <alignment vertical="center"/>
    </xf>
    <xf numFmtId="4" fontId="0" fillId="0" borderId="71" xfId="0" applyNumberFormat="1" applyBorder="1" applyAlignment="1">
      <alignment vertical="center" wrapText="1"/>
    </xf>
    <xf numFmtId="4" fontId="0" fillId="0" borderId="11" xfId="0" applyNumberFormat="1" applyBorder="1" applyAlignment="1">
      <alignment vertical="center" wrapText="1"/>
    </xf>
    <xf numFmtId="4" fontId="0" fillId="0" borderId="70" xfId="0" applyNumberFormat="1" applyBorder="1" applyAlignment="1">
      <alignment vertical="center" wrapText="1"/>
    </xf>
    <xf numFmtId="4" fontId="10" fillId="0" borderId="45" xfId="0" applyNumberFormat="1" applyFont="1" applyBorder="1" applyAlignment="1">
      <alignment vertical="center" wrapText="1"/>
    </xf>
    <xf numFmtId="4" fontId="10" fillId="0" borderId="73" xfId="0" applyNumberFormat="1" applyFont="1" applyBorder="1" applyAlignment="1">
      <alignment vertical="center" wrapText="1"/>
    </xf>
    <xf numFmtId="0" fontId="33" fillId="0" borderId="21" xfId="0" applyFont="1" applyBorder="1" applyAlignment="1">
      <alignment horizontal="justify" vertical="center"/>
    </xf>
    <xf numFmtId="0" fontId="3" fillId="0" borderId="0" xfId="0" applyFont="1" applyBorder="1" applyAlignment="1">
      <alignment vertical="center" wrapText="1"/>
    </xf>
    <xf numFmtId="0" fontId="3" fillId="0" borderId="0" xfId="0" applyFont="1" applyBorder="1" applyAlignment="1">
      <alignment vertical="center" wrapText="1"/>
    </xf>
    <xf numFmtId="0" fontId="10" fillId="0" borderId="22" xfId="0" applyFont="1" applyBorder="1" applyAlignment="1">
      <alignment horizontal="justify" vertical="center"/>
    </xf>
    <xf numFmtId="0" fontId="0" fillId="0" borderId="23" xfId="0" applyBorder="1" applyAlignment="1">
      <alignment horizontal="left" vertical="center"/>
    </xf>
    <xf numFmtId="0" fontId="0" fillId="0" borderId="66" xfId="0" applyBorder="1" applyAlignment="1">
      <alignment/>
    </xf>
    <xf numFmtId="0" fontId="0" fillId="0" borderId="26" xfId="0" applyBorder="1" applyAlignment="1">
      <alignment/>
    </xf>
    <xf numFmtId="0" fontId="0" fillId="0" borderId="46" xfId="0" applyBorder="1" applyAlignment="1">
      <alignment/>
    </xf>
    <xf numFmtId="0" fontId="0" fillId="0" borderId="0" xfId="0" applyBorder="1" applyAlignment="1">
      <alignment/>
    </xf>
    <xf numFmtId="0" fontId="0" fillId="0" borderId="31" xfId="0" applyBorder="1" applyAlignment="1">
      <alignment/>
    </xf>
    <xf numFmtId="0" fontId="0" fillId="0" borderId="11" xfId="0" applyBorder="1" applyAlignment="1">
      <alignment/>
    </xf>
    <xf numFmtId="0" fontId="0" fillId="0" borderId="77" xfId="0" applyBorder="1" applyAlignment="1">
      <alignment/>
    </xf>
    <xf numFmtId="0" fontId="0" fillId="0" borderId="35" xfId="0" applyBorder="1" applyAlignment="1">
      <alignment/>
    </xf>
    <xf numFmtId="0" fontId="32" fillId="0" borderId="47" xfId="0" applyFont="1" applyBorder="1" applyAlignment="1">
      <alignment vertical="top" wrapText="1"/>
    </xf>
    <xf numFmtId="0" fontId="3" fillId="2" borderId="59" xfId="0" applyFont="1" applyFill="1" applyBorder="1" applyAlignment="1">
      <alignment horizontal="center" vertical="center"/>
    </xf>
    <xf numFmtId="0" fontId="3" fillId="0" borderId="47" xfId="0" applyFont="1" applyBorder="1" applyAlignment="1">
      <alignment vertical="top" wrapText="1"/>
    </xf>
    <xf numFmtId="0" fontId="0" fillId="0" borderId="66" xfId="0" applyBorder="1" applyAlignment="1">
      <alignment wrapText="1"/>
    </xf>
    <xf numFmtId="0" fontId="0" fillId="0" borderId="11" xfId="0" applyBorder="1" applyAlignment="1">
      <alignment wrapText="1"/>
    </xf>
    <xf numFmtId="0" fontId="0" fillId="0" borderId="77" xfId="0" applyBorder="1" applyAlignment="1">
      <alignment wrapText="1"/>
    </xf>
    <xf numFmtId="0" fontId="4" fillId="0" borderId="21" xfId="0" applyNumberFormat="1" applyFont="1" applyFill="1" applyBorder="1" applyAlignment="1">
      <alignment vertical="center" wrapText="1"/>
    </xf>
    <xf numFmtId="0" fontId="0" fillId="0" borderId="1" xfId="0" applyNumberFormat="1" applyBorder="1" applyAlignment="1">
      <alignment/>
    </xf>
    <xf numFmtId="0" fontId="0" fillId="0" borderId="5" xfId="0" applyNumberFormat="1" applyBorder="1" applyAlignment="1">
      <alignment/>
    </xf>
    <xf numFmtId="3" fontId="11" fillId="0" borderId="1" xfId="20" applyFont="1" applyBorder="1" applyAlignment="1">
      <alignment horizontal="left" vertical="center" wrapText="1"/>
      <protection/>
    </xf>
    <xf numFmtId="3" fontId="11" fillId="0" borderId="5" xfId="20" applyFont="1" applyBorder="1" applyAlignment="1">
      <alignment horizontal="left" vertical="center" wrapText="1"/>
      <protection/>
    </xf>
    <xf numFmtId="3" fontId="11" fillId="0" borderId="8" xfId="20" applyFont="1" applyBorder="1" applyAlignment="1">
      <alignment horizontal="left" vertical="center" wrapText="1"/>
      <protection/>
    </xf>
    <xf numFmtId="3" fontId="11" fillId="0" borderId="14" xfId="20" applyFont="1" applyBorder="1" applyAlignment="1">
      <alignment horizontal="left" vertical="center" wrapText="1"/>
      <protection/>
    </xf>
    <xf numFmtId="4" fontId="3" fillId="2" borderId="53" xfId="0" applyNumberFormat="1" applyFont="1" applyFill="1" applyBorder="1" applyAlignment="1">
      <alignment vertical="center" wrapText="1"/>
    </xf>
    <xf numFmtId="3" fontId="10" fillId="0" borderId="47" xfId="0" applyNumberFormat="1" applyFont="1" applyBorder="1" applyAlignment="1">
      <alignment horizontal="right" vertical="center" wrapText="1"/>
    </xf>
    <xf numFmtId="3" fontId="0" fillId="0" borderId="71" xfId="0" applyNumberFormat="1" applyBorder="1" applyAlignment="1">
      <alignment vertical="center" wrapText="1"/>
    </xf>
    <xf numFmtId="3" fontId="4" fillId="0" borderId="42" xfId="0" applyNumberFormat="1" applyFont="1" applyFill="1" applyBorder="1" applyAlignment="1">
      <alignment vertical="center" wrapText="1"/>
    </xf>
    <xf numFmtId="3" fontId="4" fillId="0" borderId="40" xfId="0" applyNumberFormat="1" applyFont="1" applyFill="1" applyBorder="1" applyAlignment="1">
      <alignment vertical="center" wrapText="1"/>
    </xf>
    <xf numFmtId="3" fontId="4" fillId="0" borderId="8" xfId="0" applyNumberFormat="1" applyFont="1" applyFill="1" applyBorder="1" applyAlignment="1">
      <alignment vertical="center" wrapText="1"/>
    </xf>
    <xf numFmtId="3" fontId="4" fillId="0" borderId="3" xfId="0" applyNumberFormat="1" applyFont="1" applyFill="1" applyBorder="1" applyAlignment="1">
      <alignment vertical="center" wrapText="1"/>
    </xf>
    <xf numFmtId="3" fontId="4" fillId="0" borderId="26" xfId="0" applyNumberFormat="1" applyFont="1" applyFill="1" applyBorder="1" applyAlignment="1">
      <alignment vertical="center" wrapText="1"/>
    </xf>
    <xf numFmtId="3" fontId="4" fillId="0" borderId="35" xfId="0" applyNumberFormat="1" applyFont="1" applyFill="1" applyBorder="1" applyAlignment="1">
      <alignment vertical="center" wrapText="1"/>
    </xf>
    <xf numFmtId="0" fontId="0" fillId="0" borderId="47" xfId="0" applyBorder="1" applyAlignment="1">
      <alignment vertical="top" wrapText="1"/>
    </xf>
    <xf numFmtId="0" fontId="3" fillId="2" borderId="56" xfId="0" applyFont="1" applyFill="1" applyBorder="1" applyAlignment="1">
      <alignment horizontal="center" vertical="center"/>
    </xf>
    <xf numFmtId="0" fontId="2" fillId="0" borderId="68" xfId="0" applyFont="1" applyBorder="1" applyAlignment="1">
      <alignment/>
    </xf>
    <xf numFmtId="0" fontId="2" fillId="0" borderId="73" xfId="0" applyFont="1" applyBorder="1" applyAlignment="1">
      <alignment/>
    </xf>
    <xf numFmtId="0" fontId="2" fillId="2" borderId="17" xfId="0" applyFont="1" applyFill="1" applyBorder="1" applyAlignment="1">
      <alignment vertical="center"/>
    </xf>
    <xf numFmtId="0" fontId="0" fillId="0" borderId="37" xfId="0" applyFont="1" applyBorder="1" applyAlignment="1">
      <alignment vertical="center"/>
    </xf>
    <xf numFmtId="0" fontId="1" fillId="2" borderId="53"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99" xfId="0" applyFont="1" applyBorder="1" applyAlignment="1">
      <alignment horizontal="center" vertical="center" wrapText="1"/>
    </xf>
    <xf numFmtId="3" fontId="3" fillId="2" borderId="60" xfId="0" applyNumberFormat="1" applyFont="1" applyFill="1" applyBorder="1" applyAlignment="1">
      <alignment horizontal="center"/>
    </xf>
    <xf numFmtId="0" fontId="3" fillId="2" borderId="61" xfId="0" applyFont="1" applyFill="1" applyBorder="1" applyAlignment="1">
      <alignment horizontal="center"/>
    </xf>
    <xf numFmtId="0" fontId="3" fillId="2" borderId="95" xfId="0" applyFont="1" applyFill="1" applyBorder="1" applyAlignment="1">
      <alignment horizontal="center"/>
    </xf>
    <xf numFmtId="0" fontId="37" fillId="2" borderId="64"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 fillId="2" borderId="53" xfId="0" applyFont="1" applyFill="1" applyBorder="1" applyAlignment="1">
      <alignment horizontal="center" vertical="center"/>
    </xf>
    <xf numFmtId="0" fontId="3" fillId="2" borderId="79" xfId="0" applyFont="1" applyFill="1" applyBorder="1" applyAlignment="1">
      <alignment horizontal="center" vertical="center"/>
    </xf>
    <xf numFmtId="0" fontId="2" fillId="2" borderId="18" xfId="0" applyFont="1" applyFill="1" applyBorder="1" applyAlignment="1">
      <alignment vertical="center"/>
    </xf>
    <xf numFmtId="0" fontId="2" fillId="2" borderId="22" xfId="0" applyFont="1" applyFill="1" applyBorder="1" applyAlignment="1">
      <alignment vertical="center"/>
    </xf>
    <xf numFmtId="3" fontId="3" fillId="2" borderId="60" xfId="0" applyNumberFormat="1" applyFont="1" applyFill="1" applyBorder="1" applyAlignment="1">
      <alignment horizontal="center" vertical="center"/>
    </xf>
    <xf numFmtId="0" fontId="0" fillId="0" borderId="11" xfId="0" applyBorder="1" applyAlignment="1">
      <alignment horizontal="center" vertical="center"/>
    </xf>
    <xf numFmtId="0" fontId="3" fillId="2" borderId="61" xfId="0" applyFont="1" applyFill="1" applyBorder="1" applyAlignment="1">
      <alignment horizontal="center" vertical="center"/>
    </xf>
    <xf numFmtId="0" fontId="1" fillId="2" borderId="17" xfId="0" applyFont="1" applyFill="1" applyBorder="1" applyAlignment="1">
      <alignment horizontal="center" vertical="center" wrapText="1"/>
    </xf>
    <xf numFmtId="0" fontId="36" fillId="0" borderId="59" xfId="0" applyFont="1" applyBorder="1" applyAlignment="1">
      <alignment vertical="center" wrapText="1"/>
    </xf>
    <xf numFmtId="0" fontId="36" fillId="0" borderId="37" xfId="0" applyFont="1" applyBorder="1" applyAlignment="1">
      <alignment vertical="center" wrapText="1"/>
    </xf>
    <xf numFmtId="0" fontId="37" fillId="2" borderId="17" xfId="0" applyFont="1" applyFill="1" applyBorder="1" applyAlignment="1">
      <alignment horizontal="center" vertical="center" wrapText="1"/>
    </xf>
    <xf numFmtId="0" fontId="38" fillId="2" borderId="37" xfId="0" applyFont="1" applyFill="1" applyBorder="1" applyAlignment="1">
      <alignment horizontal="center" vertical="center" wrapText="1"/>
    </xf>
    <xf numFmtId="0" fontId="0" fillId="0" borderId="79" xfId="0" applyFont="1" applyBorder="1" applyAlignment="1">
      <alignment horizontal="center" vertical="center" wrapText="1"/>
    </xf>
  </cellXfs>
  <cellStyles count="9">
    <cellStyle name="Normal" xfId="0"/>
    <cellStyle name="Currency [0]" xfId="15"/>
    <cellStyle name="Comma" xfId="16"/>
    <cellStyle name="Comma [0]" xfId="17"/>
    <cellStyle name="Hyperlink" xfId="18"/>
    <cellStyle name="Currency" xfId="19"/>
    <cellStyle name="nový"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CE"/>
                <a:ea typeface="Arial CE"/>
                <a:cs typeface="Arial CE"/>
              </a:rPr>
              <a:t>Hospodářský výsledek 2003</a:t>
            </a:r>
          </a:p>
        </c:rich>
      </c:tx>
      <c:layout/>
      <c:spPr>
        <a:noFill/>
        <a:ln>
          <a:noFill/>
        </a:ln>
      </c:spPr>
    </c:title>
    <c:plotArea>
      <c:layout>
        <c:manualLayout>
          <c:xMode val="edge"/>
          <c:yMode val="edge"/>
          <c:x val="0.01125"/>
          <c:y val="0.074"/>
          <c:w val="0.9775"/>
          <c:h val="0.90325"/>
        </c:manualLayout>
      </c:layout>
      <c:lineChart>
        <c:grouping val="standard"/>
        <c:varyColors val="0"/>
        <c:ser>
          <c:idx val="0"/>
          <c:order val="0"/>
          <c:tx>
            <c:strRef>
              <c:f>'RK-27-2005-06, př. 5 Hosp.1-3'!$A$7</c:f>
              <c:strCache>
                <c:ptCount val="1"/>
                <c:pt idx="0">
                  <c:v>Havlíčkův Brod</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Hosp.1-3'!$K$7:$K$18</c:f>
              <c:numCache/>
            </c:numRef>
          </c:val>
          <c:smooth val="0"/>
        </c:ser>
        <c:ser>
          <c:idx val="1"/>
          <c:order val="1"/>
          <c:tx>
            <c:strRef>
              <c:f>'RK-27-2005-06, př. 5 Hosp.1-3'!$A$19</c:f>
              <c:strCache>
                <c:ptCount val="1"/>
                <c:pt idx="0">
                  <c:v>Jihlava</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Hosp.1-3'!$K$19:$K$30</c:f>
              <c:numCache/>
            </c:numRef>
          </c:val>
          <c:smooth val="0"/>
        </c:ser>
        <c:ser>
          <c:idx val="2"/>
          <c:order val="2"/>
          <c:tx>
            <c:strRef>
              <c:f>'RK-27-2005-06, př. 5 Hosp.1-3'!$A$31</c:f>
              <c:strCache>
                <c:ptCount val="1"/>
                <c:pt idx="0">
                  <c:v>Pelhřimov</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Hosp.1-3'!$K$31:$K$42</c:f>
              <c:numCache/>
            </c:numRef>
          </c:val>
          <c:smooth val="0"/>
        </c:ser>
        <c:ser>
          <c:idx val="3"/>
          <c:order val="3"/>
          <c:tx>
            <c:strRef>
              <c:f>'RK-27-2005-06, př. 5 Hosp.1-3'!$A$43</c:f>
              <c:strCache>
                <c:ptCount val="1"/>
                <c:pt idx="0">
                  <c:v>Třebíč</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Hosp.1-3'!$K$43:$K$54</c:f>
              <c:numCache/>
            </c:numRef>
          </c:val>
          <c:smooth val="0"/>
        </c:ser>
        <c:ser>
          <c:idx val="4"/>
          <c:order val="4"/>
          <c:tx>
            <c:strRef>
              <c:f>'RK-27-2005-06, př. 5 Hosp.1-3'!$A$55</c:f>
              <c:strCache>
                <c:ptCount val="1"/>
                <c:pt idx="0">
                  <c:v>Nové Město na Moravě</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Hosp.1-3'!$K$55:$K$66</c:f>
              <c:numCache/>
            </c:numRef>
          </c:val>
          <c:smooth val="0"/>
        </c:ser>
        <c:marker val="1"/>
        <c:axId val="17885804"/>
        <c:axId val="26754509"/>
      </c:lineChart>
      <c:catAx>
        <c:axId val="17885804"/>
        <c:scaling>
          <c:orientation val="minMax"/>
        </c:scaling>
        <c:axPos val="b"/>
        <c:delete val="0"/>
        <c:numFmt formatCode="General" sourceLinked="1"/>
        <c:majorTickMark val="out"/>
        <c:minorTickMark val="none"/>
        <c:tickLblPos val="nextTo"/>
        <c:crossAx val="26754509"/>
        <c:crosses val="autoZero"/>
        <c:auto val="1"/>
        <c:lblOffset val="100"/>
        <c:noMultiLvlLbl val="0"/>
      </c:catAx>
      <c:valAx>
        <c:axId val="26754509"/>
        <c:scaling>
          <c:orientation val="minMax"/>
        </c:scaling>
        <c:axPos val="l"/>
        <c:majorGridlines/>
        <c:delete val="0"/>
        <c:numFmt formatCode="General" sourceLinked="1"/>
        <c:majorTickMark val="out"/>
        <c:minorTickMark val="none"/>
        <c:tickLblPos val="nextTo"/>
        <c:txPr>
          <a:bodyPr/>
          <a:lstStyle/>
          <a:p>
            <a:pPr>
              <a:defRPr lang="en-US" cap="none" sz="975" b="1" i="0" u="none" baseline="0">
                <a:latin typeface="Arial CE"/>
                <a:ea typeface="Arial CE"/>
                <a:cs typeface="Arial CE"/>
              </a:defRPr>
            </a:pPr>
          </a:p>
        </c:txPr>
        <c:crossAx val="17885804"/>
        <c:crossesAt val="1"/>
        <c:crossBetween val="between"/>
        <c:dispUnits/>
      </c:valAx>
      <c:dTable>
        <c:showHorzBorder val="1"/>
        <c:showVertBorder val="1"/>
        <c:showOutline val="1"/>
        <c:showKeys val="1"/>
        <c:txPr>
          <a:bodyPr vert="horz" rot="0"/>
          <a:lstStyle/>
          <a:p>
            <a:pPr>
              <a:defRPr lang="en-US" cap="none" sz="8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CE"/>
                <a:ea typeface="Arial CE"/>
                <a:cs typeface="Arial CE"/>
              </a:rPr>
              <a:t>Hospodářský výsledek 2004</a:t>
            </a:r>
          </a:p>
        </c:rich>
      </c:tx>
      <c:layout/>
      <c:spPr>
        <a:noFill/>
        <a:ln>
          <a:noFill/>
        </a:ln>
      </c:spPr>
    </c:title>
    <c:plotArea>
      <c:layout>
        <c:manualLayout>
          <c:xMode val="edge"/>
          <c:yMode val="edge"/>
          <c:x val="0.01125"/>
          <c:y val="0.07075"/>
          <c:w val="0.9775"/>
          <c:h val="0.9075"/>
        </c:manualLayout>
      </c:layout>
      <c:lineChart>
        <c:grouping val="standard"/>
        <c:varyColors val="0"/>
        <c:ser>
          <c:idx val="0"/>
          <c:order val="0"/>
          <c:tx>
            <c:strRef>
              <c:f>'RK-27-2005-06, př. 5 Hosp.1-3'!$A$7</c:f>
              <c:strCache>
                <c:ptCount val="1"/>
                <c:pt idx="0">
                  <c:v>Havlíčkův Brod</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Hosp.1-3'!$L$7:$L$18</c:f>
              <c:numCache/>
            </c:numRef>
          </c:val>
          <c:smooth val="0"/>
        </c:ser>
        <c:ser>
          <c:idx val="1"/>
          <c:order val="1"/>
          <c:tx>
            <c:strRef>
              <c:f>'RK-27-2005-06, př. 5 Hosp.1-3'!$A$19</c:f>
              <c:strCache>
                <c:ptCount val="1"/>
                <c:pt idx="0">
                  <c:v>Jihlava</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Hosp.1-3'!$L$19:$L$30</c:f>
              <c:numCache/>
            </c:numRef>
          </c:val>
          <c:smooth val="0"/>
        </c:ser>
        <c:ser>
          <c:idx val="2"/>
          <c:order val="2"/>
          <c:tx>
            <c:strRef>
              <c:f>'RK-27-2005-06, př. 5 Hosp.1-3'!$A$31</c:f>
              <c:strCache>
                <c:ptCount val="1"/>
                <c:pt idx="0">
                  <c:v>Pelhřimov</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Hosp.1-3'!$L$31:$L$42</c:f>
              <c:numCache/>
            </c:numRef>
          </c:val>
          <c:smooth val="0"/>
        </c:ser>
        <c:ser>
          <c:idx val="3"/>
          <c:order val="3"/>
          <c:tx>
            <c:strRef>
              <c:f>'RK-27-2005-06, př. 5 Hosp.1-3'!$A$43</c:f>
              <c:strCache>
                <c:ptCount val="1"/>
                <c:pt idx="0">
                  <c:v>Třebíč</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Hosp.1-3'!$L$43:$L$54</c:f>
              <c:numCache/>
            </c:numRef>
          </c:val>
          <c:smooth val="0"/>
        </c:ser>
        <c:ser>
          <c:idx val="4"/>
          <c:order val="4"/>
          <c:tx>
            <c:strRef>
              <c:f>'RK-27-2005-06, př. 5 Hosp.1-3'!$A$55</c:f>
              <c:strCache>
                <c:ptCount val="1"/>
                <c:pt idx="0">
                  <c:v>Nové Město na Moravě</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Hosp.1-3'!$B$7:$B$18</c:f>
              <c:strCache/>
            </c:strRef>
          </c:cat>
          <c:val>
            <c:numRef>
              <c:f>'RK-27-2005-06, př. 5 Hosp.1-3'!$L$55:$L$66</c:f>
              <c:numCache/>
            </c:numRef>
          </c:val>
          <c:smooth val="0"/>
        </c:ser>
        <c:marker val="1"/>
        <c:axId val="39463990"/>
        <c:axId val="19631591"/>
      </c:lineChart>
      <c:catAx>
        <c:axId val="39463990"/>
        <c:scaling>
          <c:orientation val="minMax"/>
        </c:scaling>
        <c:axPos val="b"/>
        <c:delete val="0"/>
        <c:numFmt formatCode="General" sourceLinked="1"/>
        <c:majorTickMark val="out"/>
        <c:minorTickMark val="none"/>
        <c:tickLblPos val="nextTo"/>
        <c:crossAx val="19631591"/>
        <c:crosses val="autoZero"/>
        <c:auto val="1"/>
        <c:lblOffset val="100"/>
        <c:noMultiLvlLbl val="0"/>
      </c:catAx>
      <c:valAx>
        <c:axId val="19631591"/>
        <c:scaling>
          <c:orientation val="minMax"/>
        </c:scaling>
        <c:axPos val="l"/>
        <c:majorGridlines/>
        <c:delete val="0"/>
        <c:numFmt formatCode="General" sourceLinked="1"/>
        <c:majorTickMark val="out"/>
        <c:minorTickMark val="none"/>
        <c:tickLblPos val="nextTo"/>
        <c:txPr>
          <a:bodyPr/>
          <a:lstStyle/>
          <a:p>
            <a:pPr>
              <a:defRPr lang="en-US" cap="none" sz="1000" b="1" i="0" u="none" baseline="0">
                <a:latin typeface="Arial CE"/>
                <a:ea typeface="Arial CE"/>
                <a:cs typeface="Arial CE"/>
              </a:defRPr>
            </a:pPr>
          </a:p>
        </c:txPr>
        <c:crossAx val="39463990"/>
        <c:crossesAt val="1"/>
        <c:crossBetween val="between"/>
        <c:dispUnits/>
      </c:valAx>
      <c:dTable>
        <c:showHorzBorder val="1"/>
        <c:showVertBorder val="1"/>
        <c:showOutline val="1"/>
        <c:showKeys val="1"/>
        <c:txPr>
          <a:bodyPr vert="horz" rot="0"/>
          <a:lstStyle/>
          <a:p>
            <a:pPr>
              <a:defRPr lang="en-US" cap="none" sz="850"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600" b="0" i="0" u="none" baseline="0">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CE"/>
                <a:ea typeface="Arial CE"/>
                <a:cs typeface="Arial CE"/>
              </a:rPr>
              <a:t>Hospodářský výsledek 2005</a:t>
            </a:r>
          </a:p>
        </c:rich>
      </c:tx>
      <c:layout/>
      <c:spPr>
        <a:noFill/>
        <a:ln>
          <a:noFill/>
        </a:ln>
      </c:spPr>
    </c:title>
    <c:plotArea>
      <c:layout>
        <c:manualLayout>
          <c:xMode val="edge"/>
          <c:yMode val="edge"/>
          <c:x val="0.01125"/>
          <c:y val="0.05525"/>
          <c:w val="0.9775"/>
          <c:h val="0.921"/>
        </c:manualLayout>
      </c:layout>
      <c:lineChart>
        <c:grouping val="standard"/>
        <c:varyColors val="0"/>
        <c:ser>
          <c:idx val="0"/>
          <c:order val="0"/>
          <c:tx>
            <c:strRef>
              <c:f>'RK-27-2005-06, př. 5 Hosp.1-3'!$A$7</c:f>
              <c:strCache>
                <c:ptCount val="1"/>
                <c:pt idx="0">
                  <c:v>Havlíčkův Brod</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Hosp.1-3'!$B$55:$B$60</c:f>
              <c:strCache/>
            </c:strRef>
          </c:cat>
          <c:val>
            <c:numRef>
              <c:f>'RK-27-2005-06, př. 5 Hosp.1-3'!$M$7:$M$12</c:f>
              <c:numCache/>
            </c:numRef>
          </c:val>
          <c:smooth val="0"/>
        </c:ser>
        <c:ser>
          <c:idx val="1"/>
          <c:order val="1"/>
          <c:tx>
            <c:strRef>
              <c:f>'RK-27-2005-06, př. 5 Hosp.1-3'!$A$19</c:f>
              <c:strCache>
                <c:ptCount val="1"/>
                <c:pt idx="0">
                  <c:v>Jihlava</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Hosp.1-3'!$B$55:$B$60</c:f>
              <c:strCache/>
            </c:strRef>
          </c:cat>
          <c:val>
            <c:numRef>
              <c:f>'RK-27-2005-06, př. 5 Hosp.1-3'!$M$19:$M$24</c:f>
              <c:numCache/>
            </c:numRef>
          </c:val>
          <c:smooth val="0"/>
        </c:ser>
        <c:ser>
          <c:idx val="2"/>
          <c:order val="2"/>
          <c:tx>
            <c:strRef>
              <c:f>'RK-27-2005-06, př. 5 Hosp.1-3'!$A$31</c:f>
              <c:strCache>
                <c:ptCount val="1"/>
                <c:pt idx="0">
                  <c:v>Pelhřimov</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Hosp.1-3'!$B$55:$B$60</c:f>
              <c:strCache/>
            </c:strRef>
          </c:cat>
          <c:val>
            <c:numRef>
              <c:f>'RK-27-2005-06, př. 5 Hosp.1-3'!$M$31:$M$36</c:f>
              <c:numCache/>
            </c:numRef>
          </c:val>
          <c:smooth val="0"/>
        </c:ser>
        <c:ser>
          <c:idx val="3"/>
          <c:order val="3"/>
          <c:tx>
            <c:strRef>
              <c:f>'RK-27-2005-06, př. 5 Hosp.1-3'!$A$43</c:f>
              <c:strCache>
                <c:ptCount val="1"/>
                <c:pt idx="0">
                  <c:v>Třebíč</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Hosp.1-3'!$B$55:$B$60</c:f>
              <c:strCache/>
            </c:strRef>
          </c:cat>
          <c:val>
            <c:numRef>
              <c:f>'RK-27-2005-06, př. 5 Hosp.1-3'!$M$43:$M$48</c:f>
              <c:numCache/>
            </c:numRef>
          </c:val>
          <c:smooth val="0"/>
        </c:ser>
        <c:ser>
          <c:idx val="4"/>
          <c:order val="4"/>
          <c:tx>
            <c:strRef>
              <c:f>'RK-27-2005-06, př. 5 Hosp.1-3'!$A$55</c:f>
              <c:strCache>
                <c:ptCount val="1"/>
                <c:pt idx="0">
                  <c:v>Nové Město na Moravě</c:v>
                </c:pt>
              </c:strCache>
            </c:strRef>
          </c:tx>
          <c:extLst>
            <c:ext xmlns:c14="http://schemas.microsoft.com/office/drawing/2007/8/2/chart" uri="{6F2FDCE9-48DA-4B69-8628-5D25D57E5C99}">
              <c14:invertSolidFillFmt>
                <c14:spPr>
                  <a:solidFill>
                    <a:srgbClr val="000000"/>
                  </a:solidFill>
                </c14:spPr>
              </c14:invertSolidFillFmt>
            </c:ext>
          </c:extLst>
          <c:cat>
            <c:strRef>
              <c:f>'RK-27-2005-06, př. 5 Hosp.1-3'!$B$55:$B$60</c:f>
              <c:strCache/>
            </c:strRef>
          </c:cat>
          <c:val>
            <c:numRef>
              <c:f>'RK-27-2005-06, př. 5 Hosp.1-3'!$M$55:$M$60</c:f>
              <c:numCache/>
            </c:numRef>
          </c:val>
          <c:smooth val="0"/>
        </c:ser>
        <c:marker val="1"/>
        <c:axId val="42466592"/>
        <c:axId val="46655009"/>
      </c:lineChart>
      <c:catAx>
        <c:axId val="42466592"/>
        <c:scaling>
          <c:orientation val="minMax"/>
        </c:scaling>
        <c:axPos val="b"/>
        <c:delete val="0"/>
        <c:numFmt formatCode="General" sourceLinked="1"/>
        <c:majorTickMark val="out"/>
        <c:minorTickMark val="none"/>
        <c:tickLblPos val="nextTo"/>
        <c:crossAx val="46655009"/>
        <c:crosses val="autoZero"/>
        <c:auto val="1"/>
        <c:lblOffset val="100"/>
        <c:noMultiLvlLbl val="0"/>
      </c:catAx>
      <c:valAx>
        <c:axId val="46655009"/>
        <c:scaling>
          <c:orientation val="minMax"/>
        </c:scaling>
        <c:axPos val="l"/>
        <c:majorGridlines/>
        <c:delete val="0"/>
        <c:numFmt formatCode="General" sourceLinked="1"/>
        <c:majorTickMark val="out"/>
        <c:minorTickMark val="none"/>
        <c:tickLblPos val="nextTo"/>
        <c:txPr>
          <a:bodyPr/>
          <a:lstStyle/>
          <a:p>
            <a:pPr>
              <a:defRPr lang="en-US" cap="none" sz="975" b="1" i="0" u="none" baseline="0">
                <a:latin typeface="Arial CE"/>
                <a:ea typeface="Arial CE"/>
                <a:cs typeface="Arial CE"/>
              </a:defRPr>
            </a:pPr>
          </a:p>
        </c:txPr>
        <c:crossAx val="42466592"/>
        <c:crossesAt val="1"/>
        <c:crossBetween val="between"/>
        <c:dispUnits/>
      </c:valAx>
      <c:dTable>
        <c:showHorzBorder val="1"/>
        <c:showVertBorder val="1"/>
        <c:showOutline val="1"/>
        <c:showKeys val="1"/>
        <c:txPr>
          <a:bodyPr vert="horz" rot="0"/>
          <a:lstStyle/>
          <a:p>
            <a:pPr>
              <a:defRPr lang="en-US" cap="none" sz="825" b="1" i="0" u="none" baseline="0">
                <a:latin typeface="Arial CE"/>
                <a:ea typeface="Arial CE"/>
                <a:cs typeface="Arial CE"/>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525" b="0" i="0" u="none" baseline="0">
          <a:latin typeface="Arial CE"/>
          <a:ea typeface="Arial CE"/>
          <a:cs typeface="Arial C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4.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79</xdr:row>
      <xdr:rowOff>57150</xdr:rowOff>
    </xdr:from>
    <xdr:to>
      <xdr:col>14</xdr:col>
      <xdr:colOff>0</xdr:colOff>
      <xdr:row>105</xdr:row>
      <xdr:rowOff>114300</xdr:rowOff>
    </xdr:to>
    <xdr:graphicFrame>
      <xdr:nvGraphicFramePr>
        <xdr:cNvPr id="1" name="Chart 1"/>
        <xdr:cNvGraphicFramePr/>
      </xdr:nvGraphicFramePr>
      <xdr:xfrm>
        <a:off x="0" y="13277850"/>
        <a:ext cx="9753600" cy="4267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106</xdr:row>
      <xdr:rowOff>0</xdr:rowOff>
    </xdr:from>
    <xdr:to>
      <xdr:col>14</xdr:col>
      <xdr:colOff>0</xdr:colOff>
      <xdr:row>133</xdr:row>
      <xdr:rowOff>114300</xdr:rowOff>
    </xdr:to>
    <xdr:graphicFrame>
      <xdr:nvGraphicFramePr>
        <xdr:cNvPr id="2" name="Chart 2"/>
        <xdr:cNvGraphicFramePr/>
      </xdr:nvGraphicFramePr>
      <xdr:xfrm>
        <a:off x="0" y="17592675"/>
        <a:ext cx="9753600" cy="44862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134</xdr:row>
      <xdr:rowOff>28575</xdr:rowOff>
    </xdr:from>
    <xdr:to>
      <xdr:col>13</xdr:col>
      <xdr:colOff>704850</xdr:colOff>
      <xdr:row>158</xdr:row>
      <xdr:rowOff>142875</xdr:rowOff>
    </xdr:to>
    <xdr:graphicFrame>
      <xdr:nvGraphicFramePr>
        <xdr:cNvPr id="3" name="Chart 3"/>
        <xdr:cNvGraphicFramePr/>
      </xdr:nvGraphicFramePr>
      <xdr:xfrm>
        <a:off x="0" y="22155150"/>
        <a:ext cx="9725025" cy="407670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253</xdr:row>
      <xdr:rowOff>9525</xdr:rowOff>
    </xdr:from>
    <xdr:to>
      <xdr:col>12</xdr:col>
      <xdr:colOff>0</xdr:colOff>
      <xdr:row>260</xdr:row>
      <xdr:rowOff>66675</xdr:rowOff>
    </xdr:to>
    <xdr:sp>
      <xdr:nvSpPr>
        <xdr:cNvPr id="1" name="TextBox 1"/>
        <xdr:cNvSpPr txBox="1">
          <a:spLocks noChangeArrowheads="1"/>
        </xdr:cNvSpPr>
      </xdr:nvSpPr>
      <xdr:spPr>
        <a:xfrm>
          <a:off x="28575" y="44910375"/>
          <a:ext cx="9696450" cy="1190625"/>
        </a:xfrm>
        <a:prstGeom prst="rect">
          <a:avLst/>
        </a:prstGeom>
        <a:solidFill>
          <a:srgbClr val="FFFFFF"/>
        </a:solidFill>
        <a:ln w="9525" cmpd="sng">
          <a:noFill/>
        </a:ln>
      </xdr:spPr>
      <xdr:txBody>
        <a:bodyPr vertOverflow="clip" wrap="square"/>
        <a:p>
          <a:pPr algn="l">
            <a:defRPr/>
          </a:pPr>
          <a:r>
            <a:rPr lang="en-US" cap="none" sz="800" b="1" i="0" u="none" baseline="0">
              <a:latin typeface="Arial CE"/>
              <a:ea typeface="Arial CE"/>
              <a:cs typeface="Arial CE"/>
            </a:rPr>
            <a:t>Management:</a:t>
          </a:r>
          <a:r>
            <a:rPr lang="en-US" cap="none" sz="800" b="0" i="0" u="none" baseline="0">
              <a:latin typeface="Arial CE"/>
              <a:ea typeface="Arial CE"/>
              <a:cs typeface="Arial CE"/>
            </a:rPr>
            <a:t>
 Nemocnice Jihlava již několik let sleduje spokojenost pacientů s pobytem na jednotlivých odděleních pomocí dotazníků, které jsou každý měsíc vyhodnocovány a podle připomínek prováděna nápravná opatření. Otázky jsou zaměřeny především na kvalitu poskytované péče, na vystupování a jednání pracovníků nemocnice, ale i na spokojenost se stravou, čistotou v nemocnici, na srozumitelnost, poskytovaných informací a podobně. Pacienti mají možnost upozornit i na jiný problém, se kterým se v nemocnici setkali. 
 Nemocnice se neustále snaží o rozšiřování poskytovaného spekra služeb a to tak, aby byly zajištěny kvalifikovanými vstřícnými odborníky ve vyhovujících podmínkách.
 Ve směru k našim klientům průběžně pracujeme na zlepšování obsahu internetových stránek.
 V tisku je vydání nemocničního občasníku "Háčko", kde informujeme spolupracovníky i klienty o významných událostech.
 V 1. pololetí bylo připraveno spuštění mamografického screeningu od 1.7.2005 vč. distribuce této informace praktickým lékařům a teréním gynekologům.
</a:t>
          </a:r>
          <a:r>
            <a:rPr lang="en-US" cap="none" sz="800" b="1" i="0" u="none" baseline="0">
              <a:latin typeface="Arial CE"/>
              <a:ea typeface="Arial CE"/>
              <a:cs typeface="Arial CE"/>
            </a:rPr>
            <a:t/>
          </a:r>
        </a:p>
      </xdr:txBody>
    </xdr:sp>
    <xdr:clientData/>
  </xdr:twoCellAnchor>
  <xdr:twoCellAnchor>
    <xdr:from>
      <xdr:col>0</xdr:col>
      <xdr:colOff>9525</xdr:colOff>
      <xdr:row>240</xdr:row>
      <xdr:rowOff>0</xdr:rowOff>
    </xdr:from>
    <xdr:to>
      <xdr:col>12</xdr:col>
      <xdr:colOff>0</xdr:colOff>
      <xdr:row>250</xdr:row>
      <xdr:rowOff>57150</xdr:rowOff>
    </xdr:to>
    <xdr:sp>
      <xdr:nvSpPr>
        <xdr:cNvPr id="2" name="TextBox 2"/>
        <xdr:cNvSpPr txBox="1">
          <a:spLocks noChangeArrowheads="1"/>
        </xdr:cNvSpPr>
      </xdr:nvSpPr>
      <xdr:spPr>
        <a:xfrm>
          <a:off x="9525" y="42757725"/>
          <a:ext cx="9715500" cy="1676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E"/>
              <a:ea typeface="Arial CE"/>
              <a:cs typeface="Arial CE"/>
            </a:rPr>
            <a:t>Komentář: Plán tržeb z prodeje služeb se dařilo plnit díky růstu tržeb od zdravotních pojišťoven, kde se pozitivně projevily doplatky VZP za zdravotní péči provedenou v minulých pololetích a vydání úhradové vyhlášky pro 1. pololetí 2005. Na nárůstu ostatních tržeb se také podílí prominutí penále za porušení rozpočtové kázně 4,0 mil. Kč (Dostavba) a užití fondu reprodukce majetku na opravy nemovitého majetku ve výši 2,7 mil. Kč. Nárůst provozních dotací je dán především dotací na splátky lineárního urychlovače (v 1. pololetí 2004 se nesplácel), které ve stejné výši odpovídá nárůst nákladů (nájemné movitých věcí). V důsledku růstu výkonů vzrostla proti plánu spotřeba materiálů a díky růstu cen také spotřeba energií. Na překročení plánu se podílí také prodlužované předání areálu "staré nemocnice". Růstu nákladů na prodané zboží odpovídá nárůst tržeb z jeho prodeje. Náklady negativně ovlivnila oprava havárie rtg přístroje 2,0 mil. Kč a také nárůst nájemného hrazeného kraji Vysočina (</a:t>
          </a:r>
          <a:r>
            <a:rPr lang="en-US" cap="none" sz="1000" b="1" i="0" u="none" baseline="0">
              <a:latin typeface="Arial CE"/>
              <a:ea typeface="Arial CE"/>
              <a:cs typeface="Arial CE"/>
            </a:rPr>
            <a:t>z toho v 1. pololetí 2005 0,- Kč jako provozní dotace</a:t>
          </a:r>
          <a:r>
            <a:rPr lang="en-US" cap="none" sz="1000" b="0" i="0" u="none" baseline="0">
              <a:latin typeface="Arial CE"/>
              <a:ea typeface="Arial CE"/>
              <a:cs typeface="Arial CE"/>
            </a:rPr>
            <a:t>). Nastavená motivační kritéria přinesla efekty v podobě realizovaných nebo očekávaných doplatků od ZP, ale zároveň také nárůst osobních nákladů, přesto se v 1. pololetí 2005 podařilo nepřekročit plán osobních nákladů.  Nákladem, který ovlivnil aktuální období, ale v plánu se nevyskytl, je daň z příjmů právnických osob za rok 2004 ve výši 1,8 mil. Kč (zdanění příjmů z doplňkových činností - především prodej zboží v lékárně).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vmlDrawing" Target="../drawings/vmlDrawing2.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81"/>
  <sheetViews>
    <sheetView workbookViewId="0" topLeftCell="A217">
      <selection activeCell="O24" sqref="O24"/>
    </sheetView>
  </sheetViews>
  <sheetFormatPr defaultColWidth="9.00390625" defaultRowHeight="12.75"/>
  <cols>
    <col min="1" max="1" width="10.00390625" style="0" customWidth="1"/>
    <col min="2" max="2" width="4.875" style="32" customWidth="1"/>
    <col min="3" max="3" width="8.375" style="0" customWidth="1"/>
    <col min="8" max="9" width="9.625" style="0" customWidth="1"/>
    <col min="10" max="10" width="11.00390625" style="0" customWidth="1"/>
    <col min="11" max="15" width="9.625" style="0" customWidth="1"/>
  </cols>
  <sheetData>
    <row r="1" ht="12.75">
      <c r="M1" s="701" t="s">
        <v>502</v>
      </c>
    </row>
    <row r="2" spans="13:14" ht="11.25" customHeight="1">
      <c r="M2" s="701" t="s">
        <v>501</v>
      </c>
      <c r="N2" s="234"/>
    </row>
    <row r="3" spans="1:14" ht="15.75">
      <c r="A3" s="741" t="s">
        <v>29</v>
      </c>
      <c r="B3" s="742"/>
      <c r="C3" s="742"/>
      <c r="D3" s="742"/>
      <c r="E3" s="742"/>
      <c r="F3" s="742"/>
      <c r="G3" s="742"/>
      <c r="H3" s="742"/>
      <c r="I3" s="742"/>
      <c r="J3" s="742"/>
      <c r="K3" s="742"/>
      <c r="L3" s="742"/>
      <c r="M3" s="742"/>
      <c r="N3" s="742"/>
    </row>
    <row r="4" spans="1:14" ht="10.5" customHeight="1" thickBot="1">
      <c r="A4" s="29"/>
      <c r="B4" s="31"/>
      <c r="C4" s="30"/>
      <c r="D4" s="30"/>
      <c r="E4" s="30"/>
      <c r="F4" s="30"/>
      <c r="G4" s="30"/>
      <c r="H4" s="30"/>
      <c r="I4" s="30"/>
      <c r="J4" s="30"/>
      <c r="K4" s="30"/>
      <c r="L4" s="30"/>
      <c r="M4" s="30"/>
      <c r="N4" s="28" t="s">
        <v>43</v>
      </c>
    </row>
    <row r="5" spans="1:14" ht="27.75" customHeight="1">
      <c r="A5" s="732" t="s">
        <v>22</v>
      </c>
      <c r="B5" s="734" t="s">
        <v>49</v>
      </c>
      <c r="C5" s="743" t="s">
        <v>23</v>
      </c>
      <c r="D5" s="744"/>
      <c r="E5" s="744"/>
      <c r="F5" s="745"/>
      <c r="G5" s="744" t="s">
        <v>24</v>
      </c>
      <c r="H5" s="744"/>
      <c r="I5" s="744"/>
      <c r="J5" s="746"/>
      <c r="K5" s="743" t="s">
        <v>41</v>
      </c>
      <c r="L5" s="744"/>
      <c r="M5" s="744"/>
      <c r="N5" s="745"/>
    </row>
    <row r="6" spans="1:14" ht="13.5" customHeight="1" thickBot="1">
      <c r="A6" s="733"/>
      <c r="B6" s="735"/>
      <c r="C6" s="81">
        <v>2003</v>
      </c>
      <c r="D6" s="74">
        <v>2004</v>
      </c>
      <c r="E6" s="74">
        <v>2005</v>
      </c>
      <c r="F6" s="82" t="s">
        <v>0</v>
      </c>
      <c r="G6" s="81">
        <v>2003</v>
      </c>
      <c r="H6" s="74">
        <v>2004</v>
      </c>
      <c r="I6" s="74">
        <v>2005</v>
      </c>
      <c r="J6" s="82" t="s">
        <v>0</v>
      </c>
      <c r="K6" s="81">
        <v>2003</v>
      </c>
      <c r="L6" s="74">
        <v>2004</v>
      </c>
      <c r="M6" s="74">
        <v>2005</v>
      </c>
      <c r="N6" s="82" t="s">
        <v>0</v>
      </c>
    </row>
    <row r="7" spans="1:14" ht="12.75" customHeight="1">
      <c r="A7" s="738" t="s">
        <v>28</v>
      </c>
      <c r="B7" s="49" t="s">
        <v>50</v>
      </c>
      <c r="C7" s="83">
        <v>47428</v>
      </c>
      <c r="D7" s="75">
        <v>41134</v>
      </c>
      <c r="E7" s="283">
        <v>45713</v>
      </c>
      <c r="F7" s="266">
        <f>+E7-D7</f>
        <v>4579</v>
      </c>
      <c r="G7" s="79">
        <v>44590</v>
      </c>
      <c r="H7" s="75">
        <v>43548</v>
      </c>
      <c r="I7" s="283">
        <v>45247</v>
      </c>
      <c r="J7" s="266">
        <f>+I7-H7</f>
        <v>1699</v>
      </c>
      <c r="K7" s="83">
        <f aca="true" t="shared" si="0" ref="K7:K38">+G7-C7</f>
        <v>-2838</v>
      </c>
      <c r="L7" s="75">
        <f aca="true" t="shared" si="1" ref="L7:L38">+H7-D7</f>
        <v>2414</v>
      </c>
      <c r="M7" s="283">
        <f>+I7-E7</f>
        <v>-466</v>
      </c>
      <c r="N7" s="266">
        <f>+M7-L7</f>
        <v>-2880</v>
      </c>
    </row>
    <row r="8" spans="1:14" ht="12.75">
      <c r="A8" s="739"/>
      <c r="B8" s="51" t="s">
        <v>51</v>
      </c>
      <c r="C8" s="23">
        <v>93409</v>
      </c>
      <c r="D8" s="12">
        <v>87280</v>
      </c>
      <c r="E8" s="12">
        <v>89563</v>
      </c>
      <c r="F8" s="14">
        <f aca="true" t="shared" si="2" ref="F8:F60">+E8-D8</f>
        <v>2283</v>
      </c>
      <c r="G8" s="42">
        <v>87899</v>
      </c>
      <c r="H8" s="12">
        <v>90146</v>
      </c>
      <c r="I8" s="12">
        <v>91213</v>
      </c>
      <c r="J8" s="14">
        <f aca="true" t="shared" si="3" ref="J8:J60">+I8-H8</f>
        <v>1067</v>
      </c>
      <c r="K8" s="26">
        <f t="shared" si="0"/>
        <v>-5510</v>
      </c>
      <c r="L8" s="11">
        <f t="shared" si="1"/>
        <v>2866</v>
      </c>
      <c r="M8" s="12">
        <f aca="true" t="shared" si="4" ref="M8:M66">+I8-E8</f>
        <v>1650</v>
      </c>
      <c r="N8" s="14">
        <f aca="true" t="shared" si="5" ref="N8:N60">+M8-L8</f>
        <v>-1216</v>
      </c>
    </row>
    <row r="9" spans="1:14" ht="12.75">
      <c r="A9" s="739"/>
      <c r="B9" s="51" t="s">
        <v>52</v>
      </c>
      <c r="C9" s="23">
        <v>140501</v>
      </c>
      <c r="D9" s="12">
        <v>134643</v>
      </c>
      <c r="E9" s="12">
        <v>130839</v>
      </c>
      <c r="F9" s="14">
        <f t="shared" si="2"/>
        <v>-3804</v>
      </c>
      <c r="G9" s="42">
        <v>132763</v>
      </c>
      <c r="H9" s="12">
        <v>136024</v>
      </c>
      <c r="I9" s="12">
        <v>134917</v>
      </c>
      <c r="J9" s="14">
        <f t="shared" si="3"/>
        <v>-1107</v>
      </c>
      <c r="K9" s="26">
        <f t="shared" si="0"/>
        <v>-7738</v>
      </c>
      <c r="L9" s="11">
        <f t="shared" si="1"/>
        <v>1381</v>
      </c>
      <c r="M9" s="12">
        <f t="shared" si="4"/>
        <v>4078</v>
      </c>
      <c r="N9" s="14">
        <f t="shared" si="5"/>
        <v>2697</v>
      </c>
    </row>
    <row r="10" spans="1:14" ht="12.75">
      <c r="A10" s="739"/>
      <c r="B10" s="51" t="s">
        <v>53</v>
      </c>
      <c r="C10" s="23">
        <v>187980</v>
      </c>
      <c r="D10" s="12">
        <v>179311</v>
      </c>
      <c r="E10" s="12">
        <v>178565</v>
      </c>
      <c r="F10" s="14">
        <f t="shared" si="2"/>
        <v>-746</v>
      </c>
      <c r="G10" s="42">
        <v>177729</v>
      </c>
      <c r="H10" s="12">
        <v>182890</v>
      </c>
      <c r="I10" s="12">
        <v>188893</v>
      </c>
      <c r="J10" s="14">
        <f t="shared" si="3"/>
        <v>6003</v>
      </c>
      <c r="K10" s="26">
        <f t="shared" si="0"/>
        <v>-10251</v>
      </c>
      <c r="L10" s="11">
        <f t="shared" si="1"/>
        <v>3579</v>
      </c>
      <c r="M10" s="12">
        <f t="shared" si="4"/>
        <v>10328</v>
      </c>
      <c r="N10" s="14">
        <f t="shared" si="5"/>
        <v>6749</v>
      </c>
    </row>
    <row r="11" spans="1:14" ht="12.75">
      <c r="A11" s="739"/>
      <c r="B11" s="51" t="s">
        <v>54</v>
      </c>
      <c r="C11" s="23">
        <v>238559</v>
      </c>
      <c r="D11" s="12">
        <v>225771</v>
      </c>
      <c r="E11" s="12">
        <v>225803</v>
      </c>
      <c r="F11" s="14">
        <f t="shared" si="2"/>
        <v>32</v>
      </c>
      <c r="G11" s="42">
        <v>221120</v>
      </c>
      <c r="H11" s="12">
        <v>230426</v>
      </c>
      <c r="I11" s="12">
        <v>237124</v>
      </c>
      <c r="J11" s="14">
        <f t="shared" si="3"/>
        <v>6698</v>
      </c>
      <c r="K11" s="26">
        <f t="shared" si="0"/>
        <v>-17439</v>
      </c>
      <c r="L11" s="11">
        <f t="shared" si="1"/>
        <v>4655</v>
      </c>
      <c r="M11" s="12">
        <f t="shared" si="4"/>
        <v>11321</v>
      </c>
      <c r="N11" s="14">
        <f t="shared" si="5"/>
        <v>6666</v>
      </c>
    </row>
    <row r="12" spans="1:14" ht="12.75">
      <c r="A12" s="739"/>
      <c r="B12" s="51" t="s">
        <v>55</v>
      </c>
      <c r="C12" s="40">
        <v>284063</v>
      </c>
      <c r="D12" s="76">
        <v>273103</v>
      </c>
      <c r="E12" s="76">
        <v>274775</v>
      </c>
      <c r="F12" s="14">
        <f t="shared" si="2"/>
        <v>1672</v>
      </c>
      <c r="G12" s="43">
        <v>273203</v>
      </c>
      <c r="H12" s="76">
        <v>281114</v>
      </c>
      <c r="I12" s="76">
        <v>286101</v>
      </c>
      <c r="J12" s="14">
        <f t="shared" si="3"/>
        <v>4987</v>
      </c>
      <c r="K12" s="26">
        <f t="shared" si="0"/>
        <v>-10860</v>
      </c>
      <c r="L12" s="11">
        <f t="shared" si="1"/>
        <v>8011</v>
      </c>
      <c r="M12" s="76">
        <f t="shared" si="4"/>
        <v>11326</v>
      </c>
      <c r="N12" s="14">
        <f t="shared" si="5"/>
        <v>3315</v>
      </c>
    </row>
    <row r="13" spans="1:14" ht="12.75">
      <c r="A13" s="739"/>
      <c r="B13" s="51" t="s">
        <v>56</v>
      </c>
      <c r="C13" s="38">
        <v>330280</v>
      </c>
      <c r="D13" s="77">
        <v>318225</v>
      </c>
      <c r="E13" s="77"/>
      <c r="F13" s="14"/>
      <c r="G13" s="36">
        <v>307701</v>
      </c>
      <c r="H13" s="77">
        <v>323281</v>
      </c>
      <c r="I13" s="77"/>
      <c r="J13" s="14"/>
      <c r="K13" s="26">
        <f t="shared" si="0"/>
        <v>-22579</v>
      </c>
      <c r="L13" s="11">
        <f t="shared" si="1"/>
        <v>5056</v>
      </c>
      <c r="M13" s="77">
        <f t="shared" si="4"/>
        <v>0</v>
      </c>
      <c r="N13" s="14"/>
    </row>
    <row r="14" spans="1:14" ht="12.75">
      <c r="A14" s="739"/>
      <c r="B14" s="51" t="s">
        <v>57</v>
      </c>
      <c r="C14" s="38">
        <v>371959</v>
      </c>
      <c r="D14" s="77">
        <v>358519</v>
      </c>
      <c r="E14" s="77"/>
      <c r="F14" s="14"/>
      <c r="G14" s="36">
        <v>344955</v>
      </c>
      <c r="H14" s="77">
        <v>365867</v>
      </c>
      <c r="I14" s="77"/>
      <c r="J14" s="14"/>
      <c r="K14" s="23">
        <f t="shared" si="0"/>
        <v>-27004</v>
      </c>
      <c r="L14" s="12">
        <f t="shared" si="1"/>
        <v>7348</v>
      </c>
      <c r="M14" s="77">
        <f t="shared" si="4"/>
        <v>0</v>
      </c>
      <c r="N14" s="14"/>
    </row>
    <row r="15" spans="1:14" ht="12.75">
      <c r="A15" s="739"/>
      <c r="B15" s="51" t="s">
        <v>58</v>
      </c>
      <c r="C15" s="38">
        <v>423398</v>
      </c>
      <c r="D15" s="77">
        <v>401865</v>
      </c>
      <c r="E15" s="77"/>
      <c r="F15" s="14"/>
      <c r="G15" s="36">
        <v>386549</v>
      </c>
      <c r="H15" s="77">
        <v>410677</v>
      </c>
      <c r="I15" s="77"/>
      <c r="J15" s="14"/>
      <c r="K15" s="26">
        <f t="shared" si="0"/>
        <v>-36849</v>
      </c>
      <c r="L15" s="11">
        <f t="shared" si="1"/>
        <v>8812</v>
      </c>
      <c r="M15" s="77">
        <f t="shared" si="4"/>
        <v>0</v>
      </c>
      <c r="N15" s="14"/>
    </row>
    <row r="16" spans="1:14" ht="12.75">
      <c r="A16" s="739"/>
      <c r="B16" s="53" t="s">
        <v>59</v>
      </c>
      <c r="C16" s="38">
        <v>470421</v>
      </c>
      <c r="D16" s="77">
        <v>448070</v>
      </c>
      <c r="E16" s="77"/>
      <c r="F16" s="14"/>
      <c r="G16" s="36">
        <v>428424</v>
      </c>
      <c r="H16" s="77">
        <v>452664</v>
      </c>
      <c r="I16" s="77"/>
      <c r="J16" s="14"/>
      <c r="K16" s="23">
        <f t="shared" si="0"/>
        <v>-41997</v>
      </c>
      <c r="L16" s="12">
        <f t="shared" si="1"/>
        <v>4594</v>
      </c>
      <c r="M16" s="77">
        <f t="shared" si="4"/>
        <v>0</v>
      </c>
      <c r="N16" s="14"/>
    </row>
    <row r="17" spans="1:14" ht="12.75">
      <c r="A17" s="739"/>
      <c r="B17" s="51" t="s">
        <v>60</v>
      </c>
      <c r="C17" s="38">
        <v>518198</v>
      </c>
      <c r="D17" s="77">
        <v>499946</v>
      </c>
      <c r="E17" s="77"/>
      <c r="F17" s="14"/>
      <c r="G17" s="36">
        <v>469007</v>
      </c>
      <c r="H17" s="77">
        <v>495990</v>
      </c>
      <c r="I17" s="77"/>
      <c r="J17" s="14"/>
      <c r="K17" s="23">
        <f t="shared" si="0"/>
        <v>-49191</v>
      </c>
      <c r="L17" s="12">
        <f t="shared" si="1"/>
        <v>-3956</v>
      </c>
      <c r="M17" s="77">
        <f t="shared" si="4"/>
        <v>0</v>
      </c>
      <c r="N17" s="14"/>
    </row>
    <row r="18" spans="1:14" ht="13.5" thickBot="1">
      <c r="A18" s="740"/>
      <c r="B18" s="55" t="s">
        <v>61</v>
      </c>
      <c r="C18" s="27">
        <v>567589</v>
      </c>
      <c r="D18" s="78">
        <f>492158.17+55288.46+749.76</f>
        <v>548196.39</v>
      </c>
      <c r="E18" s="78"/>
      <c r="F18" s="15"/>
      <c r="G18" s="36">
        <v>516805</v>
      </c>
      <c r="H18" s="77">
        <f>488322.64+59382.41</f>
        <v>547705.05</v>
      </c>
      <c r="I18" s="77"/>
      <c r="J18" s="15"/>
      <c r="K18" s="38">
        <f t="shared" si="0"/>
        <v>-50784</v>
      </c>
      <c r="L18" s="12">
        <f t="shared" si="1"/>
        <v>-491.3399999999674</v>
      </c>
      <c r="M18" s="77">
        <f t="shared" si="4"/>
        <v>0</v>
      </c>
      <c r="N18" s="15"/>
    </row>
    <row r="19" spans="1:14" ht="12.75" customHeight="1">
      <c r="A19" s="738" t="s">
        <v>27</v>
      </c>
      <c r="B19" s="49" t="s">
        <v>50</v>
      </c>
      <c r="C19" s="83">
        <v>56582</v>
      </c>
      <c r="D19" s="75">
        <v>55522</v>
      </c>
      <c r="E19" s="75">
        <v>60955</v>
      </c>
      <c r="F19" s="13">
        <f t="shared" si="2"/>
        <v>5433</v>
      </c>
      <c r="G19" s="79">
        <v>49865</v>
      </c>
      <c r="H19" s="75">
        <v>49017</v>
      </c>
      <c r="I19" s="75">
        <v>59346</v>
      </c>
      <c r="J19" s="13">
        <f t="shared" si="3"/>
        <v>10329</v>
      </c>
      <c r="K19" s="83">
        <f t="shared" si="0"/>
        <v>-6717</v>
      </c>
      <c r="L19" s="75">
        <f t="shared" si="1"/>
        <v>-6505</v>
      </c>
      <c r="M19" s="75">
        <f t="shared" si="4"/>
        <v>-1609</v>
      </c>
      <c r="N19" s="13">
        <f t="shared" si="5"/>
        <v>4896</v>
      </c>
    </row>
    <row r="20" spans="1:14" ht="12.75">
      <c r="A20" s="739"/>
      <c r="B20" s="51" t="s">
        <v>51</v>
      </c>
      <c r="C20" s="23">
        <v>112059</v>
      </c>
      <c r="D20" s="12">
        <v>109531</v>
      </c>
      <c r="E20" s="12">
        <v>119838</v>
      </c>
      <c r="F20" s="14">
        <f t="shared" si="2"/>
        <v>10307</v>
      </c>
      <c r="G20" s="42">
        <v>98638</v>
      </c>
      <c r="H20" s="12">
        <v>106535</v>
      </c>
      <c r="I20" s="12">
        <v>121220</v>
      </c>
      <c r="J20" s="14">
        <f t="shared" si="3"/>
        <v>14685</v>
      </c>
      <c r="K20" s="26">
        <f t="shared" si="0"/>
        <v>-13421</v>
      </c>
      <c r="L20" s="11">
        <f t="shared" si="1"/>
        <v>-2996</v>
      </c>
      <c r="M20" s="12">
        <f t="shared" si="4"/>
        <v>1382</v>
      </c>
      <c r="N20" s="14">
        <f t="shared" si="5"/>
        <v>4378</v>
      </c>
    </row>
    <row r="21" spans="1:14" ht="12.75">
      <c r="A21" s="739"/>
      <c r="B21" s="51" t="s">
        <v>52</v>
      </c>
      <c r="C21" s="23">
        <v>169918</v>
      </c>
      <c r="D21" s="12">
        <v>167335</v>
      </c>
      <c r="E21" s="12">
        <v>182479</v>
      </c>
      <c r="F21" s="14">
        <f t="shared" si="2"/>
        <v>15144</v>
      </c>
      <c r="G21" s="42">
        <v>147502</v>
      </c>
      <c r="H21" s="12">
        <v>163803</v>
      </c>
      <c r="I21" s="12">
        <v>186319</v>
      </c>
      <c r="J21" s="14">
        <f t="shared" si="3"/>
        <v>22516</v>
      </c>
      <c r="K21" s="26">
        <f t="shared" si="0"/>
        <v>-22416</v>
      </c>
      <c r="L21" s="11">
        <f t="shared" si="1"/>
        <v>-3532</v>
      </c>
      <c r="M21" s="12">
        <f t="shared" si="4"/>
        <v>3840</v>
      </c>
      <c r="N21" s="14">
        <f t="shared" si="5"/>
        <v>7372</v>
      </c>
    </row>
    <row r="22" spans="1:14" ht="12.75">
      <c r="A22" s="739"/>
      <c r="B22" s="51" t="s">
        <v>53</v>
      </c>
      <c r="C22" s="23">
        <v>226081</v>
      </c>
      <c r="D22" s="12">
        <v>223622</v>
      </c>
      <c r="E22" s="12">
        <v>244713</v>
      </c>
      <c r="F22" s="14">
        <f t="shared" si="2"/>
        <v>21091</v>
      </c>
      <c r="G22" s="42">
        <v>196366</v>
      </c>
      <c r="H22" s="12">
        <v>219969</v>
      </c>
      <c r="I22" s="12">
        <v>246206</v>
      </c>
      <c r="J22" s="14">
        <f t="shared" si="3"/>
        <v>26237</v>
      </c>
      <c r="K22" s="26">
        <f t="shared" si="0"/>
        <v>-29715</v>
      </c>
      <c r="L22" s="11">
        <f t="shared" si="1"/>
        <v>-3653</v>
      </c>
      <c r="M22" s="12">
        <f t="shared" si="4"/>
        <v>1493</v>
      </c>
      <c r="N22" s="14">
        <f t="shared" si="5"/>
        <v>5146</v>
      </c>
    </row>
    <row r="23" spans="1:14" ht="12.75">
      <c r="A23" s="739"/>
      <c r="B23" s="51" t="s">
        <v>54</v>
      </c>
      <c r="C23" s="23">
        <v>296216</v>
      </c>
      <c r="D23" s="12">
        <v>285049</v>
      </c>
      <c r="E23" s="12">
        <v>310115</v>
      </c>
      <c r="F23" s="14">
        <f t="shared" si="2"/>
        <v>25066</v>
      </c>
      <c r="G23" s="42">
        <v>246698</v>
      </c>
      <c r="H23" s="12">
        <v>276252</v>
      </c>
      <c r="I23" s="12">
        <v>307262</v>
      </c>
      <c r="J23" s="14">
        <f t="shared" si="3"/>
        <v>31010</v>
      </c>
      <c r="K23" s="26">
        <f t="shared" si="0"/>
        <v>-49518</v>
      </c>
      <c r="L23" s="11">
        <f t="shared" si="1"/>
        <v>-8797</v>
      </c>
      <c r="M23" s="12">
        <f t="shared" si="4"/>
        <v>-2853</v>
      </c>
      <c r="N23" s="14">
        <f t="shared" si="5"/>
        <v>5944</v>
      </c>
    </row>
    <row r="24" spans="1:14" ht="12.75">
      <c r="A24" s="739"/>
      <c r="B24" s="51" t="s">
        <v>55</v>
      </c>
      <c r="C24" s="40">
        <v>354105</v>
      </c>
      <c r="D24" s="76">
        <v>342881</v>
      </c>
      <c r="E24" s="76">
        <v>376685</v>
      </c>
      <c r="F24" s="14">
        <f t="shared" si="2"/>
        <v>33804</v>
      </c>
      <c r="G24" s="43">
        <v>279910</v>
      </c>
      <c r="H24" s="76">
        <v>332464</v>
      </c>
      <c r="I24" s="76">
        <v>372154</v>
      </c>
      <c r="J24" s="14">
        <f t="shared" si="3"/>
        <v>39690</v>
      </c>
      <c r="K24" s="26">
        <f t="shared" si="0"/>
        <v>-74195</v>
      </c>
      <c r="L24" s="11">
        <f t="shared" si="1"/>
        <v>-10417</v>
      </c>
      <c r="M24" s="76">
        <f t="shared" si="4"/>
        <v>-4531</v>
      </c>
      <c r="N24" s="14">
        <f t="shared" si="5"/>
        <v>5886</v>
      </c>
    </row>
    <row r="25" spans="1:14" ht="12.75">
      <c r="A25" s="739"/>
      <c r="B25" s="51" t="s">
        <v>56</v>
      </c>
      <c r="C25" s="38">
        <v>412177</v>
      </c>
      <c r="D25" s="77">
        <v>401189</v>
      </c>
      <c r="E25" s="77"/>
      <c r="F25" s="14"/>
      <c r="G25" s="36">
        <v>327600</v>
      </c>
      <c r="H25" s="77">
        <v>383066</v>
      </c>
      <c r="I25" s="77"/>
      <c r="J25" s="14"/>
      <c r="K25" s="26">
        <f t="shared" si="0"/>
        <v>-84577</v>
      </c>
      <c r="L25" s="11">
        <f t="shared" si="1"/>
        <v>-18123</v>
      </c>
      <c r="M25" s="77">
        <f t="shared" si="4"/>
        <v>0</v>
      </c>
      <c r="N25" s="14"/>
    </row>
    <row r="26" spans="1:14" ht="12.75">
      <c r="A26" s="739"/>
      <c r="B26" s="51" t="s">
        <v>57</v>
      </c>
      <c r="C26" s="23">
        <v>465848</v>
      </c>
      <c r="D26" s="12">
        <v>455752</v>
      </c>
      <c r="E26" s="12"/>
      <c r="F26" s="14"/>
      <c r="G26" s="42">
        <v>379575</v>
      </c>
      <c r="H26" s="12">
        <v>431591</v>
      </c>
      <c r="I26" s="12"/>
      <c r="J26" s="14"/>
      <c r="K26" s="23">
        <f t="shared" si="0"/>
        <v>-86273</v>
      </c>
      <c r="L26" s="12">
        <f t="shared" si="1"/>
        <v>-24161</v>
      </c>
      <c r="M26" s="12">
        <f t="shared" si="4"/>
        <v>0</v>
      </c>
      <c r="N26" s="14"/>
    </row>
    <row r="27" spans="1:14" ht="12.75">
      <c r="A27" s="739"/>
      <c r="B27" s="51" t="s">
        <v>58</v>
      </c>
      <c r="C27" s="26">
        <v>528045</v>
      </c>
      <c r="D27" s="11">
        <v>515578</v>
      </c>
      <c r="E27" s="11"/>
      <c r="F27" s="14"/>
      <c r="G27" s="80">
        <v>422485</v>
      </c>
      <c r="H27" s="11">
        <v>506983</v>
      </c>
      <c r="I27" s="11"/>
      <c r="J27" s="14"/>
      <c r="K27" s="26">
        <f t="shared" si="0"/>
        <v>-105560</v>
      </c>
      <c r="L27" s="12">
        <f t="shared" si="1"/>
        <v>-8595</v>
      </c>
      <c r="M27" s="11">
        <f t="shared" si="4"/>
        <v>0</v>
      </c>
      <c r="N27" s="14"/>
    </row>
    <row r="28" spans="1:14" ht="12.75">
      <c r="A28" s="739"/>
      <c r="B28" s="53" t="s">
        <v>59</v>
      </c>
      <c r="C28" s="38">
        <v>584702</v>
      </c>
      <c r="D28" s="77">
        <v>574702</v>
      </c>
      <c r="E28" s="77"/>
      <c r="F28" s="14"/>
      <c r="G28" s="36">
        <v>477606</v>
      </c>
      <c r="H28" s="77">
        <v>556726</v>
      </c>
      <c r="I28" s="77"/>
      <c r="J28" s="14"/>
      <c r="K28" s="23">
        <f t="shared" si="0"/>
        <v>-107096</v>
      </c>
      <c r="L28" s="12">
        <f t="shared" si="1"/>
        <v>-17976</v>
      </c>
      <c r="M28" s="77">
        <f t="shared" si="4"/>
        <v>0</v>
      </c>
      <c r="N28" s="14"/>
    </row>
    <row r="29" spans="1:14" ht="12.75">
      <c r="A29" s="739"/>
      <c r="B29" s="51" t="s">
        <v>60</v>
      </c>
      <c r="C29" s="38">
        <v>645215</v>
      </c>
      <c r="D29" s="77">
        <v>638781</v>
      </c>
      <c r="E29" s="77"/>
      <c r="F29" s="14"/>
      <c r="G29" s="36">
        <v>528555</v>
      </c>
      <c r="H29" s="77">
        <v>619388</v>
      </c>
      <c r="I29" s="77"/>
      <c r="J29" s="14"/>
      <c r="K29" s="23">
        <f t="shared" si="0"/>
        <v>-116660</v>
      </c>
      <c r="L29" s="12">
        <f t="shared" si="1"/>
        <v>-19393</v>
      </c>
      <c r="M29" s="77">
        <f t="shared" si="4"/>
        <v>0</v>
      </c>
      <c r="N29" s="14"/>
    </row>
    <row r="30" spans="1:14" ht="13.5" thickBot="1">
      <c r="A30" s="740"/>
      <c r="B30" s="55" t="s">
        <v>61</v>
      </c>
      <c r="C30" s="27">
        <v>730286</v>
      </c>
      <c r="D30" s="78">
        <f>699019.56+3283.37</f>
        <v>702302.93</v>
      </c>
      <c r="E30" s="78"/>
      <c r="F30" s="15"/>
      <c r="G30" s="36">
        <v>587012</v>
      </c>
      <c r="H30" s="267">
        <v>697713</v>
      </c>
      <c r="I30" s="267"/>
      <c r="J30" s="15"/>
      <c r="K30" s="38">
        <f t="shared" si="0"/>
        <v>-143274</v>
      </c>
      <c r="L30" s="12">
        <f t="shared" si="1"/>
        <v>-4589.930000000051</v>
      </c>
      <c r="M30" s="267">
        <f t="shared" si="4"/>
        <v>0</v>
      </c>
      <c r="N30" s="15"/>
    </row>
    <row r="31" spans="1:14" ht="12.75" customHeight="1">
      <c r="A31" s="738" t="s">
        <v>26</v>
      </c>
      <c r="B31" s="49" t="s">
        <v>50</v>
      </c>
      <c r="C31" s="83">
        <v>36875</v>
      </c>
      <c r="D31" s="75">
        <v>36335</v>
      </c>
      <c r="E31" s="75">
        <v>38866</v>
      </c>
      <c r="F31" s="13">
        <f t="shared" si="2"/>
        <v>2531</v>
      </c>
      <c r="G31" s="79">
        <v>30351</v>
      </c>
      <c r="H31" s="75">
        <v>30338</v>
      </c>
      <c r="I31" s="75">
        <v>31044</v>
      </c>
      <c r="J31" s="13">
        <f t="shared" si="3"/>
        <v>706</v>
      </c>
      <c r="K31" s="83">
        <f t="shared" si="0"/>
        <v>-6524</v>
      </c>
      <c r="L31" s="75">
        <f t="shared" si="1"/>
        <v>-5997</v>
      </c>
      <c r="M31" s="75">
        <f t="shared" si="4"/>
        <v>-7822</v>
      </c>
      <c r="N31" s="13">
        <f t="shared" si="5"/>
        <v>-1825</v>
      </c>
    </row>
    <row r="32" spans="1:14" ht="12.75">
      <c r="A32" s="739"/>
      <c r="B32" s="51" t="s">
        <v>51</v>
      </c>
      <c r="C32" s="23">
        <v>67009</v>
      </c>
      <c r="D32" s="12">
        <v>68293</v>
      </c>
      <c r="E32" s="12">
        <v>71146</v>
      </c>
      <c r="F32" s="14">
        <f t="shared" si="2"/>
        <v>2853</v>
      </c>
      <c r="G32" s="42">
        <v>62564</v>
      </c>
      <c r="H32" s="12">
        <v>62719</v>
      </c>
      <c r="I32" s="12">
        <v>61643</v>
      </c>
      <c r="J32" s="14">
        <f t="shared" si="3"/>
        <v>-1076</v>
      </c>
      <c r="K32" s="26">
        <f t="shared" si="0"/>
        <v>-4445</v>
      </c>
      <c r="L32" s="11">
        <f t="shared" si="1"/>
        <v>-5574</v>
      </c>
      <c r="M32" s="12">
        <f t="shared" si="4"/>
        <v>-9503</v>
      </c>
      <c r="N32" s="14">
        <f t="shared" si="5"/>
        <v>-3929</v>
      </c>
    </row>
    <row r="33" spans="1:14" ht="12.75">
      <c r="A33" s="739"/>
      <c r="B33" s="51" t="s">
        <v>52</v>
      </c>
      <c r="C33" s="23">
        <v>99151</v>
      </c>
      <c r="D33" s="12">
        <v>101120</v>
      </c>
      <c r="E33" s="12">
        <v>104231</v>
      </c>
      <c r="F33" s="14">
        <f t="shared" si="2"/>
        <v>3111</v>
      </c>
      <c r="G33" s="42">
        <v>94805</v>
      </c>
      <c r="H33" s="12">
        <v>99867</v>
      </c>
      <c r="I33" s="12">
        <v>94177</v>
      </c>
      <c r="J33" s="14">
        <f t="shared" si="3"/>
        <v>-5690</v>
      </c>
      <c r="K33" s="26">
        <f t="shared" si="0"/>
        <v>-4346</v>
      </c>
      <c r="L33" s="11">
        <f t="shared" si="1"/>
        <v>-1253</v>
      </c>
      <c r="M33" s="12">
        <f t="shared" si="4"/>
        <v>-10054</v>
      </c>
      <c r="N33" s="14">
        <f t="shared" si="5"/>
        <v>-8801</v>
      </c>
    </row>
    <row r="34" spans="1:14" ht="12.75">
      <c r="A34" s="739"/>
      <c r="B34" s="51" t="s">
        <v>53</v>
      </c>
      <c r="C34" s="23">
        <v>131362</v>
      </c>
      <c r="D34" s="12">
        <v>135283</v>
      </c>
      <c r="E34" s="12">
        <v>141564</v>
      </c>
      <c r="F34" s="14">
        <f t="shared" si="2"/>
        <v>6281</v>
      </c>
      <c r="G34" s="42">
        <v>124775</v>
      </c>
      <c r="H34" s="12">
        <v>134936</v>
      </c>
      <c r="I34" s="12">
        <v>130301</v>
      </c>
      <c r="J34" s="14">
        <f t="shared" si="3"/>
        <v>-4635</v>
      </c>
      <c r="K34" s="26">
        <f t="shared" si="0"/>
        <v>-6587</v>
      </c>
      <c r="L34" s="11">
        <f t="shared" si="1"/>
        <v>-347</v>
      </c>
      <c r="M34" s="12">
        <f t="shared" si="4"/>
        <v>-11263</v>
      </c>
      <c r="N34" s="14">
        <f t="shared" si="5"/>
        <v>-10916</v>
      </c>
    </row>
    <row r="35" spans="1:14" ht="12.75">
      <c r="A35" s="739"/>
      <c r="B35" s="51" t="s">
        <v>54</v>
      </c>
      <c r="C35" s="23">
        <v>169542</v>
      </c>
      <c r="D35" s="12">
        <v>167812</v>
      </c>
      <c r="E35" s="12">
        <v>173539</v>
      </c>
      <c r="F35" s="14">
        <f t="shared" si="2"/>
        <v>5727</v>
      </c>
      <c r="G35" s="42">
        <v>157858</v>
      </c>
      <c r="H35" s="12">
        <v>169510</v>
      </c>
      <c r="I35" s="12">
        <v>164264</v>
      </c>
      <c r="J35" s="14">
        <f t="shared" si="3"/>
        <v>-5246</v>
      </c>
      <c r="K35" s="23">
        <f t="shared" si="0"/>
        <v>-11684</v>
      </c>
      <c r="L35" s="11">
        <f t="shared" si="1"/>
        <v>1698</v>
      </c>
      <c r="M35" s="12">
        <f t="shared" si="4"/>
        <v>-9275</v>
      </c>
      <c r="N35" s="14">
        <f t="shared" si="5"/>
        <v>-10973</v>
      </c>
    </row>
    <row r="36" spans="1:14" ht="12.75">
      <c r="A36" s="739"/>
      <c r="B36" s="51" t="s">
        <v>55</v>
      </c>
      <c r="C36" s="40">
        <v>200786</v>
      </c>
      <c r="D36" s="76">
        <v>200842</v>
      </c>
      <c r="E36" s="76">
        <v>206906</v>
      </c>
      <c r="F36" s="14">
        <f t="shared" si="2"/>
        <v>6064</v>
      </c>
      <c r="G36" s="43">
        <v>191550</v>
      </c>
      <c r="H36" s="76">
        <v>210749</v>
      </c>
      <c r="I36" s="76">
        <v>201042</v>
      </c>
      <c r="J36" s="14">
        <f t="shared" si="3"/>
        <v>-9707</v>
      </c>
      <c r="K36" s="26">
        <f t="shared" si="0"/>
        <v>-9236</v>
      </c>
      <c r="L36" s="11">
        <f t="shared" si="1"/>
        <v>9907</v>
      </c>
      <c r="M36" s="76">
        <f t="shared" si="4"/>
        <v>-5864</v>
      </c>
      <c r="N36" s="14">
        <f t="shared" si="5"/>
        <v>-15771</v>
      </c>
    </row>
    <row r="37" spans="1:14" ht="12.75">
      <c r="A37" s="739"/>
      <c r="B37" s="51" t="s">
        <v>56</v>
      </c>
      <c r="C37" s="38">
        <v>230948</v>
      </c>
      <c r="D37" s="77">
        <v>232448</v>
      </c>
      <c r="E37" s="77"/>
      <c r="F37" s="14"/>
      <c r="G37" s="36">
        <v>221507</v>
      </c>
      <c r="H37" s="77">
        <v>238381</v>
      </c>
      <c r="I37" s="77"/>
      <c r="J37" s="14"/>
      <c r="K37" s="26">
        <f t="shared" si="0"/>
        <v>-9441</v>
      </c>
      <c r="L37" s="11">
        <f t="shared" si="1"/>
        <v>5933</v>
      </c>
      <c r="M37" s="77">
        <f t="shared" si="4"/>
        <v>0</v>
      </c>
      <c r="N37" s="14"/>
    </row>
    <row r="38" spans="1:14" ht="12.75">
      <c r="A38" s="739"/>
      <c r="B38" s="51" t="s">
        <v>57</v>
      </c>
      <c r="C38" s="38">
        <v>258229</v>
      </c>
      <c r="D38" s="77">
        <v>261948</v>
      </c>
      <c r="E38" s="77"/>
      <c r="F38" s="14"/>
      <c r="G38" s="36">
        <v>247782</v>
      </c>
      <c r="H38" s="77">
        <v>265712</v>
      </c>
      <c r="I38" s="77"/>
      <c r="J38" s="14"/>
      <c r="K38" s="26">
        <f t="shared" si="0"/>
        <v>-10447</v>
      </c>
      <c r="L38" s="11">
        <f t="shared" si="1"/>
        <v>3764</v>
      </c>
      <c r="M38" s="77">
        <f t="shared" si="4"/>
        <v>0</v>
      </c>
      <c r="N38" s="14"/>
    </row>
    <row r="39" spans="1:14" ht="12.75">
      <c r="A39" s="739"/>
      <c r="B39" s="51" t="s">
        <v>58</v>
      </c>
      <c r="C39" s="23">
        <v>288576</v>
      </c>
      <c r="D39" s="12">
        <v>293234</v>
      </c>
      <c r="E39" s="12"/>
      <c r="F39" s="14"/>
      <c r="G39" s="42">
        <v>278409</v>
      </c>
      <c r="H39" s="12">
        <v>295292</v>
      </c>
      <c r="I39" s="12"/>
      <c r="J39" s="14"/>
      <c r="K39" s="23">
        <f aca="true" t="shared" si="6" ref="K39:K66">+G39-C39</f>
        <v>-10167</v>
      </c>
      <c r="L39" s="12">
        <f aca="true" t="shared" si="7" ref="L39:L66">+H39-D39</f>
        <v>2058</v>
      </c>
      <c r="M39" s="12">
        <f t="shared" si="4"/>
        <v>0</v>
      </c>
      <c r="N39" s="14"/>
    </row>
    <row r="40" spans="1:14" ht="12.75">
      <c r="A40" s="739"/>
      <c r="B40" s="53" t="s">
        <v>59</v>
      </c>
      <c r="C40" s="38">
        <v>318925</v>
      </c>
      <c r="D40" s="77">
        <v>327243</v>
      </c>
      <c r="E40" s="77"/>
      <c r="F40" s="14"/>
      <c r="G40" s="36">
        <v>311285</v>
      </c>
      <c r="H40" s="77">
        <v>323544</v>
      </c>
      <c r="I40" s="77"/>
      <c r="J40" s="14"/>
      <c r="K40" s="23">
        <f t="shared" si="6"/>
        <v>-7640</v>
      </c>
      <c r="L40" s="12">
        <f t="shared" si="7"/>
        <v>-3699</v>
      </c>
      <c r="M40" s="77">
        <f t="shared" si="4"/>
        <v>0</v>
      </c>
      <c r="N40" s="14"/>
    </row>
    <row r="41" spans="1:14" ht="12.75">
      <c r="A41" s="739"/>
      <c r="B41" s="51" t="s">
        <v>60</v>
      </c>
      <c r="C41" s="38">
        <v>352774</v>
      </c>
      <c r="D41" s="77">
        <v>362794</v>
      </c>
      <c r="E41" s="77"/>
      <c r="F41" s="14"/>
      <c r="G41" s="36">
        <v>339922</v>
      </c>
      <c r="H41" s="77">
        <v>356646</v>
      </c>
      <c r="I41" s="77"/>
      <c r="J41" s="14"/>
      <c r="K41" s="23">
        <f t="shared" si="6"/>
        <v>-12852</v>
      </c>
      <c r="L41" s="12">
        <f t="shared" si="7"/>
        <v>-6148</v>
      </c>
      <c r="M41" s="77">
        <f t="shared" si="4"/>
        <v>0</v>
      </c>
      <c r="N41" s="14"/>
    </row>
    <row r="42" spans="1:14" ht="13.5" thickBot="1">
      <c r="A42" s="740"/>
      <c r="B42" s="55" t="s">
        <v>61</v>
      </c>
      <c r="C42" s="27">
        <f>383925+6040.01+46.28-1493.35</f>
        <v>388517.94000000006</v>
      </c>
      <c r="D42" s="78">
        <f>388000.91+1881.02+88.84</f>
        <v>389970.77</v>
      </c>
      <c r="E42" s="78"/>
      <c r="F42" s="15"/>
      <c r="G42" s="37">
        <f>387589.48+1330.58</f>
        <v>388920.06</v>
      </c>
      <c r="H42" s="78">
        <f>389069.53+972.23</f>
        <v>390041.76</v>
      </c>
      <c r="I42" s="78"/>
      <c r="J42" s="15"/>
      <c r="K42" s="27">
        <f t="shared" si="6"/>
        <v>402.11999999993714</v>
      </c>
      <c r="L42" s="78">
        <f t="shared" si="7"/>
        <v>70.98999999999069</v>
      </c>
      <c r="M42" s="78">
        <f t="shared" si="4"/>
        <v>0</v>
      </c>
      <c r="N42" s="15"/>
    </row>
    <row r="43" spans="1:14" ht="12.75">
      <c r="A43" s="738" t="s">
        <v>25</v>
      </c>
      <c r="B43" s="49" t="s">
        <v>50</v>
      </c>
      <c r="C43" s="83">
        <v>41452</v>
      </c>
      <c r="D43" s="75">
        <v>39207</v>
      </c>
      <c r="E43" s="75">
        <v>40489</v>
      </c>
      <c r="F43" s="13">
        <f t="shared" si="2"/>
        <v>1282</v>
      </c>
      <c r="G43" s="80">
        <v>36042</v>
      </c>
      <c r="H43" s="11">
        <v>38842</v>
      </c>
      <c r="I43" s="11">
        <v>42258</v>
      </c>
      <c r="J43" s="13">
        <f t="shared" si="3"/>
        <v>3416</v>
      </c>
      <c r="K43" s="26">
        <f t="shared" si="6"/>
        <v>-5410</v>
      </c>
      <c r="L43" s="11">
        <f t="shared" si="7"/>
        <v>-365</v>
      </c>
      <c r="M43" s="11">
        <f t="shared" si="4"/>
        <v>1769</v>
      </c>
      <c r="N43" s="13">
        <f t="shared" si="5"/>
        <v>2134</v>
      </c>
    </row>
    <row r="44" spans="1:14" ht="13.5" customHeight="1">
      <c r="A44" s="739"/>
      <c r="B44" s="51" t="s">
        <v>51</v>
      </c>
      <c r="C44" s="23">
        <v>79125</v>
      </c>
      <c r="D44" s="12">
        <v>78893</v>
      </c>
      <c r="E44" s="12">
        <v>82040</v>
      </c>
      <c r="F44" s="14">
        <f t="shared" si="2"/>
        <v>3147</v>
      </c>
      <c r="G44" s="42">
        <v>72671</v>
      </c>
      <c r="H44" s="12">
        <v>79388</v>
      </c>
      <c r="I44" s="12">
        <v>84060</v>
      </c>
      <c r="J44" s="14">
        <f t="shared" si="3"/>
        <v>4672</v>
      </c>
      <c r="K44" s="26">
        <f t="shared" si="6"/>
        <v>-6454</v>
      </c>
      <c r="L44" s="11">
        <f t="shared" si="7"/>
        <v>495</v>
      </c>
      <c r="M44" s="12">
        <f t="shared" si="4"/>
        <v>2020</v>
      </c>
      <c r="N44" s="14">
        <f t="shared" si="5"/>
        <v>1525</v>
      </c>
    </row>
    <row r="45" spans="1:14" ht="12.75">
      <c r="A45" s="739"/>
      <c r="B45" s="51" t="s">
        <v>52</v>
      </c>
      <c r="C45" s="23">
        <v>117959</v>
      </c>
      <c r="D45" s="12">
        <v>120364</v>
      </c>
      <c r="E45" s="12">
        <v>123851</v>
      </c>
      <c r="F45" s="14">
        <f t="shared" si="2"/>
        <v>3487</v>
      </c>
      <c r="G45" s="42">
        <v>114577</v>
      </c>
      <c r="H45" s="12">
        <v>124813</v>
      </c>
      <c r="I45" s="12">
        <v>128123</v>
      </c>
      <c r="J45" s="14">
        <f t="shared" si="3"/>
        <v>3310</v>
      </c>
      <c r="K45" s="26">
        <f t="shared" si="6"/>
        <v>-3382</v>
      </c>
      <c r="L45" s="11">
        <f t="shared" si="7"/>
        <v>4449</v>
      </c>
      <c r="M45" s="12">
        <f t="shared" si="4"/>
        <v>4272</v>
      </c>
      <c r="N45" s="14">
        <f t="shared" si="5"/>
        <v>-177</v>
      </c>
    </row>
    <row r="46" spans="1:14" ht="12.75">
      <c r="A46" s="739"/>
      <c r="B46" s="51" t="s">
        <v>53</v>
      </c>
      <c r="C46" s="23">
        <v>158028</v>
      </c>
      <c r="D46" s="12">
        <v>160939</v>
      </c>
      <c r="E46" s="12">
        <v>165020</v>
      </c>
      <c r="F46" s="14">
        <f t="shared" si="2"/>
        <v>4081</v>
      </c>
      <c r="G46" s="42">
        <v>152045</v>
      </c>
      <c r="H46" s="12">
        <v>165311</v>
      </c>
      <c r="I46" s="12">
        <v>167842</v>
      </c>
      <c r="J46" s="14">
        <f t="shared" si="3"/>
        <v>2531</v>
      </c>
      <c r="K46" s="26">
        <f t="shared" si="6"/>
        <v>-5983</v>
      </c>
      <c r="L46" s="11">
        <f t="shared" si="7"/>
        <v>4372</v>
      </c>
      <c r="M46" s="12">
        <f t="shared" si="4"/>
        <v>2822</v>
      </c>
      <c r="N46" s="14">
        <f t="shared" si="5"/>
        <v>-1550</v>
      </c>
    </row>
    <row r="47" spans="1:14" ht="12.75">
      <c r="A47" s="739"/>
      <c r="B47" s="51" t="s">
        <v>54</v>
      </c>
      <c r="C47" s="23">
        <v>204999</v>
      </c>
      <c r="D47" s="12">
        <v>206115</v>
      </c>
      <c r="E47" s="12">
        <v>208574</v>
      </c>
      <c r="F47" s="14">
        <f t="shared" si="2"/>
        <v>2459</v>
      </c>
      <c r="G47" s="42">
        <v>195828</v>
      </c>
      <c r="H47" s="12">
        <v>211973</v>
      </c>
      <c r="I47" s="12">
        <v>211626</v>
      </c>
      <c r="J47" s="14">
        <f t="shared" si="3"/>
        <v>-347</v>
      </c>
      <c r="K47" s="23">
        <f t="shared" si="6"/>
        <v>-9171</v>
      </c>
      <c r="L47" s="12">
        <f t="shared" si="7"/>
        <v>5858</v>
      </c>
      <c r="M47" s="12">
        <f t="shared" si="4"/>
        <v>3052</v>
      </c>
      <c r="N47" s="14">
        <f t="shared" si="5"/>
        <v>-2806</v>
      </c>
    </row>
    <row r="48" spans="1:14" ht="12.75">
      <c r="A48" s="739"/>
      <c r="B48" s="51" t="s">
        <v>55</v>
      </c>
      <c r="C48" s="40">
        <v>242473</v>
      </c>
      <c r="D48" s="76">
        <v>246744</v>
      </c>
      <c r="E48" s="76">
        <v>246574</v>
      </c>
      <c r="F48" s="14">
        <f t="shared" si="2"/>
        <v>-170</v>
      </c>
      <c r="G48" s="43">
        <v>241979</v>
      </c>
      <c r="H48" s="76">
        <v>262350</v>
      </c>
      <c r="I48" s="76">
        <v>256078</v>
      </c>
      <c r="J48" s="14">
        <f t="shared" si="3"/>
        <v>-6272</v>
      </c>
      <c r="K48" s="26">
        <f t="shared" si="6"/>
        <v>-494</v>
      </c>
      <c r="L48" s="11">
        <f t="shared" si="7"/>
        <v>15606</v>
      </c>
      <c r="M48" s="76">
        <f t="shared" si="4"/>
        <v>9504</v>
      </c>
      <c r="N48" s="14">
        <f t="shared" si="5"/>
        <v>-6102</v>
      </c>
    </row>
    <row r="49" spans="1:14" ht="12.75">
      <c r="A49" s="739"/>
      <c r="B49" s="51" t="s">
        <v>56</v>
      </c>
      <c r="C49" s="38">
        <v>281545</v>
      </c>
      <c r="D49" s="77">
        <v>287114</v>
      </c>
      <c r="E49" s="77"/>
      <c r="F49" s="14"/>
      <c r="G49" s="36">
        <v>275508</v>
      </c>
      <c r="H49" s="77">
        <v>300536</v>
      </c>
      <c r="I49" s="77"/>
      <c r="J49" s="14"/>
      <c r="K49" s="26">
        <f t="shared" si="6"/>
        <v>-6037</v>
      </c>
      <c r="L49" s="11">
        <f t="shared" si="7"/>
        <v>13422</v>
      </c>
      <c r="M49" s="77">
        <f t="shared" si="4"/>
        <v>0</v>
      </c>
      <c r="N49" s="14"/>
    </row>
    <row r="50" spans="1:14" ht="12.75">
      <c r="A50" s="739"/>
      <c r="B50" s="51" t="s">
        <v>57</v>
      </c>
      <c r="C50" s="38">
        <v>317724</v>
      </c>
      <c r="D50" s="77">
        <v>326561</v>
      </c>
      <c r="E50" s="77"/>
      <c r="F50" s="14"/>
      <c r="G50" s="36">
        <v>310246</v>
      </c>
      <c r="H50" s="77">
        <v>339201</v>
      </c>
      <c r="I50" s="77"/>
      <c r="J50" s="14"/>
      <c r="K50" s="26">
        <f t="shared" si="6"/>
        <v>-7478</v>
      </c>
      <c r="L50" s="11">
        <f t="shared" si="7"/>
        <v>12640</v>
      </c>
      <c r="M50" s="77">
        <f t="shared" si="4"/>
        <v>0</v>
      </c>
      <c r="N50" s="14"/>
    </row>
    <row r="51" spans="1:14" ht="12.75">
      <c r="A51" s="739"/>
      <c r="B51" s="51" t="s">
        <v>58</v>
      </c>
      <c r="C51" s="38">
        <v>358074</v>
      </c>
      <c r="D51" s="77">
        <v>366739</v>
      </c>
      <c r="E51" s="77"/>
      <c r="F51" s="14"/>
      <c r="G51" s="36">
        <v>348921</v>
      </c>
      <c r="H51" s="77">
        <v>382284</v>
      </c>
      <c r="I51" s="77"/>
      <c r="J51" s="14"/>
      <c r="K51" s="26">
        <f t="shared" si="6"/>
        <v>-9153</v>
      </c>
      <c r="L51" s="11">
        <f t="shared" si="7"/>
        <v>15545</v>
      </c>
      <c r="M51" s="77">
        <f t="shared" si="4"/>
        <v>0</v>
      </c>
      <c r="N51" s="14"/>
    </row>
    <row r="52" spans="1:14" ht="12.75">
      <c r="A52" s="739"/>
      <c r="B52" s="53" t="s">
        <v>59</v>
      </c>
      <c r="C52" s="38">
        <v>393910</v>
      </c>
      <c r="D52" s="77">
        <v>409919</v>
      </c>
      <c r="E52" s="77"/>
      <c r="F52" s="14"/>
      <c r="G52" s="36">
        <v>391183</v>
      </c>
      <c r="H52" s="77">
        <v>418906</v>
      </c>
      <c r="I52" s="77"/>
      <c r="J52" s="14"/>
      <c r="K52" s="23">
        <f t="shared" si="6"/>
        <v>-2727</v>
      </c>
      <c r="L52" s="12">
        <f t="shared" si="7"/>
        <v>8987</v>
      </c>
      <c r="M52" s="77">
        <f t="shared" si="4"/>
        <v>0</v>
      </c>
      <c r="N52" s="14"/>
    </row>
    <row r="53" spans="1:14" ht="12.75">
      <c r="A53" s="739"/>
      <c r="B53" s="51" t="s">
        <v>60</v>
      </c>
      <c r="C53" s="38">
        <v>444455</v>
      </c>
      <c r="D53" s="77">
        <v>454034</v>
      </c>
      <c r="E53" s="77"/>
      <c r="F53" s="14"/>
      <c r="G53" s="36">
        <v>429259</v>
      </c>
      <c r="H53" s="77">
        <v>458511</v>
      </c>
      <c r="I53" s="77"/>
      <c r="J53" s="14"/>
      <c r="K53" s="23">
        <f t="shared" si="6"/>
        <v>-15196</v>
      </c>
      <c r="L53" s="12">
        <f t="shared" si="7"/>
        <v>4477</v>
      </c>
      <c r="M53" s="77">
        <f t="shared" si="4"/>
        <v>0</v>
      </c>
      <c r="N53" s="14"/>
    </row>
    <row r="54" spans="1:14" ht="13.5" thickBot="1">
      <c r="A54" s="740"/>
      <c r="B54" s="55" t="s">
        <v>61</v>
      </c>
      <c r="C54" s="27">
        <v>489954</v>
      </c>
      <c r="D54" s="78">
        <f>497519.6+3239.28+1304.4-62.32</f>
        <v>502000.96</v>
      </c>
      <c r="E54" s="78"/>
      <c r="F54" s="15"/>
      <c r="G54" s="36">
        <v>483959</v>
      </c>
      <c r="H54" s="77">
        <f>497878.41+4391.86</f>
        <v>502270.26999999996</v>
      </c>
      <c r="I54" s="77"/>
      <c r="J54" s="15"/>
      <c r="K54" s="38">
        <f t="shared" si="6"/>
        <v>-5995</v>
      </c>
      <c r="L54" s="12">
        <f t="shared" si="7"/>
        <v>269.30999999993946</v>
      </c>
      <c r="M54" s="77">
        <f t="shared" si="4"/>
        <v>0</v>
      </c>
      <c r="N54" s="15"/>
    </row>
    <row r="55" spans="1:14" ht="12.75" customHeight="1">
      <c r="A55" s="738" t="s">
        <v>170</v>
      </c>
      <c r="B55" s="49" t="s">
        <v>50</v>
      </c>
      <c r="C55" s="83">
        <v>40837</v>
      </c>
      <c r="D55" s="75">
        <v>43732</v>
      </c>
      <c r="E55" s="75">
        <v>45733</v>
      </c>
      <c r="F55" s="13">
        <f t="shared" si="2"/>
        <v>2001</v>
      </c>
      <c r="G55" s="79">
        <v>40961</v>
      </c>
      <c r="H55" s="75">
        <v>40263</v>
      </c>
      <c r="I55" s="75">
        <v>44183</v>
      </c>
      <c r="J55" s="13">
        <f t="shared" si="3"/>
        <v>3920</v>
      </c>
      <c r="K55" s="83">
        <f t="shared" si="6"/>
        <v>124</v>
      </c>
      <c r="L55" s="75">
        <f t="shared" si="7"/>
        <v>-3469</v>
      </c>
      <c r="M55" s="75">
        <f t="shared" si="4"/>
        <v>-1550</v>
      </c>
      <c r="N55" s="13">
        <f t="shared" si="5"/>
        <v>1919</v>
      </c>
    </row>
    <row r="56" spans="1:14" ht="12.75">
      <c r="A56" s="739"/>
      <c r="B56" s="51" t="s">
        <v>51</v>
      </c>
      <c r="C56" s="23">
        <v>79152</v>
      </c>
      <c r="D56" s="12">
        <v>85818</v>
      </c>
      <c r="E56" s="12">
        <v>88910</v>
      </c>
      <c r="F56" s="14">
        <f t="shared" si="2"/>
        <v>3092</v>
      </c>
      <c r="G56" s="42">
        <v>82378</v>
      </c>
      <c r="H56" s="12">
        <v>80802</v>
      </c>
      <c r="I56" s="12">
        <v>88947</v>
      </c>
      <c r="J56" s="14">
        <f t="shared" si="3"/>
        <v>8145</v>
      </c>
      <c r="K56" s="26">
        <f t="shared" si="6"/>
        <v>3226</v>
      </c>
      <c r="L56" s="11">
        <f t="shared" si="7"/>
        <v>-5016</v>
      </c>
      <c r="M56" s="12">
        <f t="shared" si="4"/>
        <v>37</v>
      </c>
      <c r="N56" s="14">
        <f t="shared" si="5"/>
        <v>5053</v>
      </c>
    </row>
    <row r="57" spans="1:14" ht="12.75">
      <c r="A57" s="739"/>
      <c r="B57" s="51" t="s">
        <v>52</v>
      </c>
      <c r="C57" s="23">
        <v>117441</v>
      </c>
      <c r="D57" s="12">
        <v>130527</v>
      </c>
      <c r="E57" s="12">
        <v>132135</v>
      </c>
      <c r="F57" s="14">
        <f t="shared" si="2"/>
        <v>1608</v>
      </c>
      <c r="G57" s="42">
        <v>127709</v>
      </c>
      <c r="H57" s="12">
        <v>130281</v>
      </c>
      <c r="I57" s="12">
        <v>133715</v>
      </c>
      <c r="J57" s="14">
        <f t="shared" si="3"/>
        <v>3434</v>
      </c>
      <c r="K57" s="26">
        <f t="shared" si="6"/>
        <v>10268</v>
      </c>
      <c r="L57" s="11">
        <f t="shared" si="7"/>
        <v>-246</v>
      </c>
      <c r="M57" s="12">
        <f t="shared" si="4"/>
        <v>1580</v>
      </c>
      <c r="N57" s="14">
        <f t="shared" si="5"/>
        <v>1826</v>
      </c>
    </row>
    <row r="58" spans="1:14" ht="12.75">
      <c r="A58" s="739"/>
      <c r="B58" s="51" t="s">
        <v>53</v>
      </c>
      <c r="C58" s="23">
        <v>156824</v>
      </c>
      <c r="D58" s="12">
        <v>176136</v>
      </c>
      <c r="E58" s="12">
        <v>180885</v>
      </c>
      <c r="F58" s="14">
        <f t="shared" si="2"/>
        <v>4749</v>
      </c>
      <c r="G58" s="42">
        <v>171611</v>
      </c>
      <c r="H58" s="12">
        <v>174194</v>
      </c>
      <c r="I58" s="12">
        <v>184923</v>
      </c>
      <c r="J58" s="14">
        <f t="shared" si="3"/>
        <v>10729</v>
      </c>
      <c r="K58" s="26">
        <f t="shared" si="6"/>
        <v>14787</v>
      </c>
      <c r="L58" s="11">
        <f t="shared" si="7"/>
        <v>-1942</v>
      </c>
      <c r="M58" s="12">
        <f t="shared" si="4"/>
        <v>4038</v>
      </c>
      <c r="N58" s="14">
        <f t="shared" si="5"/>
        <v>5980</v>
      </c>
    </row>
    <row r="59" spans="1:14" ht="12.75">
      <c r="A59" s="739"/>
      <c r="B59" s="51" t="s">
        <v>54</v>
      </c>
      <c r="C59" s="23">
        <v>206229</v>
      </c>
      <c r="D59" s="12">
        <v>221733</v>
      </c>
      <c r="E59" s="12">
        <v>225141</v>
      </c>
      <c r="F59" s="14">
        <f t="shared" si="2"/>
        <v>3408</v>
      </c>
      <c r="G59" s="42">
        <v>200846</v>
      </c>
      <c r="H59" s="12">
        <v>216049</v>
      </c>
      <c r="I59" s="12">
        <v>230179</v>
      </c>
      <c r="J59" s="14">
        <f t="shared" si="3"/>
        <v>14130</v>
      </c>
      <c r="K59" s="26">
        <f t="shared" si="6"/>
        <v>-5383</v>
      </c>
      <c r="L59" s="11">
        <f t="shared" si="7"/>
        <v>-5684</v>
      </c>
      <c r="M59" s="12">
        <f t="shared" si="4"/>
        <v>5038</v>
      </c>
      <c r="N59" s="14">
        <f t="shared" si="5"/>
        <v>10722</v>
      </c>
    </row>
    <row r="60" spans="1:14" ht="12.75">
      <c r="A60" s="739"/>
      <c r="B60" s="51" t="s">
        <v>55</v>
      </c>
      <c r="C60" s="40">
        <v>261063</v>
      </c>
      <c r="D60" s="76">
        <v>263778</v>
      </c>
      <c r="E60" s="76">
        <v>269611</v>
      </c>
      <c r="F60" s="14">
        <f t="shared" si="2"/>
        <v>5833</v>
      </c>
      <c r="G60" s="43">
        <v>249471</v>
      </c>
      <c r="H60" s="76">
        <v>267629</v>
      </c>
      <c r="I60" s="76">
        <v>274427</v>
      </c>
      <c r="J60" s="14">
        <f t="shared" si="3"/>
        <v>6798</v>
      </c>
      <c r="K60" s="26">
        <f t="shared" si="6"/>
        <v>-11592</v>
      </c>
      <c r="L60" s="11">
        <f t="shared" si="7"/>
        <v>3851</v>
      </c>
      <c r="M60" s="76">
        <f t="shared" si="4"/>
        <v>4816</v>
      </c>
      <c r="N60" s="14">
        <f t="shared" si="5"/>
        <v>965</v>
      </c>
    </row>
    <row r="61" spans="1:14" ht="12.75">
      <c r="A61" s="739"/>
      <c r="B61" s="51" t="s">
        <v>56</v>
      </c>
      <c r="C61" s="38">
        <v>304342</v>
      </c>
      <c r="D61" s="77">
        <v>308724</v>
      </c>
      <c r="E61" s="77"/>
      <c r="F61" s="14"/>
      <c r="G61" s="36">
        <v>294372</v>
      </c>
      <c r="H61" s="77">
        <v>309252</v>
      </c>
      <c r="I61" s="77"/>
      <c r="J61" s="14"/>
      <c r="K61" s="26">
        <f t="shared" si="6"/>
        <v>-9970</v>
      </c>
      <c r="L61" s="11">
        <f t="shared" si="7"/>
        <v>528</v>
      </c>
      <c r="M61" s="77">
        <f t="shared" si="4"/>
        <v>0</v>
      </c>
      <c r="N61" s="14"/>
    </row>
    <row r="62" spans="1:14" ht="12.75">
      <c r="A62" s="739"/>
      <c r="B62" s="51" t="s">
        <v>57</v>
      </c>
      <c r="C62" s="38">
        <v>344752</v>
      </c>
      <c r="D62" s="77">
        <v>351939</v>
      </c>
      <c r="E62" s="77"/>
      <c r="F62" s="14"/>
      <c r="G62" s="36">
        <v>334551</v>
      </c>
      <c r="H62" s="77">
        <v>351787</v>
      </c>
      <c r="I62" s="77"/>
      <c r="J62" s="14"/>
      <c r="K62" s="26">
        <f t="shared" si="6"/>
        <v>-10201</v>
      </c>
      <c r="L62" s="11">
        <f t="shared" si="7"/>
        <v>-152</v>
      </c>
      <c r="M62" s="77">
        <f t="shared" si="4"/>
        <v>0</v>
      </c>
      <c r="N62" s="14"/>
    </row>
    <row r="63" spans="1:14" ht="14.25" customHeight="1">
      <c r="A63" s="739"/>
      <c r="B63" s="51" t="s">
        <v>58</v>
      </c>
      <c r="C63" s="38">
        <v>386788</v>
      </c>
      <c r="D63" s="77">
        <v>395914</v>
      </c>
      <c r="E63" s="77"/>
      <c r="F63" s="14"/>
      <c r="G63" s="36">
        <v>376467</v>
      </c>
      <c r="H63" s="77">
        <v>401026</v>
      </c>
      <c r="I63" s="77"/>
      <c r="J63" s="14"/>
      <c r="K63" s="26">
        <f t="shared" si="6"/>
        <v>-10321</v>
      </c>
      <c r="L63" s="11">
        <f t="shared" si="7"/>
        <v>5112</v>
      </c>
      <c r="M63" s="77">
        <f t="shared" si="4"/>
        <v>0</v>
      </c>
      <c r="N63" s="14"/>
    </row>
    <row r="64" spans="1:14" ht="12.75">
      <c r="A64" s="736"/>
      <c r="B64" s="53" t="s">
        <v>59</v>
      </c>
      <c r="C64" s="38">
        <v>429180</v>
      </c>
      <c r="D64" s="77">
        <v>439054</v>
      </c>
      <c r="E64" s="77"/>
      <c r="F64" s="14"/>
      <c r="G64" s="36">
        <v>416902</v>
      </c>
      <c r="H64" s="77">
        <v>443150</v>
      </c>
      <c r="I64" s="77"/>
      <c r="J64" s="14"/>
      <c r="K64" s="23">
        <f t="shared" si="6"/>
        <v>-12278</v>
      </c>
      <c r="L64" s="12">
        <f t="shared" si="7"/>
        <v>4096</v>
      </c>
      <c r="M64" s="77">
        <f t="shared" si="4"/>
        <v>0</v>
      </c>
      <c r="N64" s="14"/>
    </row>
    <row r="65" spans="1:14" ht="12.75">
      <c r="A65" s="736"/>
      <c r="B65" s="51" t="s">
        <v>60</v>
      </c>
      <c r="C65" s="38">
        <v>480243</v>
      </c>
      <c r="D65" s="77">
        <v>487967</v>
      </c>
      <c r="E65" s="77"/>
      <c r="F65" s="14"/>
      <c r="G65" s="36">
        <v>455909</v>
      </c>
      <c r="H65" s="77">
        <v>490192</v>
      </c>
      <c r="I65" s="77"/>
      <c r="J65" s="14"/>
      <c r="K65" s="23">
        <f t="shared" si="6"/>
        <v>-24334</v>
      </c>
      <c r="L65" s="12">
        <f t="shared" si="7"/>
        <v>2225</v>
      </c>
      <c r="M65" s="77">
        <f t="shared" si="4"/>
        <v>0</v>
      </c>
      <c r="N65" s="14"/>
    </row>
    <row r="66" spans="1:14" ht="13.5" thickBot="1">
      <c r="A66" s="736"/>
      <c r="B66" s="268" t="s">
        <v>61</v>
      </c>
      <c r="C66" s="38">
        <v>524740</v>
      </c>
      <c r="D66" s="77">
        <f>531790.23+2228.9</f>
        <v>534019.13</v>
      </c>
      <c r="E66" s="77"/>
      <c r="F66" s="16"/>
      <c r="G66" s="36">
        <v>522437</v>
      </c>
      <c r="H66" s="77">
        <f>531176.27+2975.21</f>
        <v>534151.48</v>
      </c>
      <c r="I66" s="77"/>
      <c r="J66" s="16"/>
      <c r="K66" s="38">
        <f t="shared" si="6"/>
        <v>-2303</v>
      </c>
      <c r="L66" s="77">
        <f t="shared" si="7"/>
        <v>132.34999999997672</v>
      </c>
      <c r="M66" s="77">
        <f t="shared" si="4"/>
        <v>0</v>
      </c>
      <c r="N66" s="16"/>
    </row>
    <row r="67" spans="1:14" ht="13.5" thickBot="1">
      <c r="A67" s="269" t="s">
        <v>31</v>
      </c>
      <c r="B67" s="270" t="s">
        <v>61</v>
      </c>
      <c r="C67" s="271">
        <f aca="true" t="shared" si="8" ref="C67:J67">+C66+C54+C42+C30+C18</f>
        <v>2701086.94</v>
      </c>
      <c r="D67" s="272">
        <f t="shared" si="8"/>
        <v>2676490.18</v>
      </c>
      <c r="E67" s="272"/>
      <c r="F67" s="272">
        <f t="shared" si="8"/>
        <v>0</v>
      </c>
      <c r="G67" s="271">
        <f t="shared" si="8"/>
        <v>2499133.06</v>
      </c>
      <c r="H67" s="272">
        <f t="shared" si="8"/>
        <v>2671881.5599999996</v>
      </c>
      <c r="I67" s="272"/>
      <c r="J67" s="272">
        <f t="shared" si="8"/>
        <v>0</v>
      </c>
      <c r="K67" s="210">
        <f>+G67-C67</f>
        <v>-201953.8799999999</v>
      </c>
      <c r="L67" s="303">
        <f>+H67-D67</f>
        <v>-4608.620000000577</v>
      </c>
      <c r="M67" s="272"/>
      <c r="N67" s="273">
        <f>+N66+N54+N42+N30+N18</f>
        <v>0</v>
      </c>
    </row>
    <row r="68" ht="12.75">
      <c r="B68"/>
    </row>
    <row r="69" ht="16.5" thickBot="1">
      <c r="A69" s="25" t="s">
        <v>195</v>
      </c>
    </row>
    <row r="70" spans="1:14" ht="13.5" thickBot="1">
      <c r="A70" s="715" t="s">
        <v>22</v>
      </c>
      <c r="B70" s="716"/>
      <c r="C70" s="728" t="s">
        <v>198</v>
      </c>
      <c r="D70" s="729"/>
      <c r="E70" s="730"/>
      <c r="F70" s="728">
        <v>2003</v>
      </c>
      <c r="G70" s="729"/>
      <c r="H70" s="730"/>
      <c r="I70" s="728" t="s">
        <v>200</v>
      </c>
      <c r="J70" s="729"/>
      <c r="K70" s="729"/>
      <c r="L70" s="728" t="s">
        <v>1</v>
      </c>
      <c r="M70" s="729"/>
      <c r="N70" s="730"/>
    </row>
    <row r="71" spans="1:14" ht="12.75">
      <c r="A71" s="717"/>
      <c r="B71" s="718"/>
      <c r="C71" s="731" t="s">
        <v>196</v>
      </c>
      <c r="D71" s="737" t="s">
        <v>197</v>
      </c>
      <c r="E71" s="724" t="s">
        <v>199</v>
      </c>
      <c r="F71" s="731" t="s">
        <v>196</v>
      </c>
      <c r="G71" s="737" t="s">
        <v>197</v>
      </c>
      <c r="H71" s="724" t="s">
        <v>199</v>
      </c>
      <c r="I71" s="731" t="s">
        <v>196</v>
      </c>
      <c r="J71" s="737" t="s">
        <v>197</v>
      </c>
      <c r="K71" s="721" t="s">
        <v>199</v>
      </c>
      <c r="L71" s="719" t="s">
        <v>196</v>
      </c>
      <c r="M71" s="737" t="s">
        <v>197</v>
      </c>
      <c r="N71" s="724" t="s">
        <v>199</v>
      </c>
    </row>
    <row r="72" spans="1:14" ht="19.5" customHeight="1" thickBot="1">
      <c r="A72" s="717"/>
      <c r="B72" s="718"/>
      <c r="C72" s="720"/>
      <c r="D72" s="723"/>
      <c r="E72" s="725"/>
      <c r="F72" s="720"/>
      <c r="G72" s="723"/>
      <c r="H72" s="725"/>
      <c r="I72" s="720"/>
      <c r="J72" s="723"/>
      <c r="K72" s="722"/>
      <c r="L72" s="712"/>
      <c r="M72" s="723"/>
      <c r="N72" s="725"/>
    </row>
    <row r="73" spans="1:14" ht="12.75">
      <c r="A73" s="726" t="s">
        <v>28</v>
      </c>
      <c r="B73" s="727"/>
      <c r="C73" s="286">
        <v>-287268.93</v>
      </c>
      <c r="D73" s="283">
        <v>-29882.5</v>
      </c>
      <c r="E73" s="5">
        <f>SUM(C73:D73)</f>
        <v>-317151.43</v>
      </c>
      <c r="F73" s="286">
        <v>-285584</v>
      </c>
      <c r="G73" s="283">
        <v>-50784</v>
      </c>
      <c r="H73" s="5">
        <f>+F73+G73</f>
        <v>-336368</v>
      </c>
      <c r="I73" s="286">
        <v>-325173</v>
      </c>
      <c r="J73" s="283">
        <v>-491</v>
      </c>
      <c r="K73" s="12">
        <f>+I73+J73</f>
        <v>-325664</v>
      </c>
      <c r="L73" s="335">
        <f>+K73</f>
        <v>-325664</v>
      </c>
      <c r="M73" s="283">
        <f>+M12</f>
        <v>11326</v>
      </c>
      <c r="N73" s="5">
        <f>+L73+M73</f>
        <v>-314338</v>
      </c>
    </row>
    <row r="74" spans="1:14" ht="12.75">
      <c r="A74" s="726" t="s">
        <v>27</v>
      </c>
      <c r="B74" s="727"/>
      <c r="C74" s="287">
        <v>-86309.42</v>
      </c>
      <c r="D74" s="12">
        <v>-62706.14</v>
      </c>
      <c r="E74" s="5">
        <f>SUM(C74:D74)</f>
        <v>-149015.56</v>
      </c>
      <c r="F74" s="287">
        <v>-104523</v>
      </c>
      <c r="G74" s="12">
        <v>-143274</v>
      </c>
      <c r="H74" s="5">
        <f>+F74+G74</f>
        <v>-247797</v>
      </c>
      <c r="I74" s="287">
        <v>-224395</v>
      </c>
      <c r="J74" s="12">
        <v>-4590</v>
      </c>
      <c r="K74" s="12">
        <f>+I74+J74</f>
        <v>-228985</v>
      </c>
      <c r="L74" s="23">
        <f>+K74</f>
        <v>-228985</v>
      </c>
      <c r="M74" s="12">
        <f>+M24</f>
        <v>-4531</v>
      </c>
      <c r="N74" s="5">
        <f>+L74+M74</f>
        <v>-233516</v>
      </c>
    </row>
    <row r="75" spans="1:14" ht="12.75">
      <c r="A75" s="726" t="s">
        <v>26</v>
      </c>
      <c r="B75" s="727"/>
      <c r="C75" s="287">
        <v>-819.03</v>
      </c>
      <c r="D75" s="12">
        <v>416.39</v>
      </c>
      <c r="E75" s="5">
        <f>SUM(C75:D75)</f>
        <v>-402.64</v>
      </c>
      <c r="F75" s="287">
        <v>0</v>
      </c>
      <c r="G75" s="12">
        <v>402</v>
      </c>
      <c r="H75" s="5">
        <f>+F75+G75</f>
        <v>402</v>
      </c>
      <c r="I75" s="287">
        <v>0</v>
      </c>
      <c r="J75" s="12">
        <v>71</v>
      </c>
      <c r="K75" s="12">
        <f>+I75+J75</f>
        <v>71</v>
      </c>
      <c r="L75" s="23">
        <v>0</v>
      </c>
      <c r="M75" s="12">
        <f>+M36</f>
        <v>-5864</v>
      </c>
      <c r="N75" s="5">
        <f>+L75+M75</f>
        <v>-5864</v>
      </c>
    </row>
    <row r="76" spans="1:14" ht="12.75">
      <c r="A76" s="726" t="s">
        <v>25</v>
      </c>
      <c r="B76" s="727"/>
      <c r="C76" s="287">
        <v>-246270.12</v>
      </c>
      <c r="D76" s="12">
        <v>163480.24</v>
      </c>
      <c r="E76" s="5">
        <f>SUM(C76:D76)</f>
        <v>-82789.88</v>
      </c>
      <c r="F76" s="287">
        <v>-54950</v>
      </c>
      <c r="G76" s="12">
        <v>-5995</v>
      </c>
      <c r="H76" s="5">
        <f>+F76+G76</f>
        <v>-60945</v>
      </c>
      <c r="I76" s="287">
        <v>-52908</v>
      </c>
      <c r="J76" s="12">
        <v>269</v>
      </c>
      <c r="K76" s="12">
        <f>+I76+J76</f>
        <v>-52639</v>
      </c>
      <c r="L76" s="23">
        <f>+K76</f>
        <v>-52639</v>
      </c>
      <c r="M76" s="12">
        <f>+M48</f>
        <v>9504</v>
      </c>
      <c r="N76" s="5">
        <f>+L76+M76</f>
        <v>-43135</v>
      </c>
    </row>
    <row r="77" spans="1:14" ht="12.75">
      <c r="A77" s="726" t="s">
        <v>40</v>
      </c>
      <c r="B77" s="727"/>
      <c r="C77" s="287">
        <v>-23942.43</v>
      </c>
      <c r="D77" s="12">
        <v>-23034.76</v>
      </c>
      <c r="E77" s="5">
        <f>SUM(C77:D77)</f>
        <v>-46977.19</v>
      </c>
      <c r="F77" s="287">
        <v>-16728</v>
      </c>
      <c r="G77" s="12">
        <v>-2303</v>
      </c>
      <c r="H77" s="5">
        <f>+F77+G77</f>
        <v>-19031</v>
      </c>
      <c r="I77" s="287">
        <v>-19031</v>
      </c>
      <c r="J77" s="12">
        <v>132</v>
      </c>
      <c r="K77" s="12">
        <f>+I77+J77</f>
        <v>-18899</v>
      </c>
      <c r="L77" s="23">
        <f>+K77</f>
        <v>-18899</v>
      </c>
      <c r="M77" s="12">
        <f>+M60</f>
        <v>4816</v>
      </c>
      <c r="N77" s="5">
        <f>+L77+M77</f>
        <v>-14083</v>
      </c>
    </row>
    <row r="78" spans="1:14" ht="13.5" thickBot="1">
      <c r="A78" s="709" t="s">
        <v>31</v>
      </c>
      <c r="B78" s="710"/>
      <c r="C78" s="284">
        <f aca="true" t="shared" si="9" ref="C78:N78">SUM(C73:C77)</f>
        <v>-644609.93</v>
      </c>
      <c r="D78" s="285">
        <f t="shared" si="9"/>
        <v>48273.229999999996</v>
      </c>
      <c r="E78" s="24">
        <f t="shared" si="9"/>
        <v>-596336.7</v>
      </c>
      <c r="F78" s="284">
        <f t="shared" si="9"/>
        <v>-461785</v>
      </c>
      <c r="G78" s="285">
        <f t="shared" si="9"/>
        <v>-201954</v>
      </c>
      <c r="H78" s="24">
        <f t="shared" si="9"/>
        <v>-663739</v>
      </c>
      <c r="I78" s="284">
        <f t="shared" si="9"/>
        <v>-621507</v>
      </c>
      <c r="J78" s="285">
        <f t="shared" si="9"/>
        <v>-4609</v>
      </c>
      <c r="K78" s="285">
        <f t="shared" si="9"/>
        <v>-626116</v>
      </c>
      <c r="L78" s="336">
        <f t="shared" si="9"/>
        <v>-626187</v>
      </c>
      <c r="M78" s="285">
        <f t="shared" si="9"/>
        <v>15251</v>
      </c>
      <c r="N78" s="24">
        <f t="shared" si="9"/>
        <v>-610936</v>
      </c>
    </row>
    <row r="79" ht="12.75">
      <c r="B79"/>
    </row>
    <row r="80" ht="12.75">
      <c r="J80" s="257"/>
    </row>
    <row r="81" ht="12.75">
      <c r="J81" s="257"/>
    </row>
    <row r="82" ht="12.75">
      <c r="J82" s="257"/>
    </row>
    <row r="83" ht="12.75">
      <c r="J83" s="257"/>
    </row>
    <row r="84" ht="12.75">
      <c r="J84" s="257"/>
    </row>
    <row r="85" ht="12.75">
      <c r="J85" s="257"/>
    </row>
    <row r="86" ht="12.75">
      <c r="J86" s="257"/>
    </row>
    <row r="143" ht="15.75" customHeight="1"/>
    <row r="144" ht="15.75" customHeight="1"/>
    <row r="160" spans="1:14" ht="16.5" thickBot="1">
      <c r="A160" s="25" t="s">
        <v>4</v>
      </c>
      <c r="B160" s="234"/>
      <c r="D160" s="234"/>
      <c r="E160" s="230"/>
      <c r="F160" s="234"/>
      <c r="G160" s="230"/>
      <c r="H160" s="230"/>
      <c r="N160" s="274" t="s">
        <v>203</v>
      </c>
    </row>
    <row r="161" spans="1:14" ht="13.5" thickBot="1">
      <c r="A161" s="711" t="s">
        <v>4</v>
      </c>
      <c r="B161" s="706"/>
      <c r="C161" s="750">
        <v>2004</v>
      </c>
      <c r="D161" s="748"/>
      <c r="E161" s="748"/>
      <c r="F161" s="748"/>
      <c r="G161" s="748"/>
      <c r="H161" s="751"/>
      <c r="I161" s="747" t="s">
        <v>1</v>
      </c>
      <c r="J161" s="748"/>
      <c r="K161" s="748"/>
      <c r="L161" s="748"/>
      <c r="M161" s="748"/>
      <c r="N161" s="749"/>
    </row>
    <row r="162" spans="1:14" s="310" customFormat="1" ht="26.25" customHeight="1" thickBot="1">
      <c r="A162" s="711" t="s">
        <v>189</v>
      </c>
      <c r="B162" s="706"/>
      <c r="C162" s="330" t="s">
        <v>28</v>
      </c>
      <c r="D162" s="321" t="s">
        <v>27</v>
      </c>
      <c r="E162" s="321" t="s">
        <v>26</v>
      </c>
      <c r="F162" s="321" t="s">
        <v>25</v>
      </c>
      <c r="G162" s="321" t="s">
        <v>170</v>
      </c>
      <c r="H162" s="322" t="s">
        <v>31</v>
      </c>
      <c r="I162" s="323" t="s">
        <v>28</v>
      </c>
      <c r="J162" s="321" t="s">
        <v>27</v>
      </c>
      <c r="K162" s="321" t="s">
        <v>26</v>
      </c>
      <c r="L162" s="321" t="s">
        <v>25</v>
      </c>
      <c r="M162" s="321" t="s">
        <v>170</v>
      </c>
      <c r="N162" s="324" t="s">
        <v>31</v>
      </c>
    </row>
    <row r="163" spans="1:14" ht="64.5" customHeight="1">
      <c r="A163" s="713" t="s">
        <v>387</v>
      </c>
      <c r="B163" s="714"/>
      <c r="C163" s="331">
        <v>1627000</v>
      </c>
      <c r="D163" s="291">
        <v>1374000</v>
      </c>
      <c r="E163" s="291">
        <v>8546000</v>
      </c>
      <c r="F163" s="291">
        <v>1657000</v>
      </c>
      <c r="G163" s="291">
        <v>1535000</v>
      </c>
      <c r="H163" s="318">
        <f aca="true" t="shared" si="10" ref="H163:H169">SUM(C163:G163)</f>
        <v>14739000</v>
      </c>
      <c r="I163" s="319">
        <v>777000</v>
      </c>
      <c r="J163" s="291">
        <v>9180380</v>
      </c>
      <c r="K163" s="291">
        <v>488000</v>
      </c>
      <c r="L163" s="291">
        <v>826000</v>
      </c>
      <c r="M163" s="291">
        <v>556000</v>
      </c>
      <c r="N163" s="320">
        <f aca="true" t="shared" si="11" ref="N163:N169">SUM(I163:M163)</f>
        <v>11827380</v>
      </c>
    </row>
    <row r="164" spans="1:14" ht="33.75" customHeight="1">
      <c r="A164" s="713" t="s">
        <v>5</v>
      </c>
      <c r="B164" s="714"/>
      <c r="C164" s="332">
        <v>13159000</v>
      </c>
      <c r="D164" s="290">
        <v>14845000</v>
      </c>
      <c r="E164" s="290">
        <v>5341000</v>
      </c>
      <c r="F164" s="290">
        <v>1232000</v>
      </c>
      <c r="G164" s="290">
        <v>21334000</v>
      </c>
      <c r="H164" s="315">
        <f t="shared" si="10"/>
        <v>55911000</v>
      </c>
      <c r="I164" s="316">
        <v>12550000</v>
      </c>
      <c r="J164" s="290">
        <v>0</v>
      </c>
      <c r="K164" s="290">
        <v>9983000</v>
      </c>
      <c r="L164" s="290">
        <v>0</v>
      </c>
      <c r="M164" s="290">
        <v>9902000</v>
      </c>
      <c r="N164" s="314">
        <f t="shared" si="11"/>
        <v>32435000</v>
      </c>
    </row>
    <row r="165" spans="1:14" ht="33.75" customHeight="1">
      <c r="A165" s="713" t="s">
        <v>176</v>
      </c>
      <c r="B165" s="714"/>
      <c r="C165" s="333">
        <v>201935.4</v>
      </c>
      <c r="D165" s="290">
        <v>1525570</v>
      </c>
      <c r="E165" s="290">
        <v>326231.12</v>
      </c>
      <c r="F165" s="290">
        <v>775240.42</v>
      </c>
      <c r="G165" s="290">
        <v>1351724.02</v>
      </c>
      <c r="H165" s="315">
        <f t="shared" si="10"/>
        <v>4180700.96</v>
      </c>
      <c r="I165" s="317">
        <v>35081</v>
      </c>
      <c r="J165" s="290">
        <v>0</v>
      </c>
      <c r="K165" s="290">
        <v>80842</v>
      </c>
      <c r="L165" s="290">
        <v>0</v>
      </c>
      <c r="M165" s="290">
        <v>405735</v>
      </c>
      <c r="N165" s="314">
        <f t="shared" si="11"/>
        <v>521658</v>
      </c>
    </row>
    <row r="166" spans="1:14" ht="33.75" customHeight="1">
      <c r="A166" s="713" t="s">
        <v>177</v>
      </c>
      <c r="B166" s="714"/>
      <c r="C166" s="333">
        <v>108545.5</v>
      </c>
      <c r="D166" s="290">
        <v>311233</v>
      </c>
      <c r="E166" s="290">
        <v>45000</v>
      </c>
      <c r="F166" s="290">
        <v>68651</v>
      </c>
      <c r="G166" s="290">
        <v>12500</v>
      </c>
      <c r="H166" s="315">
        <f t="shared" si="10"/>
        <v>545929.5</v>
      </c>
      <c r="I166" s="317">
        <v>141535</v>
      </c>
      <c r="J166" s="290">
        <v>0</v>
      </c>
      <c r="K166" s="290">
        <v>0</v>
      </c>
      <c r="L166" s="290">
        <v>0</v>
      </c>
      <c r="M166" s="290">
        <v>0</v>
      </c>
      <c r="N166" s="314">
        <f t="shared" si="11"/>
        <v>141535</v>
      </c>
    </row>
    <row r="167" spans="1:14" ht="33.75" customHeight="1">
      <c r="A167" s="713" t="s">
        <v>178</v>
      </c>
      <c r="B167" s="714"/>
      <c r="C167" s="332">
        <v>1650000</v>
      </c>
      <c r="D167" s="290">
        <v>10750000</v>
      </c>
      <c r="E167" s="290">
        <v>12700000</v>
      </c>
      <c r="F167" s="290"/>
      <c r="G167" s="290"/>
      <c r="H167" s="315">
        <f t="shared" si="10"/>
        <v>25100000</v>
      </c>
      <c r="I167" s="316">
        <v>0</v>
      </c>
      <c r="J167" s="290">
        <v>0</v>
      </c>
      <c r="K167" s="290">
        <v>0</v>
      </c>
      <c r="L167" s="290">
        <v>0</v>
      </c>
      <c r="M167" s="290">
        <v>0</v>
      </c>
      <c r="N167" s="314">
        <f t="shared" si="11"/>
        <v>0</v>
      </c>
    </row>
    <row r="168" spans="1:14" ht="33.75" customHeight="1">
      <c r="A168" s="713" t="s">
        <v>187</v>
      </c>
      <c r="B168" s="714"/>
      <c r="C168" s="332">
        <v>23000</v>
      </c>
      <c r="D168" s="290"/>
      <c r="E168" s="290">
        <v>570962</v>
      </c>
      <c r="F168" s="290">
        <v>53143</v>
      </c>
      <c r="G168" s="290">
        <v>1019047</v>
      </c>
      <c r="H168" s="315">
        <f t="shared" si="10"/>
        <v>1666152</v>
      </c>
      <c r="I168" s="316">
        <v>15000</v>
      </c>
      <c r="J168" s="290">
        <v>24000</v>
      </c>
      <c r="K168" s="290">
        <v>0</v>
      </c>
      <c r="L168" s="290">
        <v>42857</v>
      </c>
      <c r="M168" s="290">
        <v>590338</v>
      </c>
      <c r="N168" s="314">
        <f t="shared" si="11"/>
        <v>672195</v>
      </c>
    </row>
    <row r="169" spans="1:14" ht="33.75" customHeight="1" thickBot="1">
      <c r="A169" s="713" t="s">
        <v>201</v>
      </c>
      <c r="B169" s="714"/>
      <c r="C169" s="334"/>
      <c r="D169" s="294">
        <v>522000</v>
      </c>
      <c r="E169" s="294"/>
      <c r="F169" s="294"/>
      <c r="G169" s="294"/>
      <c r="H169" s="327">
        <f t="shared" si="10"/>
        <v>522000</v>
      </c>
      <c r="I169" s="328">
        <v>0</v>
      </c>
      <c r="J169" s="294">
        <v>561600</v>
      </c>
      <c r="K169" s="294">
        <v>419592</v>
      </c>
      <c r="L169" s="294">
        <v>0</v>
      </c>
      <c r="M169" s="294">
        <v>0</v>
      </c>
      <c r="N169" s="325">
        <f t="shared" si="11"/>
        <v>981192</v>
      </c>
    </row>
    <row r="170" spans="1:14" ht="27" customHeight="1" thickBot="1">
      <c r="A170" s="711" t="s">
        <v>179</v>
      </c>
      <c r="B170" s="706"/>
      <c r="C170" s="298">
        <f>SUM(C163:C168)</f>
        <v>16769480.9</v>
      </c>
      <c r="D170" s="292">
        <f>SUM(D163:D169)</f>
        <v>29327803</v>
      </c>
      <c r="E170" s="292">
        <f>SUM(E163:E168)</f>
        <v>27529193.119999997</v>
      </c>
      <c r="F170" s="292">
        <f>SUM(F163:F168)</f>
        <v>3786034.42</v>
      </c>
      <c r="G170" s="292">
        <f>SUM(G163:G168)</f>
        <v>25252271.02</v>
      </c>
      <c r="H170" s="329">
        <f aca="true" t="shared" si="12" ref="H170:N170">SUM(H163:H169)</f>
        <v>102664782.46</v>
      </c>
      <c r="I170" s="299">
        <f t="shared" si="12"/>
        <v>13518616</v>
      </c>
      <c r="J170" s="292">
        <f t="shared" si="12"/>
        <v>9765980</v>
      </c>
      <c r="K170" s="292">
        <f t="shared" si="12"/>
        <v>10971434</v>
      </c>
      <c r="L170" s="292">
        <f t="shared" si="12"/>
        <v>868857</v>
      </c>
      <c r="M170" s="292">
        <f t="shared" si="12"/>
        <v>11454073</v>
      </c>
      <c r="N170" s="326">
        <f t="shared" si="12"/>
        <v>46578960</v>
      </c>
    </row>
    <row r="171" spans="1:8" ht="4.5" customHeight="1" thickBot="1">
      <c r="A171" s="309"/>
      <c r="B171" s="300"/>
      <c r="C171" s="234"/>
      <c r="D171" s="300"/>
      <c r="E171" s="230"/>
      <c r="F171" s="230"/>
      <c r="G171" s="300"/>
      <c r="H171" s="300"/>
    </row>
    <row r="172" spans="1:14" s="311" customFormat="1" ht="30" customHeight="1" thickBot="1">
      <c r="A172" s="711" t="s">
        <v>190</v>
      </c>
      <c r="B172" s="706"/>
      <c r="C172" s="288" t="s">
        <v>28</v>
      </c>
      <c r="D172" s="289" t="s">
        <v>27</v>
      </c>
      <c r="E172" s="289" t="s">
        <v>26</v>
      </c>
      <c r="F172" s="289" t="s">
        <v>25</v>
      </c>
      <c r="G172" s="289" t="s">
        <v>170</v>
      </c>
      <c r="H172" s="312" t="s">
        <v>31</v>
      </c>
      <c r="I172" s="289" t="s">
        <v>28</v>
      </c>
      <c r="J172" s="289" t="s">
        <v>27</v>
      </c>
      <c r="K172" s="289" t="s">
        <v>26</v>
      </c>
      <c r="L172" s="289" t="s">
        <v>25</v>
      </c>
      <c r="M172" s="289" t="s">
        <v>170</v>
      </c>
      <c r="N172" s="312" t="s">
        <v>31</v>
      </c>
    </row>
    <row r="173" spans="1:14" ht="30.75" customHeight="1">
      <c r="A173" s="705" t="s">
        <v>5</v>
      </c>
      <c r="B173" s="702"/>
      <c r="C173" s="331">
        <v>14941000</v>
      </c>
      <c r="D173" s="291">
        <v>20055000</v>
      </c>
      <c r="E173" s="291">
        <v>12259000</v>
      </c>
      <c r="F173" s="291">
        <v>21068000</v>
      </c>
      <c r="G173" s="291">
        <v>9266000</v>
      </c>
      <c r="H173" s="318">
        <f>SUM(C173:G173)</f>
        <v>77589000</v>
      </c>
      <c r="I173" s="319">
        <v>2696597</v>
      </c>
      <c r="J173" s="291">
        <v>3713380</v>
      </c>
      <c r="K173" s="291">
        <v>870457</v>
      </c>
      <c r="L173" s="291">
        <v>6304752</v>
      </c>
      <c r="M173" s="291">
        <v>980485</v>
      </c>
      <c r="N173" s="320">
        <f>+I173+J173+K173+L173+M173</f>
        <v>14565671</v>
      </c>
    </row>
    <row r="174" spans="1:14" ht="30.75" customHeight="1">
      <c r="A174" s="713" t="s">
        <v>176</v>
      </c>
      <c r="B174" s="714"/>
      <c r="C174" s="332">
        <v>244663.6</v>
      </c>
      <c r="D174" s="290">
        <v>710000</v>
      </c>
      <c r="E174" s="290"/>
      <c r="F174" s="290">
        <v>1690747.04</v>
      </c>
      <c r="G174" s="290"/>
      <c r="H174" s="315">
        <f>SUM(C174:G174)</f>
        <v>2645410.64</v>
      </c>
      <c r="I174" s="316">
        <v>0</v>
      </c>
      <c r="J174" s="290">
        <v>0</v>
      </c>
      <c r="K174" s="290">
        <v>0</v>
      </c>
      <c r="L174" s="290">
        <v>39562</v>
      </c>
      <c r="M174" s="290">
        <v>0</v>
      </c>
      <c r="N174" s="320">
        <f>+I174+J174+K174+L174+M174</f>
        <v>39562</v>
      </c>
    </row>
    <row r="175" spans="1:14" ht="30.75" customHeight="1">
      <c r="A175" s="713" t="s">
        <v>178</v>
      </c>
      <c r="B175" s="714"/>
      <c r="C175" s="332">
        <v>18409999.99</v>
      </c>
      <c r="D175" s="290">
        <v>8921000</v>
      </c>
      <c r="E175" s="290">
        <v>10743000</v>
      </c>
      <c r="F175" s="290">
        <v>1575000</v>
      </c>
      <c r="G175" s="290">
        <v>18526000</v>
      </c>
      <c r="H175" s="315">
        <f>SUM(C175:G175)</f>
        <v>58174999.989999995</v>
      </c>
      <c r="I175" s="316">
        <v>0</v>
      </c>
      <c r="J175" s="290">
        <v>0</v>
      </c>
      <c r="K175" s="290">
        <v>0</v>
      </c>
      <c r="L175" s="290">
        <v>0</v>
      </c>
      <c r="M175" s="290">
        <v>0</v>
      </c>
      <c r="N175" s="320">
        <f>+I175+J175+K175+L175+M175</f>
        <v>0</v>
      </c>
    </row>
    <row r="176" spans="1:14" ht="30.75" customHeight="1">
      <c r="A176" s="713" t="s">
        <v>177</v>
      </c>
      <c r="B176" s="714"/>
      <c r="C176" s="332"/>
      <c r="D176" s="290"/>
      <c r="E176" s="290"/>
      <c r="F176" s="290">
        <v>83322</v>
      </c>
      <c r="G176" s="290"/>
      <c r="H176" s="315">
        <f>SUM(C176:G176)</f>
        <v>83322</v>
      </c>
      <c r="I176" s="316">
        <v>0</v>
      </c>
      <c r="J176" s="290">
        <v>0</v>
      </c>
      <c r="K176" s="290">
        <v>0</v>
      </c>
      <c r="L176" s="290">
        <v>0</v>
      </c>
      <c r="M176" s="290">
        <v>0</v>
      </c>
      <c r="N176" s="320">
        <f>+I176+J176+K176+L176+M176</f>
        <v>0</v>
      </c>
    </row>
    <row r="177" spans="1:14" ht="36.75" customHeight="1" thickBot="1">
      <c r="A177" s="713" t="s">
        <v>389</v>
      </c>
      <c r="B177" s="714"/>
      <c r="C177" s="332"/>
      <c r="D177" s="290"/>
      <c r="E177" s="290"/>
      <c r="F177" s="290"/>
      <c r="G177" s="290">
        <v>197957</v>
      </c>
      <c r="H177" s="315">
        <f>SUM(C177:G177)</f>
        <v>197957</v>
      </c>
      <c r="I177" s="316">
        <v>9285712</v>
      </c>
      <c r="J177" s="290">
        <v>0</v>
      </c>
      <c r="K177" s="290">
        <v>0</v>
      </c>
      <c r="L177" s="290">
        <v>4515906</v>
      </c>
      <c r="M177" s="290">
        <v>3956265</v>
      </c>
      <c r="N177" s="320">
        <f>+I177+J177+K177+L177+M177</f>
        <v>17757883</v>
      </c>
    </row>
    <row r="178" spans="1:14" ht="24" customHeight="1" thickBot="1">
      <c r="A178" s="711" t="s">
        <v>180</v>
      </c>
      <c r="B178" s="706"/>
      <c r="C178" s="298">
        <f aca="true" t="shared" si="13" ref="C178:N178">SUM(C173:C177)</f>
        <v>33595663.589999996</v>
      </c>
      <c r="D178" s="292">
        <f t="shared" si="13"/>
        <v>29686000</v>
      </c>
      <c r="E178" s="292">
        <f t="shared" si="13"/>
        <v>23002000</v>
      </c>
      <c r="F178" s="292">
        <f t="shared" si="13"/>
        <v>24417069.04</v>
      </c>
      <c r="G178" s="292">
        <f t="shared" si="13"/>
        <v>27989957</v>
      </c>
      <c r="H178" s="326">
        <f t="shared" si="13"/>
        <v>138690689.63</v>
      </c>
      <c r="I178" s="292">
        <f t="shared" si="13"/>
        <v>11982309</v>
      </c>
      <c r="J178" s="292">
        <f t="shared" si="13"/>
        <v>3713380</v>
      </c>
      <c r="K178" s="292">
        <f t="shared" si="13"/>
        <v>870457</v>
      </c>
      <c r="L178" s="292">
        <f t="shared" si="13"/>
        <v>10860220</v>
      </c>
      <c r="M178" s="292">
        <f t="shared" si="13"/>
        <v>4936750</v>
      </c>
      <c r="N178" s="326">
        <f t="shared" si="13"/>
        <v>32363116</v>
      </c>
    </row>
    <row r="179" spans="1:8" ht="8.25" customHeight="1" thickBot="1">
      <c r="A179" s="309"/>
      <c r="B179" s="300"/>
      <c r="C179" s="234"/>
      <c r="D179" s="300"/>
      <c r="E179" s="230"/>
      <c r="F179" s="230"/>
      <c r="G179" s="300"/>
      <c r="H179" s="300"/>
    </row>
    <row r="180" spans="1:14" ht="31.5" customHeight="1" thickBot="1">
      <c r="A180" s="707" t="s">
        <v>202</v>
      </c>
      <c r="B180" s="708"/>
      <c r="C180" s="297" t="s">
        <v>28</v>
      </c>
      <c r="D180" s="289" t="s">
        <v>27</v>
      </c>
      <c r="E180" s="289" t="s">
        <v>26</v>
      </c>
      <c r="F180" s="289" t="s">
        <v>25</v>
      </c>
      <c r="G180" s="289" t="s">
        <v>170</v>
      </c>
      <c r="H180" s="312" t="s">
        <v>31</v>
      </c>
      <c r="I180" s="297" t="s">
        <v>28</v>
      </c>
      <c r="J180" s="289" t="s">
        <v>27</v>
      </c>
      <c r="K180" s="289" t="s">
        <v>26</v>
      </c>
      <c r="L180" s="289" t="s">
        <v>25</v>
      </c>
      <c r="M180" s="289" t="s">
        <v>170</v>
      </c>
      <c r="N180" s="312" t="s">
        <v>31</v>
      </c>
    </row>
    <row r="181" spans="1:14" ht="26.25" customHeight="1" thickBot="1">
      <c r="A181" s="703"/>
      <c r="B181" s="704"/>
      <c r="C181" s="295">
        <f>+C173+C164</f>
        <v>28100000</v>
      </c>
      <c r="D181" s="296">
        <f>+D173+D164</f>
        <v>34900000</v>
      </c>
      <c r="E181" s="293">
        <f>+E173+E164</f>
        <v>17600000</v>
      </c>
      <c r="F181" s="293">
        <f>+F173+F164</f>
        <v>22300000</v>
      </c>
      <c r="G181" s="293">
        <f>+G173+G164</f>
        <v>30600000</v>
      </c>
      <c r="H181" s="313">
        <f>SUM(C181:G181)</f>
        <v>133500000</v>
      </c>
      <c r="I181" s="295">
        <v>34600000</v>
      </c>
      <c r="J181" s="495">
        <v>47200000</v>
      </c>
      <c r="K181" s="293">
        <v>32500000</v>
      </c>
      <c r="L181" s="293">
        <v>24399999.9</v>
      </c>
      <c r="M181" s="293">
        <v>35700000</v>
      </c>
      <c r="N181" s="313">
        <f>SUM(I181:M181)</f>
        <v>174399999.9</v>
      </c>
    </row>
  </sheetData>
  <mergeCells count="54">
    <mergeCell ref="C161:H161"/>
    <mergeCell ref="A161:B161"/>
    <mergeCell ref="A162:B162"/>
    <mergeCell ref="A170:B170"/>
    <mergeCell ref="A169:B169"/>
    <mergeCell ref="A165:B165"/>
    <mergeCell ref="A166:B166"/>
    <mergeCell ref="A167:B167"/>
    <mergeCell ref="A168:B168"/>
    <mergeCell ref="A163:B163"/>
    <mergeCell ref="A172:B172"/>
    <mergeCell ref="A178:B178"/>
    <mergeCell ref="A180:B181"/>
    <mergeCell ref="A173:B173"/>
    <mergeCell ref="A174:B174"/>
    <mergeCell ref="A175:B175"/>
    <mergeCell ref="A176:B176"/>
    <mergeCell ref="A177:B177"/>
    <mergeCell ref="A164:B164"/>
    <mergeCell ref="A70:B72"/>
    <mergeCell ref="C70:E70"/>
    <mergeCell ref="C71:C72"/>
    <mergeCell ref="D71:D72"/>
    <mergeCell ref="E71:E72"/>
    <mergeCell ref="A73:B73"/>
    <mergeCell ref="A74:B74"/>
    <mergeCell ref="A75:B75"/>
    <mergeCell ref="A78:B78"/>
    <mergeCell ref="L70:N70"/>
    <mergeCell ref="F71:F72"/>
    <mergeCell ref="G71:G72"/>
    <mergeCell ref="H71:H72"/>
    <mergeCell ref="I71:I72"/>
    <mergeCell ref="J71:J72"/>
    <mergeCell ref="K71:K72"/>
    <mergeCell ref="L71:L72"/>
    <mergeCell ref="A76:B76"/>
    <mergeCell ref="A77:B77"/>
    <mergeCell ref="F70:H70"/>
    <mergeCell ref="I70:K70"/>
    <mergeCell ref="I161:N161"/>
    <mergeCell ref="A31:A42"/>
    <mergeCell ref="A43:A54"/>
    <mergeCell ref="A5:A6"/>
    <mergeCell ref="B5:B6"/>
    <mergeCell ref="A55:A66"/>
    <mergeCell ref="A7:A18"/>
    <mergeCell ref="A19:A30"/>
    <mergeCell ref="M71:M72"/>
    <mergeCell ref="N71:N72"/>
    <mergeCell ref="A3:N3"/>
    <mergeCell ref="K5:N5"/>
    <mergeCell ref="G5:J5"/>
    <mergeCell ref="C5:F5"/>
  </mergeCells>
  <printOptions horizontalCentered="1"/>
  <pageMargins left="0.2" right="0.1968503937007874" top="0.36" bottom="0.42" header="0.2755905511811024" footer="0.27"/>
  <pageSetup horizontalDpi="600" verticalDpi="600" orientation="portrait" paperSize="9" scale="78" r:id="rId2"/>
  <headerFooter alignWithMargins="0">
    <oddFooter>&amp;C&amp;"Arial CE,tučné"&amp;8&amp;P / 25</oddFooter>
  </headerFooter>
  <rowBreaks count="1" manualBreakCount="1">
    <brk id="79" max="255" man="1"/>
  </rowBreaks>
  <drawing r:id="rId1"/>
</worksheet>
</file>

<file path=xl/worksheets/sheet10.xml><?xml version="1.0" encoding="utf-8"?>
<worksheet xmlns="http://schemas.openxmlformats.org/spreadsheetml/2006/main" xmlns:r="http://schemas.openxmlformats.org/officeDocument/2006/relationships">
  <dimension ref="A1:P70"/>
  <sheetViews>
    <sheetView workbookViewId="0" topLeftCell="A31">
      <selection activeCell="A1" sqref="A1"/>
    </sheetView>
  </sheetViews>
  <sheetFormatPr defaultColWidth="9.00390625" defaultRowHeight="12.75"/>
  <cols>
    <col min="1" max="1" width="29.625" style="257" customWidth="1"/>
    <col min="2" max="7" width="9.75390625" style="431" customWidth="1"/>
    <col min="8" max="8" width="8.75390625" style="431" customWidth="1"/>
    <col min="9" max="9" width="8.875" style="257" customWidth="1"/>
    <col min="10" max="16" width="9.125" style="257" customWidth="1"/>
  </cols>
  <sheetData>
    <row r="1" spans="1:8" ht="6.75" customHeight="1" thickBot="1">
      <c r="A1" s="563"/>
      <c r="B1" s="564"/>
      <c r="C1" s="564"/>
      <c r="D1" s="564"/>
      <c r="E1" s="564"/>
      <c r="F1" s="564"/>
      <c r="G1" s="564"/>
      <c r="H1" s="564"/>
    </row>
    <row r="2" spans="1:14" ht="18" customHeight="1" thickBot="1">
      <c r="A2" s="1178" t="s">
        <v>498</v>
      </c>
      <c r="B2" s="1163" t="s">
        <v>490</v>
      </c>
      <c r="C2" s="777"/>
      <c r="D2" s="777"/>
      <c r="E2" s="777"/>
      <c r="F2" s="777"/>
      <c r="G2" s="777"/>
      <c r="H2" s="777"/>
      <c r="I2" s="777"/>
      <c r="J2" s="706"/>
      <c r="K2"/>
      <c r="L2"/>
      <c r="M2"/>
      <c r="N2"/>
    </row>
    <row r="3" spans="1:16" ht="13.5" thickBot="1">
      <c r="A3" s="1179"/>
      <c r="B3" s="218" t="s">
        <v>437</v>
      </c>
      <c r="C3" s="199"/>
      <c r="D3" s="200"/>
      <c r="E3" s="218" t="s">
        <v>491</v>
      </c>
      <c r="F3" s="199"/>
      <c r="G3" s="200"/>
      <c r="H3" s="1171" t="s">
        <v>500</v>
      </c>
      <c r="I3" s="1172"/>
      <c r="J3" s="706"/>
      <c r="K3"/>
      <c r="L3"/>
      <c r="M3"/>
      <c r="N3"/>
      <c r="O3"/>
      <c r="P3"/>
    </row>
    <row r="4" spans="1:16" ht="12.75">
      <c r="A4" s="1179"/>
      <c r="B4" s="565" t="s">
        <v>439</v>
      </c>
      <c r="C4" s="566" t="s">
        <v>440</v>
      </c>
      <c r="D4" s="567" t="s">
        <v>31</v>
      </c>
      <c r="E4" s="565" t="s">
        <v>439</v>
      </c>
      <c r="F4" s="566" t="s">
        <v>441</v>
      </c>
      <c r="G4" s="567" t="s">
        <v>31</v>
      </c>
      <c r="H4" s="568" t="s">
        <v>442</v>
      </c>
      <c r="I4" s="569" t="s">
        <v>443</v>
      </c>
      <c r="J4" s="568" t="s">
        <v>31</v>
      </c>
      <c r="K4"/>
      <c r="L4"/>
      <c r="M4"/>
      <c r="N4"/>
      <c r="O4"/>
      <c r="P4"/>
    </row>
    <row r="5" spans="1:16" ht="13.5" thickBot="1">
      <c r="A5" s="1180"/>
      <c r="B5" s="570" t="s">
        <v>127</v>
      </c>
      <c r="C5" s="571" t="s">
        <v>127</v>
      </c>
      <c r="D5" s="572"/>
      <c r="E5" s="573" t="s">
        <v>127</v>
      </c>
      <c r="F5" s="574" t="s">
        <v>127</v>
      </c>
      <c r="G5" s="575"/>
      <c r="H5" s="575" t="s">
        <v>444</v>
      </c>
      <c r="I5" s="574" t="s">
        <v>444</v>
      </c>
      <c r="J5" s="575" t="s">
        <v>444</v>
      </c>
      <c r="K5"/>
      <c r="L5"/>
      <c r="M5"/>
      <c r="N5"/>
      <c r="O5"/>
      <c r="P5"/>
    </row>
    <row r="6" spans="1:16" ht="13.5" customHeight="1">
      <c r="A6" s="576" t="s">
        <v>361</v>
      </c>
      <c r="B6" s="223">
        <v>0</v>
      </c>
      <c r="C6" s="190">
        <v>0</v>
      </c>
      <c r="D6" s="196">
        <f aca="true" t="shared" si="0" ref="D6:D14">B6+C6</f>
        <v>0</v>
      </c>
      <c r="E6" s="223"/>
      <c r="F6" s="190"/>
      <c r="G6" s="196"/>
      <c r="H6" s="577">
        <f>+IF(B6&lt;&gt;0,E6/B6,"")</f>
      </c>
      <c r="I6" s="578">
        <f>+IF(C6&lt;&gt;0,F6/C6,"")</f>
      </c>
      <c r="J6" s="577">
        <f>+IF(D6&lt;&gt;0,G6/D6,"")</f>
      </c>
      <c r="K6"/>
      <c r="L6"/>
      <c r="M6"/>
      <c r="N6"/>
      <c r="O6"/>
      <c r="P6"/>
    </row>
    <row r="7" spans="1:16" ht="13.5" customHeight="1">
      <c r="A7" s="579" t="s">
        <v>128</v>
      </c>
      <c r="B7" s="220">
        <v>300</v>
      </c>
      <c r="C7" s="192">
        <v>0</v>
      </c>
      <c r="D7" s="196">
        <f t="shared" si="0"/>
        <v>300</v>
      </c>
      <c r="E7" s="220">
        <v>163.2</v>
      </c>
      <c r="F7" s="192"/>
      <c r="G7" s="196">
        <f aca="true" t="shared" si="1" ref="G7:G14">SUM(E7:F7)</f>
        <v>163.2</v>
      </c>
      <c r="H7" s="577">
        <f aca="true" t="shared" si="2" ref="H7:H32">+IF(E7&lt;&gt;0,E7/B7,"")</f>
        <v>0.5439999999999999</v>
      </c>
      <c r="I7" s="578">
        <f aca="true" t="shared" si="3" ref="I7:I16">+IF(C7&lt;&gt;0,F7/(B7+C7),"")</f>
      </c>
      <c r="J7" s="577">
        <f aca="true" t="shared" si="4" ref="J7:J32">+IF(D7&lt;&gt;0,G7/D7,"")</f>
        <v>0.5439999999999999</v>
      </c>
      <c r="K7"/>
      <c r="L7"/>
      <c r="M7"/>
      <c r="N7"/>
      <c r="O7"/>
      <c r="P7"/>
    </row>
    <row r="8" spans="1:16" ht="13.5" customHeight="1">
      <c r="A8" s="579" t="s">
        <v>131</v>
      </c>
      <c r="B8" s="220">
        <v>0</v>
      </c>
      <c r="C8" s="192">
        <v>0</v>
      </c>
      <c r="D8" s="196">
        <f t="shared" si="0"/>
        <v>0</v>
      </c>
      <c r="E8" s="220"/>
      <c r="F8" s="192"/>
      <c r="G8" s="196">
        <f t="shared" si="1"/>
        <v>0</v>
      </c>
      <c r="H8" s="577">
        <f t="shared" si="2"/>
      </c>
      <c r="I8" s="578">
        <f t="shared" si="3"/>
      </c>
      <c r="J8" s="577">
        <f t="shared" si="4"/>
      </c>
      <c r="K8"/>
      <c r="L8"/>
      <c r="M8"/>
      <c r="N8"/>
      <c r="O8"/>
      <c r="P8"/>
    </row>
    <row r="9" spans="1:16" ht="13.5" customHeight="1">
      <c r="A9" s="579" t="s">
        <v>133</v>
      </c>
      <c r="B9" s="220">
        <v>0</v>
      </c>
      <c r="C9" s="192">
        <v>0</v>
      </c>
      <c r="D9" s="196">
        <f t="shared" si="0"/>
        <v>0</v>
      </c>
      <c r="E9" s="220"/>
      <c r="F9" s="192"/>
      <c r="G9" s="196">
        <f t="shared" si="1"/>
        <v>0</v>
      </c>
      <c r="H9" s="577">
        <f t="shared" si="2"/>
      </c>
      <c r="I9" s="578">
        <f t="shared" si="3"/>
      </c>
      <c r="J9" s="577">
        <f t="shared" si="4"/>
      </c>
      <c r="K9"/>
      <c r="L9"/>
      <c r="M9"/>
      <c r="N9"/>
      <c r="O9"/>
      <c r="P9"/>
    </row>
    <row r="10" spans="1:16" ht="13.5" customHeight="1">
      <c r="A10" s="579" t="s">
        <v>134</v>
      </c>
      <c r="B10" s="220">
        <v>240</v>
      </c>
      <c r="C10" s="192">
        <v>0</v>
      </c>
      <c r="D10" s="196">
        <f t="shared" si="0"/>
        <v>240</v>
      </c>
      <c r="E10" s="220">
        <v>46.57</v>
      </c>
      <c r="F10" s="192"/>
      <c r="G10" s="196">
        <f t="shared" si="1"/>
        <v>46.57</v>
      </c>
      <c r="H10" s="577">
        <f t="shared" si="2"/>
        <v>0.19404166666666667</v>
      </c>
      <c r="I10" s="578">
        <f t="shared" si="3"/>
      </c>
      <c r="J10" s="577">
        <f t="shared" si="4"/>
        <v>0.19404166666666667</v>
      </c>
      <c r="K10"/>
      <c r="L10"/>
      <c r="M10"/>
      <c r="N10"/>
      <c r="O10"/>
      <c r="P10"/>
    </row>
    <row r="11" spans="1:16" ht="13.5" customHeight="1">
      <c r="A11" s="580" t="s">
        <v>445</v>
      </c>
      <c r="B11" s="220">
        <v>180</v>
      </c>
      <c r="C11" s="192">
        <v>0</v>
      </c>
      <c r="D11" s="196">
        <f t="shared" si="0"/>
        <v>180</v>
      </c>
      <c r="E11" s="220">
        <v>40.19</v>
      </c>
      <c r="F11" s="192"/>
      <c r="G11" s="196">
        <f t="shared" si="1"/>
        <v>40.19</v>
      </c>
      <c r="H11" s="577">
        <f t="shared" si="2"/>
        <v>0.22327777777777777</v>
      </c>
      <c r="I11" s="578">
        <f t="shared" si="3"/>
      </c>
      <c r="J11" s="577">
        <f t="shared" si="4"/>
        <v>0.22327777777777777</v>
      </c>
      <c r="K11"/>
      <c r="L11"/>
      <c r="M11"/>
      <c r="N11"/>
      <c r="O11"/>
      <c r="P11"/>
    </row>
    <row r="12" spans="1:16" ht="13.5" customHeight="1">
      <c r="A12" s="580" t="s">
        <v>136</v>
      </c>
      <c r="B12" s="220">
        <v>0</v>
      </c>
      <c r="C12" s="192">
        <v>0</v>
      </c>
      <c r="D12" s="196">
        <f t="shared" si="0"/>
        <v>0</v>
      </c>
      <c r="E12" s="220"/>
      <c r="F12" s="192"/>
      <c r="G12" s="196">
        <f t="shared" si="1"/>
        <v>0</v>
      </c>
      <c r="H12" s="577">
        <f t="shared" si="2"/>
      </c>
      <c r="I12" s="578">
        <f t="shared" si="3"/>
      </c>
      <c r="J12" s="577">
        <f t="shared" si="4"/>
      </c>
      <c r="K12"/>
      <c r="L12"/>
      <c r="M12"/>
      <c r="N12"/>
      <c r="O12"/>
      <c r="P12"/>
    </row>
    <row r="13" spans="1:16" ht="13.5" customHeight="1">
      <c r="A13" s="580" t="s">
        <v>446</v>
      </c>
      <c r="B13" s="220">
        <v>0</v>
      </c>
      <c r="C13" s="192">
        <v>0</v>
      </c>
      <c r="D13" s="196">
        <f t="shared" si="0"/>
        <v>0</v>
      </c>
      <c r="E13" s="220"/>
      <c r="F13" s="192"/>
      <c r="G13" s="196">
        <f t="shared" si="1"/>
        <v>0</v>
      </c>
      <c r="H13" s="577">
        <f t="shared" si="2"/>
      </c>
      <c r="I13" s="578">
        <f t="shared" si="3"/>
      </c>
      <c r="J13" s="577">
        <f t="shared" si="4"/>
      </c>
      <c r="K13"/>
      <c r="L13"/>
      <c r="M13"/>
      <c r="N13"/>
      <c r="O13"/>
      <c r="P13"/>
    </row>
    <row r="14" spans="1:16" ht="13.5" customHeight="1" thickBot="1">
      <c r="A14" s="581" t="s">
        <v>138</v>
      </c>
      <c r="B14" s="216">
        <v>8240</v>
      </c>
      <c r="C14" s="418">
        <v>0</v>
      </c>
      <c r="D14" s="196">
        <f t="shared" si="0"/>
        <v>8240</v>
      </c>
      <c r="E14" s="216">
        <v>4116</v>
      </c>
      <c r="F14" s="418"/>
      <c r="G14" s="196">
        <f t="shared" si="1"/>
        <v>4116</v>
      </c>
      <c r="H14" s="582">
        <f t="shared" si="2"/>
        <v>0.4995145631067961</v>
      </c>
      <c r="I14" s="583">
        <f t="shared" si="3"/>
      </c>
      <c r="J14" s="582">
        <f t="shared" si="4"/>
        <v>0.4995145631067961</v>
      </c>
      <c r="K14"/>
      <c r="L14"/>
      <c r="M14"/>
      <c r="N14"/>
      <c r="O14"/>
      <c r="P14"/>
    </row>
    <row r="15" spans="1:16" ht="13.5" customHeight="1" thickBot="1">
      <c r="A15" s="584" t="s">
        <v>24</v>
      </c>
      <c r="B15" s="224">
        <f aca="true" t="shared" si="5" ref="B15:G15">SUM(B6+B7+B8+B9+B10+B12+B14)</f>
        <v>8780</v>
      </c>
      <c r="C15" s="224">
        <f t="shared" si="5"/>
        <v>0</v>
      </c>
      <c r="D15" s="224">
        <f t="shared" si="5"/>
        <v>8780</v>
      </c>
      <c r="E15" s="224">
        <f t="shared" si="5"/>
        <v>4325.77</v>
      </c>
      <c r="F15" s="193">
        <f t="shared" si="5"/>
        <v>0</v>
      </c>
      <c r="G15" s="225">
        <f t="shared" si="5"/>
        <v>4325.77</v>
      </c>
      <c r="H15" s="585">
        <f t="shared" si="2"/>
        <v>0.49268451025056953</v>
      </c>
      <c r="I15" s="586">
        <f t="shared" si="3"/>
      </c>
      <c r="J15" s="585">
        <f t="shared" si="4"/>
        <v>0.49268451025056953</v>
      </c>
      <c r="K15"/>
      <c r="L15"/>
      <c r="M15"/>
      <c r="N15"/>
      <c r="O15"/>
      <c r="P15"/>
    </row>
    <row r="16" spans="1:16" ht="13.5" customHeight="1">
      <c r="A16" s="587" t="s">
        <v>139</v>
      </c>
      <c r="B16" s="223">
        <v>1239</v>
      </c>
      <c r="C16" s="190">
        <v>0</v>
      </c>
      <c r="D16" s="675">
        <f>B16+C16</f>
        <v>1239</v>
      </c>
      <c r="E16" s="423">
        <v>677.86</v>
      </c>
      <c r="F16" s="424"/>
      <c r="G16" s="425">
        <f aca="true" t="shared" si="6" ref="G16:G32">SUM(E16:F16)</f>
        <v>677.86</v>
      </c>
      <c r="H16" s="577">
        <f t="shared" si="2"/>
        <v>0.5471025020177562</v>
      </c>
      <c r="I16" s="578">
        <f t="shared" si="3"/>
      </c>
      <c r="J16" s="577">
        <f t="shared" si="4"/>
        <v>0.5471025020177562</v>
      </c>
      <c r="K16"/>
      <c r="L16"/>
      <c r="M16"/>
      <c r="N16"/>
      <c r="O16"/>
      <c r="P16"/>
    </row>
    <row r="17" spans="1:16" ht="13.5" customHeight="1">
      <c r="A17" s="579" t="s">
        <v>146</v>
      </c>
      <c r="B17" s="220">
        <v>460</v>
      </c>
      <c r="C17" s="192">
        <v>0</v>
      </c>
      <c r="D17" s="675">
        <v>460</v>
      </c>
      <c r="E17" s="420">
        <v>148.43</v>
      </c>
      <c r="F17" s="192"/>
      <c r="G17" s="196">
        <f t="shared" si="6"/>
        <v>148.43</v>
      </c>
      <c r="H17" s="577">
        <f t="shared" si="2"/>
        <v>0.32267391304347826</v>
      </c>
      <c r="I17" s="578"/>
      <c r="J17" s="577">
        <f t="shared" si="4"/>
        <v>0.32267391304347826</v>
      </c>
      <c r="K17"/>
      <c r="L17"/>
      <c r="M17"/>
      <c r="N17"/>
      <c r="O17"/>
      <c r="P17"/>
    </row>
    <row r="18" spans="1:16" ht="13.5" customHeight="1">
      <c r="A18" s="580" t="s">
        <v>147</v>
      </c>
      <c r="B18" s="220">
        <v>25</v>
      </c>
      <c r="C18" s="192">
        <v>0</v>
      </c>
      <c r="D18" s="675">
        <f aca="true" t="shared" si="7" ref="D18:D32">B18+C18</f>
        <v>25</v>
      </c>
      <c r="E18" s="220">
        <v>9.76</v>
      </c>
      <c r="F18" s="192"/>
      <c r="G18" s="196">
        <f t="shared" si="6"/>
        <v>9.76</v>
      </c>
      <c r="H18" s="577">
        <f t="shared" si="2"/>
        <v>0.39039999999999997</v>
      </c>
      <c r="I18" s="578">
        <f aca="true" t="shared" si="8" ref="I18:I33">+IF(C17&lt;&gt;0,F18/(B17+C17),"")</f>
      </c>
      <c r="J18" s="577">
        <f t="shared" si="4"/>
        <v>0.39039999999999997</v>
      </c>
      <c r="K18"/>
      <c r="L18"/>
      <c r="M18"/>
      <c r="N18"/>
      <c r="O18"/>
      <c r="P18"/>
    </row>
    <row r="19" spans="1:16" ht="13.5" customHeight="1">
      <c r="A19" s="579" t="s">
        <v>148</v>
      </c>
      <c r="B19" s="220">
        <v>0</v>
      </c>
      <c r="C19" s="192">
        <v>0</v>
      </c>
      <c r="D19" s="675">
        <f t="shared" si="7"/>
        <v>0</v>
      </c>
      <c r="E19" s="220">
        <v>0</v>
      </c>
      <c r="F19" s="192"/>
      <c r="G19" s="196">
        <f t="shared" si="6"/>
        <v>0</v>
      </c>
      <c r="H19" s="577">
        <f t="shared" si="2"/>
      </c>
      <c r="I19" s="578">
        <f t="shared" si="8"/>
      </c>
      <c r="J19" s="577">
        <f t="shared" si="4"/>
      </c>
      <c r="K19"/>
      <c r="L19"/>
      <c r="M19"/>
      <c r="N19"/>
      <c r="O19"/>
      <c r="P19"/>
    </row>
    <row r="20" spans="1:16" ht="13.5" customHeight="1">
      <c r="A20" s="579" t="s">
        <v>149</v>
      </c>
      <c r="B20" s="220">
        <v>430</v>
      </c>
      <c r="C20" s="192">
        <v>0</v>
      </c>
      <c r="D20" s="675">
        <f t="shared" si="7"/>
        <v>430</v>
      </c>
      <c r="E20" s="220">
        <v>158.85</v>
      </c>
      <c r="F20" s="192"/>
      <c r="G20" s="196">
        <f t="shared" si="6"/>
        <v>158.85</v>
      </c>
      <c r="H20" s="577">
        <f t="shared" si="2"/>
        <v>0.3694186046511628</v>
      </c>
      <c r="I20" s="578">
        <f t="shared" si="8"/>
      </c>
      <c r="J20" s="577">
        <f t="shared" si="4"/>
        <v>0.3694186046511628</v>
      </c>
      <c r="K20"/>
      <c r="L20"/>
      <c r="M20"/>
      <c r="N20"/>
      <c r="O20"/>
      <c r="P20"/>
    </row>
    <row r="21" spans="1:16" ht="13.5" customHeight="1">
      <c r="A21" s="580" t="s">
        <v>447</v>
      </c>
      <c r="B21" s="213">
        <v>165</v>
      </c>
      <c r="C21" s="192">
        <v>0</v>
      </c>
      <c r="D21" s="675">
        <f t="shared" si="7"/>
        <v>165</v>
      </c>
      <c r="E21" s="213">
        <v>33.56</v>
      </c>
      <c r="F21" s="192"/>
      <c r="G21" s="196">
        <f t="shared" si="6"/>
        <v>33.56</v>
      </c>
      <c r="H21" s="577">
        <f t="shared" si="2"/>
        <v>0.2033939393939394</v>
      </c>
      <c r="I21" s="578">
        <f t="shared" si="8"/>
      </c>
      <c r="J21" s="577">
        <f t="shared" si="4"/>
        <v>0.2033939393939394</v>
      </c>
      <c r="K21"/>
      <c r="L21"/>
      <c r="M21"/>
      <c r="N21"/>
      <c r="O21"/>
      <c r="P21"/>
    </row>
    <row r="22" spans="1:16" ht="13.5" customHeight="1">
      <c r="A22" s="579" t="s">
        <v>448</v>
      </c>
      <c r="B22" s="213">
        <v>260</v>
      </c>
      <c r="C22" s="192">
        <v>0</v>
      </c>
      <c r="D22" s="675">
        <f t="shared" si="7"/>
        <v>260</v>
      </c>
      <c r="E22" s="213">
        <v>123.21</v>
      </c>
      <c r="F22" s="192"/>
      <c r="G22" s="196">
        <f t="shared" si="6"/>
        <v>123.21</v>
      </c>
      <c r="H22" s="577">
        <f t="shared" si="2"/>
        <v>0.47388461538461535</v>
      </c>
      <c r="I22" s="578">
        <f t="shared" si="8"/>
      </c>
      <c r="J22" s="577">
        <f t="shared" si="4"/>
        <v>0.47388461538461535</v>
      </c>
      <c r="K22"/>
      <c r="L22"/>
      <c r="M22"/>
      <c r="N22"/>
      <c r="O22"/>
      <c r="P22"/>
    </row>
    <row r="23" spans="1:16" ht="13.5" customHeight="1">
      <c r="A23" s="588" t="s">
        <v>156</v>
      </c>
      <c r="B23" s="220">
        <v>6492</v>
      </c>
      <c r="C23" s="192">
        <v>0</v>
      </c>
      <c r="D23" s="675">
        <f t="shared" si="7"/>
        <v>6492</v>
      </c>
      <c r="E23" s="420">
        <v>3195.37</v>
      </c>
      <c r="F23" s="192"/>
      <c r="G23" s="196">
        <f t="shared" si="6"/>
        <v>3195.37</v>
      </c>
      <c r="H23" s="577">
        <f t="shared" si="2"/>
        <v>0.4922011706715958</v>
      </c>
      <c r="I23" s="578">
        <f t="shared" si="8"/>
      </c>
      <c r="J23" s="577">
        <f t="shared" si="4"/>
        <v>0.4922011706715958</v>
      </c>
      <c r="K23"/>
      <c r="L23"/>
      <c r="M23"/>
      <c r="N23"/>
      <c r="O23"/>
      <c r="P23"/>
    </row>
    <row r="24" spans="1:16" ht="13.5" customHeight="1">
      <c r="A24" s="580" t="s">
        <v>449</v>
      </c>
      <c r="B24" s="213">
        <v>4738</v>
      </c>
      <c r="C24" s="191">
        <v>0</v>
      </c>
      <c r="D24" s="675">
        <f t="shared" si="7"/>
        <v>4738</v>
      </c>
      <c r="E24" s="453">
        <v>2338.22</v>
      </c>
      <c r="F24" s="191"/>
      <c r="G24" s="196">
        <f t="shared" si="6"/>
        <v>2338.22</v>
      </c>
      <c r="H24" s="577">
        <f t="shared" si="2"/>
        <v>0.4935035880118193</v>
      </c>
      <c r="I24" s="578">
        <f t="shared" si="8"/>
      </c>
      <c r="J24" s="577">
        <f t="shared" si="4"/>
        <v>0.4935035880118193</v>
      </c>
      <c r="K24"/>
      <c r="L24"/>
      <c r="M24"/>
      <c r="N24"/>
      <c r="O24"/>
      <c r="P24"/>
    </row>
    <row r="25" spans="1:16" ht="13.5" customHeight="1">
      <c r="A25" s="588" t="s">
        <v>450</v>
      </c>
      <c r="B25" s="220">
        <v>4720</v>
      </c>
      <c r="C25" s="192">
        <v>0</v>
      </c>
      <c r="D25" s="675">
        <f t="shared" si="7"/>
        <v>4720</v>
      </c>
      <c r="E25" s="420">
        <v>2333.017</v>
      </c>
      <c r="F25" s="192"/>
      <c r="G25" s="196">
        <f t="shared" si="6"/>
        <v>2333.017</v>
      </c>
      <c r="H25" s="577">
        <f t="shared" si="2"/>
        <v>0.49428326271186435</v>
      </c>
      <c r="I25" s="578">
        <f t="shared" si="8"/>
      </c>
      <c r="J25" s="577">
        <f t="shared" si="4"/>
        <v>0.49428326271186435</v>
      </c>
      <c r="K25"/>
      <c r="L25"/>
      <c r="M25"/>
      <c r="N25"/>
      <c r="O25"/>
      <c r="P25"/>
    </row>
    <row r="26" spans="1:16" ht="13.5" customHeight="1">
      <c r="A26" s="580" t="s">
        <v>451</v>
      </c>
      <c r="B26" s="220">
        <v>18</v>
      </c>
      <c r="C26" s="192">
        <v>0</v>
      </c>
      <c r="D26" s="675">
        <f t="shared" si="7"/>
        <v>18</v>
      </c>
      <c r="E26" s="420">
        <v>5.2</v>
      </c>
      <c r="F26" s="192"/>
      <c r="G26" s="196">
        <f t="shared" si="6"/>
        <v>5.2</v>
      </c>
      <c r="H26" s="577">
        <f t="shared" si="2"/>
        <v>0.2888888888888889</v>
      </c>
      <c r="I26" s="578">
        <f t="shared" si="8"/>
      </c>
      <c r="J26" s="577">
        <f t="shared" si="4"/>
        <v>0.2888888888888889</v>
      </c>
      <c r="K26"/>
      <c r="L26"/>
      <c r="M26"/>
      <c r="N26"/>
      <c r="O26"/>
      <c r="P26"/>
    </row>
    <row r="27" spans="1:16" ht="13.5" customHeight="1">
      <c r="A27" s="580" t="s">
        <v>452</v>
      </c>
      <c r="B27" s="220">
        <v>1753</v>
      </c>
      <c r="C27" s="192">
        <v>0</v>
      </c>
      <c r="D27" s="675">
        <f t="shared" si="7"/>
        <v>1753</v>
      </c>
      <c r="E27" s="420">
        <v>818.38</v>
      </c>
      <c r="F27" s="192"/>
      <c r="G27" s="196">
        <f t="shared" si="6"/>
        <v>818.38</v>
      </c>
      <c r="H27" s="577">
        <f t="shared" si="2"/>
        <v>0.46684540787221906</v>
      </c>
      <c r="I27" s="578">
        <f t="shared" si="8"/>
      </c>
      <c r="J27" s="577">
        <f t="shared" si="4"/>
        <v>0.46684540787221906</v>
      </c>
      <c r="K27"/>
      <c r="L27"/>
      <c r="M27"/>
      <c r="N27"/>
      <c r="O27"/>
      <c r="P27"/>
    </row>
    <row r="28" spans="1:16" ht="13.5" customHeight="1">
      <c r="A28" s="588" t="s">
        <v>161</v>
      </c>
      <c r="B28" s="220">
        <v>0</v>
      </c>
      <c r="C28" s="192">
        <v>0</v>
      </c>
      <c r="D28" s="675">
        <f t="shared" si="7"/>
        <v>0</v>
      </c>
      <c r="E28" s="220">
        <v>0</v>
      </c>
      <c r="F28" s="192"/>
      <c r="G28" s="196">
        <f t="shared" si="6"/>
        <v>0</v>
      </c>
      <c r="H28" s="577">
        <f t="shared" si="2"/>
      </c>
      <c r="I28" s="578">
        <f t="shared" si="8"/>
      </c>
      <c r="J28" s="577">
        <f t="shared" si="4"/>
      </c>
      <c r="K28"/>
      <c r="L28"/>
      <c r="M28"/>
      <c r="N28"/>
      <c r="O28"/>
      <c r="P28"/>
    </row>
    <row r="29" spans="1:16" ht="13.5" customHeight="1">
      <c r="A29" s="588" t="s">
        <v>162</v>
      </c>
      <c r="B29" s="220">
        <v>66</v>
      </c>
      <c r="C29" s="192">
        <v>0</v>
      </c>
      <c r="D29" s="675">
        <f t="shared" si="7"/>
        <v>66</v>
      </c>
      <c r="E29" s="220">
        <v>34.2</v>
      </c>
      <c r="F29" s="192"/>
      <c r="G29" s="196">
        <f t="shared" si="6"/>
        <v>34.2</v>
      </c>
      <c r="H29" s="577">
        <f t="shared" si="2"/>
        <v>0.5181818181818182</v>
      </c>
      <c r="I29" s="578">
        <f t="shared" si="8"/>
      </c>
      <c r="J29" s="577">
        <f t="shared" si="4"/>
        <v>0.5181818181818182</v>
      </c>
      <c r="K29"/>
      <c r="L29"/>
      <c r="M29"/>
      <c r="N29"/>
      <c r="O29"/>
      <c r="P29"/>
    </row>
    <row r="30" spans="1:16" ht="13.5" customHeight="1">
      <c r="A30" s="580" t="s">
        <v>163</v>
      </c>
      <c r="B30" s="213">
        <v>68</v>
      </c>
      <c r="C30" s="192">
        <v>0</v>
      </c>
      <c r="D30" s="675">
        <f t="shared" si="7"/>
        <v>68</v>
      </c>
      <c r="E30" s="213">
        <v>35.26</v>
      </c>
      <c r="F30" s="192"/>
      <c r="G30" s="196">
        <f t="shared" si="6"/>
        <v>35.26</v>
      </c>
      <c r="H30" s="577">
        <f t="shared" si="2"/>
        <v>0.5185294117647059</v>
      </c>
      <c r="I30" s="578">
        <f t="shared" si="8"/>
      </c>
      <c r="J30" s="577">
        <f t="shared" si="4"/>
        <v>0.5185294117647059</v>
      </c>
      <c r="K30"/>
      <c r="L30"/>
      <c r="M30"/>
      <c r="N30"/>
      <c r="O30"/>
      <c r="P30"/>
    </row>
    <row r="31" spans="1:16" ht="13.5" customHeight="1">
      <c r="A31" s="580" t="s">
        <v>453</v>
      </c>
      <c r="B31" s="213">
        <v>68</v>
      </c>
      <c r="C31" s="192">
        <v>0</v>
      </c>
      <c r="D31" s="675">
        <f t="shared" si="7"/>
        <v>68</v>
      </c>
      <c r="E31" s="213">
        <v>35.26</v>
      </c>
      <c r="F31" s="192"/>
      <c r="G31" s="196">
        <f t="shared" si="6"/>
        <v>35.26</v>
      </c>
      <c r="H31" s="577">
        <f t="shared" si="2"/>
        <v>0.5185294117647059</v>
      </c>
      <c r="I31" s="578">
        <f t="shared" si="8"/>
      </c>
      <c r="J31" s="577">
        <f t="shared" si="4"/>
        <v>0.5185294117647059</v>
      </c>
      <c r="K31"/>
      <c r="L31"/>
      <c r="M31"/>
      <c r="N31"/>
      <c r="O31"/>
      <c r="P31"/>
    </row>
    <row r="32" spans="1:16" ht="13.5" customHeight="1" thickBot="1">
      <c r="A32" s="589" t="s">
        <v>165</v>
      </c>
      <c r="B32" s="419">
        <v>0</v>
      </c>
      <c r="C32" s="418">
        <v>0</v>
      </c>
      <c r="D32" s="675">
        <f t="shared" si="7"/>
        <v>0</v>
      </c>
      <c r="E32" s="419">
        <v>0</v>
      </c>
      <c r="F32" s="418"/>
      <c r="G32" s="196">
        <f t="shared" si="6"/>
        <v>0</v>
      </c>
      <c r="H32" s="577">
        <f t="shared" si="2"/>
      </c>
      <c r="I32" s="583">
        <f t="shared" si="8"/>
      </c>
      <c r="J32" s="577">
        <f t="shared" si="4"/>
      </c>
      <c r="K32"/>
      <c r="L32"/>
      <c r="M32"/>
      <c r="N32"/>
      <c r="O32"/>
      <c r="P32"/>
    </row>
    <row r="33" spans="1:16" ht="13.5" customHeight="1" thickBot="1">
      <c r="A33" s="584" t="s">
        <v>23</v>
      </c>
      <c r="B33" s="224">
        <f aca="true" t="shared" si="9" ref="B33:G33">SUM(B16+B17+B18+B19+B20+B23+B28+B29+B30+B32)</f>
        <v>8780</v>
      </c>
      <c r="C33" s="197">
        <f t="shared" si="9"/>
        <v>0</v>
      </c>
      <c r="D33" s="197">
        <f t="shared" si="9"/>
        <v>8780</v>
      </c>
      <c r="E33" s="224">
        <f t="shared" si="9"/>
        <v>4259.73</v>
      </c>
      <c r="F33" s="193">
        <f t="shared" si="9"/>
        <v>0</v>
      </c>
      <c r="G33" s="225">
        <f t="shared" si="9"/>
        <v>4259.73</v>
      </c>
      <c r="H33" s="585">
        <f>+E33/B33</f>
        <v>0.48516287015945325</v>
      </c>
      <c r="I33" s="586">
        <f t="shared" si="8"/>
      </c>
      <c r="J33" s="585">
        <f>+G33/D33</f>
        <v>0.48516287015945325</v>
      </c>
      <c r="K33"/>
      <c r="L33"/>
      <c r="M33"/>
      <c r="N33"/>
      <c r="O33"/>
      <c r="P33"/>
    </row>
    <row r="34" spans="1:16" ht="13.5" customHeight="1" thickBot="1">
      <c r="A34" s="584" t="s">
        <v>41</v>
      </c>
      <c r="B34" s="803">
        <f>+D15-D33</f>
        <v>0</v>
      </c>
      <c r="C34" s="1183"/>
      <c r="D34" s="1183">
        <v>0</v>
      </c>
      <c r="E34" s="803">
        <f>+G15-G33</f>
        <v>66.04000000000087</v>
      </c>
      <c r="F34" s="804"/>
      <c r="G34" s="805"/>
      <c r="H34"/>
      <c r="I34"/>
      <c r="J34"/>
      <c r="K34"/>
      <c r="L34"/>
      <c r="M34"/>
      <c r="N34"/>
      <c r="O34"/>
      <c r="P34"/>
    </row>
    <row r="35" spans="1:16" ht="4.5" customHeight="1">
      <c r="A35"/>
      <c r="B35"/>
      <c r="C35"/>
      <c r="D35"/>
      <c r="E35"/>
      <c r="F35"/>
      <c r="G35"/>
      <c r="H35"/>
      <c r="I35"/>
      <c r="J35"/>
      <c r="K35"/>
      <c r="L35"/>
      <c r="M35"/>
      <c r="N35"/>
      <c r="O35"/>
      <c r="P35"/>
    </row>
    <row r="36" spans="13:14" ht="3.75" customHeight="1" thickBot="1">
      <c r="M36"/>
      <c r="N36"/>
    </row>
    <row r="37" spans="1:16" ht="22.5" customHeight="1">
      <c r="A37" s="1161" t="s">
        <v>454</v>
      </c>
      <c r="B37" s="766" t="s">
        <v>455</v>
      </c>
      <c r="C37" s="1158" t="s">
        <v>456</v>
      </c>
      <c r="D37" s="1159"/>
      <c r="E37" s="1159"/>
      <c r="F37" s="1160"/>
      <c r="G37" s="734" t="s">
        <v>457</v>
      </c>
      <c r="H37"/>
      <c r="I37"/>
      <c r="J37"/>
      <c r="K37"/>
      <c r="L37"/>
      <c r="M37"/>
      <c r="N37"/>
      <c r="O37"/>
      <c r="P37"/>
    </row>
    <row r="38" spans="1:16" ht="18.75" thickBot="1">
      <c r="A38" s="1162"/>
      <c r="B38" s="735"/>
      <c r="C38" s="591" t="s">
        <v>458</v>
      </c>
      <c r="D38" s="459" t="s">
        <v>459</v>
      </c>
      <c r="E38" s="459" t="s">
        <v>460</v>
      </c>
      <c r="F38" s="592" t="s">
        <v>461</v>
      </c>
      <c r="G38" s="735"/>
      <c r="H38"/>
      <c r="I38"/>
      <c r="J38"/>
      <c r="K38"/>
      <c r="L38"/>
      <c r="M38"/>
      <c r="N38"/>
      <c r="O38"/>
      <c r="P38"/>
    </row>
    <row r="39" spans="1:16" ht="12.75">
      <c r="A39" s="593" t="s">
        <v>462</v>
      </c>
      <c r="B39" s="594">
        <v>1178.43</v>
      </c>
      <c r="C39" s="595" t="s">
        <v>463</v>
      </c>
      <c r="D39" s="596" t="s">
        <v>463</v>
      </c>
      <c r="E39" s="596" t="s">
        <v>463</v>
      </c>
      <c r="F39" s="597" t="s">
        <v>463</v>
      </c>
      <c r="G39" s="649" t="s">
        <v>463</v>
      </c>
      <c r="H39"/>
      <c r="I39"/>
      <c r="J39"/>
      <c r="K39"/>
      <c r="L39"/>
      <c r="M39"/>
      <c r="N39"/>
      <c r="O39"/>
      <c r="P39"/>
    </row>
    <row r="40" spans="1:16" ht="12.75">
      <c r="A40" s="599" t="s">
        <v>464</v>
      </c>
      <c r="B40" s="415">
        <v>51.63</v>
      </c>
      <c r="C40" s="600">
        <v>52</v>
      </c>
      <c r="D40" s="601">
        <v>0</v>
      </c>
      <c r="E40" s="601">
        <v>0</v>
      </c>
      <c r="F40" s="602">
        <f>+C40+D40-E40</f>
        <v>52</v>
      </c>
      <c r="G40" s="415">
        <v>52</v>
      </c>
      <c r="H40"/>
      <c r="I40"/>
      <c r="J40"/>
      <c r="K40"/>
      <c r="L40"/>
      <c r="M40"/>
      <c r="N40"/>
      <c r="O40"/>
      <c r="P40"/>
    </row>
    <row r="41" spans="1:16" ht="12.75">
      <c r="A41" s="599" t="s">
        <v>465</v>
      </c>
      <c r="B41" s="415">
        <v>68.39</v>
      </c>
      <c r="C41" s="600">
        <v>564</v>
      </c>
      <c r="D41" s="601">
        <v>110</v>
      </c>
      <c r="E41" s="601">
        <v>180</v>
      </c>
      <c r="F41" s="602">
        <f>+C41+D41-E41</f>
        <v>494</v>
      </c>
      <c r="G41" s="415">
        <v>621.48</v>
      </c>
      <c r="H41"/>
      <c r="I41"/>
      <c r="J41"/>
      <c r="K41"/>
      <c r="L41"/>
      <c r="M41"/>
      <c r="N41"/>
      <c r="O41"/>
      <c r="P41"/>
    </row>
    <row r="42" spans="1:16" ht="12.75">
      <c r="A42" s="599" t="s">
        <v>466</v>
      </c>
      <c r="B42" s="415">
        <f>+B39-B40-B41</f>
        <v>1058.4099999999999</v>
      </c>
      <c r="C42" s="595" t="s">
        <v>463</v>
      </c>
      <c r="D42" s="596" t="s">
        <v>463</v>
      </c>
      <c r="E42" s="596" t="s">
        <v>463</v>
      </c>
      <c r="F42" s="597" t="s">
        <v>463</v>
      </c>
      <c r="G42" s="598" t="s">
        <v>463</v>
      </c>
      <c r="H42"/>
      <c r="I42"/>
      <c r="J42"/>
      <c r="K42"/>
      <c r="L42"/>
      <c r="M42"/>
      <c r="N42"/>
      <c r="O42"/>
      <c r="P42"/>
    </row>
    <row r="43" spans="1:16" ht="12.75">
      <c r="A43" s="599" t="s">
        <v>467</v>
      </c>
      <c r="B43" s="415">
        <v>99.77</v>
      </c>
      <c r="C43" s="603">
        <v>99</v>
      </c>
      <c r="D43" s="604">
        <v>468</v>
      </c>
      <c r="E43" s="604">
        <v>496</v>
      </c>
      <c r="F43" s="602">
        <f>+C43+D43-E43</f>
        <v>71</v>
      </c>
      <c r="G43" s="605">
        <v>87.03</v>
      </c>
      <c r="H43"/>
      <c r="I43"/>
      <c r="J43"/>
      <c r="K43"/>
      <c r="L43"/>
      <c r="M43"/>
      <c r="N43"/>
      <c r="O43"/>
      <c r="P43"/>
    </row>
    <row r="44" spans="1:16" ht="13.5" thickBot="1">
      <c r="A44" s="606" t="s">
        <v>468</v>
      </c>
      <c r="B44" s="113">
        <v>17.02</v>
      </c>
      <c r="C44" s="607">
        <v>23</v>
      </c>
      <c r="D44" s="608">
        <v>95</v>
      </c>
      <c r="E44" s="608">
        <v>118</v>
      </c>
      <c r="F44" s="609">
        <f>+C44+D44-E44</f>
        <v>0</v>
      </c>
      <c r="G44" s="113">
        <v>45.07</v>
      </c>
      <c r="H44"/>
      <c r="I44"/>
      <c r="J44"/>
      <c r="K44"/>
      <c r="L44"/>
      <c r="M44"/>
      <c r="N44"/>
      <c r="O44"/>
      <c r="P44"/>
    </row>
    <row r="45" ht="6" customHeight="1" thickBot="1"/>
    <row r="46" spans="1:16" ht="15.75" customHeight="1">
      <c r="A46" s="1173" t="s">
        <v>492</v>
      </c>
      <c r="B46" s="1175" t="s">
        <v>31</v>
      </c>
      <c r="C46" s="1175" t="s">
        <v>469</v>
      </c>
      <c r="D46" s="1177"/>
      <c r="E46" s="1177"/>
      <c r="F46" s="1177"/>
      <c r="G46" s="1177"/>
      <c r="H46" s="708"/>
      <c r="I46"/>
      <c r="J46"/>
      <c r="K46"/>
      <c r="L46"/>
      <c r="M46"/>
      <c r="N46"/>
      <c r="O46"/>
      <c r="P46"/>
    </row>
    <row r="47" spans="1:16" ht="12.75">
      <c r="A47" s="1174"/>
      <c r="B47" s="1176"/>
      <c r="C47" s="610" t="s">
        <v>63</v>
      </c>
      <c r="D47" s="611" t="s">
        <v>470</v>
      </c>
      <c r="E47" s="611" t="s">
        <v>471</v>
      </c>
      <c r="F47" s="611" t="s">
        <v>472</v>
      </c>
      <c r="G47" s="612" t="s">
        <v>473</v>
      </c>
      <c r="H47" s="613" t="s">
        <v>392</v>
      </c>
      <c r="I47"/>
      <c r="J47"/>
      <c r="K47"/>
      <c r="L47"/>
      <c r="M47"/>
      <c r="N47"/>
      <c r="O47"/>
      <c r="P47"/>
    </row>
    <row r="48" spans="1:16" ht="12.75">
      <c r="A48" s="614" t="s">
        <v>474</v>
      </c>
      <c r="B48" s="615">
        <v>261</v>
      </c>
      <c r="C48" s="601">
        <v>0</v>
      </c>
      <c r="D48" s="601">
        <v>0</v>
      </c>
      <c r="E48" s="601">
        <v>0</v>
      </c>
      <c r="F48" s="601">
        <v>0</v>
      </c>
      <c r="G48" s="615">
        <v>0</v>
      </c>
      <c r="H48" s="602">
        <f>SUM(C48:G48)</f>
        <v>0</v>
      </c>
      <c r="I48"/>
      <c r="J48"/>
      <c r="K48"/>
      <c r="L48"/>
      <c r="M48"/>
      <c r="N48"/>
      <c r="O48"/>
      <c r="P48"/>
    </row>
    <row r="49" spans="1:16" ht="13.5" thickBot="1">
      <c r="A49" s="616" t="s">
        <v>475</v>
      </c>
      <c r="B49" s="617"/>
      <c r="C49" s="618">
        <v>0</v>
      </c>
      <c r="D49" s="618">
        <v>0</v>
      </c>
      <c r="E49" s="618">
        <v>0</v>
      </c>
      <c r="F49" s="618">
        <v>0</v>
      </c>
      <c r="G49" s="617">
        <v>0</v>
      </c>
      <c r="H49" s="619">
        <f>SUM(C49:G49)</f>
        <v>0</v>
      </c>
      <c r="I49"/>
      <c r="J49"/>
      <c r="K49"/>
      <c r="L49"/>
      <c r="M49"/>
      <c r="N49"/>
      <c r="O49"/>
      <c r="P49"/>
    </row>
    <row r="50" spans="1:16" ht="13.5" thickBot="1">
      <c r="A50" s="620" t="s">
        <v>476</v>
      </c>
      <c r="B50" s="303">
        <f aca="true" t="shared" si="10" ref="B50:H50">+B49-B48</f>
        <v>-261</v>
      </c>
      <c r="C50" s="303">
        <f t="shared" si="10"/>
        <v>0</v>
      </c>
      <c r="D50" s="303">
        <f t="shared" si="10"/>
        <v>0</v>
      </c>
      <c r="E50" s="303">
        <f t="shared" si="10"/>
        <v>0</v>
      </c>
      <c r="F50" s="303">
        <f t="shared" si="10"/>
        <v>0</v>
      </c>
      <c r="G50" s="303">
        <f t="shared" si="10"/>
        <v>0</v>
      </c>
      <c r="H50" s="273">
        <f t="shared" si="10"/>
        <v>0</v>
      </c>
      <c r="I50"/>
      <c r="J50"/>
      <c r="K50"/>
      <c r="L50"/>
      <c r="M50"/>
      <c r="N50"/>
      <c r="O50"/>
      <c r="P50"/>
    </row>
    <row r="51" spans="1:16" ht="12.75">
      <c r="A51" s="621" t="s">
        <v>477</v>
      </c>
      <c r="B51" s="622">
        <v>30</v>
      </c>
      <c r="C51" s="623">
        <v>0</v>
      </c>
      <c r="D51" s="623">
        <v>0</v>
      </c>
      <c r="E51" s="623">
        <v>0</v>
      </c>
      <c r="F51" s="623">
        <v>0</v>
      </c>
      <c r="G51" s="622">
        <v>0</v>
      </c>
      <c r="H51" s="624">
        <f>SUM(C51:G51)</f>
        <v>0</v>
      </c>
      <c r="I51"/>
      <c r="J51"/>
      <c r="K51"/>
      <c r="L51"/>
      <c r="M51"/>
      <c r="N51"/>
      <c r="O51"/>
      <c r="P51"/>
    </row>
    <row r="52" spans="1:16" ht="13.5" thickBot="1">
      <c r="A52" s="625" t="s">
        <v>478</v>
      </c>
      <c r="B52" s="626">
        <v>0</v>
      </c>
      <c r="C52" s="608">
        <v>0</v>
      </c>
      <c r="D52" s="608">
        <v>0</v>
      </c>
      <c r="E52" s="608">
        <v>0</v>
      </c>
      <c r="F52" s="608">
        <v>0</v>
      </c>
      <c r="G52" s="626">
        <v>0</v>
      </c>
      <c r="H52" s="609">
        <f>SUM(C52:G52)</f>
        <v>0</v>
      </c>
      <c r="I52"/>
      <c r="J52"/>
      <c r="K52"/>
      <c r="L52"/>
      <c r="M52"/>
      <c r="N52"/>
      <c r="O52"/>
      <c r="P52"/>
    </row>
    <row r="53" spans="1:16" ht="13.5" thickBot="1">
      <c r="A53" s="620" t="s">
        <v>476</v>
      </c>
      <c r="B53" s="303">
        <f aca="true" t="shared" si="11" ref="B53:H53">+B52-B51</f>
        <v>-30</v>
      </c>
      <c r="C53" s="303">
        <f t="shared" si="11"/>
        <v>0</v>
      </c>
      <c r="D53" s="303">
        <f t="shared" si="11"/>
        <v>0</v>
      </c>
      <c r="E53" s="303">
        <f t="shared" si="11"/>
        <v>0</v>
      </c>
      <c r="F53" s="303">
        <f t="shared" si="11"/>
        <v>0</v>
      </c>
      <c r="G53" s="303">
        <f t="shared" si="11"/>
        <v>0</v>
      </c>
      <c r="H53" s="273">
        <f t="shared" si="11"/>
        <v>0</v>
      </c>
      <c r="I53"/>
      <c r="J53"/>
      <c r="K53"/>
      <c r="L53"/>
      <c r="M53"/>
      <c r="N53"/>
      <c r="O53"/>
      <c r="P53"/>
    </row>
    <row r="54" spans="1:16" ht="9.75" customHeight="1" thickBot="1">
      <c r="A54" s="258"/>
      <c r="B54" s="114"/>
      <c r="C54" s="114"/>
      <c r="D54" s="114"/>
      <c r="E54" s="114"/>
      <c r="F54" s="114"/>
      <c r="G54" s="114"/>
      <c r="H54" s="114"/>
      <c r="I54"/>
      <c r="J54"/>
      <c r="K54"/>
      <c r="L54"/>
      <c r="M54"/>
      <c r="N54"/>
      <c r="O54"/>
      <c r="P54"/>
    </row>
    <row r="55" spans="1:16" ht="13.5" thickBot="1">
      <c r="A55" s="1169" t="s">
        <v>479</v>
      </c>
      <c r="B55" s="1171" t="s">
        <v>480</v>
      </c>
      <c r="C55" s="1172"/>
      <c r="D55" s="1172"/>
      <c r="E55" s="1172"/>
      <c r="F55" s="1172"/>
      <c r="G55" s="777"/>
      <c r="H55" s="706"/>
      <c r="I55"/>
      <c r="J55"/>
      <c r="K55"/>
      <c r="L55"/>
      <c r="M55"/>
      <c r="N55"/>
      <c r="O55"/>
      <c r="P55"/>
    </row>
    <row r="56" spans="1:8" s="677" customFormat="1" ht="36.75" thickBot="1">
      <c r="A56" s="1170"/>
      <c r="B56" s="676" t="s">
        <v>495</v>
      </c>
      <c r="C56" s="673" t="s">
        <v>481</v>
      </c>
      <c r="D56" s="672" t="s">
        <v>497</v>
      </c>
      <c r="E56" s="672" t="s">
        <v>496</v>
      </c>
      <c r="F56" s="672" t="s">
        <v>88</v>
      </c>
      <c r="G56" s="673" t="s">
        <v>482</v>
      </c>
      <c r="H56" s="674" t="s">
        <v>392</v>
      </c>
    </row>
    <row r="57" spans="1:16" ht="13.5" thickBot="1">
      <c r="A57" s="627" t="s">
        <v>483</v>
      </c>
      <c r="B57" s="643">
        <v>23634</v>
      </c>
      <c r="C57" s="629">
        <v>1378252</v>
      </c>
      <c r="D57" s="628">
        <v>24401</v>
      </c>
      <c r="E57" s="628"/>
      <c r="F57" s="628">
        <v>287299</v>
      </c>
      <c r="G57" s="629">
        <v>400331</v>
      </c>
      <c r="H57" s="630">
        <f>SUM(B57:G57)</f>
        <v>2113917</v>
      </c>
      <c r="I57"/>
      <c r="J57"/>
      <c r="K57"/>
      <c r="L57"/>
      <c r="M57"/>
      <c r="N57"/>
      <c r="O57"/>
      <c r="P57"/>
    </row>
    <row r="58" spans="1:16" ht="13.5" thickTop="1">
      <c r="A58" s="631" t="s">
        <v>484</v>
      </c>
      <c r="B58" s="651">
        <v>0.34</v>
      </c>
      <c r="C58" s="652">
        <v>14.03</v>
      </c>
      <c r="D58" s="650">
        <v>0.2</v>
      </c>
      <c r="E58" s="650"/>
      <c r="F58" s="650">
        <v>2.34</v>
      </c>
      <c r="G58" s="652">
        <v>6.9</v>
      </c>
      <c r="H58" s="635">
        <f>SUM(B58:G58)</f>
        <v>23.809999999999995</v>
      </c>
      <c r="I58"/>
      <c r="J58"/>
      <c r="K58"/>
      <c r="L58"/>
      <c r="M58"/>
      <c r="N58"/>
      <c r="O58"/>
      <c r="P58"/>
    </row>
    <row r="59" spans="1:16" ht="13.5" thickBot="1">
      <c r="A59" s="636" t="s">
        <v>485</v>
      </c>
      <c r="B59" s="654">
        <v>1</v>
      </c>
      <c r="C59" s="655">
        <v>12.7</v>
      </c>
      <c r="D59" s="653">
        <v>0.2</v>
      </c>
      <c r="E59" s="653"/>
      <c r="F59" s="653">
        <v>3</v>
      </c>
      <c r="G59" s="655">
        <v>6.9</v>
      </c>
      <c r="H59" s="640">
        <f>SUM(B59:G59)</f>
        <v>23.799999999999997</v>
      </c>
      <c r="I59"/>
      <c r="J59"/>
      <c r="K59"/>
      <c r="L59"/>
      <c r="M59"/>
      <c r="N59"/>
      <c r="O59"/>
      <c r="P59"/>
    </row>
    <row r="60" spans="1:16" ht="13.5" thickBot="1">
      <c r="A60" s="641" t="s">
        <v>486</v>
      </c>
      <c r="B60" s="659">
        <f>+B57/B58/6</f>
        <v>11585.294117647058</v>
      </c>
      <c r="C60" s="658">
        <f>+C57/C58/6</f>
        <v>16372.677595628416</v>
      </c>
      <c r="D60" s="646">
        <f>+D57/D58/6</f>
        <v>20334.166666666668</v>
      </c>
      <c r="E60" s="646"/>
      <c r="F60" s="657">
        <f>+F57/F58/6</f>
        <v>20462.89173789174</v>
      </c>
      <c r="G60" s="658">
        <f>+G57/G58/6</f>
        <v>9669.830917874397</v>
      </c>
      <c r="H60" s="642">
        <f>+H57/H58/6</f>
        <v>14797.123057538853</v>
      </c>
      <c r="I60"/>
      <c r="J60"/>
      <c r="K60"/>
      <c r="L60"/>
      <c r="M60"/>
      <c r="N60"/>
      <c r="O60"/>
      <c r="P60"/>
    </row>
    <row r="61" spans="1:16" ht="3" customHeight="1" thickBot="1">
      <c r="A61"/>
      <c r="I61"/>
      <c r="J61"/>
      <c r="K61"/>
      <c r="L61"/>
      <c r="M61"/>
      <c r="N61"/>
      <c r="O61"/>
      <c r="P61"/>
    </row>
    <row r="62" spans="1:16" ht="13.5" thickBot="1">
      <c r="A62" s="1181" t="s">
        <v>479</v>
      </c>
      <c r="B62" s="1171" t="s">
        <v>487</v>
      </c>
      <c r="C62" s="1172"/>
      <c r="D62" s="1172"/>
      <c r="E62" s="1172"/>
      <c r="F62" s="1172"/>
      <c r="G62" s="777"/>
      <c r="H62" s="706"/>
      <c r="I62"/>
      <c r="J62"/>
      <c r="K62"/>
      <c r="L62"/>
      <c r="M62"/>
      <c r="N62"/>
      <c r="O62"/>
      <c r="P62"/>
    </row>
    <row r="63" spans="1:8" s="677" customFormat="1" ht="36.75" thickBot="1">
      <c r="A63" s="1182"/>
      <c r="B63" s="673" t="s">
        <v>495</v>
      </c>
      <c r="C63" s="672" t="s">
        <v>481</v>
      </c>
      <c r="D63" s="678" t="s">
        <v>497</v>
      </c>
      <c r="E63" s="672" t="s">
        <v>496</v>
      </c>
      <c r="F63" s="678" t="s">
        <v>88</v>
      </c>
      <c r="G63" s="685" t="s">
        <v>482</v>
      </c>
      <c r="H63" s="674" t="s">
        <v>392</v>
      </c>
    </row>
    <row r="64" spans="1:16" ht="13.5" thickBot="1">
      <c r="A64" s="627" t="s">
        <v>483</v>
      </c>
      <c r="B64" s="682">
        <v>89419</v>
      </c>
      <c r="C64" s="628">
        <v>1176052</v>
      </c>
      <c r="D64" s="679">
        <v>26989</v>
      </c>
      <c r="E64" s="628">
        <v>366727</v>
      </c>
      <c r="F64" s="679">
        <v>264985</v>
      </c>
      <c r="G64" s="686">
        <v>408845</v>
      </c>
      <c r="H64" s="630">
        <f>SUM(B64:G64)</f>
        <v>2333017</v>
      </c>
      <c r="I64"/>
      <c r="J64"/>
      <c r="K64"/>
      <c r="L64"/>
      <c r="M64"/>
      <c r="N64"/>
      <c r="O64"/>
      <c r="P64"/>
    </row>
    <row r="65" spans="1:16" ht="13.5" thickTop="1">
      <c r="A65" s="631" t="s">
        <v>484</v>
      </c>
      <c r="B65" s="683">
        <v>1</v>
      </c>
      <c r="C65" s="650">
        <v>10.99</v>
      </c>
      <c r="D65" s="680">
        <v>0.2</v>
      </c>
      <c r="E65" s="650">
        <v>5.28</v>
      </c>
      <c r="F65" s="680">
        <v>2</v>
      </c>
      <c r="G65" s="687">
        <v>6.98</v>
      </c>
      <c r="H65" s="635">
        <f>SUM(B65:G65)</f>
        <v>26.45</v>
      </c>
      <c r="I65"/>
      <c r="J65"/>
      <c r="K65"/>
      <c r="L65"/>
      <c r="M65"/>
      <c r="N65"/>
      <c r="O65"/>
      <c r="P65"/>
    </row>
    <row r="66" spans="1:16" ht="13.5" thickBot="1">
      <c r="A66" s="636" t="s">
        <v>485</v>
      </c>
      <c r="B66" s="684">
        <v>1</v>
      </c>
      <c r="C66" s="653">
        <v>11</v>
      </c>
      <c r="D66" s="681">
        <v>0.2</v>
      </c>
      <c r="E66" s="653">
        <v>5.6</v>
      </c>
      <c r="F66" s="681">
        <v>2</v>
      </c>
      <c r="G66" s="688">
        <v>7</v>
      </c>
      <c r="H66" s="640">
        <f>SUM(B66:G66)</f>
        <v>26.799999999999997</v>
      </c>
      <c r="I66"/>
      <c r="J66"/>
      <c r="K66"/>
      <c r="L66"/>
      <c r="M66"/>
      <c r="N66"/>
      <c r="O66"/>
      <c r="P66"/>
    </row>
    <row r="67" spans="1:16" ht="13.5" thickBot="1">
      <c r="A67" s="641" t="s">
        <v>486</v>
      </c>
      <c r="B67" s="656">
        <f aca="true" t="shared" si="12" ref="B67:H67">+B64/B65/6</f>
        <v>14903.166666666666</v>
      </c>
      <c r="C67" s="646">
        <f t="shared" si="12"/>
        <v>17835.183500151652</v>
      </c>
      <c r="D67" s="657">
        <f t="shared" si="12"/>
        <v>22490.833333333332</v>
      </c>
      <c r="E67" s="646">
        <f t="shared" si="12"/>
        <v>11575.978535353535</v>
      </c>
      <c r="F67" s="657">
        <f t="shared" si="12"/>
        <v>22082.083333333332</v>
      </c>
      <c r="G67" s="689">
        <f t="shared" si="12"/>
        <v>9762.297039159503</v>
      </c>
      <c r="H67" s="642">
        <f t="shared" si="12"/>
        <v>14700.80025204789</v>
      </c>
      <c r="I67"/>
      <c r="J67"/>
      <c r="K67"/>
      <c r="L67"/>
      <c r="M67"/>
      <c r="N67"/>
      <c r="O67"/>
      <c r="P67"/>
    </row>
    <row r="68" spans="1:16" ht="3.75" customHeight="1" thickBot="1">
      <c r="A68"/>
      <c r="I68"/>
      <c r="J68"/>
      <c r="K68"/>
      <c r="L68"/>
      <c r="M68"/>
      <c r="N68"/>
      <c r="O68"/>
      <c r="P68"/>
    </row>
    <row r="69" spans="1:16" ht="13.5" thickBot="1">
      <c r="A69" s="690" t="s">
        <v>488</v>
      </c>
      <c r="B69" s="691">
        <f aca="true" t="shared" si="13" ref="B69:H69">+B65-B58</f>
        <v>0.6599999999999999</v>
      </c>
      <c r="C69" s="436">
        <f t="shared" si="13"/>
        <v>-3.039999999999999</v>
      </c>
      <c r="D69" s="436">
        <f t="shared" si="13"/>
        <v>0</v>
      </c>
      <c r="E69" s="436">
        <f t="shared" si="13"/>
        <v>5.28</v>
      </c>
      <c r="F69" s="437">
        <f t="shared" si="13"/>
        <v>-0.33999999999999986</v>
      </c>
      <c r="G69" s="660">
        <f t="shared" si="13"/>
        <v>0.08000000000000007</v>
      </c>
      <c r="H69" s="660">
        <f t="shared" si="13"/>
        <v>2.640000000000004</v>
      </c>
      <c r="I69"/>
      <c r="J69"/>
      <c r="K69"/>
      <c r="L69"/>
      <c r="M69"/>
      <c r="N69"/>
      <c r="O69"/>
      <c r="P69"/>
    </row>
    <row r="70" spans="1:16" ht="13.5" thickBot="1">
      <c r="A70" s="690" t="s">
        <v>489</v>
      </c>
      <c r="B70" s="692">
        <f aca="true" t="shared" si="14" ref="B70:H70">+B67-B60</f>
        <v>3317.8725490196084</v>
      </c>
      <c r="C70" s="661">
        <f t="shared" si="14"/>
        <v>1462.5059045232356</v>
      </c>
      <c r="D70" s="661">
        <f t="shared" si="14"/>
        <v>2156.6666666666642</v>
      </c>
      <c r="E70" s="661">
        <f t="shared" si="14"/>
        <v>11575.978535353535</v>
      </c>
      <c r="F70" s="662">
        <f t="shared" si="14"/>
        <v>1619.1915954415927</v>
      </c>
      <c r="G70" s="663">
        <f t="shared" si="14"/>
        <v>92.46612128510606</v>
      </c>
      <c r="H70" s="663">
        <f t="shared" si="14"/>
        <v>-96.32280549096322</v>
      </c>
      <c r="I70"/>
      <c r="J70"/>
      <c r="K70"/>
      <c r="L70"/>
      <c r="M70"/>
      <c r="N70"/>
      <c r="O70"/>
      <c r="P70"/>
    </row>
  </sheetData>
  <mergeCells count="16">
    <mergeCell ref="B2:J2"/>
    <mergeCell ref="A55:A56"/>
    <mergeCell ref="B55:H55"/>
    <mergeCell ref="A2:A5"/>
    <mergeCell ref="E34:G34"/>
    <mergeCell ref="B34:D34"/>
    <mergeCell ref="G37:G38"/>
    <mergeCell ref="B37:B38"/>
    <mergeCell ref="C37:F37"/>
    <mergeCell ref="A37:A38"/>
    <mergeCell ref="H3:J3"/>
    <mergeCell ref="A62:A63"/>
    <mergeCell ref="B62:H62"/>
    <mergeCell ref="A46:A47"/>
    <mergeCell ref="B46:B47"/>
    <mergeCell ref="C46:H46"/>
  </mergeCells>
  <printOptions horizontalCentered="1"/>
  <pageMargins left="0.2362204724409449" right="0.2755905511811024" top="0.43" bottom="0.32" header="0.2" footer="0.17"/>
  <pageSetup horizontalDpi="600" verticalDpi="600" orientation="portrait" paperSize="9" scale="85" r:id="rId1"/>
  <headerFooter alignWithMargins="0">
    <oddFooter>&amp;C&amp;8&amp;P / 25</oddFooter>
  </headerFooter>
</worksheet>
</file>

<file path=xl/worksheets/sheet2.xml><?xml version="1.0" encoding="utf-8"?>
<worksheet xmlns="http://schemas.openxmlformats.org/spreadsheetml/2006/main" xmlns:r="http://schemas.openxmlformats.org/officeDocument/2006/relationships">
  <dimension ref="A3:M45"/>
  <sheetViews>
    <sheetView workbookViewId="0" topLeftCell="A1">
      <selection activeCell="A1" sqref="A1"/>
    </sheetView>
  </sheetViews>
  <sheetFormatPr defaultColWidth="9.00390625" defaultRowHeight="12.75"/>
  <cols>
    <col min="1" max="1" width="11.625" style="0" customWidth="1"/>
    <col min="11" max="11" width="10.875" style="0" bestFit="1" customWidth="1"/>
  </cols>
  <sheetData>
    <row r="3" spans="1:13" ht="16.5" thickBot="1">
      <c r="A3" s="25" t="s">
        <v>188</v>
      </c>
      <c r="M3" s="28" t="s">
        <v>43</v>
      </c>
    </row>
    <row r="4" spans="1:13" ht="16.5" thickBot="1">
      <c r="A4" s="755" t="s">
        <v>22</v>
      </c>
      <c r="B4" s="752" t="s">
        <v>6</v>
      </c>
      <c r="C4" s="753"/>
      <c r="D4" s="753"/>
      <c r="E4" s="753"/>
      <c r="F4" s="753"/>
      <c r="G4" s="753"/>
      <c r="H4" s="753"/>
      <c r="I4" s="753"/>
      <c r="J4" s="753"/>
      <c r="K4" s="753"/>
      <c r="L4" s="753"/>
      <c r="M4" s="754"/>
    </row>
    <row r="5" spans="1:13" s="35" customFormat="1" ht="20.25" customHeight="1">
      <c r="A5" s="756"/>
      <c r="B5" s="33" t="s">
        <v>32</v>
      </c>
      <c r="C5" s="34" t="s">
        <v>33</v>
      </c>
      <c r="D5" s="33" t="s">
        <v>34</v>
      </c>
      <c r="E5" s="34" t="s">
        <v>33</v>
      </c>
      <c r="F5" s="33" t="s">
        <v>35</v>
      </c>
      <c r="G5" s="34" t="s">
        <v>33</v>
      </c>
      <c r="H5" s="33" t="s">
        <v>36</v>
      </c>
      <c r="I5" s="34" t="s">
        <v>33</v>
      </c>
      <c r="J5" s="33" t="s">
        <v>37</v>
      </c>
      <c r="K5" s="34" t="s">
        <v>33</v>
      </c>
      <c r="L5" s="33" t="s">
        <v>38</v>
      </c>
      <c r="M5" s="34" t="s">
        <v>33</v>
      </c>
    </row>
    <row r="6" spans="1:13" ht="13.5" thickBot="1">
      <c r="A6" s="757"/>
      <c r="B6" s="17">
        <v>2004</v>
      </c>
      <c r="C6" s="18" t="s">
        <v>39</v>
      </c>
      <c r="D6" s="17">
        <v>2004</v>
      </c>
      <c r="E6" s="18" t="s">
        <v>39</v>
      </c>
      <c r="F6" s="17">
        <v>2004</v>
      </c>
      <c r="G6" s="18" t="s">
        <v>39</v>
      </c>
      <c r="H6" s="17">
        <v>2004</v>
      </c>
      <c r="I6" s="18" t="s">
        <v>39</v>
      </c>
      <c r="J6" s="17">
        <v>2004</v>
      </c>
      <c r="K6" s="18" t="s">
        <v>39</v>
      </c>
      <c r="L6" s="17">
        <v>2004</v>
      </c>
      <c r="M6" s="18" t="s">
        <v>39</v>
      </c>
    </row>
    <row r="7" spans="1:13" ht="18.75" customHeight="1">
      <c r="A7" s="19" t="s">
        <v>28</v>
      </c>
      <c r="B7" s="20">
        <v>116773</v>
      </c>
      <c r="C7" s="21">
        <v>100765</v>
      </c>
      <c r="D7" s="20">
        <v>113137</v>
      </c>
      <c r="E7" s="21">
        <v>91539</v>
      </c>
      <c r="F7" s="20">
        <v>110508</v>
      </c>
      <c r="G7" s="21">
        <v>90317</v>
      </c>
      <c r="H7" s="20">
        <v>99353</v>
      </c>
      <c r="I7" s="21">
        <v>76430</v>
      </c>
      <c r="J7" s="20">
        <v>104368</v>
      </c>
      <c r="K7" s="21">
        <v>80044</v>
      </c>
      <c r="L7" s="20">
        <v>92770</v>
      </c>
      <c r="M7" s="21">
        <v>76463</v>
      </c>
    </row>
    <row r="8" spans="1:13" ht="18.75" customHeight="1">
      <c r="A8" s="22" t="s">
        <v>27</v>
      </c>
      <c r="B8" s="23">
        <v>199467</v>
      </c>
      <c r="C8" s="5">
        <v>173045</v>
      </c>
      <c r="D8" s="23">
        <v>193695</v>
      </c>
      <c r="E8" s="5">
        <v>166080</v>
      </c>
      <c r="F8" s="23">
        <v>197594</v>
      </c>
      <c r="G8" s="5">
        <v>166661</v>
      </c>
      <c r="H8" s="23">
        <v>202233</v>
      </c>
      <c r="I8" s="5">
        <v>167136</v>
      </c>
      <c r="J8" s="23">
        <v>202506</v>
      </c>
      <c r="K8" s="5">
        <v>166009</v>
      </c>
      <c r="L8" s="23">
        <v>199971</v>
      </c>
      <c r="M8" s="5">
        <v>164947</v>
      </c>
    </row>
    <row r="9" spans="1:13" ht="18.75" customHeight="1">
      <c r="A9" s="22" t="s">
        <v>26</v>
      </c>
      <c r="B9" s="23">
        <v>18723</v>
      </c>
      <c r="C9" s="5">
        <v>9379</v>
      </c>
      <c r="D9" s="23">
        <v>18811</v>
      </c>
      <c r="E9" s="5">
        <v>8946</v>
      </c>
      <c r="F9" s="23">
        <v>19258</v>
      </c>
      <c r="G9" s="5">
        <v>7830</v>
      </c>
      <c r="H9" s="23">
        <v>21635</v>
      </c>
      <c r="I9" s="5">
        <v>7330</v>
      </c>
      <c r="J9" s="23">
        <v>20749</v>
      </c>
      <c r="K9" s="5">
        <v>8421</v>
      </c>
      <c r="L9" s="23">
        <v>18510</v>
      </c>
      <c r="M9" s="5">
        <v>7184</v>
      </c>
    </row>
    <row r="10" spans="1:13" ht="18.75" customHeight="1">
      <c r="A10" s="22" t="s">
        <v>25</v>
      </c>
      <c r="B10" s="23">
        <v>79853</v>
      </c>
      <c r="C10" s="5">
        <v>68086</v>
      </c>
      <c r="D10" s="23">
        <v>84125</v>
      </c>
      <c r="E10" s="5">
        <v>68816</v>
      </c>
      <c r="F10" s="23">
        <v>84119</v>
      </c>
      <c r="G10" s="5">
        <v>67161</v>
      </c>
      <c r="H10" s="23">
        <v>69555</v>
      </c>
      <c r="I10" s="5">
        <v>49099</v>
      </c>
      <c r="J10" s="23">
        <v>54593</v>
      </c>
      <c r="K10" s="5">
        <v>30419</v>
      </c>
      <c r="L10" s="23">
        <v>56413</v>
      </c>
      <c r="M10" s="5">
        <v>30636</v>
      </c>
    </row>
    <row r="11" spans="1:13" ht="18.75" customHeight="1" thickBot="1">
      <c r="A11" s="162" t="s">
        <v>40</v>
      </c>
      <c r="B11" s="38">
        <v>30428</v>
      </c>
      <c r="C11" s="39">
        <v>9017</v>
      </c>
      <c r="D11" s="38">
        <v>34764</v>
      </c>
      <c r="E11" s="39">
        <v>8267</v>
      </c>
      <c r="F11" s="38">
        <v>32223</v>
      </c>
      <c r="G11" s="39">
        <v>4597</v>
      </c>
      <c r="H11" s="38">
        <v>36367</v>
      </c>
      <c r="I11" s="39">
        <v>3678</v>
      </c>
      <c r="J11" s="38">
        <v>36439</v>
      </c>
      <c r="K11" s="39">
        <v>4039</v>
      </c>
      <c r="L11" s="38">
        <v>39050</v>
      </c>
      <c r="M11" s="39">
        <v>8001</v>
      </c>
    </row>
    <row r="12" spans="1:13" ht="18.75" customHeight="1" thickBot="1">
      <c r="A12" s="163" t="s">
        <v>31</v>
      </c>
      <c r="B12" s="164">
        <f aca="true" t="shared" si="0" ref="B12:M12">SUM(B7:B11)</f>
        <v>445244</v>
      </c>
      <c r="C12" s="48">
        <f t="shared" si="0"/>
        <v>360292</v>
      </c>
      <c r="D12" s="164">
        <f t="shared" si="0"/>
        <v>444532</v>
      </c>
      <c r="E12" s="48">
        <f t="shared" si="0"/>
        <v>343648</v>
      </c>
      <c r="F12" s="164">
        <f t="shared" si="0"/>
        <v>443702</v>
      </c>
      <c r="G12" s="48">
        <f t="shared" si="0"/>
        <v>336566</v>
      </c>
      <c r="H12" s="164">
        <f t="shared" si="0"/>
        <v>429143</v>
      </c>
      <c r="I12" s="48">
        <f t="shared" si="0"/>
        <v>303673</v>
      </c>
      <c r="J12" s="164">
        <f t="shared" si="0"/>
        <v>418655</v>
      </c>
      <c r="K12" s="48">
        <f t="shared" si="0"/>
        <v>288932</v>
      </c>
      <c r="L12" s="164">
        <f t="shared" si="0"/>
        <v>406714</v>
      </c>
      <c r="M12" s="48">
        <f t="shared" si="0"/>
        <v>287231</v>
      </c>
    </row>
    <row r="13" ht="3.75" customHeight="1"/>
    <row r="14" spans="1:13" ht="2.25" customHeight="1" thickBot="1">
      <c r="A14" s="25"/>
      <c r="M14" s="28" t="s">
        <v>43</v>
      </c>
    </row>
    <row r="15" spans="1:13" ht="16.5" thickBot="1">
      <c r="A15" s="755" t="s">
        <v>22</v>
      </c>
      <c r="B15" s="752" t="s">
        <v>7</v>
      </c>
      <c r="C15" s="753"/>
      <c r="D15" s="753"/>
      <c r="E15" s="753"/>
      <c r="F15" s="753"/>
      <c r="G15" s="753"/>
      <c r="H15" s="753"/>
      <c r="I15" s="753"/>
      <c r="J15" s="753"/>
      <c r="K15" s="753"/>
      <c r="L15" s="753"/>
      <c r="M15" s="754"/>
    </row>
    <row r="16" spans="1:13" s="35" customFormat="1" ht="20.25" customHeight="1">
      <c r="A16" s="756"/>
      <c r="B16" s="33" t="s">
        <v>32</v>
      </c>
      <c r="C16" s="34" t="s">
        <v>33</v>
      </c>
      <c r="D16" s="33" t="s">
        <v>8</v>
      </c>
      <c r="E16" s="34" t="s">
        <v>33</v>
      </c>
      <c r="F16" s="33" t="s">
        <v>35</v>
      </c>
      <c r="G16" s="34" t="s">
        <v>33</v>
      </c>
      <c r="H16" s="33" t="s">
        <v>36</v>
      </c>
      <c r="I16" s="34" t="s">
        <v>33</v>
      </c>
      <c r="J16" s="33" t="s">
        <v>37</v>
      </c>
      <c r="K16" s="34" t="s">
        <v>33</v>
      </c>
      <c r="L16" s="33" t="s">
        <v>38</v>
      </c>
      <c r="M16" s="34" t="s">
        <v>33</v>
      </c>
    </row>
    <row r="17" spans="1:13" ht="13.5" thickBot="1">
      <c r="A17" s="757"/>
      <c r="B17" s="17">
        <v>2005</v>
      </c>
      <c r="C17" s="18" t="s">
        <v>39</v>
      </c>
      <c r="D17" s="17">
        <v>2005</v>
      </c>
      <c r="E17" s="18" t="s">
        <v>39</v>
      </c>
      <c r="F17" s="17">
        <v>2005</v>
      </c>
      <c r="G17" s="18" t="s">
        <v>39</v>
      </c>
      <c r="H17" s="17">
        <v>2005</v>
      </c>
      <c r="I17" s="18" t="s">
        <v>39</v>
      </c>
      <c r="J17" s="17">
        <v>2005</v>
      </c>
      <c r="K17" s="18" t="s">
        <v>39</v>
      </c>
      <c r="L17" s="17">
        <v>2005</v>
      </c>
      <c r="M17" s="18" t="s">
        <v>39</v>
      </c>
    </row>
    <row r="18" spans="1:13" ht="18.75" customHeight="1">
      <c r="A18" s="19" t="s">
        <v>28</v>
      </c>
      <c r="B18" s="20">
        <f>110460+1218+3001</f>
        <v>114679</v>
      </c>
      <c r="C18" s="21">
        <f>13981+30712+21122+22244+40</f>
        <v>88099</v>
      </c>
      <c r="D18" s="20">
        <f>120397+1341+5343</f>
        <v>127081</v>
      </c>
      <c r="E18" s="21">
        <f>19399+30393+24284+23064+45</f>
        <v>97185</v>
      </c>
      <c r="F18" s="20">
        <f>103426+388+7685</f>
        <v>111499</v>
      </c>
      <c r="G18" s="21">
        <f>16762+26699+25970+15028+40</f>
        <v>84499</v>
      </c>
      <c r="H18" s="20">
        <f>102396+311+10580</f>
        <v>113287</v>
      </c>
      <c r="I18" s="21">
        <f>15203+29635+23520+12273+41</f>
        <v>80672</v>
      </c>
      <c r="J18" s="20">
        <f>101966+325+12405</f>
        <v>114696</v>
      </c>
      <c r="K18" s="21">
        <f>13707+27055+22597+12150+40</f>
        <v>75549</v>
      </c>
      <c r="L18" s="20">
        <f>104324+199+2804</f>
        <v>107327</v>
      </c>
      <c r="M18" s="21">
        <f>15831+26329+22069+12868+699</f>
        <v>77796</v>
      </c>
    </row>
    <row r="19" spans="1:13" ht="18.75" customHeight="1">
      <c r="A19" s="22" t="s">
        <v>27</v>
      </c>
      <c r="B19" s="23">
        <f>178100+14+7725</f>
        <v>185839</v>
      </c>
      <c r="C19" s="5">
        <f>21650+25007+24326+44669+20090</f>
        <v>135742</v>
      </c>
      <c r="D19" s="23">
        <f>195151+11+3290</f>
        <v>198452</v>
      </c>
      <c r="E19" s="5">
        <f>21096+32507+26148+44274+26249</f>
        <v>150274</v>
      </c>
      <c r="F19" s="23">
        <f>201793+12+2796</f>
        <v>204601</v>
      </c>
      <c r="G19" s="5">
        <f>25298+37589+27303+43345+22199</f>
        <v>155734</v>
      </c>
      <c r="H19" s="23">
        <f>194982+27+2397</f>
        <v>197406</v>
      </c>
      <c r="I19" s="5">
        <f>24804+38941+32532+40233+11389</f>
        <v>147899</v>
      </c>
      <c r="J19" s="23">
        <f>200445+26+1884</f>
        <v>202355</v>
      </c>
      <c r="K19" s="5">
        <f>26582+43615+33208+39511+9817</f>
        <v>152733</v>
      </c>
      <c r="L19" s="23">
        <f>201901+28+1490</f>
        <v>203419</v>
      </c>
      <c r="M19" s="5">
        <f>25499+43260+33424+40826+9404</f>
        <v>152413</v>
      </c>
    </row>
    <row r="20" spans="1:13" ht="18.75" customHeight="1">
      <c r="A20" s="22" t="s">
        <v>26</v>
      </c>
      <c r="B20" s="23">
        <f>23574+266</f>
        <v>23840</v>
      </c>
      <c r="C20" s="5">
        <f>5471+106-7+7-1</f>
        <v>5576</v>
      </c>
      <c r="D20" s="23">
        <f>24743+151</f>
        <v>24894</v>
      </c>
      <c r="E20" s="5">
        <f>9452+1792+62</f>
        <v>11306</v>
      </c>
      <c r="F20" s="23">
        <f>28216+122</f>
        <v>28338</v>
      </c>
      <c r="G20" s="5">
        <f>9349+4508+29</f>
        <v>13886</v>
      </c>
      <c r="H20" s="23">
        <f>28029+50+172</f>
        <v>28251</v>
      </c>
      <c r="I20" s="5">
        <f>8125+3672+72</f>
        <v>11869</v>
      </c>
      <c r="J20" s="23">
        <f>28342+50+48</f>
        <v>28440</v>
      </c>
      <c r="K20" s="5">
        <f>9157+3173</f>
        <v>12330</v>
      </c>
      <c r="L20" s="23">
        <f>24167+50+71</f>
        <v>24288</v>
      </c>
      <c r="M20" s="5">
        <f>7721+2319-1</f>
        <v>10039</v>
      </c>
    </row>
    <row r="21" spans="1:13" ht="18.75" customHeight="1">
      <c r="A21" s="22" t="s">
        <v>25</v>
      </c>
      <c r="B21" s="23">
        <f>64577+63</f>
        <v>64640</v>
      </c>
      <c r="C21" s="5">
        <f>12683+16696+11045+2</f>
        <v>40426</v>
      </c>
      <c r="D21" s="23">
        <f>72282+136</f>
        <v>72418</v>
      </c>
      <c r="E21" s="5">
        <f>13690+20505+11630</f>
        <v>45825</v>
      </c>
      <c r="F21" s="23">
        <f>73816+134</f>
        <v>73950</v>
      </c>
      <c r="G21" s="5">
        <f>14955+21385+10787+7</f>
        <v>47134</v>
      </c>
      <c r="H21" s="23">
        <f>86090+72</f>
        <v>86162</v>
      </c>
      <c r="I21" s="5">
        <f>10814+17853+19367</f>
        <v>48034</v>
      </c>
      <c r="J21" s="23">
        <f>86320+126+0</f>
        <v>86446</v>
      </c>
      <c r="K21" s="5">
        <f>11070+12928+10609</f>
        <v>34607</v>
      </c>
      <c r="L21" s="23">
        <f>94096+140</f>
        <v>94236</v>
      </c>
      <c r="M21" s="5">
        <f>6536+15286+10337</f>
        <v>32159</v>
      </c>
    </row>
    <row r="22" spans="1:13" ht="18.75" customHeight="1" thickBot="1">
      <c r="A22" s="162" t="s">
        <v>40</v>
      </c>
      <c r="B22" s="38">
        <v>26502</v>
      </c>
      <c r="C22" s="39">
        <v>-96</v>
      </c>
      <c r="D22" s="38">
        <v>26475</v>
      </c>
      <c r="E22" s="39">
        <f>285-3</f>
        <v>282</v>
      </c>
      <c r="F22" s="38">
        <v>23146</v>
      </c>
      <c r="G22" s="39">
        <f>89-3</f>
        <v>86</v>
      </c>
      <c r="H22" s="38">
        <v>26834</v>
      </c>
      <c r="I22" s="39">
        <f>104+78-3</f>
        <v>179</v>
      </c>
      <c r="J22" s="38">
        <v>23939</v>
      </c>
      <c r="K22" s="39">
        <f>247+65-3</f>
        <v>309</v>
      </c>
      <c r="L22" s="38">
        <f>24097+5</f>
        <v>24102</v>
      </c>
      <c r="M22" s="39">
        <f>70-12-3</f>
        <v>55</v>
      </c>
    </row>
    <row r="23" spans="1:13" ht="18.75" customHeight="1" thickBot="1">
      <c r="A23" s="163" t="s">
        <v>31</v>
      </c>
      <c r="B23" s="164">
        <f aca="true" t="shared" si="1" ref="B23:M23">SUM(B18:B22)</f>
        <v>415500</v>
      </c>
      <c r="C23" s="48">
        <f t="shared" si="1"/>
        <v>269747</v>
      </c>
      <c r="D23" s="164">
        <f t="shared" si="1"/>
        <v>449320</v>
      </c>
      <c r="E23" s="48">
        <f t="shared" si="1"/>
        <v>304872</v>
      </c>
      <c r="F23" s="164">
        <f t="shared" si="1"/>
        <v>441534</v>
      </c>
      <c r="G23" s="48">
        <f t="shared" si="1"/>
        <v>301339</v>
      </c>
      <c r="H23" s="164">
        <f t="shared" si="1"/>
        <v>451940</v>
      </c>
      <c r="I23" s="48">
        <f t="shared" si="1"/>
        <v>288653</v>
      </c>
      <c r="J23" s="164">
        <f t="shared" si="1"/>
        <v>455876</v>
      </c>
      <c r="K23" s="48">
        <f t="shared" si="1"/>
        <v>275528</v>
      </c>
      <c r="L23" s="164">
        <f t="shared" si="1"/>
        <v>453372</v>
      </c>
      <c r="M23" s="48">
        <f t="shared" si="1"/>
        <v>272462</v>
      </c>
    </row>
    <row r="25" spans="1:13" ht="16.5" thickBot="1">
      <c r="A25" s="25"/>
      <c r="M25" s="28" t="s">
        <v>43</v>
      </c>
    </row>
    <row r="26" spans="1:13" ht="16.5" thickBot="1">
      <c r="A26" s="755" t="s">
        <v>22</v>
      </c>
      <c r="B26" s="752" t="s">
        <v>9</v>
      </c>
      <c r="C26" s="753"/>
      <c r="D26" s="753"/>
      <c r="E26" s="753"/>
      <c r="F26" s="753"/>
      <c r="G26" s="753"/>
      <c r="H26" s="753"/>
      <c r="I26" s="753"/>
      <c r="J26" s="753"/>
      <c r="K26" s="753"/>
      <c r="L26" s="753"/>
      <c r="M26" s="754"/>
    </row>
    <row r="27" spans="1:13" s="35" customFormat="1" ht="18.75" customHeight="1">
      <c r="A27" s="756"/>
      <c r="B27" s="33" t="s">
        <v>32</v>
      </c>
      <c r="C27" s="34" t="s">
        <v>33</v>
      </c>
      <c r="D27" s="33" t="s">
        <v>34</v>
      </c>
      <c r="E27" s="34" t="s">
        <v>33</v>
      </c>
      <c r="F27" s="33" t="s">
        <v>35</v>
      </c>
      <c r="G27" s="34" t="s">
        <v>33</v>
      </c>
      <c r="H27" s="33" t="s">
        <v>36</v>
      </c>
      <c r="I27" s="34" t="s">
        <v>33</v>
      </c>
      <c r="J27" s="33" t="s">
        <v>37</v>
      </c>
      <c r="K27" s="34" t="s">
        <v>33</v>
      </c>
      <c r="L27" s="33" t="s">
        <v>38</v>
      </c>
      <c r="M27" s="34" t="s">
        <v>33</v>
      </c>
    </row>
    <row r="28" spans="1:13" ht="13.5" thickBot="1">
      <c r="A28" s="757"/>
      <c r="B28" s="17">
        <v>2004</v>
      </c>
      <c r="C28" s="18" t="s">
        <v>39</v>
      </c>
      <c r="D28" s="17">
        <v>2004</v>
      </c>
      <c r="E28" s="18" t="s">
        <v>39</v>
      </c>
      <c r="F28" s="17">
        <v>2004</v>
      </c>
      <c r="G28" s="18" t="s">
        <v>39</v>
      </c>
      <c r="H28" s="17">
        <v>2004</v>
      </c>
      <c r="I28" s="18" t="s">
        <v>39</v>
      </c>
      <c r="J28" s="17">
        <v>2004</v>
      </c>
      <c r="K28" s="18" t="s">
        <v>39</v>
      </c>
      <c r="L28" s="17">
        <v>2004</v>
      </c>
      <c r="M28" s="18" t="s">
        <v>39</v>
      </c>
    </row>
    <row r="29" spans="1:13" ht="18" customHeight="1">
      <c r="A29" s="19" t="s">
        <v>28</v>
      </c>
      <c r="B29" s="20">
        <v>68964</v>
      </c>
      <c r="C29" s="21">
        <f>16238+155+316+1538+6566</f>
        <v>24813</v>
      </c>
      <c r="D29" s="20">
        <v>71369</v>
      </c>
      <c r="E29" s="21">
        <f>18090+58+244+1258+6995</f>
        <v>26645</v>
      </c>
      <c r="F29" s="20">
        <v>70039</v>
      </c>
      <c r="G29" s="21">
        <v>24736</v>
      </c>
      <c r="H29" s="20">
        <v>70762</v>
      </c>
      <c r="I29" s="21">
        <v>26932</v>
      </c>
      <c r="J29" s="20">
        <v>72136</v>
      </c>
      <c r="K29" s="21">
        <v>26900</v>
      </c>
      <c r="L29" s="20">
        <v>74767</v>
      </c>
      <c r="M29" s="21">
        <v>28978</v>
      </c>
    </row>
    <row r="30" spans="1:13" ht="18" customHeight="1">
      <c r="A30" s="22" t="s">
        <v>27</v>
      </c>
      <c r="B30" s="23">
        <v>83285</v>
      </c>
      <c r="C30" s="5">
        <v>33130</v>
      </c>
      <c r="D30" s="23">
        <v>83285</v>
      </c>
      <c r="E30" s="5">
        <v>33130</v>
      </c>
      <c r="F30" s="23">
        <v>97014</v>
      </c>
      <c r="G30" s="5">
        <v>39117</v>
      </c>
      <c r="H30" s="23">
        <v>101887</v>
      </c>
      <c r="I30" s="5">
        <v>19118</v>
      </c>
      <c r="J30" s="23">
        <v>110163</v>
      </c>
      <c r="K30" s="5">
        <v>35949</v>
      </c>
      <c r="L30" s="23">
        <v>91415</v>
      </c>
      <c r="M30" s="5">
        <v>17576</v>
      </c>
    </row>
    <row r="31" spans="1:13" ht="18" customHeight="1">
      <c r="A31" s="22" t="s">
        <v>26</v>
      </c>
      <c r="B31" s="23">
        <v>44346</v>
      </c>
      <c r="C31" s="5">
        <v>4679</v>
      </c>
      <c r="D31" s="23">
        <v>55434</v>
      </c>
      <c r="E31" s="5">
        <v>2252</v>
      </c>
      <c r="F31" s="23">
        <v>46028</v>
      </c>
      <c r="G31" s="5">
        <v>3917</v>
      </c>
      <c r="H31" s="23">
        <v>49595</v>
      </c>
      <c r="I31" s="5">
        <v>4641</v>
      </c>
      <c r="J31" s="23">
        <v>57068</v>
      </c>
      <c r="K31" s="5">
        <v>2569</v>
      </c>
      <c r="L31" s="23">
        <v>59768</v>
      </c>
      <c r="M31" s="5">
        <v>3361</v>
      </c>
    </row>
    <row r="32" spans="1:13" ht="18" customHeight="1">
      <c r="A32" s="22" t="s">
        <v>25</v>
      </c>
      <c r="B32" s="23">
        <v>53727</v>
      </c>
      <c r="C32" s="5">
        <v>7801</v>
      </c>
      <c r="D32" s="23">
        <v>63221</v>
      </c>
      <c r="E32" s="5">
        <v>6874</v>
      </c>
      <c r="F32" s="23">
        <v>66680</v>
      </c>
      <c r="G32" s="5">
        <v>5756</v>
      </c>
      <c r="H32" s="23">
        <v>70243</v>
      </c>
      <c r="I32" s="5">
        <v>4923</v>
      </c>
      <c r="J32" s="23">
        <v>62787</v>
      </c>
      <c r="K32" s="5">
        <v>7779</v>
      </c>
      <c r="L32" s="23">
        <v>67816</v>
      </c>
      <c r="M32" s="5">
        <v>6659</v>
      </c>
    </row>
    <row r="33" spans="1:13" ht="18" customHeight="1" thickBot="1">
      <c r="A33" s="162" t="s">
        <v>30</v>
      </c>
      <c r="B33" s="38">
        <v>58451</v>
      </c>
      <c r="C33" s="39">
        <v>5826</v>
      </c>
      <c r="D33" s="38">
        <v>77872</v>
      </c>
      <c r="E33" s="39">
        <v>10996</v>
      </c>
      <c r="F33" s="38">
        <v>65430</v>
      </c>
      <c r="G33" s="39">
        <v>8453</v>
      </c>
      <c r="H33" s="38">
        <v>80594</v>
      </c>
      <c r="I33" s="39">
        <v>10988</v>
      </c>
      <c r="J33" s="38">
        <v>77534</v>
      </c>
      <c r="K33" s="39">
        <v>24350</v>
      </c>
      <c r="L33" s="38">
        <v>81021</v>
      </c>
      <c r="M33" s="39">
        <v>24512</v>
      </c>
    </row>
    <row r="34" spans="1:13" ht="19.5" customHeight="1" thickBot="1">
      <c r="A34" s="163" t="s">
        <v>31</v>
      </c>
      <c r="B34" s="164">
        <f aca="true" t="shared" si="2" ref="B34:M34">SUM(B29:B33)</f>
        <v>308773</v>
      </c>
      <c r="C34" s="48">
        <f t="shared" si="2"/>
        <v>76249</v>
      </c>
      <c r="D34" s="164">
        <f t="shared" si="2"/>
        <v>351181</v>
      </c>
      <c r="E34" s="48">
        <f t="shared" si="2"/>
        <v>79897</v>
      </c>
      <c r="F34" s="164">
        <f t="shared" si="2"/>
        <v>345191</v>
      </c>
      <c r="G34" s="48">
        <f t="shared" si="2"/>
        <v>81979</v>
      </c>
      <c r="H34" s="164">
        <f t="shared" si="2"/>
        <v>373081</v>
      </c>
      <c r="I34" s="48">
        <f t="shared" si="2"/>
        <v>66602</v>
      </c>
      <c r="J34" s="164">
        <f t="shared" si="2"/>
        <v>379688</v>
      </c>
      <c r="K34" s="48">
        <f t="shared" si="2"/>
        <v>97547</v>
      </c>
      <c r="L34" s="164">
        <f t="shared" si="2"/>
        <v>374787</v>
      </c>
      <c r="M34" s="48">
        <f t="shared" si="2"/>
        <v>81086</v>
      </c>
    </row>
    <row r="35" ht="3" customHeight="1"/>
    <row r="36" spans="1:13" ht="2.25" customHeight="1" thickBot="1">
      <c r="A36" s="25"/>
      <c r="M36" s="28" t="s">
        <v>43</v>
      </c>
    </row>
    <row r="37" spans="1:13" ht="16.5" thickBot="1">
      <c r="A37" s="755" t="s">
        <v>22</v>
      </c>
      <c r="B37" s="752" t="s">
        <v>10</v>
      </c>
      <c r="C37" s="753"/>
      <c r="D37" s="753"/>
      <c r="E37" s="753"/>
      <c r="F37" s="753"/>
      <c r="G37" s="753"/>
      <c r="H37" s="753"/>
      <c r="I37" s="753"/>
      <c r="J37" s="753"/>
      <c r="K37" s="753"/>
      <c r="L37" s="753"/>
      <c r="M37" s="754"/>
    </row>
    <row r="38" spans="1:13" s="35" customFormat="1" ht="20.25" customHeight="1">
      <c r="A38" s="756"/>
      <c r="B38" s="33" t="s">
        <v>32</v>
      </c>
      <c r="C38" s="34" t="s">
        <v>33</v>
      </c>
      <c r="D38" s="33" t="s">
        <v>8</v>
      </c>
      <c r="E38" s="34" t="s">
        <v>33</v>
      </c>
      <c r="F38" s="33" t="s">
        <v>35</v>
      </c>
      <c r="G38" s="34" t="s">
        <v>33</v>
      </c>
      <c r="H38" s="33" t="s">
        <v>36</v>
      </c>
      <c r="I38" s="34" t="s">
        <v>33</v>
      </c>
      <c r="J38" s="33" t="s">
        <v>37</v>
      </c>
      <c r="K38" s="34" t="s">
        <v>33</v>
      </c>
      <c r="L38" s="33" t="s">
        <v>38</v>
      </c>
      <c r="M38" s="34" t="s">
        <v>33</v>
      </c>
    </row>
    <row r="39" spans="1:13" ht="13.5" thickBot="1">
      <c r="A39" s="757"/>
      <c r="B39" s="17">
        <v>2005</v>
      </c>
      <c r="C39" s="18" t="s">
        <v>39</v>
      </c>
      <c r="D39" s="17">
        <v>2005</v>
      </c>
      <c r="E39" s="18" t="s">
        <v>39</v>
      </c>
      <c r="F39" s="17">
        <v>2005</v>
      </c>
      <c r="G39" s="18" t="s">
        <v>39</v>
      </c>
      <c r="H39" s="17">
        <v>2005</v>
      </c>
      <c r="I39" s="18" t="s">
        <v>39</v>
      </c>
      <c r="J39" s="17">
        <v>2005</v>
      </c>
      <c r="K39" s="18" t="s">
        <v>39</v>
      </c>
      <c r="L39" s="17">
        <v>2005</v>
      </c>
      <c r="M39" s="18" t="s">
        <v>39</v>
      </c>
    </row>
    <row r="40" spans="1:13" ht="18" customHeight="1">
      <c r="A40" s="19" t="s">
        <v>28</v>
      </c>
      <c r="B40" s="20">
        <f>70974+271+3585</f>
        <v>74830</v>
      </c>
      <c r="C40" s="21">
        <f>21265+215+411+954+6841</f>
        <v>29686</v>
      </c>
      <c r="D40" s="20">
        <f>75167+377+3594</f>
        <v>79138</v>
      </c>
      <c r="E40" s="21">
        <f>23122+2199+523+787+6921</f>
        <v>33552</v>
      </c>
      <c r="F40" s="20">
        <f>71657+349+3577</f>
        <v>75583</v>
      </c>
      <c r="G40" s="21">
        <f>20168+803+445+601+7100</f>
        <v>29117</v>
      </c>
      <c r="H40" s="20">
        <f>72221+514+3554</f>
        <v>76289</v>
      </c>
      <c r="I40" s="21">
        <f>20861+523+385+593+7310</f>
        <v>29672</v>
      </c>
      <c r="J40" s="20">
        <f>73473+508+3646</f>
        <v>77627</v>
      </c>
      <c r="K40" s="21">
        <f>21640+81+449+587+7220</f>
        <v>29977</v>
      </c>
      <c r="L40" s="20">
        <f>73657+488+3789</f>
        <v>77934</v>
      </c>
      <c r="M40" s="21">
        <f>22268+1253+403+578+7081</f>
        <v>31583</v>
      </c>
    </row>
    <row r="41" spans="1:13" ht="18" customHeight="1">
      <c r="A41" s="22" t="s">
        <v>27</v>
      </c>
      <c r="B41" s="23">
        <f>133352+425+3617</f>
        <v>137394</v>
      </c>
      <c r="C41" s="5">
        <f>30200+30352+279+180+2897</f>
        <v>63908</v>
      </c>
      <c r="D41" s="23">
        <f>138452+494+4722</f>
        <v>143668</v>
      </c>
      <c r="E41" s="5">
        <f>27935+11375+2478+176+2931</f>
        <v>44895</v>
      </c>
      <c r="F41" s="23">
        <f>103479+1103+3111</f>
        <v>107693</v>
      </c>
      <c r="G41" s="5">
        <f>31863+2447+471+116+2939</f>
        <v>37836</v>
      </c>
      <c r="H41" s="23">
        <f>119384+388+3271</f>
        <v>123043</v>
      </c>
      <c r="I41" s="5">
        <f>11736+29532+1685+211+2927</f>
        <v>46091</v>
      </c>
      <c r="J41" s="23">
        <f>138218+247+2910</f>
        <v>141375</v>
      </c>
      <c r="K41" s="5">
        <f>8992+7495+1839+232+2973</f>
        <v>21531</v>
      </c>
      <c r="L41" s="23">
        <f>146723+211+2727</f>
        <v>149661</v>
      </c>
      <c r="M41" s="5">
        <f>52904+9539+5132+295+2929</f>
        <v>70799</v>
      </c>
    </row>
    <row r="42" spans="1:13" ht="18" customHeight="1">
      <c r="A42" s="22" t="s">
        <v>26</v>
      </c>
      <c r="B42" s="23">
        <f>56846+149+766</f>
        <v>57761</v>
      </c>
      <c r="C42" s="5">
        <f>13372+151+13+26+682</f>
        <v>14244</v>
      </c>
      <c r="D42" s="23">
        <f>70347+59+832</f>
        <v>71238</v>
      </c>
      <c r="E42" s="5">
        <f>14513+1668+17+26+682</f>
        <v>16906</v>
      </c>
      <c r="F42" s="23">
        <f>59476+71+959</f>
        <v>60506</v>
      </c>
      <c r="G42" s="5">
        <f>16742+42+22+21+687</f>
        <v>17514</v>
      </c>
      <c r="H42" s="23">
        <f>47445+69+1005</f>
        <v>48519</v>
      </c>
      <c r="I42" s="5">
        <f>2123+65+10+21+687</f>
        <v>2906</v>
      </c>
      <c r="J42" s="23">
        <f>49676+44+992</f>
        <v>50712</v>
      </c>
      <c r="K42" s="5">
        <f>4910+111+46+21+687</f>
        <v>5775</v>
      </c>
      <c r="L42" s="23">
        <f>50907+59+1131</f>
        <v>52097</v>
      </c>
      <c r="M42" s="5">
        <f>6756+1466+71+4+708</f>
        <v>9005</v>
      </c>
    </row>
    <row r="43" spans="1:13" ht="18" customHeight="1">
      <c r="A43" s="22" t="s">
        <v>25</v>
      </c>
      <c r="B43" s="23">
        <f>70164+901+0</f>
        <v>71065</v>
      </c>
      <c r="C43" s="5">
        <f>3292+2501+107+136+432</f>
        <v>6468</v>
      </c>
      <c r="D43" s="23">
        <f>73319+2128+14</f>
        <v>75461</v>
      </c>
      <c r="E43" s="5">
        <f>10295+1261+196+151+432</f>
        <v>12335</v>
      </c>
      <c r="F43" s="23">
        <f>73849+2368+14</f>
        <v>76231</v>
      </c>
      <c r="G43" s="5">
        <f>9320+754+277+136+489</f>
        <v>10976</v>
      </c>
      <c r="H43" s="23">
        <f>86272+1799+14</f>
        <v>88085</v>
      </c>
      <c r="I43" s="5">
        <f>22564+5468+373+198+497</f>
        <v>29100</v>
      </c>
      <c r="J43" s="23">
        <f>69274+1051+13</f>
        <v>70338</v>
      </c>
      <c r="K43" s="5">
        <f>3755+2854+250+122+484</f>
        <v>7465</v>
      </c>
      <c r="L43" s="23">
        <f>72331+1002+25</f>
        <v>73358</v>
      </c>
      <c r="M43" s="5">
        <f>7423+407+215+80+577</f>
        <v>8702</v>
      </c>
    </row>
    <row r="44" spans="1:13" ht="18" customHeight="1" thickBot="1">
      <c r="A44" s="162" t="s">
        <v>30</v>
      </c>
      <c r="B44" s="38">
        <f>96450+115+197</f>
        <v>96762</v>
      </c>
      <c r="C44" s="39">
        <f>37637+1236+1078+502+353</f>
        <v>40806</v>
      </c>
      <c r="D44" s="38">
        <f>102546+116+199</f>
        <v>102861</v>
      </c>
      <c r="E44" s="39">
        <f>19261+2922+1630+292+435</f>
        <v>24540</v>
      </c>
      <c r="F44" s="38">
        <f>85451+585+179</f>
        <v>86215</v>
      </c>
      <c r="G44" s="39">
        <f>24476+925+1742+442+271</f>
        <v>27856</v>
      </c>
      <c r="H44" s="38">
        <f>102297+464+189</f>
        <v>102950</v>
      </c>
      <c r="I44" s="39">
        <f>8923+16670+1249+632+147</f>
        <v>27621</v>
      </c>
      <c r="J44" s="38">
        <f>92709+147+200</f>
        <v>93056</v>
      </c>
      <c r="K44" s="39">
        <f>28331+3249+2037+778+165</f>
        <v>34560</v>
      </c>
      <c r="L44" s="38">
        <f>95231+171+259</f>
        <v>95661</v>
      </c>
      <c r="M44" s="39">
        <f>24578+7679+2421+892+136</f>
        <v>35706</v>
      </c>
    </row>
    <row r="45" spans="1:13" ht="19.5" customHeight="1" thickBot="1">
      <c r="A45" s="163" t="s">
        <v>31</v>
      </c>
      <c r="B45" s="164">
        <f aca="true" t="shared" si="3" ref="B45:M45">SUM(B40:B44)</f>
        <v>437812</v>
      </c>
      <c r="C45" s="48">
        <f t="shared" si="3"/>
        <v>155112</v>
      </c>
      <c r="D45" s="164">
        <f t="shared" si="3"/>
        <v>472366</v>
      </c>
      <c r="E45" s="48">
        <f t="shared" si="3"/>
        <v>132228</v>
      </c>
      <c r="F45" s="164">
        <f t="shared" si="3"/>
        <v>406228</v>
      </c>
      <c r="G45" s="48">
        <f t="shared" si="3"/>
        <v>123299</v>
      </c>
      <c r="H45" s="164">
        <f t="shared" si="3"/>
        <v>438886</v>
      </c>
      <c r="I45" s="48">
        <f t="shared" si="3"/>
        <v>135390</v>
      </c>
      <c r="J45" s="164">
        <f t="shared" si="3"/>
        <v>433108</v>
      </c>
      <c r="K45" s="48">
        <f t="shared" si="3"/>
        <v>99308</v>
      </c>
      <c r="L45" s="164">
        <f t="shared" si="3"/>
        <v>448711</v>
      </c>
      <c r="M45" s="48">
        <f t="shared" si="3"/>
        <v>155795</v>
      </c>
    </row>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sheetData>
  <mergeCells count="8">
    <mergeCell ref="B37:M37"/>
    <mergeCell ref="A37:A39"/>
    <mergeCell ref="A26:A28"/>
    <mergeCell ref="A4:A6"/>
    <mergeCell ref="A15:A17"/>
    <mergeCell ref="B4:M4"/>
    <mergeCell ref="B15:M15"/>
    <mergeCell ref="B26:M26"/>
  </mergeCells>
  <printOptions horizontalCentered="1"/>
  <pageMargins left="0.1968503937007874" right="0.1968503937007874" top="0.57" bottom="0.4" header="0.1968503937007874" footer="0.1968503937007874"/>
  <pageSetup horizontalDpi="600" verticalDpi="600" orientation="portrait" paperSize="9" scale="80" r:id="rId1"/>
  <headerFooter alignWithMargins="0">
    <oddFooter>&amp;C&amp;P / 25</oddFooter>
  </headerFooter>
</worksheet>
</file>

<file path=xl/worksheets/sheet3.xml><?xml version="1.0" encoding="utf-8"?>
<worksheet xmlns="http://schemas.openxmlformats.org/spreadsheetml/2006/main" xmlns:r="http://schemas.openxmlformats.org/officeDocument/2006/relationships">
  <dimension ref="A1:AF25"/>
  <sheetViews>
    <sheetView workbookViewId="0" topLeftCell="A1">
      <selection activeCell="A1" sqref="A1"/>
    </sheetView>
  </sheetViews>
  <sheetFormatPr defaultColWidth="9.00390625" defaultRowHeight="12.75"/>
  <cols>
    <col min="1" max="1" width="11.875" style="233" customWidth="1"/>
    <col min="2" max="3" width="6.75390625" style="234" customWidth="1"/>
    <col min="4" max="4" width="3.25390625" style="230" customWidth="1"/>
    <col min="5" max="5" width="6.75390625" style="234" customWidth="1"/>
    <col min="6" max="6" width="3.625" style="230" customWidth="1"/>
    <col min="7" max="7" width="6.75390625" style="230" customWidth="1"/>
    <col min="8" max="9" width="6.75390625" style="0" customWidth="1"/>
    <col min="10" max="10" width="3.625" style="230" customWidth="1"/>
    <col min="11" max="11" width="6.75390625" style="0" customWidth="1"/>
    <col min="12" max="12" width="3.25390625" style="230" customWidth="1"/>
    <col min="13" max="13" width="6.75390625" style="230" customWidth="1"/>
    <col min="14" max="15" width="6.75390625" style="0" customWidth="1"/>
    <col min="16" max="16" width="3.75390625" style="230" customWidth="1"/>
    <col min="17" max="17" width="6.75390625" style="0" customWidth="1"/>
    <col min="18" max="18" width="3.375" style="248" customWidth="1"/>
    <col min="19" max="19" width="6.75390625" style="248" customWidth="1"/>
    <col min="20" max="21" width="6.75390625" style="0" customWidth="1"/>
    <col min="22" max="22" width="3.125" style="230" customWidth="1"/>
    <col min="23" max="23" width="6.75390625" style="0" customWidth="1"/>
    <col min="24" max="24" width="3.25390625" style="248" customWidth="1"/>
    <col min="25" max="25" width="6.75390625" style="248" customWidth="1"/>
    <col min="26" max="27" width="6.75390625" style="0" customWidth="1"/>
    <col min="28" max="28" width="3.625" style="230" customWidth="1"/>
    <col min="29" max="29" width="6.75390625" style="0" customWidth="1"/>
    <col min="30" max="30" width="3.25390625" style="248" customWidth="1"/>
    <col min="31" max="31" width="6.75390625" style="248" customWidth="1"/>
    <col min="32" max="32" width="7.75390625" style="0" customWidth="1"/>
  </cols>
  <sheetData>
    <row r="1" spans="30:31" ht="15.75">
      <c r="AD1" s="249"/>
      <c r="AE1" s="249"/>
    </row>
    <row r="2" spans="1:32" ht="43.5" customHeight="1" thickBot="1">
      <c r="A2" s="25" t="s">
        <v>172</v>
      </c>
      <c r="AC2" s="768"/>
      <c r="AD2" s="769"/>
      <c r="AE2" s="769"/>
      <c r="AF2" s="769"/>
    </row>
    <row r="3" spans="1:32" s="235" customFormat="1" ht="20.25" customHeight="1">
      <c r="A3" s="770" t="s">
        <v>94</v>
      </c>
      <c r="B3" s="758" t="s">
        <v>28</v>
      </c>
      <c r="C3" s="759"/>
      <c r="D3" s="759"/>
      <c r="E3" s="759"/>
      <c r="F3" s="760"/>
      <c r="G3" s="761"/>
      <c r="H3" s="758" t="s">
        <v>27</v>
      </c>
      <c r="I3" s="759"/>
      <c r="J3" s="759"/>
      <c r="K3" s="759"/>
      <c r="L3" s="760"/>
      <c r="M3" s="761"/>
      <c r="N3" s="758" t="s">
        <v>26</v>
      </c>
      <c r="O3" s="759"/>
      <c r="P3" s="759"/>
      <c r="Q3" s="759"/>
      <c r="R3" s="760"/>
      <c r="S3" s="761"/>
      <c r="T3" s="758" t="s">
        <v>25</v>
      </c>
      <c r="U3" s="759"/>
      <c r="V3" s="759"/>
      <c r="W3" s="759"/>
      <c r="X3" s="760"/>
      <c r="Y3" s="761"/>
      <c r="Z3" s="758" t="s">
        <v>170</v>
      </c>
      <c r="AA3" s="759"/>
      <c r="AB3" s="759"/>
      <c r="AC3" s="759"/>
      <c r="AD3" s="760"/>
      <c r="AE3" s="761"/>
      <c r="AF3" s="766" t="s">
        <v>3</v>
      </c>
    </row>
    <row r="4" spans="1:32" s="236" customFormat="1" ht="20.25" customHeight="1" thickBot="1">
      <c r="A4" s="771"/>
      <c r="B4" s="254">
        <v>2002</v>
      </c>
      <c r="C4" s="91">
        <v>2003</v>
      </c>
      <c r="D4" s="255" t="s">
        <v>97</v>
      </c>
      <c r="E4" s="74">
        <v>2004</v>
      </c>
      <c r="F4" s="255" t="s">
        <v>97</v>
      </c>
      <c r="G4" s="256">
        <v>2005</v>
      </c>
      <c r="H4" s="254">
        <v>2002</v>
      </c>
      <c r="I4" s="91">
        <v>2003</v>
      </c>
      <c r="J4" s="255" t="s">
        <v>97</v>
      </c>
      <c r="K4" s="74">
        <v>2004</v>
      </c>
      <c r="L4" s="255" t="s">
        <v>97</v>
      </c>
      <c r="M4" s="256">
        <v>2005</v>
      </c>
      <c r="N4" s="254">
        <v>2002</v>
      </c>
      <c r="O4" s="91">
        <v>2003</v>
      </c>
      <c r="P4" s="255" t="s">
        <v>97</v>
      </c>
      <c r="Q4" s="74">
        <v>2004</v>
      </c>
      <c r="R4" s="255" t="s">
        <v>97</v>
      </c>
      <c r="S4" s="256">
        <v>2005</v>
      </c>
      <c r="T4" s="254">
        <v>2002</v>
      </c>
      <c r="U4" s="91">
        <v>2003</v>
      </c>
      <c r="V4" s="255" t="s">
        <v>97</v>
      </c>
      <c r="W4" s="74">
        <v>2004</v>
      </c>
      <c r="X4" s="255" t="s">
        <v>97</v>
      </c>
      <c r="Y4" s="256">
        <v>2005</v>
      </c>
      <c r="Z4" s="254">
        <v>2002</v>
      </c>
      <c r="AA4" s="91">
        <v>2003</v>
      </c>
      <c r="AB4" s="255" t="s">
        <v>97</v>
      </c>
      <c r="AC4" s="74">
        <v>2004</v>
      </c>
      <c r="AD4" s="255" t="s">
        <v>97</v>
      </c>
      <c r="AE4" s="256">
        <v>2005</v>
      </c>
      <c r="AF4" s="767"/>
    </row>
    <row r="5" spans="1:32" s="35" customFormat="1" ht="13.5" customHeight="1">
      <c r="A5" s="250" t="s">
        <v>98</v>
      </c>
      <c r="B5" s="251">
        <v>114</v>
      </c>
      <c r="C5" s="132">
        <v>114</v>
      </c>
      <c r="D5" s="133">
        <f>+C5-B5</f>
        <v>0</v>
      </c>
      <c r="E5" s="252">
        <v>114</v>
      </c>
      <c r="F5" s="253">
        <f aca="true" t="shared" si="0" ref="F5:F22">E5-C5</f>
        <v>0</v>
      </c>
      <c r="G5" s="134">
        <v>114</v>
      </c>
      <c r="H5" s="251">
        <v>124</v>
      </c>
      <c r="I5" s="132">
        <v>124</v>
      </c>
      <c r="J5" s="133">
        <f>+I5-H5</f>
        <v>0</v>
      </c>
      <c r="K5" s="134">
        <v>124</v>
      </c>
      <c r="L5" s="253">
        <f aca="true" t="shared" si="1" ref="L5:L22">K5-I5</f>
        <v>0</v>
      </c>
      <c r="M5" s="500">
        <v>124</v>
      </c>
      <c r="N5" s="251">
        <v>76</v>
      </c>
      <c r="O5" s="132">
        <v>80</v>
      </c>
      <c r="P5" s="133">
        <f>+O5-N5</f>
        <v>4</v>
      </c>
      <c r="Q5" s="252">
        <v>80</v>
      </c>
      <c r="R5" s="253">
        <f aca="true" t="shared" si="2" ref="R5:R22">Q5-O5</f>
        <v>0</v>
      </c>
      <c r="S5" s="137">
        <v>80</v>
      </c>
      <c r="T5" s="251">
        <v>100</v>
      </c>
      <c r="U5" s="132">
        <v>100</v>
      </c>
      <c r="V5" s="133">
        <f aca="true" t="shared" si="3" ref="V5:V18">+U5-T5</f>
        <v>0</v>
      </c>
      <c r="W5" s="252">
        <v>100</v>
      </c>
      <c r="X5" s="253">
        <f aca="true" t="shared" si="4" ref="X5:X22">W5-U5</f>
        <v>0</v>
      </c>
      <c r="Y5" s="134">
        <v>100</v>
      </c>
      <c r="Z5" s="251">
        <v>122</v>
      </c>
      <c r="AA5" s="132">
        <v>122</v>
      </c>
      <c r="AB5" s="133">
        <f>+AA5-Z5</f>
        <v>0</v>
      </c>
      <c r="AC5" s="252">
        <v>122</v>
      </c>
      <c r="AD5" s="253">
        <f aca="true" t="shared" si="5" ref="AD5:AD18">+AC5-AA5</f>
        <v>0</v>
      </c>
      <c r="AE5" s="252">
        <v>122</v>
      </c>
      <c r="AF5" s="212">
        <f>+AE5+Y5+S5+M5+G5</f>
        <v>540</v>
      </c>
    </row>
    <row r="6" spans="1:32" s="35" customFormat="1" ht="13.5" customHeight="1">
      <c r="A6" s="237" t="s">
        <v>99</v>
      </c>
      <c r="B6" s="238">
        <v>18</v>
      </c>
      <c r="C6" s="138">
        <v>18</v>
      </c>
      <c r="D6" s="139">
        <f>+C6-B6</f>
        <v>0</v>
      </c>
      <c r="E6" s="239">
        <v>24</v>
      </c>
      <c r="F6" s="247">
        <f t="shared" si="0"/>
        <v>6</v>
      </c>
      <c r="G6" s="140">
        <v>24</v>
      </c>
      <c r="H6" s="238">
        <v>40</v>
      </c>
      <c r="I6" s="138">
        <v>40</v>
      </c>
      <c r="J6" s="139">
        <f>+I6-H6</f>
        <v>0</v>
      </c>
      <c r="K6" s="140">
        <v>40</v>
      </c>
      <c r="L6" s="247">
        <f t="shared" si="1"/>
        <v>0</v>
      </c>
      <c r="M6" s="502">
        <v>40</v>
      </c>
      <c r="N6" s="238"/>
      <c r="O6" s="138"/>
      <c r="P6" s="139"/>
      <c r="Q6" s="239"/>
      <c r="R6" s="247">
        <f t="shared" si="2"/>
        <v>0</v>
      </c>
      <c r="S6" s="143"/>
      <c r="T6" s="238">
        <v>28</v>
      </c>
      <c r="U6" s="138">
        <v>28</v>
      </c>
      <c r="V6" s="139">
        <f t="shared" si="3"/>
        <v>0</v>
      </c>
      <c r="W6" s="239">
        <v>28</v>
      </c>
      <c r="X6" s="247">
        <f t="shared" si="4"/>
        <v>0</v>
      </c>
      <c r="Y6" s="140">
        <v>28</v>
      </c>
      <c r="Z6" s="238">
        <v>22</v>
      </c>
      <c r="AA6" s="138">
        <v>22</v>
      </c>
      <c r="AB6" s="139">
        <f>+AA6-Z6</f>
        <v>0</v>
      </c>
      <c r="AC6" s="239">
        <v>22</v>
      </c>
      <c r="AD6" s="247">
        <f t="shared" si="5"/>
        <v>0</v>
      </c>
      <c r="AE6" s="239">
        <v>22</v>
      </c>
      <c r="AF6" s="212">
        <f aca="true" t="shared" si="6" ref="AF6:AF22">+AE6+Y6+S6+M6+G6</f>
        <v>114</v>
      </c>
    </row>
    <row r="7" spans="1:32" s="35" customFormat="1" ht="13.5" customHeight="1">
      <c r="A7" s="237" t="s">
        <v>100</v>
      </c>
      <c r="B7" s="238">
        <v>24</v>
      </c>
      <c r="C7" s="138">
        <v>24</v>
      </c>
      <c r="D7" s="139">
        <f>+C7-B7</f>
        <v>0</v>
      </c>
      <c r="E7" s="239">
        <v>24</v>
      </c>
      <c r="F7" s="247">
        <f t="shared" si="0"/>
        <v>0</v>
      </c>
      <c r="G7" s="140">
        <v>24</v>
      </c>
      <c r="H7" s="238">
        <v>30</v>
      </c>
      <c r="I7" s="138">
        <v>30</v>
      </c>
      <c r="J7" s="139">
        <f>+I7-H7</f>
        <v>0</v>
      </c>
      <c r="K7" s="140">
        <v>30</v>
      </c>
      <c r="L7" s="247">
        <f t="shared" si="1"/>
        <v>0</v>
      </c>
      <c r="M7" s="502">
        <v>30</v>
      </c>
      <c r="N7" s="238"/>
      <c r="O7" s="138"/>
      <c r="P7" s="139"/>
      <c r="Q7" s="239"/>
      <c r="R7" s="247">
        <f t="shared" si="2"/>
        <v>0</v>
      </c>
      <c r="S7" s="143"/>
      <c r="T7" s="238">
        <v>21</v>
      </c>
      <c r="U7" s="138">
        <v>24</v>
      </c>
      <c r="V7" s="139">
        <f t="shared" si="3"/>
        <v>3</v>
      </c>
      <c r="W7" s="239">
        <v>24</v>
      </c>
      <c r="X7" s="247">
        <f t="shared" si="4"/>
        <v>0</v>
      </c>
      <c r="Y7" s="140">
        <v>24</v>
      </c>
      <c r="Z7" s="238"/>
      <c r="AA7" s="138"/>
      <c r="AB7" s="139"/>
      <c r="AC7" s="239"/>
      <c r="AD7" s="247">
        <f t="shared" si="5"/>
        <v>0</v>
      </c>
      <c r="AE7" s="239"/>
      <c r="AF7" s="212">
        <f t="shared" si="6"/>
        <v>78</v>
      </c>
    </row>
    <row r="8" spans="1:32" s="35" customFormat="1" ht="13.5" customHeight="1">
      <c r="A8" s="237" t="s">
        <v>101</v>
      </c>
      <c r="B8" s="238">
        <v>24</v>
      </c>
      <c r="C8" s="138">
        <v>24</v>
      </c>
      <c r="D8" s="139">
        <f>+C8-B8</f>
        <v>0</v>
      </c>
      <c r="E8" s="239">
        <v>24</v>
      </c>
      <c r="F8" s="247">
        <f t="shared" si="0"/>
        <v>0</v>
      </c>
      <c r="G8" s="140">
        <v>24</v>
      </c>
      <c r="H8" s="238">
        <v>47</v>
      </c>
      <c r="I8" s="138">
        <v>47</v>
      </c>
      <c r="J8" s="139">
        <f>+I8-H8</f>
        <v>0</v>
      </c>
      <c r="K8" s="140">
        <v>50</v>
      </c>
      <c r="L8" s="247">
        <f t="shared" si="1"/>
        <v>3</v>
      </c>
      <c r="M8" s="502">
        <v>50</v>
      </c>
      <c r="N8" s="238">
        <v>24</v>
      </c>
      <c r="O8" s="138">
        <v>24</v>
      </c>
      <c r="P8" s="139">
        <f>+O8-N8</f>
        <v>0</v>
      </c>
      <c r="Q8" s="239">
        <v>24</v>
      </c>
      <c r="R8" s="247">
        <f t="shared" si="2"/>
        <v>0</v>
      </c>
      <c r="S8" s="143">
        <v>24</v>
      </c>
      <c r="T8" s="238">
        <v>30</v>
      </c>
      <c r="U8" s="138">
        <v>30</v>
      </c>
      <c r="V8" s="139">
        <f t="shared" si="3"/>
        <v>0</v>
      </c>
      <c r="W8" s="239">
        <v>30</v>
      </c>
      <c r="X8" s="247">
        <f t="shared" si="4"/>
        <v>0</v>
      </c>
      <c r="Y8" s="140">
        <v>30</v>
      </c>
      <c r="Z8" s="238">
        <v>44</v>
      </c>
      <c r="AA8" s="138">
        <v>44</v>
      </c>
      <c r="AB8" s="139">
        <f>+AA8-Z8</f>
        <v>0</v>
      </c>
      <c r="AC8" s="239">
        <v>44</v>
      </c>
      <c r="AD8" s="247">
        <f t="shared" si="5"/>
        <v>0</v>
      </c>
      <c r="AE8" s="239">
        <v>44</v>
      </c>
      <c r="AF8" s="212">
        <f t="shared" si="6"/>
        <v>172</v>
      </c>
    </row>
    <row r="9" spans="1:32" s="35" customFormat="1" ht="13.5" customHeight="1">
      <c r="A9" s="237" t="s">
        <v>183</v>
      </c>
      <c r="B9" s="238"/>
      <c r="C9" s="138"/>
      <c r="D9" s="139"/>
      <c r="E9" s="239"/>
      <c r="F9" s="247">
        <f t="shared" si="0"/>
        <v>0</v>
      </c>
      <c r="G9" s="140"/>
      <c r="H9" s="238"/>
      <c r="I9" s="138"/>
      <c r="J9" s="139"/>
      <c r="K9" s="140"/>
      <c r="L9" s="247">
        <f t="shared" si="1"/>
        <v>0</v>
      </c>
      <c r="M9" s="502"/>
      <c r="N9" s="238"/>
      <c r="O9" s="138"/>
      <c r="P9" s="139"/>
      <c r="Q9" s="239"/>
      <c r="R9" s="247">
        <f t="shared" si="2"/>
        <v>0</v>
      </c>
      <c r="S9" s="143"/>
      <c r="T9" s="238">
        <v>60</v>
      </c>
      <c r="U9" s="138">
        <v>60</v>
      </c>
      <c r="V9" s="139">
        <f t="shared" si="3"/>
        <v>0</v>
      </c>
      <c r="W9" s="239">
        <v>50</v>
      </c>
      <c r="X9" s="247">
        <f t="shared" si="4"/>
        <v>-10</v>
      </c>
      <c r="Y9" s="140">
        <v>0</v>
      </c>
      <c r="Z9" s="238"/>
      <c r="AA9" s="138"/>
      <c r="AB9" s="139"/>
      <c r="AC9" s="239"/>
      <c r="AD9" s="247">
        <f t="shared" si="5"/>
        <v>0</v>
      </c>
      <c r="AE9" s="239"/>
      <c r="AF9" s="212">
        <f t="shared" si="6"/>
        <v>0</v>
      </c>
    </row>
    <row r="10" spans="1:32" s="35" customFormat="1" ht="13.5" customHeight="1">
      <c r="A10" s="237" t="s">
        <v>184</v>
      </c>
      <c r="B10" s="238">
        <v>70</v>
      </c>
      <c r="C10" s="138">
        <v>70</v>
      </c>
      <c r="D10" s="139">
        <f aca="true" t="shared" si="7" ref="D10:D23">+C10-B10</f>
        <v>0</v>
      </c>
      <c r="E10" s="239">
        <v>70</v>
      </c>
      <c r="F10" s="247">
        <f t="shared" si="0"/>
        <v>0</v>
      </c>
      <c r="G10" s="140">
        <v>68</v>
      </c>
      <c r="H10" s="238">
        <v>66</v>
      </c>
      <c r="I10" s="138">
        <v>66</v>
      </c>
      <c r="J10" s="139">
        <f aca="true" t="shared" si="8" ref="J10:J21">+I10-H10</f>
        <v>0</v>
      </c>
      <c r="K10" s="140">
        <v>66</v>
      </c>
      <c r="L10" s="247">
        <f t="shared" si="1"/>
        <v>0</v>
      </c>
      <c r="M10" s="502">
        <v>66</v>
      </c>
      <c r="N10" s="238">
        <v>44</v>
      </c>
      <c r="O10" s="138">
        <v>44</v>
      </c>
      <c r="P10" s="139">
        <f aca="true" t="shared" si="9" ref="P10:P15">+O10-N10</f>
        <v>0</v>
      </c>
      <c r="Q10" s="239">
        <v>44</v>
      </c>
      <c r="R10" s="247">
        <f t="shared" si="2"/>
        <v>0</v>
      </c>
      <c r="S10" s="143">
        <v>44</v>
      </c>
      <c r="T10" s="238">
        <v>52</v>
      </c>
      <c r="U10" s="138">
        <v>52</v>
      </c>
      <c r="V10" s="139">
        <f t="shared" si="3"/>
        <v>0</v>
      </c>
      <c r="W10" s="239">
        <v>52</v>
      </c>
      <c r="X10" s="247">
        <f t="shared" si="4"/>
        <v>0</v>
      </c>
      <c r="Y10" s="140">
        <v>52</v>
      </c>
      <c r="Z10" s="238">
        <v>50</v>
      </c>
      <c r="AA10" s="138">
        <v>50</v>
      </c>
      <c r="AB10" s="139">
        <f aca="true" t="shared" si="10" ref="AB10:AB18">+AA10-Z10</f>
        <v>0</v>
      </c>
      <c r="AC10" s="239">
        <v>50</v>
      </c>
      <c r="AD10" s="247">
        <f t="shared" si="5"/>
        <v>0</v>
      </c>
      <c r="AE10" s="239">
        <v>50</v>
      </c>
      <c r="AF10" s="212">
        <f t="shared" si="6"/>
        <v>280</v>
      </c>
    </row>
    <row r="11" spans="1:32" s="35" customFormat="1" ht="13.5" customHeight="1">
      <c r="A11" s="237" t="s">
        <v>185</v>
      </c>
      <c r="B11" s="238">
        <v>53</v>
      </c>
      <c r="C11" s="138">
        <v>53</v>
      </c>
      <c r="D11" s="139">
        <f t="shared" si="7"/>
        <v>0</v>
      </c>
      <c r="E11" s="239">
        <v>53</v>
      </c>
      <c r="F11" s="247">
        <f t="shared" si="0"/>
        <v>0</v>
      </c>
      <c r="G11" s="140">
        <v>53</v>
      </c>
      <c r="H11" s="238">
        <v>65</v>
      </c>
      <c r="I11" s="138">
        <v>54</v>
      </c>
      <c r="J11" s="139">
        <f t="shared" si="8"/>
        <v>-11</v>
      </c>
      <c r="K11" s="140">
        <v>60</v>
      </c>
      <c r="L11" s="247">
        <f t="shared" si="1"/>
        <v>6</v>
      </c>
      <c r="M11" s="502">
        <v>60</v>
      </c>
      <c r="N11" s="238">
        <v>41</v>
      </c>
      <c r="O11" s="138">
        <v>41</v>
      </c>
      <c r="P11" s="139">
        <f t="shared" si="9"/>
        <v>0</v>
      </c>
      <c r="Q11" s="239">
        <v>41</v>
      </c>
      <c r="R11" s="247">
        <f t="shared" si="2"/>
        <v>0</v>
      </c>
      <c r="S11" s="143">
        <v>41</v>
      </c>
      <c r="T11" s="238">
        <v>84</v>
      </c>
      <c r="U11" s="138">
        <v>84</v>
      </c>
      <c r="V11" s="139">
        <f t="shared" si="3"/>
        <v>0</v>
      </c>
      <c r="W11" s="239">
        <v>63</v>
      </c>
      <c r="X11" s="247">
        <f t="shared" si="4"/>
        <v>-21</v>
      </c>
      <c r="Y11" s="140">
        <v>56</v>
      </c>
      <c r="Z11" s="238">
        <v>59</v>
      </c>
      <c r="AA11" s="138">
        <v>59</v>
      </c>
      <c r="AB11" s="139">
        <f t="shared" si="10"/>
        <v>0</v>
      </c>
      <c r="AC11" s="239">
        <v>59</v>
      </c>
      <c r="AD11" s="247">
        <f t="shared" si="5"/>
        <v>0</v>
      </c>
      <c r="AE11" s="239">
        <v>59</v>
      </c>
      <c r="AF11" s="212">
        <f t="shared" si="6"/>
        <v>269</v>
      </c>
    </row>
    <row r="12" spans="1:32" s="35" customFormat="1" ht="13.5" customHeight="1">
      <c r="A12" s="237" t="s">
        <v>105</v>
      </c>
      <c r="B12" s="238">
        <v>71</v>
      </c>
      <c r="C12" s="138">
        <v>71</v>
      </c>
      <c r="D12" s="139">
        <f t="shared" si="7"/>
        <v>0</v>
      </c>
      <c r="E12" s="239">
        <v>70</v>
      </c>
      <c r="F12" s="247">
        <f t="shared" si="0"/>
        <v>-1</v>
      </c>
      <c r="G12" s="140">
        <v>70</v>
      </c>
      <c r="H12" s="238">
        <v>100</v>
      </c>
      <c r="I12" s="138">
        <v>107</v>
      </c>
      <c r="J12" s="139">
        <f t="shared" si="8"/>
        <v>7</v>
      </c>
      <c r="K12" s="140">
        <v>107</v>
      </c>
      <c r="L12" s="247">
        <f t="shared" si="1"/>
        <v>0</v>
      </c>
      <c r="M12" s="502">
        <v>107</v>
      </c>
      <c r="N12" s="238">
        <v>67</v>
      </c>
      <c r="O12" s="138">
        <v>67</v>
      </c>
      <c r="P12" s="139">
        <f t="shared" si="9"/>
        <v>0</v>
      </c>
      <c r="Q12" s="239">
        <v>66</v>
      </c>
      <c r="R12" s="247">
        <f t="shared" si="2"/>
        <v>-1</v>
      </c>
      <c r="S12" s="143">
        <v>66</v>
      </c>
      <c r="T12" s="238">
        <v>102</v>
      </c>
      <c r="U12" s="138">
        <v>102</v>
      </c>
      <c r="V12" s="139">
        <f t="shared" si="3"/>
        <v>0</v>
      </c>
      <c r="W12" s="239">
        <v>102</v>
      </c>
      <c r="X12" s="247">
        <f t="shared" si="4"/>
        <v>0</v>
      </c>
      <c r="Y12" s="140">
        <v>102</v>
      </c>
      <c r="Z12" s="238">
        <v>82</v>
      </c>
      <c r="AA12" s="138">
        <v>82</v>
      </c>
      <c r="AB12" s="139">
        <f t="shared" si="10"/>
        <v>0</v>
      </c>
      <c r="AC12" s="239">
        <v>82</v>
      </c>
      <c r="AD12" s="247">
        <f t="shared" si="5"/>
        <v>0</v>
      </c>
      <c r="AE12" s="239">
        <v>82</v>
      </c>
      <c r="AF12" s="212">
        <f t="shared" si="6"/>
        <v>427</v>
      </c>
    </row>
    <row r="13" spans="1:32" s="35" customFormat="1" ht="13.5" customHeight="1">
      <c r="A13" s="237" t="s">
        <v>106</v>
      </c>
      <c r="B13" s="238">
        <v>5</v>
      </c>
      <c r="C13" s="138">
        <v>5</v>
      </c>
      <c r="D13" s="139">
        <f t="shared" si="7"/>
        <v>0</v>
      </c>
      <c r="E13" s="239">
        <v>6</v>
      </c>
      <c r="F13" s="247">
        <f t="shared" si="0"/>
        <v>1</v>
      </c>
      <c r="G13" s="140">
        <v>6</v>
      </c>
      <c r="H13" s="238">
        <v>4</v>
      </c>
      <c r="I13" s="138">
        <v>5</v>
      </c>
      <c r="J13" s="139">
        <f t="shared" si="8"/>
        <v>1</v>
      </c>
      <c r="K13" s="140">
        <v>5</v>
      </c>
      <c r="L13" s="247">
        <f t="shared" si="1"/>
        <v>0</v>
      </c>
      <c r="M13" s="502">
        <v>5</v>
      </c>
      <c r="N13" s="238">
        <v>5</v>
      </c>
      <c r="O13" s="138">
        <v>5</v>
      </c>
      <c r="P13" s="139">
        <f t="shared" si="9"/>
        <v>0</v>
      </c>
      <c r="Q13" s="239">
        <v>5</v>
      </c>
      <c r="R13" s="247">
        <f t="shared" si="2"/>
        <v>0</v>
      </c>
      <c r="S13" s="143">
        <v>5</v>
      </c>
      <c r="T13" s="238">
        <v>5</v>
      </c>
      <c r="U13" s="138">
        <v>5</v>
      </c>
      <c r="V13" s="139">
        <f t="shared" si="3"/>
        <v>0</v>
      </c>
      <c r="W13" s="239">
        <v>5</v>
      </c>
      <c r="X13" s="247">
        <f t="shared" si="4"/>
        <v>0</v>
      </c>
      <c r="Y13" s="140">
        <v>5</v>
      </c>
      <c r="Z13" s="238">
        <v>6</v>
      </c>
      <c r="AA13" s="138">
        <v>6</v>
      </c>
      <c r="AB13" s="139">
        <f t="shared" si="10"/>
        <v>0</v>
      </c>
      <c r="AC13" s="239">
        <v>6</v>
      </c>
      <c r="AD13" s="247">
        <f t="shared" si="5"/>
        <v>0</v>
      </c>
      <c r="AE13" s="239">
        <v>6</v>
      </c>
      <c r="AF13" s="212">
        <f t="shared" si="6"/>
        <v>27</v>
      </c>
    </row>
    <row r="14" spans="1:32" s="35" customFormat="1" ht="13.5" customHeight="1">
      <c r="A14" s="237" t="s">
        <v>107</v>
      </c>
      <c r="B14" s="238">
        <v>30</v>
      </c>
      <c r="C14" s="138">
        <v>30</v>
      </c>
      <c r="D14" s="139">
        <f t="shared" si="7"/>
        <v>0</v>
      </c>
      <c r="E14" s="239">
        <v>32</v>
      </c>
      <c r="F14" s="247">
        <f t="shared" si="0"/>
        <v>2</v>
      </c>
      <c r="G14" s="140">
        <v>32</v>
      </c>
      <c r="H14" s="238">
        <v>20</v>
      </c>
      <c r="I14" s="138">
        <v>20</v>
      </c>
      <c r="J14" s="139">
        <f t="shared" si="8"/>
        <v>0</v>
      </c>
      <c r="K14" s="140">
        <v>26</v>
      </c>
      <c r="L14" s="247">
        <f t="shared" si="1"/>
        <v>6</v>
      </c>
      <c r="M14" s="502">
        <v>26</v>
      </c>
      <c r="N14" s="238">
        <v>24</v>
      </c>
      <c r="O14" s="138">
        <v>24</v>
      </c>
      <c r="P14" s="139">
        <f t="shared" si="9"/>
        <v>0</v>
      </c>
      <c r="Q14" s="239">
        <v>24</v>
      </c>
      <c r="R14" s="247">
        <f t="shared" si="2"/>
        <v>0</v>
      </c>
      <c r="S14" s="143">
        <v>24</v>
      </c>
      <c r="T14" s="238">
        <v>42</v>
      </c>
      <c r="U14" s="138">
        <v>42</v>
      </c>
      <c r="V14" s="139">
        <f t="shared" si="3"/>
        <v>0</v>
      </c>
      <c r="W14" s="239">
        <v>42</v>
      </c>
      <c r="X14" s="247">
        <f t="shared" si="4"/>
        <v>0</v>
      </c>
      <c r="Y14" s="140">
        <v>42</v>
      </c>
      <c r="Z14" s="238">
        <v>27</v>
      </c>
      <c r="AA14" s="138">
        <v>27</v>
      </c>
      <c r="AB14" s="139">
        <f t="shared" si="10"/>
        <v>0</v>
      </c>
      <c r="AC14" s="239">
        <v>30</v>
      </c>
      <c r="AD14" s="247">
        <f t="shared" si="5"/>
        <v>3</v>
      </c>
      <c r="AE14" s="239">
        <v>30</v>
      </c>
      <c r="AF14" s="212">
        <f t="shared" si="6"/>
        <v>154</v>
      </c>
    </row>
    <row r="15" spans="1:32" s="35" customFormat="1" ht="13.5" customHeight="1">
      <c r="A15" s="237" t="s">
        <v>108</v>
      </c>
      <c r="B15" s="238">
        <v>22</v>
      </c>
      <c r="C15" s="138">
        <v>22</v>
      </c>
      <c r="D15" s="139">
        <f t="shared" si="7"/>
        <v>0</v>
      </c>
      <c r="E15" s="239">
        <v>20</v>
      </c>
      <c r="F15" s="247">
        <f t="shared" si="0"/>
        <v>-2</v>
      </c>
      <c r="G15" s="140">
        <v>20</v>
      </c>
      <c r="H15" s="238">
        <v>20</v>
      </c>
      <c r="I15" s="138">
        <v>17</v>
      </c>
      <c r="J15" s="139">
        <f t="shared" si="8"/>
        <v>-3</v>
      </c>
      <c r="K15" s="140">
        <v>20</v>
      </c>
      <c r="L15" s="247">
        <f t="shared" si="1"/>
        <v>3</v>
      </c>
      <c r="M15" s="502">
        <v>20</v>
      </c>
      <c r="N15" s="238">
        <v>20</v>
      </c>
      <c r="O15" s="138">
        <v>20</v>
      </c>
      <c r="P15" s="139">
        <f t="shared" si="9"/>
        <v>0</v>
      </c>
      <c r="Q15" s="239">
        <v>20</v>
      </c>
      <c r="R15" s="247">
        <f t="shared" si="2"/>
        <v>0</v>
      </c>
      <c r="S15" s="143">
        <v>20</v>
      </c>
      <c r="T15" s="238">
        <v>32</v>
      </c>
      <c r="U15" s="138">
        <v>32</v>
      </c>
      <c r="V15" s="139">
        <f t="shared" si="3"/>
        <v>0</v>
      </c>
      <c r="W15" s="239">
        <v>32</v>
      </c>
      <c r="X15" s="247">
        <f t="shared" si="4"/>
        <v>0</v>
      </c>
      <c r="Y15" s="140">
        <v>24</v>
      </c>
      <c r="Z15" s="238">
        <v>21</v>
      </c>
      <c r="AA15" s="138">
        <v>21</v>
      </c>
      <c r="AB15" s="139">
        <f t="shared" si="10"/>
        <v>0</v>
      </c>
      <c r="AC15" s="239">
        <v>21</v>
      </c>
      <c r="AD15" s="247">
        <f t="shared" si="5"/>
        <v>0</v>
      </c>
      <c r="AE15" s="239">
        <v>21</v>
      </c>
      <c r="AF15" s="212">
        <f t="shared" si="6"/>
        <v>105</v>
      </c>
    </row>
    <row r="16" spans="1:32" s="35" customFormat="1" ht="13.5" customHeight="1">
      <c r="A16" s="237" t="s">
        <v>109</v>
      </c>
      <c r="B16" s="238">
        <v>23</v>
      </c>
      <c r="C16" s="138">
        <v>23</v>
      </c>
      <c r="D16" s="139">
        <f t="shared" si="7"/>
        <v>0</v>
      </c>
      <c r="E16" s="239">
        <v>20</v>
      </c>
      <c r="F16" s="247">
        <f t="shared" si="0"/>
        <v>-3</v>
      </c>
      <c r="G16" s="140">
        <v>15</v>
      </c>
      <c r="H16" s="238">
        <v>30</v>
      </c>
      <c r="I16" s="138">
        <v>30</v>
      </c>
      <c r="J16" s="139">
        <f t="shared" si="8"/>
        <v>0</v>
      </c>
      <c r="K16" s="140">
        <v>30</v>
      </c>
      <c r="L16" s="247">
        <f t="shared" si="1"/>
        <v>0</v>
      </c>
      <c r="M16" s="502">
        <v>30</v>
      </c>
      <c r="N16" s="238"/>
      <c r="O16" s="138"/>
      <c r="P16" s="139"/>
      <c r="Q16" s="239"/>
      <c r="R16" s="247">
        <f t="shared" si="2"/>
        <v>0</v>
      </c>
      <c r="S16" s="143"/>
      <c r="T16" s="238">
        <v>15</v>
      </c>
      <c r="U16" s="138">
        <v>15</v>
      </c>
      <c r="V16" s="139">
        <f t="shared" si="3"/>
        <v>0</v>
      </c>
      <c r="W16" s="239">
        <v>15</v>
      </c>
      <c r="X16" s="247">
        <f t="shared" si="4"/>
        <v>0</v>
      </c>
      <c r="Y16" s="140">
        <v>15</v>
      </c>
      <c r="Z16" s="238">
        <v>20</v>
      </c>
      <c r="AA16" s="138">
        <v>20</v>
      </c>
      <c r="AB16" s="139">
        <f t="shared" si="10"/>
        <v>0</v>
      </c>
      <c r="AC16" s="239">
        <v>11</v>
      </c>
      <c r="AD16" s="247">
        <f t="shared" si="5"/>
        <v>-9</v>
      </c>
      <c r="AE16" s="239">
        <v>11</v>
      </c>
      <c r="AF16" s="212">
        <f t="shared" si="6"/>
        <v>71</v>
      </c>
    </row>
    <row r="17" spans="1:32" s="35" customFormat="1" ht="13.5" customHeight="1">
      <c r="A17" s="237" t="s">
        <v>186</v>
      </c>
      <c r="B17" s="238">
        <v>25</v>
      </c>
      <c r="C17" s="138">
        <v>25</v>
      </c>
      <c r="D17" s="139">
        <f t="shared" si="7"/>
        <v>0</v>
      </c>
      <c r="E17" s="239">
        <v>20</v>
      </c>
      <c r="F17" s="247">
        <f t="shared" si="0"/>
        <v>-5</v>
      </c>
      <c r="G17" s="140">
        <v>12</v>
      </c>
      <c r="H17" s="238">
        <v>20</v>
      </c>
      <c r="I17" s="138">
        <v>20</v>
      </c>
      <c r="J17" s="139">
        <f t="shared" si="8"/>
        <v>0</v>
      </c>
      <c r="K17" s="140">
        <v>20</v>
      </c>
      <c r="L17" s="247">
        <f t="shared" si="1"/>
        <v>0</v>
      </c>
      <c r="M17" s="502">
        <v>20</v>
      </c>
      <c r="N17" s="238"/>
      <c r="O17" s="138"/>
      <c r="P17" s="139"/>
      <c r="Q17" s="239"/>
      <c r="R17" s="247">
        <f t="shared" si="2"/>
        <v>0</v>
      </c>
      <c r="S17" s="143"/>
      <c r="T17" s="238">
        <v>18</v>
      </c>
      <c r="U17" s="138">
        <v>18</v>
      </c>
      <c r="V17" s="139">
        <f t="shared" si="3"/>
        <v>0</v>
      </c>
      <c r="W17" s="239">
        <v>18</v>
      </c>
      <c r="X17" s="247">
        <f t="shared" si="4"/>
        <v>0</v>
      </c>
      <c r="Y17" s="140">
        <v>18</v>
      </c>
      <c r="Z17" s="238">
        <v>12</v>
      </c>
      <c r="AA17" s="138">
        <v>12</v>
      </c>
      <c r="AB17" s="139">
        <f t="shared" si="10"/>
        <v>0</v>
      </c>
      <c r="AC17" s="239">
        <v>11</v>
      </c>
      <c r="AD17" s="247">
        <f t="shared" si="5"/>
        <v>-1</v>
      </c>
      <c r="AE17" s="239">
        <v>11</v>
      </c>
      <c r="AF17" s="212">
        <f t="shared" si="6"/>
        <v>61</v>
      </c>
    </row>
    <row r="18" spans="1:32" s="35" customFormat="1" ht="13.5" customHeight="1">
      <c r="A18" s="237" t="s">
        <v>111</v>
      </c>
      <c r="B18" s="238">
        <v>15</v>
      </c>
      <c r="C18" s="138">
        <v>15</v>
      </c>
      <c r="D18" s="139">
        <f t="shared" si="7"/>
        <v>0</v>
      </c>
      <c r="E18" s="239">
        <v>0</v>
      </c>
      <c r="F18" s="247">
        <f t="shared" si="0"/>
        <v>-15</v>
      </c>
      <c r="G18" s="140"/>
      <c r="H18" s="238">
        <v>20</v>
      </c>
      <c r="I18" s="138">
        <v>20</v>
      </c>
      <c r="J18" s="139">
        <f t="shared" si="8"/>
        <v>0</v>
      </c>
      <c r="K18" s="140">
        <v>20</v>
      </c>
      <c r="L18" s="247">
        <f t="shared" si="1"/>
        <v>0</v>
      </c>
      <c r="M18" s="502">
        <v>20</v>
      </c>
      <c r="N18" s="238"/>
      <c r="O18" s="138"/>
      <c r="P18" s="139"/>
      <c r="Q18" s="239"/>
      <c r="R18" s="247">
        <f t="shared" si="2"/>
        <v>0</v>
      </c>
      <c r="S18" s="143"/>
      <c r="T18" s="238">
        <v>27</v>
      </c>
      <c r="U18" s="138">
        <v>20</v>
      </c>
      <c r="V18" s="139">
        <f t="shared" si="3"/>
        <v>-7</v>
      </c>
      <c r="W18" s="239">
        <v>20</v>
      </c>
      <c r="X18" s="247">
        <f t="shared" si="4"/>
        <v>0</v>
      </c>
      <c r="Y18" s="140">
        <v>24</v>
      </c>
      <c r="Z18" s="238">
        <v>20</v>
      </c>
      <c r="AA18" s="138">
        <v>20</v>
      </c>
      <c r="AB18" s="139">
        <f t="shared" si="10"/>
        <v>0</v>
      </c>
      <c r="AC18" s="239">
        <v>20</v>
      </c>
      <c r="AD18" s="247">
        <f t="shared" si="5"/>
        <v>0</v>
      </c>
      <c r="AE18" s="239">
        <v>20</v>
      </c>
      <c r="AF18" s="212">
        <f t="shared" si="6"/>
        <v>64</v>
      </c>
    </row>
    <row r="19" spans="1:32" s="35" customFormat="1" ht="13.5" customHeight="1">
      <c r="A19" s="275" t="s">
        <v>112</v>
      </c>
      <c r="B19" s="238">
        <v>20</v>
      </c>
      <c r="C19" s="138">
        <v>20</v>
      </c>
      <c r="D19" s="139">
        <f t="shared" si="7"/>
        <v>0</v>
      </c>
      <c r="E19" s="239">
        <v>20</v>
      </c>
      <c r="F19" s="247">
        <f t="shared" si="0"/>
        <v>0</v>
      </c>
      <c r="G19" s="140">
        <v>20</v>
      </c>
      <c r="H19" s="238">
        <v>52</v>
      </c>
      <c r="I19" s="138">
        <v>52</v>
      </c>
      <c r="J19" s="139">
        <f t="shared" si="8"/>
        <v>0</v>
      </c>
      <c r="K19" s="140">
        <v>52</v>
      </c>
      <c r="L19" s="247">
        <f t="shared" si="1"/>
        <v>0</v>
      </c>
      <c r="M19" s="502">
        <v>52</v>
      </c>
      <c r="N19" s="238"/>
      <c r="O19" s="138"/>
      <c r="P19" s="139"/>
      <c r="Q19" s="239"/>
      <c r="R19" s="247">
        <f t="shared" si="2"/>
        <v>0</v>
      </c>
      <c r="S19" s="143"/>
      <c r="T19" s="238"/>
      <c r="U19" s="138"/>
      <c r="V19" s="139"/>
      <c r="W19" s="239"/>
      <c r="X19" s="247">
        <f t="shared" si="4"/>
        <v>0</v>
      </c>
      <c r="Y19" s="140"/>
      <c r="Z19" s="238"/>
      <c r="AA19" s="138"/>
      <c r="AB19" s="139"/>
      <c r="AC19" s="239"/>
      <c r="AD19" s="247"/>
      <c r="AE19" s="304"/>
      <c r="AF19" s="212">
        <f t="shared" si="6"/>
        <v>72</v>
      </c>
    </row>
    <row r="20" spans="1:32" s="35" customFormat="1" ht="13.5" customHeight="1">
      <c r="A20" s="237" t="s">
        <v>113</v>
      </c>
      <c r="B20" s="238">
        <v>25</v>
      </c>
      <c r="C20" s="138">
        <v>25</v>
      </c>
      <c r="D20" s="139">
        <f t="shared" si="7"/>
        <v>0</v>
      </c>
      <c r="E20" s="239">
        <v>25</v>
      </c>
      <c r="F20" s="247">
        <f t="shared" si="0"/>
        <v>0</v>
      </c>
      <c r="G20" s="140">
        <v>25</v>
      </c>
      <c r="H20" s="238">
        <v>20</v>
      </c>
      <c r="I20" s="138">
        <v>20</v>
      </c>
      <c r="J20" s="139">
        <f t="shared" si="8"/>
        <v>0</v>
      </c>
      <c r="K20" s="140">
        <v>20</v>
      </c>
      <c r="L20" s="247">
        <f t="shared" si="1"/>
        <v>0</v>
      </c>
      <c r="M20" s="502">
        <v>20</v>
      </c>
      <c r="N20" s="238"/>
      <c r="O20" s="138"/>
      <c r="P20" s="139"/>
      <c r="Q20" s="239"/>
      <c r="R20" s="247">
        <f t="shared" si="2"/>
        <v>0</v>
      </c>
      <c r="S20" s="143"/>
      <c r="T20" s="238">
        <v>15</v>
      </c>
      <c r="U20" s="138">
        <v>15</v>
      </c>
      <c r="V20" s="139">
        <f>+U20-T20</f>
        <v>0</v>
      </c>
      <c r="W20" s="239">
        <v>21</v>
      </c>
      <c r="X20" s="247">
        <f t="shared" si="4"/>
        <v>6</v>
      </c>
      <c r="Y20" s="140">
        <v>23</v>
      </c>
      <c r="Z20" s="238"/>
      <c r="AA20" s="138"/>
      <c r="AB20" s="139"/>
      <c r="AC20" s="239"/>
      <c r="AD20" s="247"/>
      <c r="AE20" s="304"/>
      <c r="AF20" s="212">
        <f t="shared" si="6"/>
        <v>68</v>
      </c>
    </row>
    <row r="21" spans="1:32" s="35" customFormat="1" ht="13.5" customHeight="1">
      <c r="A21" s="237" t="s">
        <v>114</v>
      </c>
      <c r="B21" s="238">
        <v>26</v>
      </c>
      <c r="C21" s="138">
        <v>26</v>
      </c>
      <c r="D21" s="139">
        <f t="shared" si="7"/>
        <v>0</v>
      </c>
      <c r="E21" s="239">
        <v>44</v>
      </c>
      <c r="F21" s="247">
        <f t="shared" si="0"/>
        <v>18</v>
      </c>
      <c r="G21" s="140">
        <v>44</v>
      </c>
      <c r="H21" s="238">
        <v>88</v>
      </c>
      <c r="I21" s="138">
        <v>88</v>
      </c>
      <c r="J21" s="139">
        <f t="shared" si="8"/>
        <v>0</v>
      </c>
      <c r="K21" s="140">
        <v>88</v>
      </c>
      <c r="L21" s="247">
        <f t="shared" si="1"/>
        <v>0</v>
      </c>
      <c r="M21" s="502">
        <v>88</v>
      </c>
      <c r="N21" s="238">
        <v>46</v>
      </c>
      <c r="O21" s="138">
        <v>46</v>
      </c>
      <c r="P21" s="139">
        <f>+O21-N21</f>
        <v>0</v>
      </c>
      <c r="Q21" s="239">
        <v>46</v>
      </c>
      <c r="R21" s="247">
        <f t="shared" si="2"/>
        <v>0</v>
      </c>
      <c r="S21" s="143">
        <v>46</v>
      </c>
      <c r="T21" s="238">
        <v>20</v>
      </c>
      <c r="U21" s="138">
        <v>20</v>
      </c>
      <c r="V21" s="139">
        <f>+U21-T21</f>
        <v>0</v>
      </c>
      <c r="W21" s="239">
        <v>41</v>
      </c>
      <c r="X21" s="247">
        <f t="shared" si="4"/>
        <v>21</v>
      </c>
      <c r="Y21" s="140">
        <v>41</v>
      </c>
      <c r="Z21" s="238"/>
      <c r="AA21" s="138"/>
      <c r="AB21" s="139"/>
      <c r="AC21" s="239"/>
      <c r="AD21" s="247"/>
      <c r="AE21" s="304"/>
      <c r="AF21" s="212">
        <f t="shared" si="6"/>
        <v>219</v>
      </c>
    </row>
    <row r="22" spans="1:32" s="35" customFormat="1" ht="13.5" customHeight="1" thickBot="1">
      <c r="A22" s="240" t="s">
        <v>115</v>
      </c>
      <c r="B22" s="241">
        <v>10</v>
      </c>
      <c r="C22" s="144">
        <v>10</v>
      </c>
      <c r="D22" s="145">
        <f t="shared" si="7"/>
        <v>0</v>
      </c>
      <c r="E22" s="242">
        <v>10</v>
      </c>
      <c r="F22" s="247">
        <f t="shared" si="0"/>
        <v>0</v>
      </c>
      <c r="G22" s="146">
        <v>10</v>
      </c>
      <c r="H22" s="241"/>
      <c r="I22" s="144"/>
      <c r="J22" s="145"/>
      <c r="K22" s="146"/>
      <c r="L22" s="247">
        <f t="shared" si="1"/>
        <v>0</v>
      </c>
      <c r="M22" s="503"/>
      <c r="N22" s="241"/>
      <c r="O22" s="144"/>
      <c r="P22" s="145"/>
      <c r="Q22" s="242"/>
      <c r="R22" s="247">
        <f t="shared" si="2"/>
        <v>0</v>
      </c>
      <c r="S22" s="149"/>
      <c r="T22" s="241"/>
      <c r="U22" s="144"/>
      <c r="V22" s="145"/>
      <c r="W22" s="242"/>
      <c r="X22" s="247">
        <f t="shared" si="4"/>
        <v>0</v>
      </c>
      <c r="Y22" s="146"/>
      <c r="Z22" s="241"/>
      <c r="AA22" s="144"/>
      <c r="AB22" s="145"/>
      <c r="AC22" s="242"/>
      <c r="AD22" s="247"/>
      <c r="AE22" s="305"/>
      <c r="AF22" s="212">
        <f t="shared" si="6"/>
        <v>10</v>
      </c>
    </row>
    <row r="23" spans="1:32" s="35" customFormat="1" ht="18" customHeight="1" thickBot="1">
      <c r="A23" s="243" t="s">
        <v>31</v>
      </c>
      <c r="B23" s="170">
        <f>SUM(B5:B22)</f>
        <v>575</v>
      </c>
      <c r="C23" s="171">
        <f>SUM(C5:C22)</f>
        <v>575</v>
      </c>
      <c r="D23" s="306">
        <f t="shared" si="7"/>
        <v>0</v>
      </c>
      <c r="E23" s="307">
        <f>SUM(E5:E22)</f>
        <v>576</v>
      </c>
      <c r="F23" s="307">
        <f>SUM(F5:F22)</f>
        <v>1</v>
      </c>
      <c r="G23" s="308">
        <f>SUM(G5:G22)</f>
        <v>561</v>
      </c>
      <c r="H23" s="170">
        <f>SUM(H5:H22)</f>
        <v>746</v>
      </c>
      <c r="I23" s="171">
        <f>SUM(I5:I22)</f>
        <v>740</v>
      </c>
      <c r="J23" s="306">
        <f>+I23-H23</f>
        <v>-6</v>
      </c>
      <c r="K23" s="307">
        <f>SUM(K5:K21)</f>
        <v>758</v>
      </c>
      <c r="L23" s="307">
        <f>SUM(L5:L22)</f>
        <v>18</v>
      </c>
      <c r="M23" s="308">
        <f>SUM(M5:M22)</f>
        <v>758</v>
      </c>
      <c r="N23" s="170">
        <f>SUM(N5:N22)</f>
        <v>347</v>
      </c>
      <c r="O23" s="171">
        <f>SUM(O5:O22)</f>
        <v>351</v>
      </c>
      <c r="P23" s="306">
        <f>+O23-N23</f>
        <v>4</v>
      </c>
      <c r="Q23" s="307">
        <f>SUM(Q5:Q22)</f>
        <v>350</v>
      </c>
      <c r="R23" s="307">
        <f>SUM(R5:R22)</f>
        <v>-1</v>
      </c>
      <c r="S23" s="308">
        <f>SUM(S5:S22)</f>
        <v>350</v>
      </c>
      <c r="T23" s="170">
        <f>SUM(T5:T22)</f>
        <v>651</v>
      </c>
      <c r="U23" s="171">
        <f>SUM(U5:U22)</f>
        <v>647</v>
      </c>
      <c r="V23" s="306">
        <f>+U23-T23</f>
        <v>-4</v>
      </c>
      <c r="W23" s="307">
        <f>SUM(W5:W22)</f>
        <v>643</v>
      </c>
      <c r="X23" s="307">
        <f>SUM(X5:X22)</f>
        <v>-4</v>
      </c>
      <c r="Y23" s="308">
        <f>SUM(Y5:Y22)</f>
        <v>584</v>
      </c>
      <c r="Z23" s="170">
        <f>SUM(Z5:Z22)</f>
        <v>485</v>
      </c>
      <c r="AA23" s="171">
        <f>SUM(AA5:AA22)</f>
        <v>485</v>
      </c>
      <c r="AB23" s="306">
        <f>+AA23-Z23</f>
        <v>0</v>
      </c>
      <c r="AC23" s="307">
        <f>SUM(AC5:AC22)</f>
        <v>478</v>
      </c>
      <c r="AD23" s="307">
        <f>SUM(AD5:AD22)</f>
        <v>-7</v>
      </c>
      <c r="AE23" s="308">
        <f>SUM(AE5:AE22)</f>
        <v>478</v>
      </c>
      <c r="AF23" s="112">
        <f>SUM(AF5:AF22)</f>
        <v>2731</v>
      </c>
    </row>
    <row r="24" spans="1:32" s="244" customFormat="1" ht="47.25" customHeight="1" thickBot="1">
      <c r="A24" s="559" t="s">
        <v>434</v>
      </c>
      <c r="B24" s="772"/>
      <c r="C24" s="773"/>
      <c r="D24" s="773"/>
      <c r="E24" s="773"/>
      <c r="F24" s="774"/>
      <c r="G24" s="775"/>
      <c r="H24" s="772"/>
      <c r="I24" s="773"/>
      <c r="J24" s="773"/>
      <c r="K24" s="773"/>
      <c r="L24" s="774"/>
      <c r="M24" s="775"/>
      <c r="N24" s="772"/>
      <c r="O24" s="773"/>
      <c r="P24" s="773"/>
      <c r="Q24" s="773"/>
      <c r="R24" s="774"/>
      <c r="S24" s="775"/>
      <c r="T24" s="762" t="s">
        <v>2</v>
      </c>
      <c r="U24" s="763"/>
      <c r="V24" s="763"/>
      <c r="W24" s="763"/>
      <c r="X24" s="764"/>
      <c r="Y24" s="765"/>
      <c r="Z24" s="762" t="s">
        <v>171</v>
      </c>
      <c r="AA24" s="763"/>
      <c r="AB24" s="763"/>
      <c r="AC24" s="763"/>
      <c r="AD24" s="764"/>
      <c r="AE24" s="765"/>
      <c r="AF24" s="112">
        <f>162+100</f>
        <v>262</v>
      </c>
    </row>
    <row r="25" spans="1:31" ht="13.5" customHeight="1">
      <c r="A25"/>
      <c r="B25"/>
      <c r="C25"/>
      <c r="D25"/>
      <c r="E25"/>
      <c r="F25"/>
      <c r="G25"/>
      <c r="J25"/>
      <c r="L25"/>
      <c r="M25"/>
      <c r="P25"/>
      <c r="R25"/>
      <c r="S25"/>
      <c r="V25"/>
      <c r="X25"/>
      <c r="Y25"/>
      <c r="AB25"/>
      <c r="AD25"/>
      <c r="AE25"/>
    </row>
  </sheetData>
  <mergeCells count="13">
    <mergeCell ref="N3:S3"/>
    <mergeCell ref="N24:S24"/>
    <mergeCell ref="T3:Y3"/>
    <mergeCell ref="T24:Y24"/>
    <mergeCell ref="A3:A4"/>
    <mergeCell ref="B3:G3"/>
    <mergeCell ref="B24:G24"/>
    <mergeCell ref="H3:M3"/>
    <mergeCell ref="H24:M24"/>
    <mergeCell ref="Z3:AE3"/>
    <mergeCell ref="Z24:AE24"/>
    <mergeCell ref="AF3:AF4"/>
    <mergeCell ref="AC2:AF2"/>
  </mergeCells>
  <printOptions horizontalCentered="1"/>
  <pageMargins left="0.17" right="0.17" top="0.2755905511811024" bottom="0.2362204724409449" header="0.2362204724409449" footer="0.1968503937007874"/>
  <pageSetup horizontalDpi="600" verticalDpi="600" orientation="landscape" paperSize="9" scale="75" r:id="rId1"/>
  <headerFooter alignWithMargins="0">
    <oddFooter>&amp;C&amp;P / 25
</oddFooter>
  </headerFooter>
</worksheet>
</file>

<file path=xl/worksheets/sheet4.xml><?xml version="1.0" encoding="utf-8"?>
<worksheet xmlns="http://schemas.openxmlformats.org/spreadsheetml/2006/main" xmlns:r="http://schemas.openxmlformats.org/officeDocument/2006/relationships">
  <dimension ref="A2:M224"/>
  <sheetViews>
    <sheetView workbookViewId="0" topLeftCell="C1">
      <selection activeCell="A1" sqref="A1"/>
    </sheetView>
  </sheetViews>
  <sheetFormatPr defaultColWidth="9.00390625" defaultRowHeight="12.75"/>
  <cols>
    <col min="1" max="1" width="12.375" style="0" customWidth="1"/>
    <col min="2" max="8" width="10.125" style="0" customWidth="1"/>
    <col min="9" max="9" width="10.75390625" style="0" customWidth="1"/>
    <col min="10" max="12" width="10.125" style="0" customWidth="1"/>
  </cols>
  <sheetData>
    <row r="2" spans="1:12" ht="18">
      <c r="A2" s="883" t="s">
        <v>74</v>
      </c>
      <c r="B2" s="884"/>
      <c r="C2" s="884"/>
      <c r="D2" s="884"/>
      <c r="E2" s="884"/>
      <c r="F2" s="884"/>
      <c r="G2" s="884"/>
      <c r="H2" s="884"/>
      <c r="I2" s="884"/>
      <c r="J2" s="884"/>
      <c r="K2" s="884"/>
      <c r="L2" s="885"/>
    </row>
    <row r="3" ht="4.5" customHeight="1">
      <c r="A3" s="25"/>
    </row>
    <row r="4" spans="1:12" ht="17.25" customHeight="1" thickBot="1">
      <c r="A4" s="85" t="s">
        <v>71</v>
      </c>
      <c r="L4" s="274" t="s">
        <v>194</v>
      </c>
    </row>
    <row r="5" spans="1:12" ht="15" customHeight="1">
      <c r="A5" s="734" t="s">
        <v>49</v>
      </c>
      <c r="B5" s="743" t="s">
        <v>23</v>
      </c>
      <c r="C5" s="746"/>
      <c r="D5" s="783" t="s">
        <v>391</v>
      </c>
      <c r="E5" s="795"/>
      <c r="F5" s="784"/>
      <c r="G5" s="796"/>
      <c r="H5" s="783" t="s">
        <v>41</v>
      </c>
      <c r="I5" s="784"/>
      <c r="J5" s="784"/>
      <c r="K5" s="784"/>
      <c r="L5" s="785"/>
    </row>
    <row r="6" spans="1:12" ht="12.75" customHeight="1">
      <c r="A6" s="794"/>
      <c r="B6" s="793">
        <v>2004</v>
      </c>
      <c r="C6" s="786">
        <v>2005</v>
      </c>
      <c r="D6" s="778">
        <v>2004</v>
      </c>
      <c r="E6" s="779"/>
      <c r="F6" s="781">
        <v>2005</v>
      </c>
      <c r="G6" s="782"/>
      <c r="H6" s="778">
        <v>2004</v>
      </c>
      <c r="I6" s="779"/>
      <c r="J6" s="781">
        <v>2005</v>
      </c>
      <c r="K6" s="782" t="s">
        <v>390</v>
      </c>
      <c r="L6" s="786" t="s">
        <v>395</v>
      </c>
    </row>
    <row r="7" spans="1:12" ht="23.25" thickBot="1">
      <c r="A7" s="735"/>
      <c r="B7" s="712"/>
      <c r="C7" s="787"/>
      <c r="D7" s="81" t="s">
        <v>392</v>
      </c>
      <c r="E7" s="91" t="s">
        <v>393</v>
      </c>
      <c r="F7" s="91" t="s">
        <v>392</v>
      </c>
      <c r="G7" s="74" t="s">
        <v>393</v>
      </c>
      <c r="H7" s="81" t="s">
        <v>394</v>
      </c>
      <c r="I7" s="91" t="s">
        <v>390</v>
      </c>
      <c r="J7" s="91" t="s">
        <v>394</v>
      </c>
      <c r="K7" s="74" t="s">
        <v>390</v>
      </c>
      <c r="L7" s="787"/>
    </row>
    <row r="8" spans="1:12" s="35" customFormat="1" ht="12.75" customHeight="1">
      <c r="A8" s="49" t="s">
        <v>50</v>
      </c>
      <c r="B8" s="75">
        <v>41134</v>
      </c>
      <c r="C8" s="21">
        <v>45713</v>
      </c>
      <c r="D8" s="26">
        <v>43548</v>
      </c>
      <c r="E8" s="2">
        <v>189</v>
      </c>
      <c r="F8" s="2">
        <v>45247</v>
      </c>
      <c r="G8" s="2">
        <v>1547</v>
      </c>
      <c r="H8" s="26">
        <f aca="true" t="shared" si="0" ref="H8:H13">+D8-B8</f>
        <v>2414</v>
      </c>
      <c r="I8" s="2">
        <f aca="true" t="shared" si="1" ref="I8:I13">+D8-B8-E8</f>
        <v>2225</v>
      </c>
      <c r="J8" s="2">
        <f aca="true" t="shared" si="2" ref="J8:J13">+F8-C8</f>
        <v>-466</v>
      </c>
      <c r="K8" s="2">
        <f aca="true" t="shared" si="3" ref="K8:K13">+F8-C8-G8</f>
        <v>-2013</v>
      </c>
      <c r="L8" s="3">
        <f aca="true" t="shared" si="4" ref="L8:L13">+J8-H8</f>
        <v>-2880</v>
      </c>
    </row>
    <row r="9" spans="1:12" s="35" customFormat="1" ht="12.75">
      <c r="A9" s="51" t="s">
        <v>51</v>
      </c>
      <c r="B9" s="12">
        <v>87280</v>
      </c>
      <c r="C9" s="5">
        <v>89563</v>
      </c>
      <c r="D9" s="23">
        <v>90146</v>
      </c>
      <c r="E9" s="4">
        <v>1858</v>
      </c>
      <c r="F9" s="4">
        <v>91213</v>
      </c>
      <c r="G9" s="4">
        <v>3338</v>
      </c>
      <c r="H9" s="23">
        <f t="shared" si="0"/>
        <v>2866</v>
      </c>
      <c r="I9" s="2">
        <f t="shared" si="1"/>
        <v>1008</v>
      </c>
      <c r="J9" s="4">
        <f t="shared" si="2"/>
        <v>1650</v>
      </c>
      <c r="K9" s="2">
        <f t="shared" si="3"/>
        <v>-1688</v>
      </c>
      <c r="L9" s="3">
        <f t="shared" si="4"/>
        <v>-1216</v>
      </c>
    </row>
    <row r="10" spans="1:12" s="35" customFormat="1" ht="12.75">
      <c r="A10" s="51" t="s">
        <v>52</v>
      </c>
      <c r="B10" s="12">
        <v>134643</v>
      </c>
      <c r="C10" s="5">
        <v>130839</v>
      </c>
      <c r="D10" s="23">
        <v>136024</v>
      </c>
      <c r="E10" s="4">
        <v>3627</v>
      </c>
      <c r="F10" s="4">
        <v>134917</v>
      </c>
      <c r="G10" s="4">
        <v>366</v>
      </c>
      <c r="H10" s="23">
        <f t="shared" si="0"/>
        <v>1381</v>
      </c>
      <c r="I10" s="2">
        <f t="shared" si="1"/>
        <v>-2246</v>
      </c>
      <c r="J10" s="4">
        <f t="shared" si="2"/>
        <v>4078</v>
      </c>
      <c r="K10" s="2">
        <f t="shared" si="3"/>
        <v>3712</v>
      </c>
      <c r="L10" s="3">
        <f t="shared" si="4"/>
        <v>2697</v>
      </c>
    </row>
    <row r="11" spans="1:12" s="35" customFormat="1" ht="12.75">
      <c r="A11" s="51" t="s">
        <v>53</v>
      </c>
      <c r="B11" s="12">
        <v>179311</v>
      </c>
      <c r="C11" s="5">
        <v>178565</v>
      </c>
      <c r="D11" s="23">
        <v>182890</v>
      </c>
      <c r="E11" s="4">
        <v>6843</v>
      </c>
      <c r="F11" s="4">
        <v>188893</v>
      </c>
      <c r="G11" s="4">
        <v>9031</v>
      </c>
      <c r="H11" s="23">
        <f t="shared" si="0"/>
        <v>3579</v>
      </c>
      <c r="I11" s="2">
        <f t="shared" si="1"/>
        <v>-3264</v>
      </c>
      <c r="J11" s="4">
        <f t="shared" si="2"/>
        <v>10328</v>
      </c>
      <c r="K11" s="2">
        <f t="shared" si="3"/>
        <v>1297</v>
      </c>
      <c r="L11" s="3">
        <f t="shared" si="4"/>
        <v>6749</v>
      </c>
    </row>
    <row r="12" spans="1:12" s="35" customFormat="1" ht="12.75">
      <c r="A12" s="51" t="s">
        <v>54</v>
      </c>
      <c r="B12" s="12">
        <v>225771</v>
      </c>
      <c r="C12" s="5">
        <v>225803</v>
      </c>
      <c r="D12" s="23">
        <v>230426</v>
      </c>
      <c r="E12" s="4">
        <v>8512</v>
      </c>
      <c r="F12" s="4">
        <v>237124</v>
      </c>
      <c r="G12" s="4">
        <v>11245</v>
      </c>
      <c r="H12" s="23">
        <f t="shared" si="0"/>
        <v>4655</v>
      </c>
      <c r="I12" s="4">
        <f t="shared" si="1"/>
        <v>-3857</v>
      </c>
      <c r="J12" s="4">
        <f t="shared" si="2"/>
        <v>11321</v>
      </c>
      <c r="K12" s="4">
        <f t="shared" si="3"/>
        <v>76</v>
      </c>
      <c r="L12" s="5">
        <f t="shared" si="4"/>
        <v>6666</v>
      </c>
    </row>
    <row r="13" spans="1:12" s="35" customFormat="1" ht="12.75">
      <c r="A13" s="53" t="s">
        <v>55</v>
      </c>
      <c r="B13" s="76">
        <v>273103</v>
      </c>
      <c r="C13" s="41">
        <v>274775</v>
      </c>
      <c r="D13" s="38">
        <v>281114</v>
      </c>
      <c r="E13" s="8">
        <v>11813</v>
      </c>
      <c r="F13" s="8">
        <v>286101</v>
      </c>
      <c r="G13" s="8">
        <v>13518</v>
      </c>
      <c r="H13" s="40">
        <f t="shared" si="0"/>
        <v>8011</v>
      </c>
      <c r="I13" s="9">
        <f t="shared" si="1"/>
        <v>-3802</v>
      </c>
      <c r="J13" s="9">
        <f t="shared" si="2"/>
        <v>11326</v>
      </c>
      <c r="K13" s="9">
        <f t="shared" si="3"/>
        <v>-2192</v>
      </c>
      <c r="L13" s="41">
        <f t="shared" si="4"/>
        <v>3315</v>
      </c>
    </row>
    <row r="14" spans="1:12" ht="12.75" customHeight="1">
      <c r="A14" s="806" t="s">
        <v>397</v>
      </c>
      <c r="B14" s="807"/>
      <c r="C14" s="807"/>
      <c r="D14" s="807"/>
      <c r="E14" s="807"/>
      <c r="F14" s="807"/>
      <c r="G14" s="807"/>
      <c r="H14" s="807"/>
      <c r="I14" s="807"/>
      <c r="J14" s="807"/>
      <c r="K14" s="807"/>
      <c r="L14" s="808"/>
    </row>
    <row r="15" spans="1:12" ht="12.75" customHeight="1">
      <c r="A15" s="809"/>
      <c r="B15" s="810"/>
      <c r="C15" s="810"/>
      <c r="D15" s="810"/>
      <c r="E15" s="810"/>
      <c r="F15" s="810"/>
      <c r="G15" s="810"/>
      <c r="H15" s="810"/>
      <c r="I15" s="810"/>
      <c r="J15" s="810"/>
      <c r="K15" s="810"/>
      <c r="L15" s="811"/>
    </row>
    <row r="16" spans="1:13" ht="12.75" customHeight="1">
      <c r="A16" s="809"/>
      <c r="B16" s="810"/>
      <c r="C16" s="810"/>
      <c r="D16" s="810"/>
      <c r="E16" s="810"/>
      <c r="F16" s="810"/>
      <c r="G16" s="810"/>
      <c r="H16" s="810"/>
      <c r="I16" s="810"/>
      <c r="J16" s="810"/>
      <c r="K16" s="810"/>
      <c r="L16" s="811"/>
      <c r="M16" s="300"/>
    </row>
    <row r="17" spans="1:13" ht="12.75">
      <c r="A17" s="809"/>
      <c r="B17" s="810"/>
      <c r="C17" s="810"/>
      <c r="D17" s="810"/>
      <c r="E17" s="810"/>
      <c r="F17" s="810"/>
      <c r="G17" s="810"/>
      <c r="H17" s="810"/>
      <c r="I17" s="810"/>
      <c r="J17" s="810"/>
      <c r="K17" s="810"/>
      <c r="L17" s="811"/>
      <c r="M17" s="300"/>
    </row>
    <row r="18" spans="1:13" ht="12.75">
      <c r="A18" s="809"/>
      <c r="B18" s="810"/>
      <c r="C18" s="810"/>
      <c r="D18" s="810"/>
      <c r="E18" s="810"/>
      <c r="F18" s="810"/>
      <c r="G18" s="810"/>
      <c r="H18" s="810"/>
      <c r="I18" s="810"/>
      <c r="J18" s="810"/>
      <c r="K18" s="810"/>
      <c r="L18" s="811"/>
      <c r="M18" s="300"/>
    </row>
    <row r="19" spans="1:13" ht="12.75">
      <c r="A19" s="809"/>
      <c r="B19" s="810"/>
      <c r="C19" s="810"/>
      <c r="D19" s="810"/>
      <c r="E19" s="810"/>
      <c r="F19" s="810"/>
      <c r="G19" s="810"/>
      <c r="H19" s="810"/>
      <c r="I19" s="810"/>
      <c r="J19" s="810"/>
      <c r="K19" s="810"/>
      <c r="L19" s="811"/>
      <c r="M19" s="300"/>
    </row>
    <row r="20" spans="1:13" ht="12.75">
      <c r="A20" s="812"/>
      <c r="B20" s="813"/>
      <c r="C20" s="813"/>
      <c r="D20" s="813"/>
      <c r="E20" s="813"/>
      <c r="F20" s="813"/>
      <c r="G20" s="813"/>
      <c r="H20" s="813"/>
      <c r="I20" s="813"/>
      <c r="J20" s="813"/>
      <c r="K20" s="813"/>
      <c r="L20" s="814"/>
      <c r="M20" s="300"/>
    </row>
    <row r="21" spans="1:12" ht="16.5" thickBot="1">
      <c r="A21" s="25" t="s">
        <v>72</v>
      </c>
      <c r="L21" s="274" t="s">
        <v>194</v>
      </c>
    </row>
    <row r="22" spans="1:12" ht="12.75">
      <c r="A22" s="886" t="s">
        <v>45</v>
      </c>
      <c r="B22" s="888" t="s">
        <v>46</v>
      </c>
      <c r="C22" s="889" t="s">
        <v>47</v>
      </c>
      <c r="D22" s="889" t="s">
        <v>48</v>
      </c>
      <c r="E22" s="914" t="s">
        <v>31</v>
      </c>
      <c r="F22" s="915" t="s">
        <v>62</v>
      </c>
      <c r="G22" s="744"/>
      <c r="H22" s="744"/>
      <c r="I22" s="744"/>
      <c r="J22" s="744"/>
      <c r="K22" s="916"/>
      <c r="L22" s="734" t="s">
        <v>14</v>
      </c>
    </row>
    <row r="23" spans="1:12" s="35" customFormat="1" ht="18" customHeight="1" thickBot="1">
      <c r="A23" s="887"/>
      <c r="B23" s="862"/>
      <c r="C23" s="890" t="s">
        <v>47</v>
      </c>
      <c r="D23" s="890" t="s">
        <v>48</v>
      </c>
      <c r="E23" s="864" t="s">
        <v>31</v>
      </c>
      <c r="F23" s="68" t="s">
        <v>63</v>
      </c>
      <c r="G23" s="68" t="s">
        <v>64</v>
      </c>
      <c r="H23" s="68" t="s">
        <v>65</v>
      </c>
      <c r="I23" s="68" t="s">
        <v>66</v>
      </c>
      <c r="J23" s="68" t="s">
        <v>67</v>
      </c>
      <c r="K23" s="69" t="s">
        <v>31</v>
      </c>
      <c r="L23" s="891"/>
    </row>
    <row r="24" spans="1:12" ht="12.75">
      <c r="A24" s="343">
        <v>37986</v>
      </c>
      <c r="B24" s="344">
        <v>109481</v>
      </c>
      <c r="C24" s="345">
        <v>380</v>
      </c>
      <c r="D24" s="345">
        <v>956</v>
      </c>
      <c r="E24" s="346">
        <f>SUM(B24:D24)</f>
        <v>110817</v>
      </c>
      <c r="F24" s="347">
        <v>14818</v>
      </c>
      <c r="G24" s="347">
        <v>30902</v>
      </c>
      <c r="H24" s="347">
        <v>25806</v>
      </c>
      <c r="I24" s="347">
        <v>20389</v>
      </c>
      <c r="J24" s="347">
        <v>1172</v>
      </c>
      <c r="K24" s="348">
        <f>SUM(F24:J24)</f>
        <v>93087</v>
      </c>
      <c r="L24" s="349"/>
    </row>
    <row r="25" spans="1:12" ht="13.5" thickBot="1">
      <c r="A25" s="352">
        <v>38352</v>
      </c>
      <c r="B25" s="88">
        <v>117506</v>
      </c>
      <c r="C25" s="89">
        <v>385</v>
      </c>
      <c r="D25" s="89">
        <v>659</v>
      </c>
      <c r="E25" s="353">
        <v>118550</v>
      </c>
      <c r="F25" s="99">
        <v>17539</v>
      </c>
      <c r="G25" s="89">
        <v>37226</v>
      </c>
      <c r="H25" s="89">
        <v>20212</v>
      </c>
      <c r="I25" s="89">
        <v>21647</v>
      </c>
      <c r="J25" s="89">
        <v>68</v>
      </c>
      <c r="K25" s="24">
        <v>96692</v>
      </c>
      <c r="L25" s="413">
        <v>13750</v>
      </c>
    </row>
    <row r="26" spans="1:12" ht="12.75">
      <c r="A26" s="60">
        <v>38383</v>
      </c>
      <c r="B26" s="64">
        <v>110460</v>
      </c>
      <c r="C26" s="44">
        <v>1218</v>
      </c>
      <c r="D26" s="44">
        <v>3001</v>
      </c>
      <c r="E26" s="92">
        <f aca="true" t="shared" si="5" ref="E26:E37">SUM(B26:D26)</f>
        <v>114679</v>
      </c>
      <c r="F26" s="50">
        <v>13981</v>
      </c>
      <c r="G26" s="44">
        <v>30712</v>
      </c>
      <c r="H26" s="44">
        <v>21122</v>
      </c>
      <c r="I26" s="44">
        <v>22244</v>
      </c>
      <c r="J26" s="44">
        <v>40</v>
      </c>
      <c r="K26" s="94">
        <f aca="true" t="shared" si="6" ref="K26:K37">SUM(F26:J26)</f>
        <v>88099</v>
      </c>
      <c r="L26" s="414">
        <v>13750</v>
      </c>
    </row>
    <row r="27" spans="1:12" ht="12.75">
      <c r="A27" s="61" t="s">
        <v>11</v>
      </c>
      <c r="B27" s="58">
        <v>120397</v>
      </c>
      <c r="C27" s="45">
        <v>1341</v>
      </c>
      <c r="D27" s="45">
        <v>5343</v>
      </c>
      <c r="E27" s="92">
        <f t="shared" si="5"/>
        <v>127081</v>
      </c>
      <c r="F27" s="52">
        <v>19399</v>
      </c>
      <c r="G27" s="45">
        <v>30393</v>
      </c>
      <c r="H27" s="45">
        <v>24284</v>
      </c>
      <c r="I27" s="45">
        <v>23064</v>
      </c>
      <c r="J27" s="45">
        <v>45</v>
      </c>
      <c r="K27" s="95">
        <f t="shared" si="6"/>
        <v>97185</v>
      </c>
      <c r="L27" s="415">
        <v>13750</v>
      </c>
    </row>
    <row r="28" spans="1:12" ht="12.75">
      <c r="A28" s="61">
        <v>38442</v>
      </c>
      <c r="B28" s="58">
        <v>103426</v>
      </c>
      <c r="C28" s="45">
        <v>388</v>
      </c>
      <c r="D28" s="45">
        <v>7685</v>
      </c>
      <c r="E28" s="92">
        <f t="shared" si="5"/>
        <v>111499</v>
      </c>
      <c r="F28" s="52">
        <v>16762</v>
      </c>
      <c r="G28" s="45">
        <v>26699</v>
      </c>
      <c r="H28" s="45">
        <v>25970</v>
      </c>
      <c r="I28" s="45">
        <v>15028</v>
      </c>
      <c r="J28" s="45">
        <v>40</v>
      </c>
      <c r="K28" s="95">
        <f t="shared" si="6"/>
        <v>84499</v>
      </c>
      <c r="L28" s="110">
        <v>13750</v>
      </c>
    </row>
    <row r="29" spans="1:12" ht="12.75">
      <c r="A29" s="61">
        <v>38472</v>
      </c>
      <c r="B29" s="58">
        <v>102396</v>
      </c>
      <c r="C29" s="45">
        <v>311</v>
      </c>
      <c r="D29" s="45">
        <v>10580</v>
      </c>
      <c r="E29" s="92">
        <f t="shared" si="5"/>
        <v>113287</v>
      </c>
      <c r="F29" s="52">
        <v>15203</v>
      </c>
      <c r="G29" s="45">
        <v>29635</v>
      </c>
      <c r="H29" s="45">
        <v>23520</v>
      </c>
      <c r="I29" s="45">
        <v>12273</v>
      </c>
      <c r="J29" s="45">
        <v>41</v>
      </c>
      <c r="K29" s="95">
        <f t="shared" si="6"/>
        <v>80672</v>
      </c>
      <c r="L29" s="415">
        <v>13750</v>
      </c>
    </row>
    <row r="30" spans="1:12" ht="12.75">
      <c r="A30" s="61">
        <v>38503</v>
      </c>
      <c r="B30" s="58">
        <v>101966</v>
      </c>
      <c r="C30" s="45">
        <v>325</v>
      </c>
      <c r="D30" s="45">
        <v>12405</v>
      </c>
      <c r="E30" s="92">
        <f t="shared" si="5"/>
        <v>114696</v>
      </c>
      <c r="F30" s="52">
        <v>13707</v>
      </c>
      <c r="G30" s="45">
        <v>27055</v>
      </c>
      <c r="H30" s="45">
        <v>22597</v>
      </c>
      <c r="I30" s="45">
        <v>12150</v>
      </c>
      <c r="J30" s="45">
        <v>40</v>
      </c>
      <c r="K30" s="95">
        <f t="shared" si="6"/>
        <v>75549</v>
      </c>
      <c r="L30" s="415">
        <v>12500</v>
      </c>
    </row>
    <row r="31" spans="1:12" ht="13.5" thickBot="1">
      <c r="A31" s="339">
        <v>38533</v>
      </c>
      <c r="B31" s="340">
        <v>104324</v>
      </c>
      <c r="C31" s="341">
        <v>199</v>
      </c>
      <c r="D31" s="341">
        <v>2804</v>
      </c>
      <c r="E31" s="93">
        <f t="shared" si="5"/>
        <v>107327</v>
      </c>
      <c r="F31" s="342">
        <v>14831</v>
      </c>
      <c r="G31" s="341">
        <v>26329</v>
      </c>
      <c r="H31" s="341">
        <v>22069</v>
      </c>
      <c r="I31" s="341">
        <v>12868</v>
      </c>
      <c r="J31" s="341">
        <v>699</v>
      </c>
      <c r="K31" s="96">
        <f t="shared" si="6"/>
        <v>76796</v>
      </c>
      <c r="L31" s="113">
        <v>11250</v>
      </c>
    </row>
    <row r="32" spans="1:12" ht="12.75" hidden="1">
      <c r="A32" s="60">
        <v>38564</v>
      </c>
      <c r="B32" s="64"/>
      <c r="C32" s="44"/>
      <c r="D32" s="44"/>
      <c r="E32" s="92">
        <f t="shared" si="5"/>
        <v>0</v>
      </c>
      <c r="F32" s="50"/>
      <c r="G32" s="44"/>
      <c r="H32" s="44"/>
      <c r="I32" s="44"/>
      <c r="J32" s="44"/>
      <c r="K32" s="94">
        <f t="shared" si="6"/>
        <v>0</v>
      </c>
      <c r="L32" s="106"/>
    </row>
    <row r="33" spans="1:12" ht="12.75" hidden="1">
      <c r="A33" s="61">
        <v>38595</v>
      </c>
      <c r="B33" s="58"/>
      <c r="C33" s="45"/>
      <c r="D33" s="45"/>
      <c r="E33" s="92">
        <f t="shared" si="5"/>
        <v>0</v>
      </c>
      <c r="F33" s="52"/>
      <c r="G33" s="45"/>
      <c r="H33" s="45"/>
      <c r="I33" s="45"/>
      <c r="J33" s="45"/>
      <c r="K33" s="95">
        <f t="shared" si="6"/>
        <v>0</v>
      </c>
      <c r="L33" s="104"/>
    </row>
    <row r="34" spans="1:12" ht="12.75" hidden="1">
      <c r="A34" s="61">
        <v>38625</v>
      </c>
      <c r="B34" s="58"/>
      <c r="C34" s="45"/>
      <c r="D34" s="45"/>
      <c r="E34" s="92">
        <f t="shared" si="5"/>
        <v>0</v>
      </c>
      <c r="F34" s="52"/>
      <c r="G34" s="45"/>
      <c r="H34" s="45"/>
      <c r="I34" s="45"/>
      <c r="J34" s="45"/>
      <c r="K34" s="95">
        <f t="shared" si="6"/>
        <v>0</v>
      </c>
      <c r="L34" s="104"/>
    </row>
    <row r="35" spans="1:12" ht="12.75" hidden="1">
      <c r="A35" s="62">
        <v>38656</v>
      </c>
      <c r="B35" s="66"/>
      <c r="C35" s="46"/>
      <c r="D35" s="46"/>
      <c r="E35" s="92">
        <f t="shared" si="5"/>
        <v>0</v>
      </c>
      <c r="F35" s="54"/>
      <c r="G35" s="46"/>
      <c r="H35" s="46"/>
      <c r="I35" s="46"/>
      <c r="J35" s="46"/>
      <c r="K35" s="95">
        <f t="shared" si="6"/>
        <v>0</v>
      </c>
      <c r="L35" s="104"/>
    </row>
    <row r="36" spans="1:12" ht="12.75" hidden="1">
      <c r="A36" s="61">
        <v>38686</v>
      </c>
      <c r="B36" s="58"/>
      <c r="C36" s="45"/>
      <c r="D36" s="45"/>
      <c r="E36" s="92">
        <f t="shared" si="5"/>
        <v>0</v>
      </c>
      <c r="F36" s="58"/>
      <c r="G36" s="45"/>
      <c r="H36" s="45"/>
      <c r="I36" s="45"/>
      <c r="J36" s="45"/>
      <c r="K36" s="95">
        <f t="shared" si="6"/>
        <v>0</v>
      </c>
      <c r="L36" s="104"/>
    </row>
    <row r="37" spans="1:12" ht="13.5" hidden="1" thickBot="1">
      <c r="A37" s="63">
        <v>38717</v>
      </c>
      <c r="B37" s="67"/>
      <c r="C37" s="57"/>
      <c r="D37" s="57"/>
      <c r="E37" s="93">
        <f t="shared" si="5"/>
        <v>0</v>
      </c>
      <c r="F37" s="56"/>
      <c r="G37" s="57"/>
      <c r="H37" s="57"/>
      <c r="I37" s="57"/>
      <c r="J37" s="57"/>
      <c r="K37" s="96">
        <f t="shared" si="6"/>
        <v>0</v>
      </c>
      <c r="L37" s="113"/>
    </row>
    <row r="38" spans="1:12" ht="12.75">
      <c r="A38" s="111"/>
      <c r="B38" s="72"/>
      <c r="C38" s="72"/>
      <c r="D38" s="72"/>
      <c r="E38" s="73"/>
      <c r="F38" s="72"/>
      <c r="G38" s="72"/>
      <c r="H38" s="72"/>
      <c r="I38" s="72"/>
      <c r="J38" s="72"/>
      <c r="K38" s="72"/>
      <c r="L38" s="114"/>
    </row>
    <row r="39" spans="1:11" ht="2.25" customHeight="1">
      <c r="A39" s="71"/>
      <c r="B39" s="72"/>
      <c r="C39" s="72"/>
      <c r="D39" s="72"/>
      <c r="E39" s="73"/>
      <c r="F39" s="72"/>
      <c r="G39" s="72"/>
      <c r="H39" s="72"/>
      <c r="I39" s="72"/>
      <c r="J39" s="72"/>
      <c r="K39" s="72"/>
    </row>
    <row r="40" spans="1:12" ht="16.5" thickBot="1">
      <c r="A40" s="25" t="s">
        <v>73</v>
      </c>
      <c r="L40" s="274" t="s">
        <v>194</v>
      </c>
    </row>
    <row r="41" spans="1:12" ht="20.25" customHeight="1">
      <c r="A41" s="886" t="s">
        <v>45</v>
      </c>
      <c r="B41" s="888" t="s">
        <v>68</v>
      </c>
      <c r="C41" s="889" t="s">
        <v>69</v>
      </c>
      <c r="D41" s="889" t="s">
        <v>70</v>
      </c>
      <c r="E41" s="914" t="s">
        <v>31</v>
      </c>
      <c r="F41" s="743" t="s">
        <v>62</v>
      </c>
      <c r="G41" s="744"/>
      <c r="H41" s="744"/>
      <c r="I41" s="744"/>
      <c r="J41" s="744"/>
      <c r="K41" s="744"/>
      <c r="L41" s="734" t="s">
        <v>191</v>
      </c>
    </row>
    <row r="42" spans="1:12" ht="27" customHeight="1" thickBot="1">
      <c r="A42" s="887"/>
      <c r="B42" s="862"/>
      <c r="C42" s="890" t="s">
        <v>47</v>
      </c>
      <c r="D42" s="890" t="s">
        <v>48</v>
      </c>
      <c r="E42" s="864" t="s">
        <v>31</v>
      </c>
      <c r="F42" s="81" t="s">
        <v>63</v>
      </c>
      <c r="G42" s="91" t="s">
        <v>64</v>
      </c>
      <c r="H42" s="91" t="s">
        <v>65</v>
      </c>
      <c r="I42" s="91" t="s">
        <v>66</v>
      </c>
      <c r="J42" s="91" t="s">
        <v>67</v>
      </c>
      <c r="K42" s="74" t="s">
        <v>31</v>
      </c>
      <c r="L42" s="891"/>
    </row>
    <row r="43" spans="1:12" ht="12.75">
      <c r="A43" s="343">
        <v>37986</v>
      </c>
      <c r="B43" s="344">
        <v>63361</v>
      </c>
      <c r="C43" s="345">
        <v>495</v>
      </c>
      <c r="D43" s="345">
        <v>4389</v>
      </c>
      <c r="E43" s="346">
        <f>SUM(B43:D43)</f>
        <v>68245</v>
      </c>
      <c r="F43" s="347">
        <v>18261</v>
      </c>
      <c r="G43" s="347">
        <v>544</v>
      </c>
      <c r="H43" s="347">
        <v>465</v>
      </c>
      <c r="I43" s="347">
        <v>1367</v>
      </c>
      <c r="J43" s="347">
        <v>6571</v>
      </c>
      <c r="K43" s="348">
        <f>SUM(F43:J43)</f>
        <v>27208</v>
      </c>
      <c r="L43" s="349">
        <f aca="true" t="shared" si="7" ref="L43:L56">+E43-E24</f>
        <v>-42572</v>
      </c>
    </row>
    <row r="44" spans="1:12" ht="13.5" thickBot="1">
      <c r="A44" s="352">
        <v>38352</v>
      </c>
      <c r="B44" s="88">
        <v>66773</v>
      </c>
      <c r="C44" s="89">
        <v>336</v>
      </c>
      <c r="D44" s="89">
        <v>3581</v>
      </c>
      <c r="E44" s="353">
        <v>70690</v>
      </c>
      <c r="F44" s="99">
        <v>17970</v>
      </c>
      <c r="G44" s="89">
        <v>1112</v>
      </c>
      <c r="H44" s="89">
        <v>293</v>
      </c>
      <c r="I44" s="89">
        <v>799</v>
      </c>
      <c r="J44" s="89">
        <v>6865</v>
      </c>
      <c r="K44" s="24">
        <v>27039</v>
      </c>
      <c r="L44" s="354">
        <f t="shared" si="7"/>
        <v>-47860</v>
      </c>
    </row>
    <row r="45" spans="1:12" ht="12.75">
      <c r="A45" s="60">
        <v>38383</v>
      </c>
      <c r="B45" s="64">
        <v>70974</v>
      </c>
      <c r="C45" s="44">
        <v>271</v>
      </c>
      <c r="D45" s="44">
        <v>3585</v>
      </c>
      <c r="E45" s="92">
        <f aca="true" t="shared" si="8" ref="E45:E56">SUM(B45:D45)</f>
        <v>74830</v>
      </c>
      <c r="F45" s="64">
        <v>21265</v>
      </c>
      <c r="G45" s="44">
        <v>215</v>
      </c>
      <c r="H45" s="44">
        <v>411</v>
      </c>
      <c r="I45" s="44">
        <v>954</v>
      </c>
      <c r="J45" s="44">
        <v>6841</v>
      </c>
      <c r="K45" s="101">
        <f aca="true" t="shared" si="9" ref="K45:K56">SUM(F45:J45)</f>
        <v>29686</v>
      </c>
      <c r="L45" s="278">
        <f t="shared" si="7"/>
        <v>-39849</v>
      </c>
    </row>
    <row r="46" spans="1:12" ht="12.75">
      <c r="A46" s="61" t="s">
        <v>11</v>
      </c>
      <c r="B46" s="58">
        <v>75167</v>
      </c>
      <c r="C46" s="45">
        <v>377</v>
      </c>
      <c r="D46" s="45">
        <v>3594</v>
      </c>
      <c r="E46" s="92">
        <f t="shared" si="8"/>
        <v>79138</v>
      </c>
      <c r="F46" s="58">
        <v>23122</v>
      </c>
      <c r="G46" s="45">
        <v>2199</v>
      </c>
      <c r="H46" s="45">
        <v>523</v>
      </c>
      <c r="I46" s="45">
        <v>787</v>
      </c>
      <c r="J46" s="45">
        <v>6921</v>
      </c>
      <c r="K46" s="102">
        <f t="shared" si="9"/>
        <v>33552</v>
      </c>
      <c r="L46" s="278">
        <f t="shared" si="7"/>
        <v>-47943</v>
      </c>
    </row>
    <row r="47" spans="1:12" ht="12.75">
      <c r="A47" s="61">
        <v>38442</v>
      </c>
      <c r="B47" s="58">
        <v>71657</v>
      </c>
      <c r="C47" s="45">
        <v>349</v>
      </c>
      <c r="D47" s="45">
        <v>3577</v>
      </c>
      <c r="E47" s="92">
        <f t="shared" si="8"/>
        <v>75583</v>
      </c>
      <c r="F47" s="58">
        <v>20168</v>
      </c>
      <c r="G47" s="45">
        <v>803</v>
      </c>
      <c r="H47" s="45">
        <v>445</v>
      </c>
      <c r="I47" s="45">
        <v>601</v>
      </c>
      <c r="J47" s="45">
        <v>7100</v>
      </c>
      <c r="K47" s="102">
        <f t="shared" si="9"/>
        <v>29117</v>
      </c>
      <c r="L47" s="278">
        <f t="shared" si="7"/>
        <v>-35916</v>
      </c>
    </row>
    <row r="48" spans="1:12" ht="12.75">
      <c r="A48" s="61">
        <v>38472</v>
      </c>
      <c r="B48" s="58">
        <v>72221</v>
      </c>
      <c r="C48" s="45">
        <v>514</v>
      </c>
      <c r="D48" s="45">
        <v>3554</v>
      </c>
      <c r="E48" s="92">
        <f t="shared" si="8"/>
        <v>76289</v>
      </c>
      <c r="F48" s="58">
        <v>20861</v>
      </c>
      <c r="G48" s="45">
        <v>523</v>
      </c>
      <c r="H48" s="45">
        <v>385</v>
      </c>
      <c r="I48" s="45">
        <v>593</v>
      </c>
      <c r="J48" s="45">
        <v>7310</v>
      </c>
      <c r="K48" s="102">
        <f t="shared" si="9"/>
        <v>29672</v>
      </c>
      <c r="L48" s="278">
        <f t="shared" si="7"/>
        <v>-36998</v>
      </c>
    </row>
    <row r="49" spans="1:12" ht="12.75">
      <c r="A49" s="61">
        <v>38503</v>
      </c>
      <c r="B49" s="58">
        <v>73473</v>
      </c>
      <c r="C49" s="45">
        <v>508</v>
      </c>
      <c r="D49" s="45">
        <v>3646</v>
      </c>
      <c r="E49" s="92">
        <f t="shared" si="8"/>
        <v>77627</v>
      </c>
      <c r="F49" s="52">
        <v>21640</v>
      </c>
      <c r="G49" s="45">
        <v>81</v>
      </c>
      <c r="H49" s="45">
        <v>449</v>
      </c>
      <c r="I49" s="45">
        <v>587</v>
      </c>
      <c r="J49" s="45">
        <v>7220</v>
      </c>
      <c r="K49" s="102">
        <f t="shared" si="9"/>
        <v>29977</v>
      </c>
      <c r="L49" s="278">
        <f t="shared" si="7"/>
        <v>-37069</v>
      </c>
    </row>
    <row r="50" spans="1:12" ht="13.5" thickBot="1">
      <c r="A50" s="339">
        <v>38533</v>
      </c>
      <c r="B50" s="340">
        <v>73657</v>
      </c>
      <c r="C50" s="341">
        <v>488</v>
      </c>
      <c r="D50" s="341">
        <v>3789</v>
      </c>
      <c r="E50" s="350">
        <f t="shared" si="8"/>
        <v>77934</v>
      </c>
      <c r="F50" s="340">
        <v>22268</v>
      </c>
      <c r="G50" s="341">
        <v>1253</v>
      </c>
      <c r="H50" s="341">
        <v>403</v>
      </c>
      <c r="I50" s="341">
        <v>578</v>
      </c>
      <c r="J50" s="341">
        <v>7081</v>
      </c>
      <c r="K50" s="103">
        <f t="shared" si="9"/>
        <v>31583</v>
      </c>
      <c r="L50" s="351">
        <f t="shared" si="7"/>
        <v>-29393</v>
      </c>
    </row>
    <row r="51" spans="1:12" ht="12.75" hidden="1">
      <c r="A51" s="60">
        <v>38564</v>
      </c>
      <c r="B51" s="64"/>
      <c r="C51" s="44"/>
      <c r="D51" s="44"/>
      <c r="E51" s="92">
        <f t="shared" si="8"/>
        <v>0</v>
      </c>
      <c r="F51" s="64"/>
      <c r="G51" s="44"/>
      <c r="H51" s="44"/>
      <c r="I51" s="44"/>
      <c r="J51" s="44"/>
      <c r="K51" s="101">
        <f t="shared" si="9"/>
        <v>0</v>
      </c>
      <c r="L51" s="278">
        <f t="shared" si="7"/>
        <v>0</v>
      </c>
    </row>
    <row r="52" spans="1:12" ht="12.75" hidden="1">
      <c r="A52" s="61">
        <v>38595</v>
      </c>
      <c r="B52" s="58"/>
      <c r="C52" s="45"/>
      <c r="D52" s="45"/>
      <c r="E52" s="92">
        <f t="shared" si="8"/>
        <v>0</v>
      </c>
      <c r="F52" s="58"/>
      <c r="G52" s="45"/>
      <c r="H52" s="45"/>
      <c r="I52" s="45"/>
      <c r="J52" s="45"/>
      <c r="K52" s="102">
        <f t="shared" si="9"/>
        <v>0</v>
      </c>
      <c r="L52" s="279">
        <f t="shared" si="7"/>
        <v>0</v>
      </c>
    </row>
    <row r="53" spans="1:12" ht="12.75" hidden="1">
      <c r="A53" s="61">
        <v>38625</v>
      </c>
      <c r="B53" s="58"/>
      <c r="C53" s="45"/>
      <c r="D53" s="45"/>
      <c r="E53" s="92">
        <f t="shared" si="8"/>
        <v>0</v>
      </c>
      <c r="F53" s="58"/>
      <c r="G53" s="45"/>
      <c r="H53" s="45"/>
      <c r="I53" s="45"/>
      <c r="J53" s="45"/>
      <c r="K53" s="102">
        <f t="shared" si="9"/>
        <v>0</v>
      </c>
      <c r="L53" s="279">
        <f t="shared" si="7"/>
        <v>0</v>
      </c>
    </row>
    <row r="54" spans="1:12" ht="12.75" hidden="1">
      <c r="A54" s="62">
        <v>38656</v>
      </c>
      <c r="B54" s="66"/>
      <c r="C54" s="46"/>
      <c r="D54" s="46"/>
      <c r="E54" s="92">
        <f t="shared" si="8"/>
        <v>0</v>
      </c>
      <c r="F54" s="66"/>
      <c r="G54" s="46"/>
      <c r="H54" s="46"/>
      <c r="I54" s="46"/>
      <c r="J54" s="46"/>
      <c r="K54" s="102">
        <f t="shared" si="9"/>
        <v>0</v>
      </c>
      <c r="L54" s="279">
        <f t="shared" si="7"/>
        <v>0</v>
      </c>
    </row>
    <row r="55" spans="1:12" ht="12.75" hidden="1">
      <c r="A55" s="61">
        <v>38686</v>
      </c>
      <c r="B55" s="58"/>
      <c r="C55" s="45"/>
      <c r="D55" s="45"/>
      <c r="E55" s="92">
        <f t="shared" si="8"/>
        <v>0</v>
      </c>
      <c r="F55" s="58"/>
      <c r="G55" s="45"/>
      <c r="H55" s="45"/>
      <c r="I55" s="45"/>
      <c r="J55" s="45"/>
      <c r="K55" s="102">
        <f t="shared" si="9"/>
        <v>0</v>
      </c>
      <c r="L55" s="279">
        <f t="shared" si="7"/>
        <v>0</v>
      </c>
    </row>
    <row r="56" spans="1:12" ht="13.5" hidden="1" thickBot="1">
      <c r="A56" s="63">
        <v>38717</v>
      </c>
      <c r="B56" s="67"/>
      <c r="C56" s="57"/>
      <c r="D56" s="57"/>
      <c r="E56" s="93">
        <f t="shared" si="8"/>
        <v>0</v>
      </c>
      <c r="F56" s="67"/>
      <c r="G56" s="57"/>
      <c r="H56" s="57"/>
      <c r="I56" s="57"/>
      <c r="J56" s="57"/>
      <c r="K56" s="103">
        <f t="shared" si="9"/>
        <v>0</v>
      </c>
      <c r="L56" s="280">
        <f t="shared" si="7"/>
        <v>0</v>
      </c>
    </row>
    <row r="58" spans="1:13" ht="12.75" customHeight="1">
      <c r="A58" s="905" t="s">
        <v>398</v>
      </c>
      <c r="B58" s="906"/>
      <c r="C58" s="906"/>
      <c r="D58" s="906"/>
      <c r="E58" s="906"/>
      <c r="F58" s="906"/>
      <c r="G58" s="906"/>
      <c r="H58" s="906"/>
      <c r="I58" s="906"/>
      <c r="J58" s="906"/>
      <c r="K58" s="906"/>
      <c r="L58" s="907"/>
      <c r="M58" s="300"/>
    </row>
    <row r="59" spans="1:13" ht="12.75">
      <c r="A59" s="908"/>
      <c r="B59" s="909"/>
      <c r="C59" s="909"/>
      <c r="D59" s="909"/>
      <c r="E59" s="909"/>
      <c r="F59" s="909"/>
      <c r="G59" s="909"/>
      <c r="H59" s="909"/>
      <c r="I59" s="909"/>
      <c r="J59" s="909"/>
      <c r="K59" s="909"/>
      <c r="L59" s="910"/>
      <c r="M59" s="300"/>
    </row>
    <row r="60" spans="1:13" ht="12.75">
      <c r="A60" s="908"/>
      <c r="B60" s="909"/>
      <c r="C60" s="909"/>
      <c r="D60" s="909"/>
      <c r="E60" s="909"/>
      <c r="F60" s="909"/>
      <c r="G60" s="909"/>
      <c r="H60" s="909"/>
      <c r="I60" s="909"/>
      <c r="J60" s="909"/>
      <c r="K60" s="909"/>
      <c r="L60" s="910"/>
      <c r="M60" s="300"/>
    </row>
    <row r="61" spans="1:12" ht="12.75">
      <c r="A61" s="911"/>
      <c r="B61" s="912"/>
      <c r="C61" s="912"/>
      <c r="D61" s="912"/>
      <c r="E61" s="912"/>
      <c r="F61" s="912"/>
      <c r="G61" s="912"/>
      <c r="H61" s="912"/>
      <c r="I61" s="912"/>
      <c r="J61" s="912"/>
      <c r="K61" s="912"/>
      <c r="L61" s="913"/>
    </row>
    <row r="62" ht="9" customHeight="1"/>
    <row r="63" spans="1:12" ht="16.5" thickBot="1">
      <c r="A63" s="25" t="s">
        <v>16</v>
      </c>
      <c r="L63" s="274" t="s">
        <v>19</v>
      </c>
    </row>
    <row r="64" spans="1:12" ht="13.5" customHeight="1">
      <c r="A64" s="926" t="s">
        <v>15</v>
      </c>
      <c r="B64" s="855" t="s">
        <v>42</v>
      </c>
      <c r="C64" s="856"/>
      <c r="D64" s="857"/>
      <c r="E64" s="919" t="s">
        <v>15</v>
      </c>
      <c r="F64" s="920"/>
      <c r="G64" s="856" t="s">
        <v>44</v>
      </c>
      <c r="H64" s="856"/>
      <c r="I64" s="858"/>
      <c r="J64" s="856" t="s">
        <v>1</v>
      </c>
      <c r="K64" s="856"/>
      <c r="L64" s="858"/>
    </row>
    <row r="65" spans="1:12" ht="27.75" customHeight="1" thickBot="1">
      <c r="A65" s="927"/>
      <c r="B65" s="127" t="s">
        <v>90</v>
      </c>
      <c r="C65" s="122" t="s">
        <v>91</v>
      </c>
      <c r="D65" s="124" t="s">
        <v>92</v>
      </c>
      <c r="E65" s="921"/>
      <c r="F65" s="922"/>
      <c r="G65" s="122" t="s">
        <v>90</v>
      </c>
      <c r="H65" s="122" t="s">
        <v>91</v>
      </c>
      <c r="I65" s="123" t="s">
        <v>92</v>
      </c>
      <c r="J65" s="122" t="s">
        <v>90</v>
      </c>
      <c r="K65" s="122" t="s">
        <v>91</v>
      </c>
      <c r="L65" s="123" t="s">
        <v>92</v>
      </c>
    </row>
    <row r="66" spans="1:12" ht="20.25" customHeight="1">
      <c r="A66" s="301" t="s">
        <v>81</v>
      </c>
      <c r="B66" s="125">
        <v>114.74</v>
      </c>
      <c r="C66" s="46">
        <v>48951153</v>
      </c>
      <c r="D66" s="126">
        <f aca="true" t="shared" si="10" ref="D66:D72">+IF(B66&gt;0,C66/B66/12,"")</f>
        <v>35552.22895241416</v>
      </c>
      <c r="E66" s="917" t="s">
        <v>81</v>
      </c>
      <c r="F66" s="918"/>
      <c r="G66" s="355">
        <v>115.94</v>
      </c>
      <c r="H66" s="186">
        <v>43345761</v>
      </c>
      <c r="I66" s="128">
        <f aca="true" t="shared" si="11" ref="I66:I76">+IF(G66&gt;0,H66/G66/12,"")</f>
        <v>31155.310936691396</v>
      </c>
      <c r="J66" s="355">
        <v>124.75</v>
      </c>
      <c r="K66" s="186">
        <v>21682455</v>
      </c>
      <c r="L66" s="128">
        <f aca="true" t="shared" si="12" ref="L66:L76">+IF(J66&gt;0,K66/J66/6,"")</f>
        <v>28967.875751503005</v>
      </c>
    </row>
    <row r="67" spans="1:12" ht="20.25" customHeight="1">
      <c r="A67" s="301" t="s">
        <v>82</v>
      </c>
      <c r="B67" s="125">
        <v>6.33</v>
      </c>
      <c r="C67" s="46">
        <v>1733702</v>
      </c>
      <c r="D67" s="185">
        <f t="shared" si="10"/>
        <v>22823.880989994734</v>
      </c>
      <c r="E67" s="917" t="s">
        <v>82</v>
      </c>
      <c r="F67" s="918"/>
      <c r="G67" s="356">
        <v>5</v>
      </c>
      <c r="H67" s="46">
        <v>1560438</v>
      </c>
      <c r="I67" s="65">
        <f t="shared" si="11"/>
        <v>26007.3</v>
      </c>
      <c r="J67" s="356">
        <v>3</v>
      </c>
      <c r="K67" s="46">
        <v>620295</v>
      </c>
      <c r="L67" s="65">
        <f t="shared" si="12"/>
        <v>34460.833333333336</v>
      </c>
    </row>
    <row r="68" spans="1:12" ht="20.25" customHeight="1">
      <c r="A68" s="301" t="s">
        <v>83</v>
      </c>
      <c r="B68" s="125">
        <v>9.72</v>
      </c>
      <c r="C68" s="46">
        <v>3087463</v>
      </c>
      <c r="D68" s="185">
        <f t="shared" si="10"/>
        <v>26470.018861454042</v>
      </c>
      <c r="E68" s="917" t="s">
        <v>118</v>
      </c>
      <c r="F68" s="918"/>
      <c r="G68" s="356">
        <v>433.26</v>
      </c>
      <c r="H68" s="46">
        <v>85590363</v>
      </c>
      <c r="I68" s="65">
        <f t="shared" si="11"/>
        <v>16462.471148963672</v>
      </c>
      <c r="J68" s="356">
        <v>430.84</v>
      </c>
      <c r="K68" s="46">
        <v>42578414</v>
      </c>
      <c r="L68" s="65">
        <f t="shared" si="12"/>
        <v>16471.085166960667</v>
      </c>
    </row>
    <row r="69" spans="1:12" ht="20.25" customHeight="1">
      <c r="A69" s="301" t="s">
        <v>84</v>
      </c>
      <c r="B69" s="125">
        <v>7.5</v>
      </c>
      <c r="C69" s="46">
        <v>1307816</v>
      </c>
      <c r="D69" s="185">
        <f t="shared" si="10"/>
        <v>14531.28888888889</v>
      </c>
      <c r="E69" s="917" t="s">
        <v>117</v>
      </c>
      <c r="F69" s="918"/>
      <c r="G69" s="356">
        <v>57.57</v>
      </c>
      <c r="H69" s="46">
        <v>12356009</v>
      </c>
      <c r="I69" s="65">
        <f t="shared" si="11"/>
        <v>17885.485785420646</v>
      </c>
      <c r="J69" s="356">
        <v>57.96</v>
      </c>
      <c r="K69" s="46">
        <v>6014731</v>
      </c>
      <c r="L69" s="65">
        <f t="shared" si="12"/>
        <v>17295.637796181272</v>
      </c>
    </row>
    <row r="70" spans="1:12" ht="20.25" customHeight="1">
      <c r="A70" s="301" t="s">
        <v>85</v>
      </c>
      <c r="B70" s="125">
        <v>526.67</v>
      </c>
      <c r="C70" s="46">
        <v>114307401</v>
      </c>
      <c r="D70" s="185">
        <f t="shared" si="10"/>
        <v>18086.49961076196</v>
      </c>
      <c r="E70" s="917" t="s">
        <v>119</v>
      </c>
      <c r="F70" s="918"/>
      <c r="G70" s="356">
        <v>22.53</v>
      </c>
      <c r="H70" s="46">
        <v>5116320</v>
      </c>
      <c r="I70" s="65">
        <f t="shared" si="11"/>
        <v>18924.101198402128</v>
      </c>
      <c r="J70" s="356">
        <v>22</v>
      </c>
      <c r="K70" s="46">
        <v>2440196</v>
      </c>
      <c r="L70" s="65">
        <f t="shared" si="12"/>
        <v>18486.333333333332</v>
      </c>
    </row>
    <row r="71" spans="1:12" ht="20.25" customHeight="1">
      <c r="A71" s="301" t="s">
        <v>86</v>
      </c>
      <c r="B71" s="125">
        <v>3.5</v>
      </c>
      <c r="C71" s="46">
        <v>608556</v>
      </c>
      <c r="D71" s="185">
        <f t="shared" si="10"/>
        <v>14489.428571428572</v>
      </c>
      <c r="E71" s="917" t="s">
        <v>120</v>
      </c>
      <c r="F71" s="918"/>
      <c r="G71" s="356">
        <v>106.49</v>
      </c>
      <c r="H71" s="46">
        <v>16008769</v>
      </c>
      <c r="I71" s="65">
        <f t="shared" si="11"/>
        <v>12527.599618117507</v>
      </c>
      <c r="J71" s="356">
        <v>111.61</v>
      </c>
      <c r="K71" s="46">
        <v>7861547</v>
      </c>
      <c r="L71" s="65">
        <f t="shared" si="12"/>
        <v>11739.609652659557</v>
      </c>
    </row>
    <row r="72" spans="1:12" ht="20.25" customHeight="1">
      <c r="A72" s="301" t="s">
        <v>87</v>
      </c>
      <c r="B72" s="125">
        <v>114.97</v>
      </c>
      <c r="C72" s="46">
        <v>18942613</v>
      </c>
      <c r="D72" s="185">
        <f t="shared" si="10"/>
        <v>13730.112928010205</v>
      </c>
      <c r="E72" s="917" t="s">
        <v>121</v>
      </c>
      <c r="F72" s="918"/>
      <c r="G72" s="356">
        <v>6.87</v>
      </c>
      <c r="H72" s="46">
        <v>1412433</v>
      </c>
      <c r="I72" s="65">
        <f t="shared" si="11"/>
        <v>17132.860262008733</v>
      </c>
      <c r="J72" s="356">
        <v>5.67</v>
      </c>
      <c r="K72" s="46">
        <v>645718</v>
      </c>
      <c r="L72" s="65">
        <f t="shared" si="12"/>
        <v>18980.540858318636</v>
      </c>
    </row>
    <row r="73" spans="1:12" ht="13.5" customHeight="1">
      <c r="A73" s="301"/>
      <c r="B73" s="125"/>
      <c r="C73" s="46"/>
      <c r="D73" s="185"/>
      <c r="E73" s="917" t="s">
        <v>122</v>
      </c>
      <c r="F73" s="918"/>
      <c r="G73" s="356">
        <v>0</v>
      </c>
      <c r="H73" s="46">
        <v>0</v>
      </c>
      <c r="I73" s="65">
        <f t="shared" si="11"/>
      </c>
      <c r="J73" s="356">
        <v>0</v>
      </c>
      <c r="K73" s="46">
        <v>0</v>
      </c>
      <c r="L73" s="65">
        <f t="shared" si="12"/>
      </c>
    </row>
    <row r="74" spans="1:12" ht="20.25" customHeight="1">
      <c r="A74" s="301" t="s">
        <v>88</v>
      </c>
      <c r="B74" s="125">
        <v>53.64</v>
      </c>
      <c r="C74" s="46">
        <v>12047835</v>
      </c>
      <c r="D74" s="185">
        <f>+IF(B74&gt;0,C74/B74/12,"")</f>
        <v>18717.1187546607</v>
      </c>
      <c r="E74" s="917" t="s">
        <v>88</v>
      </c>
      <c r="F74" s="918"/>
      <c r="G74" s="357">
        <v>50.37</v>
      </c>
      <c r="H74" s="45">
        <v>10413086</v>
      </c>
      <c r="I74" s="65">
        <f t="shared" si="11"/>
        <v>17227.65865925485</v>
      </c>
      <c r="J74" s="357">
        <v>52.31</v>
      </c>
      <c r="K74" s="45">
        <v>5349587</v>
      </c>
      <c r="L74" s="65">
        <f t="shared" si="12"/>
        <v>17044.500732810808</v>
      </c>
    </row>
    <row r="75" spans="1:12" ht="25.5" customHeight="1" thickBot="1">
      <c r="A75" s="372" t="s">
        <v>89</v>
      </c>
      <c r="B75" s="117">
        <v>193.38</v>
      </c>
      <c r="C75" s="45">
        <v>25385305</v>
      </c>
      <c r="D75" s="185">
        <f>+IF(B75&gt;0,C75/B75/12,"")</f>
        <v>10939.301289343952</v>
      </c>
      <c r="E75" s="923" t="s">
        <v>123</v>
      </c>
      <c r="F75" s="782"/>
      <c r="G75" s="355">
        <v>170.04</v>
      </c>
      <c r="H75" s="186">
        <v>20736803</v>
      </c>
      <c r="I75" s="128">
        <f t="shared" si="11"/>
        <v>10162.708284325257</v>
      </c>
      <c r="J75" s="355">
        <v>174.39</v>
      </c>
      <c r="K75" s="186">
        <v>10721559</v>
      </c>
      <c r="L75" s="65">
        <f t="shared" si="12"/>
        <v>10246.725729686337</v>
      </c>
    </row>
    <row r="76" spans="1:12" s="35" customFormat="1" ht="18.75" customHeight="1" thickBot="1">
      <c r="A76" s="302" t="s">
        <v>31</v>
      </c>
      <c r="B76" s="119">
        <f>SUM(B66:B75)</f>
        <v>1030.4499999999998</v>
      </c>
      <c r="C76" s="47">
        <f>SUM(C66:C75)</f>
        <v>226371844</v>
      </c>
      <c r="D76" s="59">
        <f>+IF(B76&gt;0,C76/B76/12,"")</f>
        <v>18306.875960340953</v>
      </c>
      <c r="E76" s="924" t="s">
        <v>31</v>
      </c>
      <c r="F76" s="925"/>
      <c r="G76" s="358">
        <f>SUM(G66:G75)</f>
        <v>968.07</v>
      </c>
      <c r="H76" s="47">
        <f>SUM(H66:H75)</f>
        <v>196539982</v>
      </c>
      <c r="I76" s="121">
        <f t="shared" si="11"/>
        <v>16918.54084243219</v>
      </c>
      <c r="J76" s="358">
        <f>SUM(J66:J75)</f>
        <v>982.5299999999999</v>
      </c>
      <c r="K76" s="47">
        <f>SUM(K66:K75)</f>
        <v>97914502</v>
      </c>
      <c r="L76" s="121">
        <f t="shared" si="12"/>
        <v>16609.247215521835</v>
      </c>
    </row>
    <row r="77" ht="5.25" customHeight="1" thickBot="1"/>
    <row r="78" spans="1:12" ht="12.75" customHeight="1">
      <c r="A78" s="871" t="s">
        <v>400</v>
      </c>
      <c r="B78" s="872"/>
      <c r="C78" s="872"/>
      <c r="D78" s="872"/>
      <c r="E78" s="872"/>
      <c r="F78" s="872"/>
      <c r="G78" s="872"/>
      <c r="H78" s="872"/>
      <c r="I78" s="872"/>
      <c r="J78" s="872"/>
      <c r="K78" s="872"/>
      <c r="L78" s="873"/>
    </row>
    <row r="79" spans="1:12" ht="12.75">
      <c r="A79" s="874"/>
      <c r="B79" s="875"/>
      <c r="C79" s="875"/>
      <c r="D79" s="875"/>
      <c r="E79" s="875"/>
      <c r="F79" s="875"/>
      <c r="G79" s="875"/>
      <c r="H79" s="875"/>
      <c r="I79" s="875"/>
      <c r="J79" s="875"/>
      <c r="K79" s="875"/>
      <c r="L79" s="876"/>
    </row>
    <row r="80" spans="1:12" ht="12.75">
      <c r="A80" s="874"/>
      <c r="B80" s="875"/>
      <c r="C80" s="875"/>
      <c r="D80" s="875"/>
      <c r="E80" s="875"/>
      <c r="F80" s="875"/>
      <c r="G80" s="875"/>
      <c r="H80" s="875"/>
      <c r="I80" s="875"/>
      <c r="J80" s="875"/>
      <c r="K80" s="875"/>
      <c r="L80" s="876"/>
    </row>
    <row r="81" spans="1:12" ht="13.5" thickBot="1">
      <c r="A81" s="877"/>
      <c r="B81" s="878"/>
      <c r="C81" s="878"/>
      <c r="D81" s="878"/>
      <c r="E81" s="878"/>
      <c r="F81" s="878"/>
      <c r="G81" s="878"/>
      <c r="H81" s="878"/>
      <c r="I81" s="878"/>
      <c r="J81" s="878"/>
      <c r="K81" s="878"/>
      <c r="L81" s="879"/>
    </row>
    <row r="82" ht="8.25" customHeight="1"/>
    <row r="83" ht="3.75" customHeight="1"/>
    <row r="84" spans="1:9" ht="16.5" thickBot="1">
      <c r="A84" s="25" t="s">
        <v>116</v>
      </c>
      <c r="B84" s="129"/>
      <c r="C84" s="129"/>
      <c r="D84" s="129"/>
      <c r="E84" s="129"/>
      <c r="F84" s="129"/>
      <c r="G84" s="129"/>
      <c r="H84" s="129"/>
      <c r="I84" s="129"/>
    </row>
    <row r="85" spans="1:12" ht="13.5" thickBot="1">
      <c r="A85" s="869" t="s">
        <v>94</v>
      </c>
      <c r="B85" s="785"/>
      <c r="C85" s="881" t="s">
        <v>95</v>
      </c>
      <c r="D85" s="777"/>
      <c r="E85" s="777"/>
      <c r="F85" s="777"/>
      <c r="G85" s="777"/>
      <c r="H85" s="882" t="s">
        <v>96</v>
      </c>
      <c r="I85" s="777"/>
      <c r="J85" s="777"/>
      <c r="K85" s="777"/>
      <c r="L85" s="706"/>
    </row>
    <row r="86" spans="1:12" ht="13.5" thickBot="1">
      <c r="A86" s="870"/>
      <c r="B86" s="727"/>
      <c r="C86" s="1">
        <v>2003</v>
      </c>
      <c r="D86" s="10">
        <v>2004</v>
      </c>
      <c r="E86" s="131" t="s">
        <v>97</v>
      </c>
      <c r="F86" s="10">
        <v>2005</v>
      </c>
      <c r="G86" s="131" t="s">
        <v>97</v>
      </c>
      <c r="H86" s="130">
        <v>2003</v>
      </c>
      <c r="I86" s="10">
        <v>2004</v>
      </c>
      <c r="J86" s="363" t="s">
        <v>97</v>
      </c>
      <c r="K86" s="10">
        <v>2005</v>
      </c>
      <c r="L86" s="260" t="s">
        <v>97</v>
      </c>
    </row>
    <row r="87" spans="1:12" ht="15" customHeight="1">
      <c r="A87" s="880" t="s">
        <v>98</v>
      </c>
      <c r="B87" s="727"/>
      <c r="C87" s="132">
        <v>114</v>
      </c>
      <c r="D87" s="134">
        <v>114</v>
      </c>
      <c r="E87" s="133">
        <f>+D87-C87</f>
        <v>0</v>
      </c>
      <c r="F87" s="134">
        <v>114</v>
      </c>
      <c r="G87" s="133">
        <f aca="true" t="shared" si="13" ref="G87:G104">+F87-D87</f>
        <v>0</v>
      </c>
      <c r="H87" s="135">
        <v>85.2</v>
      </c>
      <c r="I87" s="359">
        <v>77.5</v>
      </c>
      <c r="J87" s="364">
        <f>+I87-H87</f>
        <v>-7.700000000000003</v>
      </c>
      <c r="K87" s="359">
        <v>79.5</v>
      </c>
      <c r="L87" s="157">
        <f aca="true" t="shared" si="14" ref="L87:L105">+K87-I87</f>
        <v>2</v>
      </c>
    </row>
    <row r="88" spans="1:12" ht="15" customHeight="1">
      <c r="A88" s="880" t="s">
        <v>99</v>
      </c>
      <c r="B88" s="727"/>
      <c r="C88" s="138">
        <v>18</v>
      </c>
      <c r="D88" s="140">
        <v>24</v>
      </c>
      <c r="E88" s="139">
        <f>+D88-C88</f>
        <v>6</v>
      </c>
      <c r="F88" s="140">
        <v>24</v>
      </c>
      <c r="G88" s="133">
        <f t="shared" si="13"/>
        <v>0</v>
      </c>
      <c r="H88" s="141">
        <v>78.7</v>
      </c>
      <c r="I88" s="360">
        <v>78.7</v>
      </c>
      <c r="J88" s="365">
        <f>+I88-H88</f>
        <v>0</v>
      </c>
      <c r="K88" s="360">
        <v>79</v>
      </c>
      <c r="L88" s="157">
        <f t="shared" si="14"/>
        <v>0.29999999999999716</v>
      </c>
    </row>
    <row r="89" spans="1:12" ht="15" customHeight="1">
      <c r="A89" s="880" t="s">
        <v>100</v>
      </c>
      <c r="B89" s="727"/>
      <c r="C89" s="138">
        <v>24</v>
      </c>
      <c r="D89" s="140">
        <v>24</v>
      </c>
      <c r="E89" s="139">
        <f>+D89-C89</f>
        <v>0</v>
      </c>
      <c r="F89" s="140">
        <v>24</v>
      </c>
      <c r="G89" s="133">
        <f t="shared" si="13"/>
        <v>0</v>
      </c>
      <c r="H89" s="141">
        <v>77</v>
      </c>
      <c r="I89" s="360">
        <v>79</v>
      </c>
      <c r="J89" s="365">
        <f>+I89-H89</f>
        <v>2</v>
      </c>
      <c r="K89" s="360">
        <v>89.7</v>
      </c>
      <c r="L89" s="157">
        <f t="shared" si="14"/>
        <v>10.700000000000003</v>
      </c>
    </row>
    <row r="90" spans="1:12" ht="15" customHeight="1">
      <c r="A90" s="880" t="s">
        <v>101</v>
      </c>
      <c r="B90" s="727"/>
      <c r="C90" s="138">
        <v>24</v>
      </c>
      <c r="D90" s="140">
        <v>24</v>
      </c>
      <c r="E90" s="139">
        <f>+D90-C90</f>
        <v>0</v>
      </c>
      <c r="F90" s="140">
        <v>24</v>
      </c>
      <c r="G90" s="133">
        <f t="shared" si="13"/>
        <v>0</v>
      </c>
      <c r="H90" s="141">
        <v>83.2</v>
      </c>
      <c r="I90" s="360">
        <v>89.2</v>
      </c>
      <c r="J90" s="365">
        <f>+I90-H90</f>
        <v>6</v>
      </c>
      <c r="K90" s="360">
        <v>91.5</v>
      </c>
      <c r="L90" s="157">
        <f t="shared" si="14"/>
        <v>2.299999999999997</v>
      </c>
    </row>
    <row r="91" spans="1:12" ht="15" customHeight="1">
      <c r="A91" s="880" t="s">
        <v>102</v>
      </c>
      <c r="B91" s="727"/>
      <c r="C91" s="138"/>
      <c r="D91" s="140"/>
      <c r="E91" s="139"/>
      <c r="F91" s="140"/>
      <c r="G91" s="133">
        <f t="shared" si="13"/>
        <v>0</v>
      </c>
      <c r="H91" s="141"/>
      <c r="I91" s="360"/>
      <c r="J91" s="365"/>
      <c r="K91" s="360"/>
      <c r="L91" s="157">
        <f t="shared" si="14"/>
        <v>0</v>
      </c>
    </row>
    <row r="92" spans="1:12" ht="15" customHeight="1">
      <c r="A92" s="880" t="s">
        <v>103</v>
      </c>
      <c r="B92" s="727"/>
      <c r="C92" s="138">
        <v>70</v>
      </c>
      <c r="D92" s="140">
        <v>70</v>
      </c>
      <c r="E92" s="139">
        <f aca="true" t="shared" si="15" ref="E92:E105">+D92-C92</f>
        <v>0</v>
      </c>
      <c r="F92" s="140">
        <v>68</v>
      </c>
      <c r="G92" s="133">
        <f t="shared" si="13"/>
        <v>-2</v>
      </c>
      <c r="H92" s="141">
        <v>78.4</v>
      </c>
      <c r="I92" s="360">
        <v>83.2</v>
      </c>
      <c r="J92" s="365">
        <f aca="true" t="shared" si="16" ref="J92:J105">+I92-H92</f>
        <v>4.799999999999997</v>
      </c>
      <c r="K92" s="360">
        <v>90.4</v>
      </c>
      <c r="L92" s="157">
        <f t="shared" si="14"/>
        <v>7.200000000000003</v>
      </c>
    </row>
    <row r="93" spans="1:12" ht="15" customHeight="1">
      <c r="A93" s="880" t="s">
        <v>104</v>
      </c>
      <c r="B93" s="727"/>
      <c r="C93" s="138">
        <v>53</v>
      </c>
      <c r="D93" s="140">
        <v>53</v>
      </c>
      <c r="E93" s="139">
        <f t="shared" si="15"/>
        <v>0</v>
      </c>
      <c r="F93" s="140">
        <v>53</v>
      </c>
      <c r="G93" s="133">
        <f t="shared" si="13"/>
        <v>0</v>
      </c>
      <c r="H93" s="141">
        <v>76.6</v>
      </c>
      <c r="I93" s="360">
        <v>71.2</v>
      </c>
      <c r="J93" s="365">
        <f t="shared" si="16"/>
        <v>-5.3999999999999915</v>
      </c>
      <c r="K93" s="360">
        <v>71.9</v>
      </c>
      <c r="L93" s="157">
        <f t="shared" si="14"/>
        <v>0.7000000000000028</v>
      </c>
    </row>
    <row r="94" spans="1:12" ht="15" customHeight="1">
      <c r="A94" s="880" t="s">
        <v>105</v>
      </c>
      <c r="B94" s="727"/>
      <c r="C94" s="138">
        <v>71</v>
      </c>
      <c r="D94" s="140">
        <v>70</v>
      </c>
      <c r="E94" s="139">
        <f t="shared" si="15"/>
        <v>-1</v>
      </c>
      <c r="F94" s="140">
        <v>70</v>
      </c>
      <c r="G94" s="133">
        <f t="shared" si="13"/>
        <v>0</v>
      </c>
      <c r="H94" s="141">
        <v>88</v>
      </c>
      <c r="I94" s="360">
        <v>82.4</v>
      </c>
      <c r="J94" s="365">
        <f t="shared" si="16"/>
        <v>-5.599999999999994</v>
      </c>
      <c r="K94" s="360">
        <v>79.4</v>
      </c>
      <c r="L94" s="157">
        <f t="shared" si="14"/>
        <v>-3</v>
      </c>
    </row>
    <row r="95" spans="1:12" ht="15" customHeight="1">
      <c r="A95" s="880" t="s">
        <v>106</v>
      </c>
      <c r="B95" s="727"/>
      <c r="C95" s="138">
        <v>5</v>
      </c>
      <c r="D95" s="140">
        <v>6</v>
      </c>
      <c r="E95" s="139">
        <f t="shared" si="15"/>
        <v>1</v>
      </c>
      <c r="F95" s="140">
        <v>6</v>
      </c>
      <c r="G95" s="133">
        <f t="shared" si="13"/>
        <v>0</v>
      </c>
      <c r="H95" s="141">
        <v>77.7</v>
      </c>
      <c r="I95" s="360">
        <v>77.4</v>
      </c>
      <c r="J95" s="365">
        <f t="shared" si="16"/>
        <v>-0.29999999999999716</v>
      </c>
      <c r="K95" s="360">
        <v>74.8</v>
      </c>
      <c r="L95" s="157">
        <f t="shared" si="14"/>
        <v>-2.6000000000000085</v>
      </c>
    </row>
    <row r="96" spans="1:12" ht="15" customHeight="1">
      <c r="A96" s="880" t="s">
        <v>107</v>
      </c>
      <c r="B96" s="727"/>
      <c r="C96" s="138">
        <v>30</v>
      </c>
      <c r="D96" s="140">
        <v>32</v>
      </c>
      <c r="E96" s="139">
        <f t="shared" si="15"/>
        <v>2</v>
      </c>
      <c r="F96" s="140">
        <v>32</v>
      </c>
      <c r="G96" s="133">
        <f t="shared" si="13"/>
        <v>0</v>
      </c>
      <c r="H96" s="141">
        <v>85.1</v>
      </c>
      <c r="I96" s="360">
        <v>93.6</v>
      </c>
      <c r="J96" s="365">
        <f t="shared" si="16"/>
        <v>8.5</v>
      </c>
      <c r="K96" s="360">
        <v>87.5</v>
      </c>
      <c r="L96" s="157">
        <f t="shared" si="14"/>
        <v>-6.099999999999994</v>
      </c>
    </row>
    <row r="97" spans="1:12" ht="15" customHeight="1">
      <c r="A97" s="880" t="s">
        <v>108</v>
      </c>
      <c r="B97" s="727"/>
      <c r="C97" s="138">
        <v>22</v>
      </c>
      <c r="D97" s="140">
        <v>20</v>
      </c>
      <c r="E97" s="139">
        <f t="shared" si="15"/>
        <v>-2</v>
      </c>
      <c r="F97" s="140">
        <v>20</v>
      </c>
      <c r="G97" s="133">
        <f t="shared" si="13"/>
        <v>0</v>
      </c>
      <c r="H97" s="141">
        <v>64.1</v>
      </c>
      <c r="I97" s="360">
        <v>75.6</v>
      </c>
      <c r="J97" s="365">
        <f t="shared" si="16"/>
        <v>11.5</v>
      </c>
      <c r="K97" s="360">
        <v>71.1</v>
      </c>
      <c r="L97" s="157">
        <f t="shared" si="14"/>
        <v>-4.5</v>
      </c>
    </row>
    <row r="98" spans="1:12" ht="15" customHeight="1">
      <c r="A98" s="880" t="s">
        <v>109</v>
      </c>
      <c r="B98" s="727"/>
      <c r="C98" s="138">
        <v>23</v>
      </c>
      <c r="D98" s="140">
        <v>20</v>
      </c>
      <c r="E98" s="139">
        <f t="shared" si="15"/>
        <v>-3</v>
      </c>
      <c r="F98" s="140">
        <v>15</v>
      </c>
      <c r="G98" s="133">
        <f t="shared" si="13"/>
        <v>-5</v>
      </c>
      <c r="H98" s="141">
        <v>79.3</v>
      </c>
      <c r="I98" s="360">
        <v>79</v>
      </c>
      <c r="J98" s="365">
        <f t="shared" si="16"/>
        <v>-0.29999999999999716</v>
      </c>
      <c r="K98" s="360">
        <v>79.86</v>
      </c>
      <c r="L98" s="157">
        <f t="shared" si="14"/>
        <v>0.8599999999999994</v>
      </c>
    </row>
    <row r="99" spans="1:12" ht="15" customHeight="1">
      <c r="A99" s="880" t="s">
        <v>110</v>
      </c>
      <c r="B99" s="727"/>
      <c r="C99" s="138">
        <v>25</v>
      </c>
      <c r="D99" s="140">
        <v>20</v>
      </c>
      <c r="E99" s="139">
        <f t="shared" si="15"/>
        <v>-5</v>
      </c>
      <c r="F99" s="140">
        <v>12</v>
      </c>
      <c r="G99" s="133">
        <f t="shared" si="13"/>
        <v>-8</v>
      </c>
      <c r="H99" s="141">
        <v>66.7</v>
      </c>
      <c r="I99" s="360">
        <v>77.9</v>
      </c>
      <c r="J99" s="365">
        <f t="shared" si="16"/>
        <v>11.200000000000003</v>
      </c>
      <c r="K99" s="360">
        <v>83.3</v>
      </c>
      <c r="L99" s="157">
        <f t="shared" si="14"/>
        <v>5.3999999999999915</v>
      </c>
    </row>
    <row r="100" spans="1:12" ht="15" customHeight="1">
      <c r="A100" s="880" t="s">
        <v>111</v>
      </c>
      <c r="B100" s="727"/>
      <c r="C100" s="138">
        <v>15</v>
      </c>
      <c r="D100" s="140">
        <v>0</v>
      </c>
      <c r="E100" s="139">
        <f t="shared" si="15"/>
        <v>-15</v>
      </c>
      <c r="F100" s="140"/>
      <c r="G100" s="133">
        <f t="shared" si="13"/>
        <v>0</v>
      </c>
      <c r="H100" s="141">
        <v>74</v>
      </c>
      <c r="I100" s="360"/>
      <c r="J100" s="365">
        <f t="shared" si="16"/>
        <v>-74</v>
      </c>
      <c r="K100" s="360"/>
      <c r="L100" s="157">
        <f t="shared" si="14"/>
        <v>0</v>
      </c>
    </row>
    <row r="101" spans="1:12" ht="15" customHeight="1">
      <c r="A101" s="880" t="s">
        <v>112</v>
      </c>
      <c r="B101" s="727"/>
      <c r="C101" s="138">
        <v>20</v>
      </c>
      <c r="D101" s="140">
        <v>20</v>
      </c>
      <c r="E101" s="139">
        <f t="shared" si="15"/>
        <v>0</v>
      </c>
      <c r="F101" s="140">
        <v>20</v>
      </c>
      <c r="G101" s="133">
        <f t="shared" si="13"/>
        <v>0</v>
      </c>
      <c r="H101" s="141">
        <v>73.7</v>
      </c>
      <c r="I101" s="360">
        <v>89.7</v>
      </c>
      <c r="J101" s="365">
        <f t="shared" si="16"/>
        <v>16</v>
      </c>
      <c r="K101" s="360">
        <v>88.3</v>
      </c>
      <c r="L101" s="157">
        <f t="shared" si="14"/>
        <v>-1.4000000000000057</v>
      </c>
    </row>
    <row r="102" spans="1:12" ht="15" customHeight="1">
      <c r="A102" s="880" t="s">
        <v>113</v>
      </c>
      <c r="B102" s="727"/>
      <c r="C102" s="138">
        <v>25</v>
      </c>
      <c r="D102" s="140">
        <v>25</v>
      </c>
      <c r="E102" s="139">
        <f t="shared" si="15"/>
        <v>0</v>
      </c>
      <c r="F102" s="140">
        <v>25</v>
      </c>
      <c r="G102" s="133">
        <f t="shared" si="13"/>
        <v>0</v>
      </c>
      <c r="H102" s="141">
        <v>86.7</v>
      </c>
      <c r="I102" s="360">
        <v>84.3</v>
      </c>
      <c r="J102" s="365">
        <f t="shared" si="16"/>
        <v>-2.4000000000000057</v>
      </c>
      <c r="K102" s="360">
        <v>91.6</v>
      </c>
      <c r="L102" s="157">
        <f t="shared" si="14"/>
        <v>7.299999999999997</v>
      </c>
    </row>
    <row r="103" spans="1:12" ht="15" customHeight="1">
      <c r="A103" s="880" t="s">
        <v>114</v>
      </c>
      <c r="B103" s="727"/>
      <c r="C103" s="138">
        <v>26</v>
      </c>
      <c r="D103" s="140">
        <v>44</v>
      </c>
      <c r="E103" s="139">
        <f t="shared" si="15"/>
        <v>18</v>
      </c>
      <c r="F103" s="140">
        <v>44</v>
      </c>
      <c r="G103" s="133">
        <f t="shared" si="13"/>
        <v>0</v>
      </c>
      <c r="H103" s="141">
        <v>97.9</v>
      </c>
      <c r="I103" s="360">
        <v>91.7</v>
      </c>
      <c r="J103" s="365">
        <f t="shared" si="16"/>
        <v>-6.200000000000003</v>
      </c>
      <c r="K103" s="360">
        <v>97.7</v>
      </c>
      <c r="L103" s="157">
        <f t="shared" si="14"/>
        <v>6</v>
      </c>
    </row>
    <row r="104" spans="1:12" ht="15" customHeight="1" thickBot="1">
      <c r="A104" s="867" t="s">
        <v>115</v>
      </c>
      <c r="B104" s="842"/>
      <c r="C104" s="144">
        <v>10</v>
      </c>
      <c r="D104" s="146">
        <v>10</v>
      </c>
      <c r="E104" s="145">
        <f t="shared" si="15"/>
        <v>0</v>
      </c>
      <c r="F104" s="146">
        <v>10</v>
      </c>
      <c r="G104" s="161">
        <f t="shared" si="13"/>
        <v>0</v>
      </c>
      <c r="H104" s="147">
        <v>78.4</v>
      </c>
      <c r="I104" s="361">
        <v>85.8</v>
      </c>
      <c r="J104" s="366">
        <f t="shared" si="16"/>
        <v>7.3999999999999915</v>
      </c>
      <c r="K104" s="361">
        <v>86.6</v>
      </c>
      <c r="L104" s="157">
        <f t="shared" si="14"/>
        <v>0.7999999999999972</v>
      </c>
    </row>
    <row r="105" spans="1:12" ht="17.25" customHeight="1" thickBot="1">
      <c r="A105" s="868" t="s">
        <v>31</v>
      </c>
      <c r="B105" s="749"/>
      <c r="C105" s="150">
        <f>SUM(C87:C104)</f>
        <v>575</v>
      </c>
      <c r="D105" s="152">
        <f>SUM(D87:D104)</f>
        <v>576</v>
      </c>
      <c r="E105" s="151">
        <f t="shared" si="15"/>
        <v>1</v>
      </c>
      <c r="F105" s="152">
        <f>SUM(F87:F104)</f>
        <v>561</v>
      </c>
      <c r="G105" s="151">
        <f>+F105-E105</f>
        <v>560</v>
      </c>
      <c r="H105" s="153">
        <v>81.5</v>
      </c>
      <c r="I105" s="362">
        <v>81.3</v>
      </c>
      <c r="J105" s="367">
        <f t="shared" si="16"/>
        <v>-0.20000000000000284</v>
      </c>
      <c r="K105" s="362">
        <v>83.2</v>
      </c>
      <c r="L105" s="160">
        <f t="shared" si="14"/>
        <v>1.9000000000000057</v>
      </c>
    </row>
    <row r="106" ht="13.5" thickBot="1"/>
    <row r="107" spans="1:12" ht="12.75" customHeight="1">
      <c r="A107" s="871" t="s">
        <v>399</v>
      </c>
      <c r="B107" s="872"/>
      <c r="C107" s="872"/>
      <c r="D107" s="872"/>
      <c r="E107" s="872"/>
      <c r="F107" s="872"/>
      <c r="G107" s="872"/>
      <c r="H107" s="872"/>
      <c r="I107" s="872"/>
      <c r="J107" s="872"/>
      <c r="K107" s="872"/>
      <c r="L107" s="873"/>
    </row>
    <row r="108" spans="1:12" ht="12.75">
      <c r="A108" s="874"/>
      <c r="B108" s="875"/>
      <c r="C108" s="875"/>
      <c r="D108" s="875"/>
      <c r="E108" s="875"/>
      <c r="F108" s="875"/>
      <c r="G108" s="875"/>
      <c r="H108" s="875"/>
      <c r="I108" s="875"/>
      <c r="J108" s="875"/>
      <c r="K108" s="875"/>
      <c r="L108" s="876"/>
    </row>
    <row r="109" spans="1:12" ht="12.75">
      <c r="A109" s="874"/>
      <c r="B109" s="875"/>
      <c r="C109" s="875"/>
      <c r="D109" s="875"/>
      <c r="E109" s="875"/>
      <c r="F109" s="875"/>
      <c r="G109" s="875"/>
      <c r="H109" s="875"/>
      <c r="I109" s="875"/>
      <c r="J109" s="875"/>
      <c r="K109" s="875"/>
      <c r="L109" s="876"/>
    </row>
    <row r="110" spans="1:12" ht="13.5" thickBot="1">
      <c r="A110" s="877"/>
      <c r="B110" s="878"/>
      <c r="C110" s="878"/>
      <c r="D110" s="878"/>
      <c r="E110" s="878"/>
      <c r="F110" s="878"/>
      <c r="G110" s="878"/>
      <c r="H110" s="878"/>
      <c r="I110" s="878"/>
      <c r="J110" s="878"/>
      <c r="K110" s="878"/>
      <c r="L110" s="879"/>
    </row>
    <row r="111" spans="1:12" ht="8.25" customHeight="1">
      <c r="A111" s="70"/>
      <c r="B111" s="70"/>
      <c r="C111" s="70"/>
      <c r="D111" s="70"/>
      <c r="E111" s="70"/>
      <c r="F111" s="70"/>
      <c r="G111" s="70"/>
      <c r="H111" s="70"/>
      <c r="I111" s="70"/>
      <c r="J111" s="70"/>
      <c r="K111" s="70"/>
      <c r="L111" s="246"/>
    </row>
    <row r="112" spans="1:12" ht="16.5" thickBot="1">
      <c r="A112" s="25" t="s">
        <v>182</v>
      </c>
      <c r="L112" s="274" t="s">
        <v>19</v>
      </c>
    </row>
    <row r="113" spans="1:12" s="35" customFormat="1" ht="21.75" customHeight="1" thickBot="1">
      <c r="A113" s="859" t="s">
        <v>192</v>
      </c>
      <c r="B113" s="860"/>
      <c r="C113" s="860"/>
      <c r="D113" s="860"/>
      <c r="E113" s="901" t="s">
        <v>173</v>
      </c>
      <c r="F113" s="902"/>
      <c r="H113" s="959" t="s">
        <v>193</v>
      </c>
      <c r="I113" s="960"/>
      <c r="J113" s="961"/>
      <c r="K113" s="901" t="s">
        <v>173</v>
      </c>
      <c r="L113" s="902"/>
    </row>
    <row r="114" spans="1:12" s="245" customFormat="1" ht="21" customHeight="1">
      <c r="A114" s="899" t="s">
        <v>174</v>
      </c>
      <c r="B114" s="900"/>
      <c r="C114" s="900"/>
      <c r="D114" s="900"/>
      <c r="E114" s="896">
        <v>777000</v>
      </c>
      <c r="F114" s="828"/>
      <c r="H114" s="963" t="s">
        <v>175</v>
      </c>
      <c r="I114" s="964"/>
      <c r="J114" s="965"/>
      <c r="K114" s="896">
        <v>2696597</v>
      </c>
      <c r="L114" s="828"/>
    </row>
    <row r="115" spans="1:12" s="245" customFormat="1" ht="16.5" customHeight="1">
      <c r="A115" s="892" t="s">
        <v>175</v>
      </c>
      <c r="B115" s="893"/>
      <c r="C115" s="893"/>
      <c r="D115" s="893"/>
      <c r="E115" s="817">
        <v>12550000</v>
      </c>
      <c r="F115" s="904"/>
      <c r="H115" s="713" t="s">
        <v>176</v>
      </c>
      <c r="I115" s="815"/>
      <c r="J115" s="816"/>
      <c r="K115" s="817"/>
      <c r="L115" s="904"/>
    </row>
    <row r="116" spans="1:12" s="245" customFormat="1" ht="16.5" customHeight="1">
      <c r="A116" s="892" t="s">
        <v>176</v>
      </c>
      <c r="B116" s="893"/>
      <c r="C116" s="893"/>
      <c r="D116" s="893"/>
      <c r="E116" s="817">
        <v>35081</v>
      </c>
      <c r="F116" s="818"/>
      <c r="H116" s="713" t="s">
        <v>178</v>
      </c>
      <c r="I116" s="815"/>
      <c r="J116" s="816"/>
      <c r="K116" s="817"/>
      <c r="L116" s="818"/>
    </row>
    <row r="117" spans="1:12" s="245" customFormat="1" ht="16.5" customHeight="1">
      <c r="A117" s="892" t="s">
        <v>177</v>
      </c>
      <c r="B117" s="893"/>
      <c r="C117" s="893"/>
      <c r="D117" s="893"/>
      <c r="E117" s="817">
        <v>141535</v>
      </c>
      <c r="F117" s="818"/>
      <c r="H117" s="713" t="s">
        <v>242</v>
      </c>
      <c r="I117" s="815"/>
      <c r="J117" s="816"/>
      <c r="K117" s="817">
        <v>9285712.46</v>
      </c>
      <c r="L117" s="818"/>
    </row>
    <row r="118" spans="1:12" s="245" customFormat="1" ht="16.5" customHeight="1">
      <c r="A118" s="892" t="s">
        <v>178</v>
      </c>
      <c r="B118" s="893"/>
      <c r="C118" s="893"/>
      <c r="D118" s="893"/>
      <c r="E118" s="817">
        <v>0</v>
      </c>
      <c r="F118" s="904"/>
      <c r="H118" s="819"/>
      <c r="I118" s="820"/>
      <c r="J118" s="821"/>
      <c r="K118" s="825"/>
      <c r="L118" s="826"/>
    </row>
    <row r="119" spans="1:12" s="35" customFormat="1" ht="16.5" customHeight="1">
      <c r="A119" s="892" t="s">
        <v>205</v>
      </c>
      <c r="B119" s="893"/>
      <c r="C119" s="893"/>
      <c r="D119" s="893"/>
      <c r="E119" s="817">
        <v>15000</v>
      </c>
      <c r="F119" s="903"/>
      <c r="H119" s="822"/>
      <c r="I119" s="823"/>
      <c r="J119" s="824"/>
      <c r="K119" s="827"/>
      <c r="L119" s="828"/>
    </row>
    <row r="120" spans="1:12" s="35" customFormat="1" ht="15" customHeight="1" thickBot="1">
      <c r="A120" s="894" t="s">
        <v>179</v>
      </c>
      <c r="B120" s="895"/>
      <c r="C120" s="895"/>
      <c r="D120" s="895"/>
      <c r="E120" s="897">
        <f>SUM(E114:F119)</f>
        <v>13518616</v>
      </c>
      <c r="F120" s="898"/>
      <c r="H120" s="956" t="s">
        <v>180</v>
      </c>
      <c r="I120" s="957"/>
      <c r="J120" s="958"/>
      <c r="K120" s="897">
        <f>SUM(K114:L119)</f>
        <v>11982309.46</v>
      </c>
      <c r="L120" s="898"/>
    </row>
    <row r="121" ht="13.5" thickBot="1"/>
    <row r="122" spans="1:11" ht="33" customHeight="1">
      <c r="A122" s="829" t="s">
        <v>206</v>
      </c>
      <c r="B122" s="949"/>
      <c r="C122" s="784"/>
      <c r="D122" s="785"/>
      <c r="E122" s="429" t="s">
        <v>207</v>
      </c>
      <c r="F122" s="429" t="s">
        <v>241</v>
      </c>
      <c r="G122" s="915" t="s">
        <v>209</v>
      </c>
      <c r="H122" s="952"/>
      <c r="I122" s="430" t="s">
        <v>240</v>
      </c>
      <c r="J122" s="953" t="s">
        <v>210</v>
      </c>
      <c r="K122" s="745"/>
    </row>
    <row r="123" spans="1:11" ht="23.25" thickBot="1">
      <c r="A123" s="845"/>
      <c r="B123" s="950"/>
      <c r="C123" s="846"/>
      <c r="D123" s="710"/>
      <c r="E123" s="417" t="s">
        <v>239</v>
      </c>
      <c r="F123" s="1" t="s">
        <v>212</v>
      </c>
      <c r="G123" s="91" t="s">
        <v>213</v>
      </c>
      <c r="H123" s="1" t="s">
        <v>214</v>
      </c>
      <c r="I123" s="1" t="s">
        <v>215</v>
      </c>
      <c r="J123" s="954" t="s">
        <v>216</v>
      </c>
      <c r="K123" s="955"/>
    </row>
    <row r="124" spans="1:11" ht="15" customHeight="1">
      <c r="A124" s="933" t="s">
        <v>217</v>
      </c>
      <c r="B124" s="934"/>
      <c r="C124" s="935"/>
      <c r="D124" s="936"/>
      <c r="E124" s="443"/>
      <c r="F124" s="434">
        <f>1612031.9+1058565.1-469870-8925</f>
        <v>2191802</v>
      </c>
      <c r="G124" s="433"/>
      <c r="H124" s="433"/>
      <c r="I124" s="434"/>
      <c r="J124" s="966">
        <f>SUM(E124:I124)</f>
        <v>2191802</v>
      </c>
      <c r="K124" s="967"/>
    </row>
    <row r="125" spans="1:11" ht="15" customHeight="1">
      <c r="A125" s="933" t="s">
        <v>218</v>
      </c>
      <c r="B125" s="934"/>
      <c r="C125" s="935"/>
      <c r="D125" s="936"/>
      <c r="E125" s="443"/>
      <c r="F125" s="435"/>
      <c r="G125" s="433"/>
      <c r="H125" s="433"/>
      <c r="I125" s="434"/>
      <c r="J125" s="937">
        <f>SUM(E125:I125)</f>
        <v>0</v>
      </c>
      <c r="K125" s="938"/>
    </row>
    <row r="126" spans="1:11" ht="15" customHeight="1">
      <c r="A126" s="933" t="s">
        <v>219</v>
      </c>
      <c r="B126" s="934"/>
      <c r="C126" s="935"/>
      <c r="D126" s="936"/>
      <c r="E126" s="443"/>
      <c r="F126" s="435">
        <v>469870</v>
      </c>
      <c r="G126" s="433"/>
      <c r="H126" s="433"/>
      <c r="I126" s="434"/>
      <c r="J126" s="937">
        <f>SUM(E126:I126)</f>
        <v>469870</v>
      </c>
      <c r="K126" s="938"/>
    </row>
    <row r="127" spans="1:11" ht="15" customHeight="1" thickBot="1">
      <c r="A127" s="933" t="s">
        <v>220</v>
      </c>
      <c r="B127" s="934"/>
      <c r="C127" s="935"/>
      <c r="D127" s="936"/>
      <c r="E127" s="443"/>
      <c r="F127" s="435">
        <f>26000+8925</f>
        <v>34925</v>
      </c>
      <c r="G127" s="433"/>
      <c r="H127" s="433"/>
      <c r="I127" s="434"/>
      <c r="J127" s="937">
        <f>SUM(E127:I127)</f>
        <v>34925</v>
      </c>
      <c r="K127" s="938"/>
    </row>
    <row r="128" spans="1:11" ht="13.5" thickBot="1">
      <c r="A128" s="928" t="s">
        <v>221</v>
      </c>
      <c r="B128" s="929"/>
      <c r="C128" s="930"/>
      <c r="D128" s="931"/>
      <c r="E128" s="436">
        <f>SUM(E124:E127)</f>
        <v>0</v>
      </c>
      <c r="F128" s="436">
        <f>+F124+F125+F126+F127</f>
        <v>2696597</v>
      </c>
      <c r="G128" s="436">
        <f>SUM(G124:G127)</f>
        <v>0</v>
      </c>
      <c r="H128" s="436">
        <f>SUM(H124:H127)</f>
        <v>0</v>
      </c>
      <c r="I128" s="436">
        <f>SUM(I124:I127)</f>
        <v>0</v>
      </c>
      <c r="J128" s="932">
        <f>SUM(J124:J127)</f>
        <v>2696597</v>
      </c>
      <c r="K128" s="754"/>
    </row>
    <row r="129" spans="3:9" ht="8.25" customHeight="1" thickBot="1">
      <c r="C129" s="445"/>
      <c r="D129" s="445"/>
      <c r="E129" s="445"/>
      <c r="F129" s="445"/>
      <c r="G129" s="445"/>
      <c r="H129" s="446"/>
      <c r="I129" s="446"/>
    </row>
    <row r="130" spans="1:11" ht="33" customHeight="1">
      <c r="A130" s="829" t="s">
        <v>222</v>
      </c>
      <c r="B130" s="949"/>
      <c r="C130" s="784"/>
      <c r="D130" s="785"/>
      <c r="E130" s="438" t="s">
        <v>207</v>
      </c>
      <c r="F130" s="429" t="s">
        <v>241</v>
      </c>
      <c r="G130" s="951" t="s">
        <v>209</v>
      </c>
      <c r="H130" s="952"/>
      <c r="I130" s="430" t="s">
        <v>240</v>
      </c>
      <c r="J130" s="953" t="s">
        <v>224</v>
      </c>
      <c r="K130" s="745"/>
    </row>
    <row r="131" spans="1:11" ht="23.25" customHeight="1" thickBot="1">
      <c r="A131" s="845" t="s">
        <v>225</v>
      </c>
      <c r="B131" s="950"/>
      <c r="C131" s="846"/>
      <c r="D131" s="710"/>
      <c r="E131" s="439" t="s">
        <v>239</v>
      </c>
      <c r="F131" s="440" t="s">
        <v>212</v>
      </c>
      <c r="G131" s="442" t="s">
        <v>226</v>
      </c>
      <c r="H131" s="440" t="s">
        <v>214</v>
      </c>
      <c r="I131" s="441" t="s">
        <v>215</v>
      </c>
      <c r="J131" s="954" t="s">
        <v>216</v>
      </c>
      <c r="K131" s="955"/>
    </row>
    <row r="132" spans="1:11" ht="14.25" customHeight="1">
      <c r="A132" s="945" t="s">
        <v>227</v>
      </c>
      <c r="B132" s="946"/>
      <c r="C132" s="947"/>
      <c r="D132" s="948"/>
      <c r="E132" s="443"/>
      <c r="F132" s="433"/>
      <c r="G132" s="433"/>
      <c r="H132" s="433"/>
      <c r="I132" s="434">
        <v>6788339.96</v>
      </c>
      <c r="J132" s="943">
        <f>+E132+F132+G132+H132+I132</f>
        <v>6788339.96</v>
      </c>
      <c r="K132" s="944"/>
    </row>
    <row r="133" spans="1:11" ht="14.25" customHeight="1">
      <c r="A133" s="933" t="s">
        <v>228</v>
      </c>
      <c r="B133" s="934"/>
      <c r="C133" s="935"/>
      <c r="D133" s="936"/>
      <c r="E133" s="443"/>
      <c r="F133" s="435"/>
      <c r="G133" s="433"/>
      <c r="H133" s="433"/>
      <c r="I133" s="434"/>
      <c r="J133" s="937">
        <f>SUM(E133:I133)</f>
        <v>0</v>
      </c>
      <c r="K133" s="938"/>
    </row>
    <row r="134" spans="1:11" ht="14.25" customHeight="1">
      <c r="A134" s="933" t="s">
        <v>229</v>
      </c>
      <c r="B134" s="934"/>
      <c r="C134" s="935"/>
      <c r="D134" s="936"/>
      <c r="E134" s="443"/>
      <c r="F134" s="435"/>
      <c r="G134" s="433"/>
      <c r="H134" s="433"/>
      <c r="I134" s="434">
        <v>2098372.5</v>
      </c>
      <c r="J134" s="937">
        <f>+E134+F134+G134+H134+I134</f>
        <v>2098372.5</v>
      </c>
      <c r="K134" s="938"/>
    </row>
    <row r="135" spans="1:11" ht="14.25" customHeight="1">
      <c r="A135" s="933" t="s">
        <v>230</v>
      </c>
      <c r="B135" s="934"/>
      <c r="C135" s="935"/>
      <c r="D135" s="936"/>
      <c r="E135" s="443"/>
      <c r="F135" s="435"/>
      <c r="G135" s="433"/>
      <c r="H135" s="433"/>
      <c r="I135" s="434">
        <v>399000</v>
      </c>
      <c r="J135" s="937">
        <f>+E135+F135+G135+H135+I135</f>
        <v>399000</v>
      </c>
      <c r="K135" s="938"/>
    </row>
    <row r="136" spans="1:11" ht="14.25" customHeight="1">
      <c r="A136" s="933" t="s">
        <v>231</v>
      </c>
      <c r="B136" s="934"/>
      <c r="C136" s="935"/>
      <c r="D136" s="936"/>
      <c r="E136" s="443"/>
      <c r="F136" s="435"/>
      <c r="G136" s="433"/>
      <c r="H136" s="433"/>
      <c r="I136" s="434"/>
      <c r="J136" s="937">
        <f>+E136+F136+G136+H136+I136</f>
        <v>0</v>
      </c>
      <c r="K136" s="938"/>
    </row>
    <row r="137" spans="1:11" ht="19.5" customHeight="1">
      <c r="A137" s="933" t="s">
        <v>232</v>
      </c>
      <c r="B137" s="934"/>
      <c r="C137" s="935"/>
      <c r="D137" s="936"/>
      <c r="E137" s="443"/>
      <c r="F137" s="435"/>
      <c r="G137" s="433"/>
      <c r="H137" s="433"/>
      <c r="I137" s="434"/>
      <c r="J137" s="937">
        <f>SUM(E137:I137)</f>
        <v>0</v>
      </c>
      <c r="K137" s="938"/>
    </row>
    <row r="138" spans="1:11" ht="14.25" customHeight="1">
      <c r="A138" s="933" t="s">
        <v>233</v>
      </c>
      <c r="B138" s="934"/>
      <c r="C138" s="935"/>
      <c r="D138" s="936"/>
      <c r="E138" s="443"/>
      <c r="F138" s="435"/>
      <c r="G138" s="433"/>
      <c r="H138" s="433"/>
      <c r="I138" s="434"/>
      <c r="J138" s="937">
        <f>SUM(E138:I138)</f>
        <v>0</v>
      </c>
      <c r="K138" s="938"/>
    </row>
    <row r="139" spans="1:11" ht="14.25" customHeight="1">
      <c r="A139" s="933" t="s">
        <v>234</v>
      </c>
      <c r="B139" s="934"/>
      <c r="C139" s="935"/>
      <c r="D139" s="936"/>
      <c r="E139" s="443"/>
      <c r="F139" s="435"/>
      <c r="G139" s="433"/>
      <c r="H139" s="433"/>
      <c r="I139" s="434"/>
      <c r="J139" s="937">
        <f>SUM(E139:I139)</f>
        <v>0</v>
      </c>
      <c r="K139" s="938"/>
    </row>
    <row r="140" spans="1:11" ht="14.25" customHeight="1">
      <c r="A140" s="933" t="s">
        <v>235</v>
      </c>
      <c r="B140" s="934"/>
      <c r="C140" s="935"/>
      <c r="D140" s="936"/>
      <c r="E140" s="443"/>
      <c r="F140" s="435"/>
      <c r="G140" s="433"/>
      <c r="H140" s="433"/>
      <c r="I140" s="434"/>
      <c r="J140" s="937">
        <f>SUM(E140:I140)</f>
        <v>0</v>
      </c>
      <c r="K140" s="938"/>
    </row>
    <row r="141" spans="1:11" ht="23.25" customHeight="1" thickBot="1">
      <c r="A141" s="939" t="s">
        <v>236</v>
      </c>
      <c r="B141" s="940"/>
      <c r="C141" s="941"/>
      <c r="D141" s="942"/>
      <c r="E141" s="448"/>
      <c r="F141" s="449"/>
      <c r="G141" s="450"/>
      <c r="H141" s="450"/>
      <c r="I141" s="451"/>
      <c r="J141" s="943">
        <f>SUM(E141:I141)</f>
        <v>0</v>
      </c>
      <c r="K141" s="944"/>
    </row>
    <row r="142" spans="1:11" ht="18.75" customHeight="1" thickBot="1">
      <c r="A142" s="928" t="s">
        <v>237</v>
      </c>
      <c r="B142" s="929"/>
      <c r="C142" s="930"/>
      <c r="D142" s="931"/>
      <c r="E142" s="444">
        <f>SUM(E132:E137)</f>
        <v>0</v>
      </c>
      <c r="F142" s="436">
        <f>+F132+F133+F134+F135+F136+F137+F138+F139+F140+F141</f>
        <v>0</v>
      </c>
      <c r="G142" s="436">
        <f>SUM(G132:G137)</f>
        <v>0</v>
      </c>
      <c r="H142" s="436">
        <f>SUM(H132:H137)</f>
        <v>0</v>
      </c>
      <c r="I142" s="437">
        <f>SUM(I132:I137)</f>
        <v>9285712.46</v>
      </c>
      <c r="J142" s="932">
        <f>+J132+J133+J134+J135+J136+J137+J138+J139+J140+J141</f>
        <v>9285712.46</v>
      </c>
      <c r="K142" s="754"/>
    </row>
    <row r="143" spans="1:11" ht="5.25" customHeight="1" thickBot="1">
      <c r="A143" s="431"/>
      <c r="B143" s="431"/>
      <c r="E143" s="447"/>
      <c r="F143" s="447"/>
      <c r="G143" s="447"/>
      <c r="H143" s="447"/>
      <c r="I143" s="447"/>
      <c r="J143" s="446"/>
      <c r="K143" s="446"/>
    </row>
    <row r="144" spans="1:11" ht="18.75" customHeight="1" thickBot="1">
      <c r="A144" s="928" t="s">
        <v>238</v>
      </c>
      <c r="B144" s="929"/>
      <c r="C144" s="930"/>
      <c r="D144" s="931"/>
      <c r="E144" s="444">
        <f aca="true" t="shared" si="17" ref="E144:J144">+E142+E128</f>
        <v>0</v>
      </c>
      <c r="F144" s="436">
        <f t="shared" si="17"/>
        <v>2696597</v>
      </c>
      <c r="G144" s="436">
        <f t="shared" si="17"/>
        <v>0</v>
      </c>
      <c r="H144" s="436">
        <f t="shared" si="17"/>
        <v>0</v>
      </c>
      <c r="I144" s="437">
        <f t="shared" si="17"/>
        <v>9285712.46</v>
      </c>
      <c r="J144" s="932">
        <f t="shared" si="17"/>
        <v>11982309.46</v>
      </c>
      <c r="K144" s="754"/>
    </row>
    <row r="147" spans="1:11" ht="16.5" thickBot="1">
      <c r="A147" s="25" t="s">
        <v>181</v>
      </c>
      <c r="K147" s="274" t="s">
        <v>194</v>
      </c>
    </row>
    <row r="148" spans="1:11" ht="12.75" customHeight="1">
      <c r="A148" s="829" t="s">
        <v>124</v>
      </c>
      <c r="B148" s="784"/>
      <c r="C148" s="785"/>
      <c r="D148" s="217" t="s">
        <v>17</v>
      </c>
      <c r="E148" s="218"/>
      <c r="F148" s="200"/>
      <c r="G148" s="199" t="s">
        <v>18</v>
      </c>
      <c r="H148" s="218"/>
      <c r="I148" s="200"/>
      <c r="J148" s="829" t="s">
        <v>166</v>
      </c>
      <c r="K148" s="830"/>
    </row>
    <row r="149" spans="1:11" ht="12.75" customHeight="1">
      <c r="A149" s="844"/>
      <c r="B149" s="779"/>
      <c r="C149" s="727"/>
      <c r="D149" s="861" t="s">
        <v>125</v>
      </c>
      <c r="E149" s="850" t="s">
        <v>126</v>
      </c>
      <c r="F149" s="786" t="s">
        <v>31</v>
      </c>
      <c r="G149" s="793" t="s">
        <v>125</v>
      </c>
      <c r="H149" s="850" t="s">
        <v>126</v>
      </c>
      <c r="I149" s="853" t="s">
        <v>31</v>
      </c>
      <c r="J149" s="831"/>
      <c r="K149" s="832"/>
    </row>
    <row r="150" spans="1:11" ht="12.75">
      <c r="A150" s="844"/>
      <c r="B150" s="779"/>
      <c r="C150" s="727"/>
      <c r="D150" s="862"/>
      <c r="E150" s="851"/>
      <c r="F150" s="864"/>
      <c r="G150" s="866"/>
      <c r="H150" s="851" t="s">
        <v>127</v>
      </c>
      <c r="I150" s="854"/>
      <c r="J150" s="833"/>
      <c r="K150" s="727"/>
    </row>
    <row r="151" spans="1:11" ht="13.5" thickBot="1">
      <c r="A151" s="845"/>
      <c r="B151" s="846"/>
      <c r="C151" s="710"/>
      <c r="D151" s="863"/>
      <c r="E151" s="852"/>
      <c r="F151" s="865"/>
      <c r="G151" s="712"/>
      <c r="H151" s="852" t="s">
        <v>127</v>
      </c>
      <c r="I151" s="789"/>
      <c r="J151" s="202" t="s">
        <v>97</v>
      </c>
      <c r="K151" s="203" t="s">
        <v>167</v>
      </c>
    </row>
    <row r="152" spans="1:11" ht="12.75">
      <c r="A152" s="847" t="s">
        <v>128</v>
      </c>
      <c r="B152" s="848"/>
      <c r="C152" s="849"/>
      <c r="D152" s="220">
        <v>461650</v>
      </c>
      <c r="E152" s="192">
        <v>450</v>
      </c>
      <c r="F152" s="226">
        <f aca="true" t="shared" si="18" ref="F152:F161">SUM(D152:E152)</f>
        <v>462100</v>
      </c>
      <c r="G152" s="215">
        <v>237522</v>
      </c>
      <c r="H152" s="219">
        <v>497</v>
      </c>
      <c r="I152" s="276">
        <f aca="true" t="shared" si="19" ref="I152:I161">SUM(G152:H152)</f>
        <v>238019</v>
      </c>
      <c r="J152" s="205">
        <f aca="true" t="shared" si="20" ref="J152:J162">+I152-F152</f>
        <v>-224081</v>
      </c>
      <c r="K152" s="207">
        <f aca="true" t="shared" si="21" ref="K152:K162">+I152/F152</f>
        <v>0.5150811512659598</v>
      </c>
    </row>
    <row r="153" spans="1:11" ht="12.75">
      <c r="A153" s="797" t="s">
        <v>129</v>
      </c>
      <c r="B153" s="779"/>
      <c r="C153" s="727"/>
      <c r="D153" s="213">
        <v>448650</v>
      </c>
      <c r="E153" s="191"/>
      <c r="F153" s="226">
        <f t="shared" si="18"/>
        <v>448650</v>
      </c>
      <c r="G153" s="213">
        <v>231094</v>
      </c>
      <c r="H153" s="191">
        <v>0</v>
      </c>
      <c r="I153" s="201">
        <f t="shared" si="19"/>
        <v>231094</v>
      </c>
      <c r="J153" s="205">
        <f t="shared" si="20"/>
        <v>-217556</v>
      </c>
      <c r="K153" s="207">
        <f t="shared" si="21"/>
        <v>0.515087484676251</v>
      </c>
    </row>
    <row r="154" spans="1:11" ht="12.75">
      <c r="A154" s="797" t="s">
        <v>130</v>
      </c>
      <c r="B154" s="779"/>
      <c r="C154" s="727"/>
      <c r="D154" s="213">
        <v>13000</v>
      </c>
      <c r="E154" s="191">
        <v>450</v>
      </c>
      <c r="F154" s="226">
        <f t="shared" si="18"/>
        <v>13450</v>
      </c>
      <c r="G154" s="213">
        <v>6428</v>
      </c>
      <c r="H154" s="191">
        <v>497</v>
      </c>
      <c r="I154" s="195">
        <f t="shared" si="19"/>
        <v>6925</v>
      </c>
      <c r="J154" s="205">
        <f t="shared" si="20"/>
        <v>-6525</v>
      </c>
      <c r="K154" s="207">
        <f t="shared" si="21"/>
        <v>0.5148698884758365</v>
      </c>
    </row>
    <row r="155" spans="1:11" ht="12.75">
      <c r="A155" s="797" t="s">
        <v>131</v>
      </c>
      <c r="B155" s="779"/>
      <c r="C155" s="727"/>
      <c r="D155" s="220">
        <v>0</v>
      </c>
      <c r="E155" s="192">
        <v>55600</v>
      </c>
      <c r="F155" s="226">
        <f t="shared" si="18"/>
        <v>55600</v>
      </c>
      <c r="G155" s="213">
        <v>-12</v>
      </c>
      <c r="H155" s="191">
        <v>26426</v>
      </c>
      <c r="I155" s="201">
        <f t="shared" si="19"/>
        <v>26414</v>
      </c>
      <c r="J155" s="205">
        <f t="shared" si="20"/>
        <v>-29186</v>
      </c>
      <c r="K155" s="207">
        <f t="shared" si="21"/>
        <v>0.47507194244604317</v>
      </c>
    </row>
    <row r="156" spans="1:11" ht="12.75">
      <c r="A156" s="797" t="s">
        <v>132</v>
      </c>
      <c r="B156" s="779"/>
      <c r="C156" s="727"/>
      <c r="D156" s="220">
        <v>0</v>
      </c>
      <c r="E156" s="192">
        <v>43000</v>
      </c>
      <c r="F156" s="226">
        <f t="shared" si="18"/>
        <v>43000</v>
      </c>
      <c r="G156" s="220">
        <v>0</v>
      </c>
      <c r="H156" s="192">
        <v>23700</v>
      </c>
      <c r="I156" s="201">
        <f t="shared" si="19"/>
        <v>23700</v>
      </c>
      <c r="J156" s="205">
        <f t="shared" si="20"/>
        <v>-19300</v>
      </c>
      <c r="K156" s="207">
        <f t="shared" si="21"/>
        <v>0.5511627906976744</v>
      </c>
    </row>
    <row r="157" spans="1:11" ht="12.75">
      <c r="A157" s="797" t="s">
        <v>133</v>
      </c>
      <c r="B157" s="779"/>
      <c r="C157" s="727"/>
      <c r="D157" s="220">
        <v>11000</v>
      </c>
      <c r="E157" s="192">
        <v>0</v>
      </c>
      <c r="F157" s="226">
        <f t="shared" si="18"/>
        <v>11000</v>
      </c>
      <c r="G157" s="213">
        <v>5155</v>
      </c>
      <c r="H157" s="191">
        <v>0</v>
      </c>
      <c r="I157" s="201">
        <f t="shared" si="19"/>
        <v>5155</v>
      </c>
      <c r="J157" s="205">
        <f t="shared" si="20"/>
        <v>-5845</v>
      </c>
      <c r="K157" s="207">
        <f t="shared" si="21"/>
        <v>0.46863636363636363</v>
      </c>
    </row>
    <row r="158" spans="1:11" ht="12.75">
      <c r="A158" s="797" t="s">
        <v>134</v>
      </c>
      <c r="B158" s="779"/>
      <c r="C158" s="727"/>
      <c r="D158" s="220">
        <v>4500</v>
      </c>
      <c r="E158" s="192">
        <v>60</v>
      </c>
      <c r="F158" s="226">
        <f t="shared" si="18"/>
        <v>4560</v>
      </c>
      <c r="G158" s="213">
        <v>1986</v>
      </c>
      <c r="H158" s="191">
        <v>7</v>
      </c>
      <c r="I158" s="201">
        <f t="shared" si="19"/>
        <v>1993</v>
      </c>
      <c r="J158" s="205">
        <f t="shared" si="20"/>
        <v>-2567</v>
      </c>
      <c r="K158" s="207">
        <f t="shared" si="21"/>
        <v>0.43706140350877193</v>
      </c>
    </row>
    <row r="159" spans="1:11" ht="12.75">
      <c r="A159" s="797" t="s">
        <v>135</v>
      </c>
      <c r="B159" s="779"/>
      <c r="C159" s="727"/>
      <c r="D159" s="220">
        <v>750</v>
      </c>
      <c r="E159" s="192">
        <v>0</v>
      </c>
      <c r="F159" s="226">
        <f t="shared" si="18"/>
        <v>750</v>
      </c>
      <c r="G159" s="213">
        <v>543</v>
      </c>
      <c r="H159" s="191">
        <v>0</v>
      </c>
      <c r="I159" s="201">
        <f t="shared" si="19"/>
        <v>543</v>
      </c>
      <c r="J159" s="205">
        <f t="shared" si="20"/>
        <v>-207</v>
      </c>
      <c r="K159" s="207">
        <f t="shared" si="21"/>
        <v>0.724</v>
      </c>
    </row>
    <row r="160" spans="1:11" ht="12.75">
      <c r="A160" s="797" t="s">
        <v>136</v>
      </c>
      <c r="B160" s="779"/>
      <c r="C160" s="727"/>
      <c r="D160" s="220">
        <v>3600</v>
      </c>
      <c r="E160" s="192">
        <v>2</v>
      </c>
      <c r="F160" s="226">
        <f t="shared" si="18"/>
        <v>3602</v>
      </c>
      <c r="G160" s="213">
        <v>1000</v>
      </c>
      <c r="H160" s="191">
        <v>2</v>
      </c>
      <c r="I160" s="201">
        <f t="shared" si="19"/>
        <v>1002</v>
      </c>
      <c r="J160" s="205">
        <f t="shared" si="20"/>
        <v>-2600</v>
      </c>
      <c r="K160" s="207">
        <f t="shared" si="21"/>
        <v>0.2781787895613548</v>
      </c>
    </row>
    <row r="161" spans="1:11" ht="13.5" thickBot="1">
      <c r="A161" s="840" t="s">
        <v>138</v>
      </c>
      <c r="B161" s="841"/>
      <c r="C161" s="842"/>
      <c r="D161" s="216">
        <v>26816</v>
      </c>
      <c r="E161" s="418">
        <v>0</v>
      </c>
      <c r="F161" s="226">
        <f t="shared" si="18"/>
        <v>26816</v>
      </c>
      <c r="G161" s="216">
        <v>13518</v>
      </c>
      <c r="H161" s="221">
        <v>0</v>
      </c>
      <c r="I161" s="227">
        <f t="shared" si="19"/>
        <v>13518</v>
      </c>
      <c r="J161" s="205">
        <f t="shared" si="20"/>
        <v>-13298</v>
      </c>
      <c r="K161" s="207">
        <f t="shared" si="21"/>
        <v>0.5041020286396182</v>
      </c>
    </row>
    <row r="162" spans="1:11" ht="13.5" thickBot="1">
      <c r="A162" s="800" t="s">
        <v>24</v>
      </c>
      <c r="B162" s="801"/>
      <c r="C162" s="802"/>
      <c r="D162" s="222">
        <f aca="true" t="shared" si="22" ref="D162:I162">SUM(D152+D155+D157+D158+D160+D161)</f>
        <v>507566</v>
      </c>
      <c r="E162" s="193">
        <f t="shared" si="22"/>
        <v>56112</v>
      </c>
      <c r="F162" s="225">
        <f t="shared" si="22"/>
        <v>563678</v>
      </c>
      <c r="G162" s="222">
        <f t="shared" si="22"/>
        <v>259169</v>
      </c>
      <c r="H162" s="193">
        <f t="shared" si="22"/>
        <v>26932</v>
      </c>
      <c r="I162" s="225">
        <f t="shared" si="22"/>
        <v>286101</v>
      </c>
      <c r="J162" s="210">
        <f t="shared" si="20"/>
        <v>-277577</v>
      </c>
      <c r="K162" s="211">
        <f t="shared" si="21"/>
        <v>0.507561054360823</v>
      </c>
    </row>
    <row r="163" ht="5.25" customHeight="1" thickBot="1"/>
    <row r="164" spans="1:11" ht="12.75">
      <c r="A164" s="843" t="s">
        <v>139</v>
      </c>
      <c r="B164" s="784"/>
      <c r="C164" s="785"/>
      <c r="D164" s="423">
        <v>135000</v>
      </c>
      <c r="E164" s="424">
        <v>160</v>
      </c>
      <c r="F164" s="425">
        <f aca="true" t="shared" si="23" ref="F164:F191">SUM(D164:E164)</f>
        <v>135160</v>
      </c>
      <c r="G164" s="215">
        <v>69405</v>
      </c>
      <c r="H164" s="219">
        <v>195</v>
      </c>
      <c r="I164" s="194">
        <f aca="true" t="shared" si="24" ref="I164:I191">SUM(G164:H164)</f>
        <v>69600</v>
      </c>
      <c r="J164" s="209">
        <f aca="true" t="shared" si="25" ref="J164:J192">+I164-F164</f>
        <v>-65560</v>
      </c>
      <c r="K164" s="373">
        <f aca="true" t="shared" si="26" ref="K164:K172">+I164/F164</f>
        <v>0.5149452500739864</v>
      </c>
    </row>
    <row r="165" spans="1:11" ht="12.75">
      <c r="A165" s="839" t="s">
        <v>204</v>
      </c>
      <c r="B165" s="779"/>
      <c r="C165" s="727"/>
      <c r="D165" s="223">
        <v>3500</v>
      </c>
      <c r="E165" s="190">
        <v>0</v>
      </c>
      <c r="F165" s="196">
        <f t="shared" si="23"/>
        <v>3500</v>
      </c>
      <c r="G165" s="214">
        <v>3110</v>
      </c>
      <c r="H165" s="204">
        <v>23</v>
      </c>
      <c r="I165" s="195">
        <f t="shared" si="24"/>
        <v>3133</v>
      </c>
      <c r="J165" s="205">
        <f t="shared" si="25"/>
        <v>-367</v>
      </c>
      <c r="K165" s="207">
        <f t="shared" si="26"/>
        <v>0.8951428571428571</v>
      </c>
    </row>
    <row r="166" spans="1:11" ht="12.75">
      <c r="A166" s="797" t="s">
        <v>140</v>
      </c>
      <c r="B166" s="779"/>
      <c r="C166" s="727"/>
      <c r="D166" s="223">
        <v>40000</v>
      </c>
      <c r="E166" s="190">
        <v>30</v>
      </c>
      <c r="F166" s="196">
        <f t="shared" si="23"/>
        <v>40030</v>
      </c>
      <c r="G166" s="223">
        <v>17506</v>
      </c>
      <c r="H166" s="190">
        <v>0</v>
      </c>
      <c r="I166" s="195">
        <f t="shared" si="24"/>
        <v>17506</v>
      </c>
      <c r="J166" s="205">
        <f t="shared" si="25"/>
        <v>-22524</v>
      </c>
      <c r="K166" s="207">
        <f t="shared" si="26"/>
        <v>0.4373220084936298</v>
      </c>
    </row>
    <row r="167" spans="1:11" ht="12.75">
      <c r="A167" s="797" t="s">
        <v>141</v>
      </c>
      <c r="B167" s="779"/>
      <c r="C167" s="727"/>
      <c r="D167" s="223">
        <v>6500</v>
      </c>
      <c r="E167" s="190">
        <v>0</v>
      </c>
      <c r="F167" s="196">
        <f t="shared" si="23"/>
        <v>6500</v>
      </c>
      <c r="G167" s="223">
        <v>3564</v>
      </c>
      <c r="H167" s="190">
        <v>0</v>
      </c>
      <c r="I167" s="195">
        <f t="shared" si="24"/>
        <v>3564</v>
      </c>
      <c r="J167" s="205">
        <f t="shared" si="25"/>
        <v>-2936</v>
      </c>
      <c r="K167" s="207">
        <f t="shared" si="26"/>
        <v>0.5483076923076923</v>
      </c>
    </row>
    <row r="168" spans="1:11" ht="12.75">
      <c r="A168" s="797" t="s">
        <v>142</v>
      </c>
      <c r="B168" s="779"/>
      <c r="C168" s="727"/>
      <c r="D168" s="223">
        <v>62500</v>
      </c>
      <c r="E168" s="190">
        <v>100</v>
      </c>
      <c r="F168" s="196">
        <f t="shared" si="23"/>
        <v>62600</v>
      </c>
      <c r="G168" s="223">
        <v>33541</v>
      </c>
      <c r="H168" s="190">
        <v>0</v>
      </c>
      <c r="I168" s="195">
        <f t="shared" si="24"/>
        <v>33541</v>
      </c>
      <c r="J168" s="205">
        <f t="shared" si="25"/>
        <v>-29059</v>
      </c>
      <c r="K168" s="207">
        <f t="shared" si="26"/>
        <v>0.5357987220447284</v>
      </c>
    </row>
    <row r="169" spans="1:11" ht="12.75">
      <c r="A169" s="797" t="s">
        <v>143</v>
      </c>
      <c r="B169" s="779"/>
      <c r="C169" s="727"/>
      <c r="D169" s="223">
        <v>10500</v>
      </c>
      <c r="E169" s="190">
        <v>0</v>
      </c>
      <c r="F169" s="196">
        <f t="shared" si="23"/>
        <v>10500</v>
      </c>
      <c r="G169" s="223">
        <v>5085</v>
      </c>
      <c r="H169" s="190">
        <v>7</v>
      </c>
      <c r="I169" s="195">
        <f t="shared" si="24"/>
        <v>5092</v>
      </c>
      <c r="J169" s="205">
        <f t="shared" si="25"/>
        <v>-5408</v>
      </c>
      <c r="K169" s="207">
        <f t="shared" si="26"/>
        <v>0.48495238095238097</v>
      </c>
    </row>
    <row r="170" spans="1:11" ht="12.75">
      <c r="A170" s="797" t="s">
        <v>144</v>
      </c>
      <c r="B170" s="779"/>
      <c r="C170" s="727"/>
      <c r="D170" s="223">
        <v>300</v>
      </c>
      <c r="E170" s="190">
        <v>0</v>
      </c>
      <c r="F170" s="196">
        <f t="shared" si="23"/>
        <v>300</v>
      </c>
      <c r="G170" s="223">
        <v>218</v>
      </c>
      <c r="H170" s="190">
        <v>0</v>
      </c>
      <c r="I170" s="195">
        <f t="shared" si="24"/>
        <v>218</v>
      </c>
      <c r="J170" s="205">
        <f t="shared" si="25"/>
        <v>-82</v>
      </c>
      <c r="K170" s="207">
        <f t="shared" si="26"/>
        <v>0.7266666666666667</v>
      </c>
    </row>
    <row r="171" spans="1:11" ht="12.75">
      <c r="A171" s="797" t="s">
        <v>145</v>
      </c>
      <c r="B171" s="779"/>
      <c r="C171" s="727"/>
      <c r="D171" s="214">
        <v>8500</v>
      </c>
      <c r="E171" s="204">
        <v>200</v>
      </c>
      <c r="F171" s="196">
        <f t="shared" si="23"/>
        <v>8700</v>
      </c>
      <c r="G171" s="214">
        <v>4394</v>
      </c>
      <c r="H171" s="204">
        <v>165</v>
      </c>
      <c r="I171" s="195">
        <f t="shared" si="24"/>
        <v>4559</v>
      </c>
      <c r="J171" s="205">
        <f t="shared" si="25"/>
        <v>-4141</v>
      </c>
      <c r="K171" s="207">
        <f t="shared" si="26"/>
        <v>0.5240229885057471</v>
      </c>
    </row>
    <row r="172" spans="1:11" ht="12.75">
      <c r="A172" s="797" t="s">
        <v>146</v>
      </c>
      <c r="B172" s="779"/>
      <c r="C172" s="727"/>
      <c r="D172" s="220">
        <v>16500</v>
      </c>
      <c r="E172" s="192">
        <v>300</v>
      </c>
      <c r="F172" s="196">
        <f t="shared" si="23"/>
        <v>16800</v>
      </c>
      <c r="G172" s="213">
        <v>8797</v>
      </c>
      <c r="H172" s="191">
        <v>17</v>
      </c>
      <c r="I172" s="195">
        <f t="shared" si="24"/>
        <v>8814</v>
      </c>
      <c r="J172" s="205">
        <f t="shared" si="25"/>
        <v>-7986</v>
      </c>
      <c r="K172" s="207">
        <f t="shared" si="26"/>
        <v>0.5246428571428572</v>
      </c>
    </row>
    <row r="173" spans="1:11" ht="12.75">
      <c r="A173" s="797" t="s">
        <v>147</v>
      </c>
      <c r="B173" s="779"/>
      <c r="C173" s="727"/>
      <c r="D173" s="220">
        <v>0</v>
      </c>
      <c r="E173" s="192">
        <v>0</v>
      </c>
      <c r="F173" s="196">
        <f t="shared" si="23"/>
        <v>0</v>
      </c>
      <c r="G173" s="213">
        <v>0</v>
      </c>
      <c r="H173" s="191">
        <v>0</v>
      </c>
      <c r="I173" s="195">
        <f t="shared" si="24"/>
        <v>0</v>
      </c>
      <c r="J173" s="205">
        <f t="shared" si="25"/>
        <v>0</v>
      </c>
      <c r="K173" s="207"/>
    </row>
    <row r="174" spans="1:11" ht="12.75">
      <c r="A174" s="797" t="s">
        <v>148</v>
      </c>
      <c r="B174" s="779"/>
      <c r="C174" s="727"/>
      <c r="D174" s="220">
        <v>0</v>
      </c>
      <c r="E174" s="192">
        <v>45600</v>
      </c>
      <c r="F174" s="196">
        <f t="shared" si="23"/>
        <v>45600</v>
      </c>
      <c r="G174" s="213">
        <v>0</v>
      </c>
      <c r="H174" s="191">
        <v>22158</v>
      </c>
      <c r="I174" s="195">
        <f t="shared" si="24"/>
        <v>22158</v>
      </c>
      <c r="J174" s="205">
        <f t="shared" si="25"/>
        <v>-23442</v>
      </c>
      <c r="K174" s="207">
        <f aca="true" t="shared" si="27" ref="K174:K192">+I174/F174</f>
        <v>0.4859210526315789</v>
      </c>
    </row>
    <row r="175" spans="1:11" ht="12.75">
      <c r="A175" s="797" t="s">
        <v>149</v>
      </c>
      <c r="B175" s="779"/>
      <c r="C175" s="727"/>
      <c r="D175" s="220">
        <v>48700</v>
      </c>
      <c r="E175" s="192">
        <v>2800</v>
      </c>
      <c r="F175" s="196">
        <f t="shared" si="23"/>
        <v>51500</v>
      </c>
      <c r="G175" s="213">
        <f>+G176+G177+237+3+10</f>
        <v>25447</v>
      </c>
      <c r="H175" s="191">
        <f>+H176+H177+3</f>
        <v>53</v>
      </c>
      <c r="I175" s="195">
        <f t="shared" si="24"/>
        <v>25500</v>
      </c>
      <c r="J175" s="205">
        <f t="shared" si="25"/>
        <v>-26000</v>
      </c>
      <c r="K175" s="207">
        <f t="shared" si="27"/>
        <v>0.49514563106796117</v>
      </c>
    </row>
    <row r="176" spans="1:11" ht="12.75">
      <c r="A176" s="797" t="s">
        <v>150</v>
      </c>
      <c r="B176" s="779"/>
      <c r="C176" s="727"/>
      <c r="D176" s="213">
        <v>10840</v>
      </c>
      <c r="E176" s="192">
        <v>0</v>
      </c>
      <c r="F176" s="196">
        <f t="shared" si="23"/>
        <v>10840</v>
      </c>
      <c r="G176" s="213">
        <v>4688</v>
      </c>
      <c r="H176" s="191">
        <v>0</v>
      </c>
      <c r="I176" s="195">
        <f t="shared" si="24"/>
        <v>4688</v>
      </c>
      <c r="J176" s="205">
        <f t="shared" si="25"/>
        <v>-6152</v>
      </c>
      <c r="K176" s="207">
        <f t="shared" si="27"/>
        <v>0.43247232472324726</v>
      </c>
    </row>
    <row r="177" spans="1:11" ht="12.75">
      <c r="A177" s="797" t="s">
        <v>151</v>
      </c>
      <c r="B177" s="779"/>
      <c r="C177" s="727"/>
      <c r="D177" s="213">
        <v>37600</v>
      </c>
      <c r="E177" s="192">
        <v>2800</v>
      </c>
      <c r="F177" s="196">
        <f t="shared" si="23"/>
        <v>40400</v>
      </c>
      <c r="G177" s="213">
        <v>20509</v>
      </c>
      <c r="H177" s="191">
        <v>50</v>
      </c>
      <c r="I177" s="195">
        <f t="shared" si="24"/>
        <v>20559</v>
      </c>
      <c r="J177" s="205">
        <f t="shared" si="25"/>
        <v>-19841</v>
      </c>
      <c r="K177" s="207">
        <f t="shared" si="27"/>
        <v>0.5088861386138613</v>
      </c>
    </row>
    <row r="178" spans="1:11" ht="12.75">
      <c r="A178" s="797" t="s">
        <v>152</v>
      </c>
      <c r="B178" s="779"/>
      <c r="C178" s="727"/>
      <c r="D178" s="213">
        <v>1000</v>
      </c>
      <c r="E178" s="191">
        <v>500</v>
      </c>
      <c r="F178" s="195">
        <f t="shared" si="23"/>
        <v>1500</v>
      </c>
      <c r="G178" s="213">
        <v>724</v>
      </c>
      <c r="H178" s="191">
        <v>14</v>
      </c>
      <c r="I178" s="195">
        <f t="shared" si="24"/>
        <v>738</v>
      </c>
      <c r="J178" s="205">
        <f t="shared" si="25"/>
        <v>-762</v>
      </c>
      <c r="K178" s="207">
        <f t="shared" si="27"/>
        <v>0.492</v>
      </c>
    </row>
    <row r="179" spans="1:11" ht="12.75">
      <c r="A179" s="797" t="s">
        <v>153</v>
      </c>
      <c r="B179" s="779"/>
      <c r="C179" s="727"/>
      <c r="D179" s="213">
        <v>50</v>
      </c>
      <c r="E179" s="191">
        <v>0</v>
      </c>
      <c r="F179" s="195">
        <f t="shared" si="23"/>
        <v>50</v>
      </c>
      <c r="G179" s="213">
        <v>46</v>
      </c>
      <c r="H179" s="191">
        <v>0</v>
      </c>
      <c r="I179" s="195">
        <f t="shared" si="24"/>
        <v>46</v>
      </c>
      <c r="J179" s="205">
        <f t="shared" si="25"/>
        <v>-4</v>
      </c>
      <c r="K179" s="207">
        <f t="shared" si="27"/>
        <v>0.92</v>
      </c>
    </row>
    <row r="180" spans="1:11" ht="12.75">
      <c r="A180" s="797" t="s">
        <v>154</v>
      </c>
      <c r="B180" s="779"/>
      <c r="C180" s="727"/>
      <c r="D180" s="213">
        <v>34800</v>
      </c>
      <c r="E180" s="191">
        <v>0</v>
      </c>
      <c r="F180" s="195">
        <f t="shared" si="23"/>
        <v>34800</v>
      </c>
      <c r="G180" s="213">
        <v>17409</v>
      </c>
      <c r="H180" s="191">
        <v>0</v>
      </c>
      <c r="I180" s="195">
        <f t="shared" si="24"/>
        <v>17409</v>
      </c>
      <c r="J180" s="205">
        <f t="shared" si="25"/>
        <v>-17391</v>
      </c>
      <c r="K180" s="207">
        <f t="shared" si="27"/>
        <v>0.5002586206896552</v>
      </c>
    </row>
    <row r="181" spans="1:11" ht="12.75">
      <c r="A181" s="797" t="s">
        <v>155</v>
      </c>
      <c r="B181" s="779"/>
      <c r="C181" s="727"/>
      <c r="D181" s="213">
        <v>1750</v>
      </c>
      <c r="E181" s="191">
        <f>4050-D181</f>
        <v>2300</v>
      </c>
      <c r="F181" s="195">
        <f t="shared" si="23"/>
        <v>4050</v>
      </c>
      <c r="G181" s="213">
        <v>2294</v>
      </c>
      <c r="H181" s="191">
        <v>36</v>
      </c>
      <c r="I181" s="195">
        <f t="shared" si="24"/>
        <v>2330</v>
      </c>
      <c r="J181" s="205">
        <f t="shared" si="25"/>
        <v>-1720</v>
      </c>
      <c r="K181" s="207">
        <f t="shared" si="27"/>
        <v>0.5753086419753086</v>
      </c>
    </row>
    <row r="182" spans="1:11" ht="12.75">
      <c r="A182" s="797" t="s">
        <v>156</v>
      </c>
      <c r="B182" s="779"/>
      <c r="C182" s="727"/>
      <c r="D182" s="220">
        <v>303031</v>
      </c>
      <c r="E182" s="192">
        <v>2802</v>
      </c>
      <c r="F182" s="196">
        <f t="shared" si="23"/>
        <v>305833</v>
      </c>
      <c r="G182" s="213">
        <v>140973</v>
      </c>
      <c r="H182" s="191">
        <v>916</v>
      </c>
      <c r="I182" s="195">
        <f t="shared" si="24"/>
        <v>141889</v>
      </c>
      <c r="J182" s="205">
        <f t="shared" si="25"/>
        <v>-163944</v>
      </c>
      <c r="K182" s="207">
        <f t="shared" si="27"/>
        <v>0.4639427399920872</v>
      </c>
    </row>
    <row r="183" spans="1:11" ht="12.75">
      <c r="A183" s="797" t="s">
        <v>157</v>
      </c>
      <c r="B183" s="779"/>
      <c r="C183" s="727"/>
      <c r="D183" s="213">
        <v>221387</v>
      </c>
      <c r="E183" s="191">
        <v>2045</v>
      </c>
      <c r="F183" s="196">
        <f t="shared" si="23"/>
        <v>223432</v>
      </c>
      <c r="G183" s="213">
        <v>102909</v>
      </c>
      <c r="H183" s="191">
        <v>669</v>
      </c>
      <c r="I183" s="195">
        <f t="shared" si="24"/>
        <v>103578</v>
      </c>
      <c r="J183" s="205">
        <f t="shared" si="25"/>
        <v>-119854</v>
      </c>
      <c r="K183" s="207">
        <f t="shared" si="27"/>
        <v>0.46357728525904973</v>
      </c>
    </row>
    <row r="184" spans="1:11" ht="12.75">
      <c r="A184" s="797" t="s">
        <v>158</v>
      </c>
      <c r="B184" s="779"/>
      <c r="C184" s="727"/>
      <c r="D184" s="220">
        <v>207787</v>
      </c>
      <c r="E184" s="192">
        <v>2045</v>
      </c>
      <c r="F184" s="196">
        <f t="shared" si="23"/>
        <v>209832</v>
      </c>
      <c r="G184" s="213">
        <v>0</v>
      </c>
      <c r="H184" s="191">
        <v>0</v>
      </c>
      <c r="I184" s="195">
        <f t="shared" si="24"/>
        <v>0</v>
      </c>
      <c r="J184" s="205">
        <f t="shared" si="25"/>
        <v>-209832</v>
      </c>
      <c r="K184" s="207">
        <f t="shared" si="27"/>
        <v>0</v>
      </c>
    </row>
    <row r="185" spans="1:11" ht="12.75">
      <c r="A185" s="797" t="s">
        <v>159</v>
      </c>
      <c r="B185" s="779"/>
      <c r="C185" s="727"/>
      <c r="D185" s="220">
        <v>13600</v>
      </c>
      <c r="E185" s="192">
        <v>0</v>
      </c>
      <c r="F185" s="196">
        <f t="shared" si="23"/>
        <v>13600</v>
      </c>
      <c r="G185" s="213">
        <v>0</v>
      </c>
      <c r="H185" s="191">
        <v>0</v>
      </c>
      <c r="I185" s="195">
        <f t="shared" si="24"/>
        <v>0</v>
      </c>
      <c r="J185" s="205">
        <f t="shared" si="25"/>
        <v>-13600</v>
      </c>
      <c r="K185" s="207">
        <f t="shared" si="27"/>
        <v>0</v>
      </c>
    </row>
    <row r="186" spans="1:11" ht="12.75">
      <c r="A186" s="797" t="s">
        <v>160</v>
      </c>
      <c r="B186" s="779"/>
      <c r="C186" s="727"/>
      <c r="D186" s="220">
        <v>81644</v>
      </c>
      <c r="E186" s="192">
        <v>757</v>
      </c>
      <c r="F186" s="196">
        <f t="shared" si="23"/>
        <v>82401</v>
      </c>
      <c r="G186" s="213">
        <v>0</v>
      </c>
      <c r="H186" s="191">
        <v>0</v>
      </c>
      <c r="I186" s="195">
        <f t="shared" si="24"/>
        <v>0</v>
      </c>
      <c r="J186" s="205">
        <f t="shared" si="25"/>
        <v>-82401</v>
      </c>
      <c r="K186" s="207">
        <f t="shared" si="27"/>
        <v>0</v>
      </c>
    </row>
    <row r="187" spans="1:11" ht="12.75">
      <c r="A187" s="797" t="s">
        <v>161</v>
      </c>
      <c r="B187" s="779"/>
      <c r="C187" s="727"/>
      <c r="D187" s="220">
        <v>7</v>
      </c>
      <c r="E187" s="192">
        <v>0</v>
      </c>
      <c r="F187" s="196">
        <f t="shared" si="23"/>
        <v>7</v>
      </c>
      <c r="G187" s="213">
        <v>8</v>
      </c>
      <c r="H187" s="191">
        <v>0</v>
      </c>
      <c r="I187" s="195">
        <f t="shared" si="24"/>
        <v>8</v>
      </c>
      <c r="J187" s="205">
        <f t="shared" si="25"/>
        <v>1</v>
      </c>
      <c r="K187" s="207">
        <f t="shared" si="27"/>
        <v>1.1428571428571428</v>
      </c>
    </row>
    <row r="188" spans="1:11" ht="12.75">
      <c r="A188" s="797" t="s">
        <v>162</v>
      </c>
      <c r="B188" s="779"/>
      <c r="C188" s="727"/>
      <c r="D188" s="220">
        <v>4050</v>
      </c>
      <c r="E188" s="192">
        <v>150</v>
      </c>
      <c r="F188" s="196">
        <f t="shared" si="23"/>
        <v>4200</v>
      </c>
      <c r="G188" s="213">
        <v>3745</v>
      </c>
      <c r="H188" s="191">
        <v>3</v>
      </c>
      <c r="I188" s="195">
        <f t="shared" si="24"/>
        <v>3748</v>
      </c>
      <c r="J188" s="205">
        <f t="shared" si="25"/>
        <v>-452</v>
      </c>
      <c r="K188" s="207">
        <f t="shared" si="27"/>
        <v>0.8923809523809524</v>
      </c>
    </row>
    <row r="189" spans="1:11" ht="12.75">
      <c r="A189" s="797" t="s">
        <v>163</v>
      </c>
      <c r="B189" s="779"/>
      <c r="C189" s="727"/>
      <c r="D189" s="213">
        <v>3728</v>
      </c>
      <c r="E189" s="192">
        <v>0</v>
      </c>
      <c r="F189" s="196">
        <f t="shared" si="23"/>
        <v>3728</v>
      </c>
      <c r="G189" s="213">
        <f>1847+1211</f>
        <v>3058</v>
      </c>
      <c r="H189" s="191">
        <v>0</v>
      </c>
      <c r="I189" s="195">
        <f t="shared" si="24"/>
        <v>3058</v>
      </c>
      <c r="J189" s="205">
        <f t="shared" si="25"/>
        <v>-670</v>
      </c>
      <c r="K189" s="207">
        <f t="shared" si="27"/>
        <v>0.8202789699570815</v>
      </c>
    </row>
    <row r="190" spans="1:11" ht="12.75">
      <c r="A190" s="797" t="s">
        <v>164</v>
      </c>
      <c r="B190" s="779"/>
      <c r="C190" s="727"/>
      <c r="D190" s="213">
        <v>3728</v>
      </c>
      <c r="E190" s="192">
        <v>0</v>
      </c>
      <c r="F190" s="196">
        <f t="shared" si="23"/>
        <v>3728</v>
      </c>
      <c r="G190" s="213">
        <v>1857</v>
      </c>
      <c r="H190" s="191">
        <v>0</v>
      </c>
      <c r="I190" s="195">
        <f t="shared" si="24"/>
        <v>1857</v>
      </c>
      <c r="J190" s="205">
        <f t="shared" si="25"/>
        <v>-1871</v>
      </c>
      <c r="K190" s="207">
        <f t="shared" si="27"/>
        <v>0.4981223175965665</v>
      </c>
    </row>
    <row r="191" spans="1:11" ht="13.5" thickBot="1">
      <c r="A191" s="790" t="s">
        <v>165</v>
      </c>
      <c r="B191" s="791"/>
      <c r="C191" s="792"/>
      <c r="D191" s="426">
        <v>0</v>
      </c>
      <c r="E191" s="427">
        <v>850</v>
      </c>
      <c r="F191" s="428">
        <f t="shared" si="23"/>
        <v>850</v>
      </c>
      <c r="G191" s="216">
        <v>0</v>
      </c>
      <c r="H191" s="221">
        <v>0</v>
      </c>
      <c r="I191" s="195">
        <f t="shared" si="24"/>
        <v>0</v>
      </c>
      <c r="J191" s="374">
        <f t="shared" si="25"/>
        <v>-850</v>
      </c>
      <c r="K191" s="228">
        <f t="shared" si="27"/>
        <v>0</v>
      </c>
    </row>
    <row r="192" spans="1:11" ht="13.5" thickBot="1">
      <c r="A192" s="800" t="s">
        <v>23</v>
      </c>
      <c r="B192" s="801"/>
      <c r="C192" s="802"/>
      <c r="D192" s="224">
        <f aca="true" t="shared" si="28" ref="D192:I192">SUM(D164+D172+D173+D174+D175+D182+D187+D188+D189+D191)</f>
        <v>511016</v>
      </c>
      <c r="E192" s="197">
        <f t="shared" si="28"/>
        <v>52662</v>
      </c>
      <c r="F192" s="198">
        <f t="shared" si="28"/>
        <v>563678</v>
      </c>
      <c r="G192" s="224">
        <f t="shared" si="28"/>
        <v>251433</v>
      </c>
      <c r="H192" s="197">
        <f t="shared" si="28"/>
        <v>23342</v>
      </c>
      <c r="I192" s="198">
        <f t="shared" si="28"/>
        <v>274775</v>
      </c>
      <c r="J192" s="210">
        <f t="shared" si="25"/>
        <v>-288903</v>
      </c>
      <c r="K192" s="211">
        <f t="shared" si="27"/>
        <v>0.48746802252349747</v>
      </c>
    </row>
    <row r="193" spans="1:9" ht="13.5" thickBot="1">
      <c r="A193" s="776" t="s">
        <v>41</v>
      </c>
      <c r="B193" s="777"/>
      <c r="C193" s="777"/>
      <c r="D193" s="224">
        <f aca="true" t="shared" si="29" ref="D193:I193">+D162-D192</f>
        <v>-3450</v>
      </c>
      <c r="E193" s="197">
        <f t="shared" si="29"/>
        <v>3450</v>
      </c>
      <c r="F193" s="198">
        <f t="shared" si="29"/>
        <v>0</v>
      </c>
      <c r="G193" s="224">
        <f t="shared" si="29"/>
        <v>7736</v>
      </c>
      <c r="H193" s="197">
        <f t="shared" si="29"/>
        <v>3590</v>
      </c>
      <c r="I193" s="198">
        <f t="shared" si="29"/>
        <v>11326</v>
      </c>
    </row>
    <row r="194" ht="9" customHeight="1" thickBot="1"/>
    <row r="195" spans="1:9" ht="13.5" thickBot="1">
      <c r="A195" s="776" t="s">
        <v>41</v>
      </c>
      <c r="B195" s="777"/>
      <c r="C195" s="777"/>
      <c r="D195" s="803">
        <f>+F162-F192</f>
        <v>0</v>
      </c>
      <c r="E195" s="804"/>
      <c r="F195" s="805"/>
      <c r="G195" s="803">
        <f>+I162-I192</f>
        <v>11326</v>
      </c>
      <c r="H195" s="804"/>
      <c r="I195" s="805"/>
    </row>
    <row r="196" spans="1:9" ht="12.75">
      <c r="A196" s="834" t="s">
        <v>422</v>
      </c>
      <c r="B196" s="835"/>
      <c r="C196" s="835"/>
      <c r="D196" s="835"/>
      <c r="E196" s="835"/>
      <c r="F196" s="714"/>
      <c r="G196" s="836">
        <v>-325664</v>
      </c>
      <c r="H196" s="837"/>
      <c r="I196" s="838"/>
    </row>
    <row r="197" spans="1:9" ht="13.5" thickBot="1">
      <c r="A197" s="798" t="s">
        <v>168</v>
      </c>
      <c r="B197" s="799"/>
      <c r="C197" s="799"/>
      <c r="D197" s="799"/>
      <c r="E197" s="799"/>
      <c r="F197" s="704"/>
      <c r="G197" s="788">
        <f>+G195+G196</f>
        <v>-314338</v>
      </c>
      <c r="H197" s="720"/>
      <c r="I197" s="789"/>
    </row>
    <row r="198" spans="1:12" ht="12.75" customHeight="1">
      <c r="A198" s="780" t="s">
        <v>401</v>
      </c>
      <c r="B198" s="780"/>
      <c r="C198" s="780"/>
      <c r="D198" s="780"/>
      <c r="E198" s="780"/>
      <c r="F198" s="780"/>
      <c r="G198" s="780"/>
      <c r="H198" s="780"/>
      <c r="I198" s="780"/>
      <c r="J198" s="780"/>
      <c r="K198" s="780"/>
      <c r="L198" s="780"/>
    </row>
    <row r="199" spans="1:12" ht="12.75" customHeight="1">
      <c r="A199" s="780"/>
      <c r="B199" s="780"/>
      <c r="C199" s="780"/>
      <c r="D199" s="780"/>
      <c r="E199" s="780"/>
      <c r="F199" s="780"/>
      <c r="G199" s="780"/>
      <c r="H199" s="780"/>
      <c r="I199" s="780"/>
      <c r="J199" s="780"/>
      <c r="K199" s="780"/>
      <c r="L199" s="780"/>
    </row>
    <row r="200" spans="1:12" ht="12.75">
      <c r="A200" s="780"/>
      <c r="B200" s="780"/>
      <c r="C200" s="780"/>
      <c r="D200" s="780"/>
      <c r="E200" s="780"/>
      <c r="F200" s="780"/>
      <c r="G200" s="780"/>
      <c r="H200" s="780"/>
      <c r="I200" s="780"/>
      <c r="J200" s="780"/>
      <c r="K200" s="780"/>
      <c r="L200" s="780"/>
    </row>
    <row r="201" spans="1:12" ht="12.75">
      <c r="A201" s="780"/>
      <c r="B201" s="780"/>
      <c r="C201" s="780"/>
      <c r="D201" s="780"/>
      <c r="E201" s="780"/>
      <c r="F201" s="780"/>
      <c r="G201" s="780"/>
      <c r="H201" s="780"/>
      <c r="I201" s="780"/>
      <c r="J201" s="780"/>
      <c r="K201" s="780"/>
      <c r="L201" s="780"/>
    </row>
    <row r="202" spans="1:12" ht="12.75">
      <c r="A202" s="780"/>
      <c r="B202" s="780"/>
      <c r="C202" s="780"/>
      <c r="D202" s="780"/>
      <c r="E202" s="780"/>
      <c r="F202" s="780"/>
      <c r="G202" s="780"/>
      <c r="H202" s="780"/>
      <c r="I202" s="780"/>
      <c r="J202" s="780"/>
      <c r="K202" s="780"/>
      <c r="L202" s="780"/>
    </row>
    <row r="203" spans="1:12" ht="12.75">
      <c r="A203" s="780"/>
      <c r="B203" s="780"/>
      <c r="C203" s="780"/>
      <c r="D203" s="780"/>
      <c r="E203" s="780"/>
      <c r="F203" s="780"/>
      <c r="G203" s="780"/>
      <c r="H203" s="780"/>
      <c r="I203" s="780"/>
      <c r="J203" s="780"/>
      <c r="K203" s="780"/>
      <c r="L203" s="780"/>
    </row>
    <row r="204" spans="1:12" ht="12.75">
      <c r="A204" s="780"/>
      <c r="B204" s="780"/>
      <c r="C204" s="780"/>
      <c r="D204" s="780"/>
      <c r="E204" s="780"/>
      <c r="F204" s="780"/>
      <c r="G204" s="780"/>
      <c r="H204" s="780"/>
      <c r="I204" s="780"/>
      <c r="J204" s="780"/>
      <c r="K204" s="780"/>
      <c r="L204" s="780"/>
    </row>
    <row r="205" spans="1:12" ht="12.75">
      <c r="A205" s="780"/>
      <c r="B205" s="780"/>
      <c r="C205" s="780"/>
      <c r="D205" s="780"/>
      <c r="E205" s="780"/>
      <c r="F205" s="780"/>
      <c r="G205" s="780"/>
      <c r="H205" s="780"/>
      <c r="I205" s="780"/>
      <c r="J205" s="780"/>
      <c r="K205" s="780"/>
      <c r="L205" s="780"/>
    </row>
    <row r="206" spans="1:12" ht="15.75">
      <c r="A206" s="368" t="s">
        <v>396</v>
      </c>
      <c r="B206" s="369"/>
      <c r="C206" s="369"/>
      <c r="D206" s="369"/>
      <c r="E206" s="369"/>
      <c r="F206" s="369"/>
      <c r="G206" s="369"/>
      <c r="H206" s="369"/>
      <c r="I206" s="369"/>
      <c r="J206" s="369"/>
      <c r="K206" s="369"/>
      <c r="L206" s="369"/>
    </row>
    <row r="207" spans="1:12" ht="12.75" customHeight="1">
      <c r="A207" s="962" t="s">
        <v>402</v>
      </c>
      <c r="B207" s="962"/>
      <c r="C207" s="962"/>
      <c r="D207" s="962"/>
      <c r="E207" s="962"/>
      <c r="F207" s="962"/>
      <c r="G207" s="962"/>
      <c r="H207" s="962"/>
      <c r="I207" s="962"/>
      <c r="J207" s="962"/>
      <c r="K207" s="962"/>
      <c r="L207" s="962"/>
    </row>
    <row r="208" spans="1:12" ht="12.75">
      <c r="A208" s="962"/>
      <c r="B208" s="962"/>
      <c r="C208" s="962"/>
      <c r="D208" s="962"/>
      <c r="E208" s="962"/>
      <c r="F208" s="962"/>
      <c r="G208" s="962"/>
      <c r="H208" s="962"/>
      <c r="I208" s="962"/>
      <c r="J208" s="962"/>
      <c r="K208" s="962"/>
      <c r="L208" s="962"/>
    </row>
    <row r="209" spans="1:12" ht="12.75">
      <c r="A209" s="962"/>
      <c r="B209" s="962"/>
      <c r="C209" s="962"/>
      <c r="D209" s="962"/>
      <c r="E209" s="962"/>
      <c r="F209" s="962"/>
      <c r="G209" s="962"/>
      <c r="H209" s="962"/>
      <c r="I209" s="962"/>
      <c r="J209" s="962"/>
      <c r="K209" s="962"/>
      <c r="L209" s="962"/>
    </row>
    <row r="210" spans="1:12" ht="12.75">
      <c r="A210" s="962"/>
      <c r="B210" s="962"/>
      <c r="C210" s="962"/>
      <c r="D210" s="962"/>
      <c r="E210" s="962"/>
      <c r="F210" s="962"/>
      <c r="G210" s="962"/>
      <c r="H210" s="962"/>
      <c r="I210" s="962"/>
      <c r="J210" s="962"/>
      <c r="K210" s="962"/>
      <c r="L210" s="962"/>
    </row>
    <row r="211" spans="1:12" ht="12.75">
      <c r="A211" s="962"/>
      <c r="B211" s="962"/>
      <c r="C211" s="962"/>
      <c r="D211" s="962"/>
      <c r="E211" s="962"/>
      <c r="F211" s="962"/>
      <c r="G211" s="962"/>
      <c r="H211" s="962"/>
      <c r="I211" s="962"/>
      <c r="J211" s="962"/>
      <c r="K211" s="962"/>
      <c r="L211" s="962"/>
    </row>
    <row r="212" spans="1:12" ht="12.75">
      <c r="A212" s="962"/>
      <c r="B212" s="962"/>
      <c r="C212" s="962"/>
      <c r="D212" s="962"/>
      <c r="E212" s="962"/>
      <c r="F212" s="962"/>
      <c r="G212" s="962"/>
      <c r="H212" s="962"/>
      <c r="I212" s="962"/>
      <c r="J212" s="962"/>
      <c r="K212" s="962"/>
      <c r="L212" s="962"/>
    </row>
    <row r="213" spans="1:12" ht="12.75">
      <c r="A213" s="962"/>
      <c r="B213" s="962"/>
      <c r="C213" s="962"/>
      <c r="D213" s="962"/>
      <c r="E213" s="962"/>
      <c r="F213" s="962"/>
      <c r="G213" s="962"/>
      <c r="H213" s="962"/>
      <c r="I213" s="962"/>
      <c r="J213" s="962"/>
      <c r="K213" s="962"/>
      <c r="L213" s="962"/>
    </row>
    <row r="214" spans="1:12" ht="12.75">
      <c r="A214" s="962"/>
      <c r="B214" s="962"/>
      <c r="C214" s="962"/>
      <c r="D214" s="962"/>
      <c r="E214" s="962"/>
      <c r="F214" s="962"/>
      <c r="G214" s="962"/>
      <c r="H214" s="962"/>
      <c r="I214" s="962"/>
      <c r="J214" s="962"/>
      <c r="K214" s="962"/>
      <c r="L214" s="962"/>
    </row>
    <row r="215" spans="1:12" ht="12.75">
      <c r="A215" s="962"/>
      <c r="B215" s="962"/>
      <c r="C215" s="962"/>
      <c r="D215" s="962"/>
      <c r="E215" s="962"/>
      <c r="F215" s="962"/>
      <c r="G215" s="962"/>
      <c r="H215" s="962"/>
      <c r="I215" s="962"/>
      <c r="J215" s="962"/>
      <c r="K215" s="962"/>
      <c r="L215" s="962"/>
    </row>
    <row r="216" spans="1:12" ht="12.75">
      <c r="A216" s="962"/>
      <c r="B216" s="962"/>
      <c r="C216" s="962"/>
      <c r="D216" s="962"/>
      <c r="E216" s="962"/>
      <c r="F216" s="962"/>
      <c r="G216" s="962"/>
      <c r="H216" s="962"/>
      <c r="I216" s="962"/>
      <c r="J216" s="962"/>
      <c r="K216" s="962"/>
      <c r="L216" s="962"/>
    </row>
    <row r="217" spans="1:12" ht="12.75">
      <c r="A217" s="962"/>
      <c r="B217" s="962"/>
      <c r="C217" s="962"/>
      <c r="D217" s="962"/>
      <c r="E217" s="962"/>
      <c r="F217" s="962"/>
      <c r="G217" s="962"/>
      <c r="H217" s="962"/>
      <c r="I217" s="962"/>
      <c r="J217" s="962"/>
      <c r="K217" s="962"/>
      <c r="L217" s="962"/>
    </row>
    <row r="218" spans="1:12" ht="12.75">
      <c r="A218" s="962"/>
      <c r="B218" s="962"/>
      <c r="C218" s="962"/>
      <c r="D218" s="962"/>
      <c r="E218" s="962"/>
      <c r="F218" s="962"/>
      <c r="G218" s="962"/>
      <c r="H218" s="962"/>
      <c r="I218" s="962"/>
      <c r="J218" s="962"/>
      <c r="K218" s="962"/>
      <c r="L218" s="962"/>
    </row>
    <row r="219" spans="1:12" ht="12.75">
      <c r="A219" s="962"/>
      <c r="B219" s="962"/>
      <c r="C219" s="962"/>
      <c r="D219" s="962"/>
      <c r="E219" s="962"/>
      <c r="F219" s="962"/>
      <c r="G219" s="962"/>
      <c r="H219" s="962"/>
      <c r="I219" s="962"/>
      <c r="J219" s="962"/>
      <c r="K219" s="962"/>
      <c r="L219" s="962"/>
    </row>
    <row r="220" spans="1:12" ht="12.75">
      <c r="A220" s="962"/>
      <c r="B220" s="962"/>
      <c r="C220" s="962"/>
      <c r="D220" s="962"/>
      <c r="E220" s="962"/>
      <c r="F220" s="962"/>
      <c r="G220" s="962"/>
      <c r="H220" s="962"/>
      <c r="I220" s="962"/>
      <c r="J220" s="962"/>
      <c r="K220" s="962"/>
      <c r="L220" s="962"/>
    </row>
    <row r="221" spans="1:12" ht="12.75">
      <c r="A221" s="962"/>
      <c r="B221" s="962"/>
      <c r="C221" s="962"/>
      <c r="D221" s="962"/>
      <c r="E221" s="962"/>
      <c r="F221" s="962"/>
      <c r="G221" s="962"/>
      <c r="H221" s="962"/>
      <c r="I221" s="962"/>
      <c r="J221" s="962"/>
      <c r="K221" s="962"/>
      <c r="L221" s="962"/>
    </row>
    <row r="222" spans="1:12" ht="12.75">
      <c r="A222" s="962"/>
      <c r="B222" s="962"/>
      <c r="C222" s="962"/>
      <c r="D222" s="962"/>
      <c r="E222" s="962"/>
      <c r="F222" s="962"/>
      <c r="G222" s="962"/>
      <c r="H222" s="962"/>
      <c r="I222" s="962"/>
      <c r="J222" s="962"/>
      <c r="K222" s="962"/>
      <c r="L222" s="962"/>
    </row>
    <row r="223" spans="1:12" ht="12.75">
      <c r="A223" s="962"/>
      <c r="B223" s="962"/>
      <c r="C223" s="962"/>
      <c r="D223" s="962"/>
      <c r="E223" s="962"/>
      <c r="F223" s="962"/>
      <c r="G223" s="962"/>
      <c r="H223" s="962"/>
      <c r="I223" s="962"/>
      <c r="J223" s="962"/>
      <c r="K223" s="962"/>
      <c r="L223" s="962"/>
    </row>
    <row r="224" spans="1:12" ht="12.75">
      <c r="A224" s="962"/>
      <c r="B224" s="962"/>
      <c r="C224" s="962"/>
      <c r="D224" s="962"/>
      <c r="E224" s="962"/>
      <c r="F224" s="962"/>
      <c r="G224" s="962"/>
      <c r="H224" s="962"/>
      <c r="I224" s="962"/>
      <c r="J224" s="962"/>
      <c r="K224" s="962"/>
      <c r="L224" s="962"/>
    </row>
  </sheetData>
  <mergeCells count="198">
    <mergeCell ref="A207:L224"/>
    <mergeCell ref="H116:J116"/>
    <mergeCell ref="H115:J115"/>
    <mergeCell ref="H114:J114"/>
    <mergeCell ref="A124:D124"/>
    <mergeCell ref="J124:K124"/>
    <mergeCell ref="A125:D125"/>
    <mergeCell ref="J125:K125"/>
    <mergeCell ref="A126:D126"/>
    <mergeCell ref="J126:K126"/>
    <mergeCell ref="H120:J120"/>
    <mergeCell ref="K120:L120"/>
    <mergeCell ref="K113:L113"/>
    <mergeCell ref="K114:L114"/>
    <mergeCell ref="K115:L115"/>
    <mergeCell ref="K116:L116"/>
    <mergeCell ref="H113:J113"/>
    <mergeCell ref="A122:D123"/>
    <mergeCell ref="G122:H122"/>
    <mergeCell ref="J122:K122"/>
    <mergeCell ref="J123:K123"/>
    <mergeCell ref="A127:D127"/>
    <mergeCell ref="J127:K127"/>
    <mergeCell ref="A128:D128"/>
    <mergeCell ref="J128:K128"/>
    <mergeCell ref="A130:D131"/>
    <mergeCell ref="G130:H130"/>
    <mergeCell ref="J130:K130"/>
    <mergeCell ref="J131:K131"/>
    <mergeCell ref="A132:D132"/>
    <mergeCell ref="J132:K132"/>
    <mergeCell ref="A133:D133"/>
    <mergeCell ref="J133:K133"/>
    <mergeCell ref="A134:D134"/>
    <mergeCell ref="J134:K134"/>
    <mergeCell ref="A135:D135"/>
    <mergeCell ref="J135:K135"/>
    <mergeCell ref="A136:D136"/>
    <mergeCell ref="J136:K136"/>
    <mergeCell ref="A137:D137"/>
    <mergeCell ref="J137:K137"/>
    <mergeCell ref="A138:D138"/>
    <mergeCell ref="J138:K138"/>
    <mergeCell ref="A139:D139"/>
    <mergeCell ref="J139:K139"/>
    <mergeCell ref="A140:D140"/>
    <mergeCell ref="J140:K140"/>
    <mergeCell ref="A141:D141"/>
    <mergeCell ref="J141:K141"/>
    <mergeCell ref="A142:D142"/>
    <mergeCell ref="J142:K142"/>
    <mergeCell ref="A144:D144"/>
    <mergeCell ref="J144:K144"/>
    <mergeCell ref="E75:F75"/>
    <mergeCell ref="E76:F76"/>
    <mergeCell ref="A64:A65"/>
    <mergeCell ref="J64:L64"/>
    <mergeCell ref="E71:F71"/>
    <mergeCell ref="E72:F72"/>
    <mergeCell ref="E73:F73"/>
    <mergeCell ref="E74:F74"/>
    <mergeCell ref="E67:F67"/>
    <mergeCell ref="E68:F68"/>
    <mergeCell ref="E69:F69"/>
    <mergeCell ref="E70:F70"/>
    <mergeCell ref="E64:F65"/>
    <mergeCell ref="E66:F66"/>
    <mergeCell ref="A58:L61"/>
    <mergeCell ref="E22:E23"/>
    <mergeCell ref="L22:L23"/>
    <mergeCell ref="D22:D23"/>
    <mergeCell ref="A22:A23"/>
    <mergeCell ref="F22:K22"/>
    <mergeCell ref="D41:D42"/>
    <mergeCell ref="E41:E42"/>
    <mergeCell ref="F41:K41"/>
    <mergeCell ref="E113:F113"/>
    <mergeCell ref="E119:F119"/>
    <mergeCell ref="E116:F116"/>
    <mergeCell ref="E117:F117"/>
    <mergeCell ref="E118:F118"/>
    <mergeCell ref="E115:F115"/>
    <mergeCell ref="A118:D118"/>
    <mergeCell ref="A119:D119"/>
    <mergeCell ref="A120:D120"/>
    <mergeCell ref="E114:F114"/>
    <mergeCell ref="E120:F120"/>
    <mergeCell ref="A114:D114"/>
    <mergeCell ref="A115:D115"/>
    <mergeCell ref="A116:D116"/>
    <mergeCell ref="A117:D117"/>
    <mergeCell ref="A2:L2"/>
    <mergeCell ref="A78:L81"/>
    <mergeCell ref="A89:B89"/>
    <mergeCell ref="A90:B90"/>
    <mergeCell ref="A41:A42"/>
    <mergeCell ref="B41:B42"/>
    <mergeCell ref="C41:C42"/>
    <mergeCell ref="C22:C23"/>
    <mergeCell ref="B22:B23"/>
    <mergeCell ref="L41:L42"/>
    <mergeCell ref="A91:B91"/>
    <mergeCell ref="C85:G85"/>
    <mergeCell ref="H85:L85"/>
    <mergeCell ref="A87:B87"/>
    <mergeCell ref="A88:B88"/>
    <mergeCell ref="A98:B98"/>
    <mergeCell ref="A99:B99"/>
    <mergeCell ref="A92:B92"/>
    <mergeCell ref="A93:B93"/>
    <mergeCell ref="A94:B94"/>
    <mergeCell ref="A95:B95"/>
    <mergeCell ref="A104:B104"/>
    <mergeCell ref="A105:B105"/>
    <mergeCell ref="A85:B86"/>
    <mergeCell ref="A107:L110"/>
    <mergeCell ref="A100:B100"/>
    <mergeCell ref="A101:B101"/>
    <mergeCell ref="A102:B102"/>
    <mergeCell ref="A103:B103"/>
    <mergeCell ref="A96:B96"/>
    <mergeCell ref="A97:B97"/>
    <mergeCell ref="A159:C159"/>
    <mergeCell ref="H149:H151"/>
    <mergeCell ref="I149:I151"/>
    <mergeCell ref="B64:D64"/>
    <mergeCell ref="G64:I64"/>
    <mergeCell ref="A113:D113"/>
    <mergeCell ref="D149:D151"/>
    <mergeCell ref="E149:E151"/>
    <mergeCell ref="F149:F151"/>
    <mergeCell ref="G149:G151"/>
    <mergeCell ref="A155:C155"/>
    <mergeCell ref="A156:C156"/>
    <mergeCell ref="A157:C157"/>
    <mergeCell ref="A158:C158"/>
    <mergeCell ref="A148:C151"/>
    <mergeCell ref="A152:C152"/>
    <mergeCell ref="A153:C153"/>
    <mergeCell ref="A154:C154"/>
    <mergeCell ref="A160:C160"/>
    <mergeCell ref="A161:C161"/>
    <mergeCell ref="A162:C162"/>
    <mergeCell ref="A164:C164"/>
    <mergeCell ref="A165:C165"/>
    <mergeCell ref="A166:C166"/>
    <mergeCell ref="A167:C167"/>
    <mergeCell ref="A168:C168"/>
    <mergeCell ref="A180:C180"/>
    <mergeCell ref="A169:C169"/>
    <mergeCell ref="A170:C170"/>
    <mergeCell ref="A171:C171"/>
    <mergeCell ref="A172:C172"/>
    <mergeCell ref="G195:I195"/>
    <mergeCell ref="J148:K150"/>
    <mergeCell ref="A196:F196"/>
    <mergeCell ref="G196:I196"/>
    <mergeCell ref="A188:C188"/>
    <mergeCell ref="A176:C176"/>
    <mergeCell ref="A177:C177"/>
    <mergeCell ref="A178:C178"/>
    <mergeCell ref="A179:C179"/>
    <mergeCell ref="A186:C186"/>
    <mergeCell ref="A182:C182"/>
    <mergeCell ref="A14:L20"/>
    <mergeCell ref="A181:C181"/>
    <mergeCell ref="H117:J117"/>
    <mergeCell ref="K117:L117"/>
    <mergeCell ref="H118:J119"/>
    <mergeCell ref="K118:L119"/>
    <mergeCell ref="A173:C173"/>
    <mergeCell ref="A174:C174"/>
    <mergeCell ref="A175:C175"/>
    <mergeCell ref="A183:C183"/>
    <mergeCell ref="A184:C184"/>
    <mergeCell ref="A197:F197"/>
    <mergeCell ref="A189:C189"/>
    <mergeCell ref="A187:C187"/>
    <mergeCell ref="A185:C185"/>
    <mergeCell ref="A192:C192"/>
    <mergeCell ref="A195:C195"/>
    <mergeCell ref="D195:F195"/>
    <mergeCell ref="A190:C190"/>
    <mergeCell ref="B6:B7"/>
    <mergeCell ref="C6:C7"/>
    <mergeCell ref="A5:A7"/>
    <mergeCell ref="F6:G6"/>
    <mergeCell ref="D5:G5"/>
    <mergeCell ref="A193:C193"/>
    <mergeCell ref="B5:C5"/>
    <mergeCell ref="D6:E6"/>
    <mergeCell ref="A198:L205"/>
    <mergeCell ref="H6:I6"/>
    <mergeCell ref="J6:K6"/>
    <mergeCell ref="H5:L5"/>
    <mergeCell ref="L6:L7"/>
    <mergeCell ref="G197:I197"/>
    <mergeCell ref="A191:C191"/>
  </mergeCells>
  <printOptions horizontalCentered="1"/>
  <pageMargins left="0.2" right="0.1968503937007874" top="0.3937007874015748" bottom="0.3937007874015748" header="0.2362204724409449" footer="0.2362204724409449"/>
  <pageSetup horizontalDpi="600" verticalDpi="600" orientation="portrait" paperSize="9" scale="80" r:id="rId1"/>
  <headerFooter alignWithMargins="0">
    <oddFooter>&amp;C&amp;"Arial CE,tučné"&amp;8&amp;P / 25</oddFooter>
  </headerFooter>
</worksheet>
</file>

<file path=xl/worksheets/sheet5.xml><?xml version="1.0" encoding="utf-8"?>
<worksheet xmlns="http://schemas.openxmlformats.org/spreadsheetml/2006/main" xmlns:r="http://schemas.openxmlformats.org/officeDocument/2006/relationships">
  <dimension ref="A2:Q253"/>
  <sheetViews>
    <sheetView workbookViewId="0" topLeftCell="A1">
      <selection activeCell="A1" sqref="A1"/>
    </sheetView>
  </sheetViews>
  <sheetFormatPr defaultColWidth="9.00390625" defaultRowHeight="12.75"/>
  <cols>
    <col min="1" max="1" width="10.625" style="0" customWidth="1"/>
    <col min="2" max="9" width="10.75390625" style="0" customWidth="1"/>
    <col min="10" max="10" width="10.00390625" style="0" customWidth="1"/>
    <col min="11" max="11" width="10.75390625" style="0" customWidth="1"/>
    <col min="12" max="12" width="10.25390625" style="0" customWidth="1"/>
  </cols>
  <sheetData>
    <row r="2" spans="1:11" ht="18">
      <c r="A2" s="883" t="s">
        <v>75</v>
      </c>
      <c r="B2" s="884"/>
      <c r="C2" s="884"/>
      <c r="D2" s="884"/>
      <c r="E2" s="884"/>
      <c r="F2" s="884"/>
      <c r="G2" s="884"/>
      <c r="H2" s="884"/>
      <c r="I2" s="884"/>
      <c r="J2" s="884"/>
      <c r="K2" s="884"/>
    </row>
    <row r="3" spans="1:12" ht="17.25" customHeight="1" thickBot="1">
      <c r="A3" s="85" t="s">
        <v>71</v>
      </c>
      <c r="L3" s="28" t="s">
        <v>194</v>
      </c>
    </row>
    <row r="4" spans="1:12" ht="15" customHeight="1">
      <c r="A4" s="734" t="s">
        <v>49</v>
      </c>
      <c r="B4" s="743" t="s">
        <v>23</v>
      </c>
      <c r="C4" s="746"/>
      <c r="D4" s="783" t="s">
        <v>391</v>
      </c>
      <c r="E4" s="795"/>
      <c r="F4" s="784"/>
      <c r="G4" s="796"/>
      <c r="H4" s="783" t="s">
        <v>41</v>
      </c>
      <c r="I4" s="784"/>
      <c r="J4" s="784"/>
      <c r="K4" s="784"/>
      <c r="L4" s="785"/>
    </row>
    <row r="5" spans="1:12" ht="12.75" customHeight="1">
      <c r="A5" s="794"/>
      <c r="B5" s="793">
        <v>2004</v>
      </c>
      <c r="C5" s="786">
        <v>2005</v>
      </c>
      <c r="D5" s="778">
        <v>2004</v>
      </c>
      <c r="E5" s="779"/>
      <c r="F5" s="781">
        <v>2005</v>
      </c>
      <c r="G5" s="782"/>
      <c r="H5" s="778">
        <v>2004</v>
      </c>
      <c r="I5" s="779"/>
      <c r="J5" s="781">
        <v>2005</v>
      </c>
      <c r="K5" s="782" t="s">
        <v>390</v>
      </c>
      <c r="L5" s="786" t="s">
        <v>395</v>
      </c>
    </row>
    <row r="6" spans="1:12" ht="23.25" thickBot="1">
      <c r="A6" s="735"/>
      <c r="B6" s="712"/>
      <c r="C6" s="787"/>
      <c r="D6" s="81" t="s">
        <v>392</v>
      </c>
      <c r="E6" s="91" t="s">
        <v>393</v>
      </c>
      <c r="F6" s="91" t="s">
        <v>392</v>
      </c>
      <c r="G6" s="74" t="s">
        <v>393</v>
      </c>
      <c r="H6" s="81" t="s">
        <v>394</v>
      </c>
      <c r="I6" s="91" t="s">
        <v>390</v>
      </c>
      <c r="J6" s="91" t="s">
        <v>394</v>
      </c>
      <c r="K6" s="74" t="s">
        <v>390</v>
      </c>
      <c r="L6" s="787"/>
    </row>
    <row r="7" spans="1:12" s="35" customFormat="1" ht="12.75" customHeight="1">
      <c r="A7" s="49" t="s">
        <v>50</v>
      </c>
      <c r="B7" s="75">
        <v>55522</v>
      </c>
      <c r="C7" s="21">
        <v>60955</v>
      </c>
      <c r="D7" s="26">
        <v>49017</v>
      </c>
      <c r="E7" s="2">
        <v>106</v>
      </c>
      <c r="F7" s="2">
        <v>59346</v>
      </c>
      <c r="G7" s="2">
        <v>1527</v>
      </c>
      <c r="H7" s="26">
        <v>-6505</v>
      </c>
      <c r="I7" s="2">
        <f aca="true" t="shared" si="0" ref="I7:I12">+H7-E7</f>
        <v>-6611</v>
      </c>
      <c r="J7" s="2">
        <f aca="true" t="shared" si="1" ref="J7:J12">+F7-C7</f>
        <v>-1609</v>
      </c>
      <c r="K7" s="2">
        <f aca="true" t="shared" si="2" ref="K7:K12">+J7-G7</f>
        <v>-3136</v>
      </c>
      <c r="L7" s="3">
        <f aca="true" t="shared" si="3" ref="L7:L12">+J7-H7</f>
        <v>4896</v>
      </c>
    </row>
    <row r="8" spans="1:12" s="35" customFormat="1" ht="12.75">
      <c r="A8" s="51" t="s">
        <v>51</v>
      </c>
      <c r="B8" s="12">
        <v>109531</v>
      </c>
      <c r="C8" s="5">
        <v>119838</v>
      </c>
      <c r="D8" s="23">
        <v>106535</v>
      </c>
      <c r="E8" s="4">
        <v>212</v>
      </c>
      <c r="F8" s="4">
        <v>121220</v>
      </c>
      <c r="G8" s="4">
        <v>4081</v>
      </c>
      <c r="H8" s="23">
        <v>-2996</v>
      </c>
      <c r="I8" s="2">
        <f t="shared" si="0"/>
        <v>-3208</v>
      </c>
      <c r="J8" s="4">
        <f t="shared" si="1"/>
        <v>1382</v>
      </c>
      <c r="K8" s="2">
        <f t="shared" si="2"/>
        <v>-2699</v>
      </c>
      <c r="L8" s="3">
        <f t="shared" si="3"/>
        <v>4378</v>
      </c>
    </row>
    <row r="9" spans="1:12" s="35" customFormat="1" ht="12.75">
      <c r="A9" s="51" t="s">
        <v>52</v>
      </c>
      <c r="B9" s="12">
        <v>167335</v>
      </c>
      <c r="C9" s="5">
        <v>182479</v>
      </c>
      <c r="D9" s="23">
        <v>163803</v>
      </c>
      <c r="E9" s="4">
        <v>940</v>
      </c>
      <c r="F9" s="4">
        <v>186319</v>
      </c>
      <c r="G9" s="4">
        <v>6122</v>
      </c>
      <c r="H9" s="23">
        <v>-3532</v>
      </c>
      <c r="I9" s="2">
        <f t="shared" si="0"/>
        <v>-4472</v>
      </c>
      <c r="J9" s="4">
        <f t="shared" si="1"/>
        <v>3840</v>
      </c>
      <c r="K9" s="2">
        <f t="shared" si="2"/>
        <v>-2282</v>
      </c>
      <c r="L9" s="3">
        <f t="shared" si="3"/>
        <v>7372</v>
      </c>
    </row>
    <row r="10" spans="1:12" s="35" customFormat="1" ht="12.75">
      <c r="A10" s="51" t="s">
        <v>53</v>
      </c>
      <c r="B10" s="12">
        <v>223622</v>
      </c>
      <c r="C10" s="5">
        <v>244713</v>
      </c>
      <c r="D10" s="23">
        <v>219969</v>
      </c>
      <c r="E10" s="4">
        <v>1046</v>
      </c>
      <c r="F10" s="4">
        <v>246206</v>
      </c>
      <c r="G10" s="4">
        <v>8724</v>
      </c>
      <c r="H10" s="23">
        <v>-3653</v>
      </c>
      <c r="I10" s="2">
        <f t="shared" si="0"/>
        <v>-4699</v>
      </c>
      <c r="J10" s="4">
        <f t="shared" si="1"/>
        <v>1493</v>
      </c>
      <c r="K10" s="2">
        <f t="shared" si="2"/>
        <v>-7231</v>
      </c>
      <c r="L10" s="3">
        <f t="shared" si="3"/>
        <v>5146</v>
      </c>
    </row>
    <row r="11" spans="1:12" s="35" customFormat="1" ht="12.75">
      <c r="A11" s="51" t="s">
        <v>54</v>
      </c>
      <c r="B11" s="12">
        <v>285049</v>
      </c>
      <c r="C11" s="5">
        <v>310115</v>
      </c>
      <c r="D11" s="23">
        <v>276252</v>
      </c>
      <c r="E11" s="4">
        <v>1152</v>
      </c>
      <c r="F11" s="4">
        <v>307262</v>
      </c>
      <c r="G11" s="4">
        <v>10808</v>
      </c>
      <c r="H11" s="23">
        <v>-8797</v>
      </c>
      <c r="I11" s="2">
        <f t="shared" si="0"/>
        <v>-9949</v>
      </c>
      <c r="J11" s="4">
        <f t="shared" si="1"/>
        <v>-2853</v>
      </c>
      <c r="K11" s="2">
        <f t="shared" si="2"/>
        <v>-13661</v>
      </c>
      <c r="L11" s="3">
        <f t="shared" si="3"/>
        <v>5944</v>
      </c>
    </row>
    <row r="12" spans="1:12" s="35" customFormat="1" ht="13.5" thickBot="1">
      <c r="A12" s="337" t="s">
        <v>55</v>
      </c>
      <c r="B12" s="338">
        <v>342881</v>
      </c>
      <c r="C12" s="167">
        <v>376685</v>
      </c>
      <c r="D12" s="27">
        <v>332464</v>
      </c>
      <c r="E12" s="6">
        <v>1258</v>
      </c>
      <c r="F12" s="6">
        <v>372154</v>
      </c>
      <c r="G12" s="6">
        <v>12849</v>
      </c>
      <c r="H12" s="165">
        <v>-10417</v>
      </c>
      <c r="I12" s="166">
        <f t="shared" si="0"/>
        <v>-11675</v>
      </c>
      <c r="J12" s="166">
        <f t="shared" si="1"/>
        <v>-4531</v>
      </c>
      <c r="K12" s="166">
        <f t="shared" si="2"/>
        <v>-17380</v>
      </c>
      <c r="L12" s="167">
        <f t="shared" si="3"/>
        <v>5886</v>
      </c>
    </row>
    <row r="13" spans="1:12" ht="12.75" hidden="1">
      <c r="A13" s="51" t="s">
        <v>56</v>
      </c>
      <c r="B13" s="38">
        <v>412177</v>
      </c>
      <c r="C13" s="77">
        <v>401189</v>
      </c>
      <c r="D13" s="39"/>
      <c r="E13" s="38">
        <v>327600</v>
      </c>
      <c r="F13" s="77">
        <v>383066</v>
      </c>
      <c r="G13" s="39"/>
      <c r="H13" s="26">
        <v>-84577</v>
      </c>
      <c r="I13" s="11">
        <v>-18123</v>
      </c>
      <c r="J13" s="452"/>
      <c r="K13" s="76">
        <v>0</v>
      </c>
      <c r="L13" s="86"/>
    </row>
    <row r="14" spans="1:12" ht="12.75" hidden="1">
      <c r="A14" s="51" t="s">
        <v>57</v>
      </c>
      <c r="B14" s="23">
        <v>465848</v>
      </c>
      <c r="C14" s="12">
        <v>455752</v>
      </c>
      <c r="D14" s="5"/>
      <c r="E14" s="23">
        <v>379575</v>
      </c>
      <c r="F14" s="12">
        <v>431591</v>
      </c>
      <c r="G14" s="5"/>
      <c r="H14" s="23">
        <v>-86273</v>
      </c>
      <c r="I14" s="12">
        <v>-24161</v>
      </c>
      <c r="J14" s="376"/>
      <c r="K14" s="12">
        <v>0</v>
      </c>
      <c r="L14" s="14"/>
    </row>
    <row r="15" spans="1:12" ht="12.75" hidden="1">
      <c r="A15" s="51" t="s">
        <v>58</v>
      </c>
      <c r="B15" s="26">
        <v>528045</v>
      </c>
      <c r="C15" s="11">
        <v>515578</v>
      </c>
      <c r="D15" s="3"/>
      <c r="E15" s="26">
        <v>422485</v>
      </c>
      <c r="F15" s="11">
        <v>506983</v>
      </c>
      <c r="G15" s="3"/>
      <c r="H15" s="26">
        <v>-105560</v>
      </c>
      <c r="I15" s="12">
        <v>-8595</v>
      </c>
      <c r="J15" s="376"/>
      <c r="K15" s="11">
        <v>0</v>
      </c>
      <c r="L15" s="14"/>
    </row>
    <row r="16" spans="1:12" ht="12.75" hidden="1">
      <c r="A16" s="53" t="s">
        <v>59</v>
      </c>
      <c r="B16" s="38">
        <v>584702</v>
      </c>
      <c r="C16" s="77">
        <v>574702</v>
      </c>
      <c r="D16" s="39"/>
      <c r="E16" s="38">
        <v>477606</v>
      </c>
      <c r="F16" s="77">
        <v>556726</v>
      </c>
      <c r="G16" s="39"/>
      <c r="H16" s="23">
        <v>-107096</v>
      </c>
      <c r="I16" s="12">
        <v>-17976</v>
      </c>
      <c r="J16" s="376"/>
      <c r="K16" s="77">
        <v>0</v>
      </c>
      <c r="L16" s="14"/>
    </row>
    <row r="17" spans="1:12" ht="12.75" hidden="1">
      <c r="A17" s="51" t="s">
        <v>60</v>
      </c>
      <c r="B17" s="38">
        <v>645215</v>
      </c>
      <c r="C17" s="77">
        <v>638781</v>
      </c>
      <c r="D17" s="39"/>
      <c r="E17" s="38">
        <v>528555</v>
      </c>
      <c r="F17" s="77">
        <v>619388</v>
      </c>
      <c r="G17" s="39"/>
      <c r="H17" s="23">
        <v>-116660</v>
      </c>
      <c r="I17" s="12">
        <v>-19393</v>
      </c>
      <c r="J17" s="376"/>
      <c r="K17" s="77">
        <v>0</v>
      </c>
      <c r="L17" s="14"/>
    </row>
    <row r="18" spans="1:12" ht="13.5" hidden="1" thickBot="1">
      <c r="A18" s="55" t="s">
        <v>61</v>
      </c>
      <c r="B18" s="27">
        <v>730286</v>
      </c>
      <c r="C18" s="78">
        <v>702302.93</v>
      </c>
      <c r="D18" s="7"/>
      <c r="E18" s="27">
        <v>587012</v>
      </c>
      <c r="F18" s="375">
        <v>697713</v>
      </c>
      <c r="G18" s="84"/>
      <c r="H18" s="27">
        <v>-143274</v>
      </c>
      <c r="I18" s="78">
        <v>-4589.930000000051</v>
      </c>
      <c r="J18" s="379"/>
      <c r="K18" s="375">
        <v>0</v>
      </c>
      <c r="L18" s="15"/>
    </row>
    <row r="20" spans="1:12" ht="12.75" customHeight="1">
      <c r="A20" s="905" t="s">
        <v>406</v>
      </c>
      <c r="B20" s="820"/>
      <c r="C20" s="820"/>
      <c r="D20" s="820"/>
      <c r="E20" s="820"/>
      <c r="F20" s="820"/>
      <c r="G20" s="820"/>
      <c r="H20" s="820"/>
      <c r="I20" s="820"/>
      <c r="J20" s="820"/>
      <c r="K20" s="820"/>
      <c r="L20" s="821"/>
    </row>
    <row r="21" spans="1:12" ht="12.75">
      <c r="A21" s="1023"/>
      <c r="B21" s="1024"/>
      <c r="C21" s="1024"/>
      <c r="D21" s="1024"/>
      <c r="E21" s="1024"/>
      <c r="F21" s="1024"/>
      <c r="G21" s="1024"/>
      <c r="H21" s="1024"/>
      <c r="I21" s="1024"/>
      <c r="J21" s="1024"/>
      <c r="K21" s="1024"/>
      <c r="L21" s="1025"/>
    </row>
    <row r="22" spans="1:12" ht="12.75">
      <c r="A22" s="1023"/>
      <c r="B22" s="1024"/>
      <c r="C22" s="1024"/>
      <c r="D22" s="1024"/>
      <c r="E22" s="1024"/>
      <c r="F22" s="1024"/>
      <c r="G22" s="1024"/>
      <c r="H22" s="1024"/>
      <c r="I22" s="1024"/>
      <c r="J22" s="1024"/>
      <c r="K22" s="1024"/>
      <c r="L22" s="1025"/>
    </row>
    <row r="23" spans="1:12" ht="12.75">
      <c r="A23" s="1026"/>
      <c r="B23" s="823"/>
      <c r="C23" s="823"/>
      <c r="D23" s="823"/>
      <c r="E23" s="823"/>
      <c r="F23" s="823"/>
      <c r="G23" s="823"/>
      <c r="H23" s="823"/>
      <c r="I23" s="823"/>
      <c r="J23" s="823"/>
      <c r="K23" s="823"/>
      <c r="L23" s="824"/>
    </row>
    <row r="24" spans="1:11" ht="12.75">
      <c r="A24" s="70"/>
      <c r="B24" s="70"/>
      <c r="C24" s="70"/>
      <c r="D24" s="70"/>
      <c r="E24" s="70"/>
      <c r="F24" s="70"/>
      <c r="G24" s="70"/>
      <c r="H24" s="70"/>
      <c r="I24" s="70"/>
      <c r="J24" s="70"/>
      <c r="K24" s="70"/>
    </row>
    <row r="25" spans="1:12" ht="16.5" thickBot="1">
      <c r="A25" s="25" t="s">
        <v>72</v>
      </c>
      <c r="L25" s="28" t="s">
        <v>194</v>
      </c>
    </row>
    <row r="26" spans="1:12" ht="18" customHeight="1">
      <c r="A26" s="970" t="s">
        <v>45</v>
      </c>
      <c r="B26" s="972" t="s">
        <v>46</v>
      </c>
      <c r="C26" s="889" t="s">
        <v>47</v>
      </c>
      <c r="D26" s="889" t="s">
        <v>48</v>
      </c>
      <c r="E26" s="914" t="s">
        <v>31</v>
      </c>
      <c r="F26" s="743" t="s">
        <v>62</v>
      </c>
      <c r="G26" s="744"/>
      <c r="H26" s="744"/>
      <c r="I26" s="744"/>
      <c r="J26" s="744"/>
      <c r="K26" s="744"/>
      <c r="L26" s="734" t="s">
        <v>14</v>
      </c>
    </row>
    <row r="27" spans="1:12" ht="39" customHeight="1" thickBot="1">
      <c r="A27" s="971"/>
      <c r="B27" s="973"/>
      <c r="C27" s="890" t="s">
        <v>47</v>
      </c>
      <c r="D27" s="890" t="s">
        <v>48</v>
      </c>
      <c r="E27" s="864" t="s">
        <v>31</v>
      </c>
      <c r="F27" s="81" t="s">
        <v>63</v>
      </c>
      <c r="G27" s="91" t="s">
        <v>64</v>
      </c>
      <c r="H27" s="91" t="s">
        <v>65</v>
      </c>
      <c r="I27" s="91" t="s">
        <v>66</v>
      </c>
      <c r="J27" s="91" t="s">
        <v>67</v>
      </c>
      <c r="K27" s="261" t="s">
        <v>31</v>
      </c>
      <c r="L27" s="891"/>
    </row>
    <row r="28" spans="1:12" ht="12.75">
      <c r="A28" s="380">
        <v>37986</v>
      </c>
      <c r="B28" s="383">
        <v>190066</v>
      </c>
      <c r="C28" s="384">
        <v>33</v>
      </c>
      <c r="D28" s="384">
        <v>773</v>
      </c>
      <c r="E28" s="346">
        <f>SUM(B28:D28)</f>
        <v>190872</v>
      </c>
      <c r="F28" s="385">
        <v>17715</v>
      </c>
      <c r="G28" s="347">
        <v>27010</v>
      </c>
      <c r="H28" s="347">
        <v>39842</v>
      </c>
      <c r="I28" s="347">
        <v>61940</v>
      </c>
      <c r="J28" s="347">
        <v>20356</v>
      </c>
      <c r="K28" s="386">
        <f>SUM(F28:J28)</f>
        <v>166863</v>
      </c>
      <c r="L28" s="349">
        <v>33660</v>
      </c>
    </row>
    <row r="29" spans="1:12" ht="12" customHeight="1" thickBot="1">
      <c r="A29" s="98">
        <v>38352</v>
      </c>
      <c r="B29" s="387">
        <v>196317</v>
      </c>
      <c r="C29" s="388">
        <v>18</v>
      </c>
      <c r="D29" s="388">
        <v>8330</v>
      </c>
      <c r="E29" s="24">
        <v>204665</v>
      </c>
      <c r="F29" s="187">
        <v>23290</v>
      </c>
      <c r="G29" s="188">
        <v>36599</v>
      </c>
      <c r="H29" s="188">
        <v>41448</v>
      </c>
      <c r="I29" s="188">
        <v>39171</v>
      </c>
      <c r="J29" s="188">
        <v>15563</v>
      </c>
      <c r="K29" s="262">
        <v>156071</v>
      </c>
      <c r="L29" s="354">
        <v>22131</v>
      </c>
    </row>
    <row r="30" spans="1:12" ht="12.75">
      <c r="A30" s="49">
        <v>38383</v>
      </c>
      <c r="B30" s="50">
        <v>178100</v>
      </c>
      <c r="C30" s="44">
        <v>14</v>
      </c>
      <c r="D30" s="44">
        <v>7725</v>
      </c>
      <c r="E30" s="92">
        <f aca="true" t="shared" si="4" ref="E30:E41">SUM(B30:D30)</f>
        <v>185839</v>
      </c>
      <c r="F30" s="64">
        <v>21650</v>
      </c>
      <c r="G30" s="44">
        <v>25007</v>
      </c>
      <c r="H30" s="44">
        <v>24326</v>
      </c>
      <c r="I30" s="44">
        <v>44669</v>
      </c>
      <c r="J30" s="44">
        <v>20090</v>
      </c>
      <c r="K30" s="94">
        <f aca="true" t="shared" si="5" ref="K30:K41">SUM(F30:J30)</f>
        <v>135742</v>
      </c>
      <c r="L30" s="414">
        <v>58161</v>
      </c>
    </row>
    <row r="31" spans="1:12" ht="12.75">
      <c r="A31" s="51" t="s">
        <v>11</v>
      </c>
      <c r="B31" s="52">
        <v>195151</v>
      </c>
      <c r="C31" s="45">
        <v>11</v>
      </c>
      <c r="D31" s="45">
        <v>3290</v>
      </c>
      <c r="E31" s="92">
        <f t="shared" si="4"/>
        <v>198452</v>
      </c>
      <c r="F31" s="58">
        <v>21096</v>
      </c>
      <c r="G31" s="45">
        <v>32507</v>
      </c>
      <c r="H31" s="45">
        <v>26148</v>
      </c>
      <c r="I31" s="45">
        <v>44274</v>
      </c>
      <c r="J31" s="45">
        <v>26249</v>
      </c>
      <c r="K31" s="95">
        <f t="shared" si="5"/>
        <v>150274</v>
      </c>
      <c r="L31" s="415">
        <v>55943</v>
      </c>
    </row>
    <row r="32" spans="1:12" ht="12.75">
      <c r="A32" s="51">
        <v>38442</v>
      </c>
      <c r="B32" s="52">
        <v>201793</v>
      </c>
      <c r="C32" s="45">
        <v>12</v>
      </c>
      <c r="D32" s="45">
        <v>2796</v>
      </c>
      <c r="E32" s="92">
        <f t="shared" si="4"/>
        <v>204601</v>
      </c>
      <c r="F32" s="58">
        <v>25298</v>
      </c>
      <c r="G32" s="45">
        <v>37589</v>
      </c>
      <c r="H32" s="45">
        <v>27303</v>
      </c>
      <c r="I32" s="45">
        <v>43345</v>
      </c>
      <c r="J32" s="45">
        <v>22199</v>
      </c>
      <c r="K32" s="95">
        <f t="shared" si="5"/>
        <v>155734</v>
      </c>
      <c r="L32" s="110">
        <v>53726</v>
      </c>
    </row>
    <row r="33" spans="1:12" ht="12.75">
      <c r="A33" s="51">
        <v>38472</v>
      </c>
      <c r="B33" s="52">
        <v>194982</v>
      </c>
      <c r="C33" s="45">
        <v>27</v>
      </c>
      <c r="D33" s="45">
        <v>2397</v>
      </c>
      <c r="E33" s="92">
        <f t="shared" si="4"/>
        <v>197406</v>
      </c>
      <c r="F33" s="58">
        <v>24804</v>
      </c>
      <c r="G33" s="45">
        <v>38941</v>
      </c>
      <c r="H33" s="45">
        <v>32532</v>
      </c>
      <c r="I33" s="45">
        <v>40233</v>
      </c>
      <c r="J33" s="45">
        <v>11389</v>
      </c>
      <c r="K33" s="95">
        <f t="shared" si="5"/>
        <v>147899</v>
      </c>
      <c r="L33" s="415">
        <v>51508</v>
      </c>
    </row>
    <row r="34" spans="1:12" ht="12.75">
      <c r="A34" s="51">
        <v>38503</v>
      </c>
      <c r="B34" s="52">
        <v>200445</v>
      </c>
      <c r="C34" s="45">
        <v>26</v>
      </c>
      <c r="D34" s="45">
        <v>1884</v>
      </c>
      <c r="E34" s="92">
        <f t="shared" si="4"/>
        <v>202355</v>
      </c>
      <c r="F34" s="58">
        <v>26582</v>
      </c>
      <c r="G34" s="45">
        <v>43615</v>
      </c>
      <c r="H34" s="45">
        <v>33208</v>
      </c>
      <c r="I34" s="45">
        <v>39511</v>
      </c>
      <c r="J34" s="45">
        <v>9817</v>
      </c>
      <c r="K34" s="95">
        <f t="shared" si="5"/>
        <v>152733</v>
      </c>
      <c r="L34" s="415">
        <v>49291</v>
      </c>
    </row>
    <row r="35" spans="1:12" ht="13.5" thickBot="1">
      <c r="A35" s="337">
        <v>38533</v>
      </c>
      <c r="B35" s="342">
        <v>201901</v>
      </c>
      <c r="C35" s="341">
        <v>28</v>
      </c>
      <c r="D35" s="341">
        <v>1490</v>
      </c>
      <c r="E35" s="93">
        <f t="shared" si="4"/>
        <v>203419</v>
      </c>
      <c r="F35" s="340">
        <v>25499</v>
      </c>
      <c r="G35" s="341">
        <v>43260</v>
      </c>
      <c r="H35" s="341">
        <v>33424</v>
      </c>
      <c r="I35" s="341">
        <v>40826</v>
      </c>
      <c r="J35" s="341">
        <v>9404</v>
      </c>
      <c r="K35" s="96">
        <f t="shared" si="5"/>
        <v>152413</v>
      </c>
      <c r="L35" s="113">
        <v>47073</v>
      </c>
    </row>
    <row r="36" spans="1:12" ht="12.75" hidden="1">
      <c r="A36" s="49">
        <v>38199</v>
      </c>
      <c r="B36" s="50"/>
      <c r="C36" s="44"/>
      <c r="D36" s="44"/>
      <c r="E36" s="92">
        <f t="shared" si="4"/>
        <v>0</v>
      </c>
      <c r="F36" s="50"/>
      <c r="G36" s="44"/>
      <c r="H36" s="44"/>
      <c r="I36" s="44"/>
      <c r="J36" s="44"/>
      <c r="K36" s="94">
        <f t="shared" si="5"/>
        <v>0</v>
      </c>
      <c r="L36" s="106"/>
    </row>
    <row r="37" spans="1:12" ht="12.75" hidden="1">
      <c r="A37" s="51">
        <v>38230</v>
      </c>
      <c r="B37" s="52"/>
      <c r="C37" s="45"/>
      <c r="D37" s="45"/>
      <c r="E37" s="92">
        <f t="shared" si="4"/>
        <v>0</v>
      </c>
      <c r="F37" s="52"/>
      <c r="G37" s="45"/>
      <c r="H37" s="45"/>
      <c r="I37" s="45"/>
      <c r="J37" s="45"/>
      <c r="K37" s="95">
        <f t="shared" si="5"/>
        <v>0</v>
      </c>
      <c r="L37" s="104"/>
    </row>
    <row r="38" spans="1:12" ht="12.75" hidden="1">
      <c r="A38" s="51">
        <v>38260</v>
      </c>
      <c r="B38" s="52"/>
      <c r="C38" s="45"/>
      <c r="D38" s="45"/>
      <c r="E38" s="92">
        <f t="shared" si="4"/>
        <v>0</v>
      </c>
      <c r="F38" s="52"/>
      <c r="G38" s="45"/>
      <c r="H38" s="45"/>
      <c r="I38" s="45"/>
      <c r="J38" s="45"/>
      <c r="K38" s="95">
        <f t="shared" si="5"/>
        <v>0</v>
      </c>
      <c r="L38" s="104"/>
    </row>
    <row r="39" spans="1:12" ht="12.75" hidden="1">
      <c r="A39" s="53">
        <v>38291</v>
      </c>
      <c r="B39" s="54"/>
      <c r="C39" s="46"/>
      <c r="D39" s="46"/>
      <c r="E39" s="92">
        <f t="shared" si="4"/>
        <v>0</v>
      </c>
      <c r="F39" s="54"/>
      <c r="G39" s="46"/>
      <c r="H39" s="46"/>
      <c r="I39" s="46"/>
      <c r="J39" s="46"/>
      <c r="K39" s="95">
        <f t="shared" si="5"/>
        <v>0</v>
      </c>
      <c r="L39" s="104"/>
    </row>
    <row r="40" spans="1:12" ht="12.75" hidden="1">
      <c r="A40" s="51">
        <v>38321</v>
      </c>
      <c r="B40" s="52"/>
      <c r="C40" s="45"/>
      <c r="D40" s="45"/>
      <c r="E40" s="92">
        <f t="shared" si="4"/>
        <v>0</v>
      </c>
      <c r="F40" s="58"/>
      <c r="G40" s="45"/>
      <c r="H40" s="45"/>
      <c r="I40" s="45"/>
      <c r="J40" s="45"/>
      <c r="K40" s="95">
        <f t="shared" si="5"/>
        <v>0</v>
      </c>
      <c r="L40" s="104"/>
    </row>
    <row r="41" spans="1:12" ht="13.5" hidden="1" thickBot="1">
      <c r="A41" s="55">
        <v>38352</v>
      </c>
      <c r="B41" s="56"/>
      <c r="C41" s="57"/>
      <c r="D41" s="57"/>
      <c r="E41" s="93">
        <f t="shared" si="4"/>
        <v>0</v>
      </c>
      <c r="F41" s="56"/>
      <c r="G41" s="57"/>
      <c r="H41" s="57"/>
      <c r="I41" s="57"/>
      <c r="J41" s="57"/>
      <c r="K41" s="96">
        <f t="shared" si="5"/>
        <v>0</v>
      </c>
      <c r="L41" s="113"/>
    </row>
    <row r="42" spans="1:12" ht="12.75">
      <c r="A42" s="111"/>
      <c r="B42" s="72"/>
      <c r="C42" s="72"/>
      <c r="D42" s="72"/>
      <c r="E42" s="107"/>
      <c r="F42" s="72"/>
      <c r="G42" s="72"/>
      <c r="H42" s="72"/>
      <c r="I42" s="72"/>
      <c r="J42" s="72"/>
      <c r="K42" s="108"/>
      <c r="L42" s="114"/>
    </row>
    <row r="43" spans="1:12" ht="16.5" thickBot="1">
      <c r="A43" s="25" t="s">
        <v>73</v>
      </c>
      <c r="L43" s="28" t="s">
        <v>194</v>
      </c>
    </row>
    <row r="44" spans="1:12" ht="18" customHeight="1">
      <c r="A44" s="970" t="s">
        <v>45</v>
      </c>
      <c r="B44" s="972" t="s">
        <v>68</v>
      </c>
      <c r="C44" s="889" t="s">
        <v>69</v>
      </c>
      <c r="D44" s="889" t="s">
        <v>70</v>
      </c>
      <c r="E44" s="914" t="s">
        <v>31</v>
      </c>
      <c r="F44" s="743" t="s">
        <v>62</v>
      </c>
      <c r="G44" s="744"/>
      <c r="H44" s="744"/>
      <c r="I44" s="744"/>
      <c r="J44" s="744"/>
      <c r="K44" s="744"/>
      <c r="L44" s="734" t="s">
        <v>191</v>
      </c>
    </row>
    <row r="45" spans="1:12" ht="39" customHeight="1" thickBot="1">
      <c r="A45" s="971"/>
      <c r="B45" s="973"/>
      <c r="C45" s="890" t="s">
        <v>47</v>
      </c>
      <c r="D45" s="890" t="s">
        <v>48</v>
      </c>
      <c r="E45" s="864" t="s">
        <v>31</v>
      </c>
      <c r="F45" s="81" t="s">
        <v>63</v>
      </c>
      <c r="G45" s="91" t="s">
        <v>64</v>
      </c>
      <c r="H45" s="91" t="s">
        <v>65</v>
      </c>
      <c r="I45" s="91" t="s">
        <v>66</v>
      </c>
      <c r="J45" s="91" t="s">
        <v>67</v>
      </c>
      <c r="K45" s="261" t="s">
        <v>31</v>
      </c>
      <c r="L45" s="891"/>
    </row>
    <row r="46" spans="1:12" ht="12.75">
      <c r="A46" s="380">
        <v>37986</v>
      </c>
      <c r="B46" s="383">
        <v>76185</v>
      </c>
      <c r="C46" s="384">
        <v>685</v>
      </c>
      <c r="D46" s="384">
        <v>4606</v>
      </c>
      <c r="E46" s="346">
        <f>SUM(B46:D46)</f>
        <v>81476</v>
      </c>
      <c r="F46" s="385">
        <v>27259</v>
      </c>
      <c r="G46" s="347">
        <v>637</v>
      </c>
      <c r="H46" s="347">
        <v>158</v>
      </c>
      <c r="I46" s="347">
        <v>632</v>
      </c>
      <c r="J46" s="347">
        <v>2693</v>
      </c>
      <c r="K46" s="386">
        <f>SUM(F46:J46)</f>
        <v>31379</v>
      </c>
      <c r="L46" s="349">
        <f>+E46-E28</f>
        <v>-109396</v>
      </c>
    </row>
    <row r="47" spans="1:12" ht="12" customHeight="1" thickBot="1">
      <c r="A47" s="98">
        <v>38352</v>
      </c>
      <c r="B47" s="387">
        <v>111018</v>
      </c>
      <c r="C47" s="388">
        <v>431</v>
      </c>
      <c r="D47" s="388">
        <v>5079</v>
      </c>
      <c r="E47" s="24">
        <v>116528</v>
      </c>
      <c r="F47" s="187">
        <v>12282</v>
      </c>
      <c r="G47" s="188">
        <v>29060</v>
      </c>
      <c r="H47" s="188">
        <v>205</v>
      </c>
      <c r="I47" s="188">
        <v>165</v>
      </c>
      <c r="J47" s="188">
        <v>2866</v>
      </c>
      <c r="K47" s="262">
        <v>44578</v>
      </c>
      <c r="L47" s="354">
        <v>116528</v>
      </c>
    </row>
    <row r="48" spans="1:12" ht="12.75">
      <c r="A48" s="49">
        <v>38383</v>
      </c>
      <c r="B48" s="50">
        <v>133352</v>
      </c>
      <c r="C48" s="44">
        <v>425</v>
      </c>
      <c r="D48" s="44">
        <v>3617</v>
      </c>
      <c r="E48" s="92">
        <f aca="true" t="shared" si="6" ref="E48:E59">SUM(B48:D48)</f>
        <v>137394</v>
      </c>
      <c r="F48" s="64">
        <v>30200</v>
      </c>
      <c r="G48" s="44">
        <v>30352</v>
      </c>
      <c r="H48" s="44">
        <v>279</v>
      </c>
      <c r="I48" s="44">
        <v>180</v>
      </c>
      <c r="J48" s="44">
        <v>2897</v>
      </c>
      <c r="K48" s="101">
        <f aca="true" t="shared" si="7" ref="K48:K59">SUM(F48:J48)</f>
        <v>63908</v>
      </c>
      <c r="L48" s="265">
        <f aca="true" t="shared" si="8" ref="L48:L59">+E48-E30</f>
        <v>-48445</v>
      </c>
    </row>
    <row r="49" spans="1:12" ht="12.75">
      <c r="A49" s="51" t="s">
        <v>11</v>
      </c>
      <c r="B49" s="52">
        <v>138452</v>
      </c>
      <c r="C49" s="45">
        <v>494</v>
      </c>
      <c r="D49" s="45">
        <v>4722</v>
      </c>
      <c r="E49" s="92">
        <f t="shared" si="6"/>
        <v>143668</v>
      </c>
      <c r="F49" s="58">
        <v>27935</v>
      </c>
      <c r="G49" s="45">
        <v>11375</v>
      </c>
      <c r="H49" s="45">
        <v>2478</v>
      </c>
      <c r="I49" s="45">
        <v>176</v>
      </c>
      <c r="J49" s="45">
        <v>2931</v>
      </c>
      <c r="K49" s="102">
        <f t="shared" si="7"/>
        <v>44895</v>
      </c>
      <c r="L49" s="110">
        <f t="shared" si="8"/>
        <v>-54784</v>
      </c>
    </row>
    <row r="50" spans="1:12" ht="12.75">
      <c r="A50" s="51">
        <v>38442</v>
      </c>
      <c r="B50" s="52">
        <v>103479</v>
      </c>
      <c r="C50" s="45">
        <v>1103</v>
      </c>
      <c r="D50" s="45">
        <v>3111</v>
      </c>
      <c r="E50" s="92">
        <f t="shared" si="6"/>
        <v>107693</v>
      </c>
      <c r="F50" s="58">
        <v>31863</v>
      </c>
      <c r="G50" s="45">
        <v>2447</v>
      </c>
      <c r="H50" s="45">
        <v>471</v>
      </c>
      <c r="I50" s="45">
        <v>116</v>
      </c>
      <c r="J50" s="45">
        <v>2939</v>
      </c>
      <c r="K50" s="102">
        <f t="shared" si="7"/>
        <v>37836</v>
      </c>
      <c r="L50" s="110">
        <f t="shared" si="8"/>
        <v>-96908</v>
      </c>
    </row>
    <row r="51" spans="1:12" ht="12.75">
      <c r="A51" s="51">
        <v>38472</v>
      </c>
      <c r="B51" s="52">
        <v>119384</v>
      </c>
      <c r="C51" s="45">
        <v>388</v>
      </c>
      <c r="D51" s="45">
        <v>3271</v>
      </c>
      <c r="E51" s="92">
        <f t="shared" si="6"/>
        <v>123043</v>
      </c>
      <c r="F51" s="58">
        <v>11736</v>
      </c>
      <c r="G51" s="45">
        <v>29532</v>
      </c>
      <c r="H51" s="45">
        <v>1685</v>
      </c>
      <c r="I51" s="45">
        <v>211</v>
      </c>
      <c r="J51" s="45">
        <v>2927</v>
      </c>
      <c r="K51" s="102">
        <f t="shared" si="7"/>
        <v>46091</v>
      </c>
      <c r="L51" s="110">
        <f t="shared" si="8"/>
        <v>-74363</v>
      </c>
    </row>
    <row r="52" spans="1:12" ht="12.75">
      <c r="A52" s="51">
        <v>38503</v>
      </c>
      <c r="B52" s="52">
        <v>138218</v>
      </c>
      <c r="C52" s="45">
        <v>247</v>
      </c>
      <c r="D52" s="45">
        <v>2910</v>
      </c>
      <c r="E52" s="92">
        <f t="shared" si="6"/>
        <v>141375</v>
      </c>
      <c r="F52" s="58">
        <v>8992</v>
      </c>
      <c r="G52" s="45">
        <v>7495</v>
      </c>
      <c r="H52" s="45">
        <v>1839</v>
      </c>
      <c r="I52" s="45">
        <v>232</v>
      </c>
      <c r="J52" s="45">
        <v>2973</v>
      </c>
      <c r="K52" s="102">
        <f t="shared" si="7"/>
        <v>21531</v>
      </c>
      <c r="L52" s="110">
        <f t="shared" si="8"/>
        <v>-60980</v>
      </c>
    </row>
    <row r="53" spans="1:12" ht="13.5" thickBot="1">
      <c r="A53" s="337">
        <v>38533</v>
      </c>
      <c r="B53" s="342">
        <v>146723</v>
      </c>
      <c r="C53" s="341">
        <v>211</v>
      </c>
      <c r="D53" s="341">
        <v>2727</v>
      </c>
      <c r="E53" s="350">
        <f t="shared" si="6"/>
        <v>149661</v>
      </c>
      <c r="F53" s="340">
        <v>52904</v>
      </c>
      <c r="G53" s="341">
        <v>9539</v>
      </c>
      <c r="H53" s="341">
        <v>5132</v>
      </c>
      <c r="I53" s="341">
        <v>295</v>
      </c>
      <c r="J53" s="341">
        <v>2929</v>
      </c>
      <c r="K53" s="103">
        <f t="shared" si="7"/>
        <v>70799</v>
      </c>
      <c r="L53" s="264">
        <f t="shared" si="8"/>
        <v>-53758</v>
      </c>
    </row>
    <row r="54" spans="1:12" ht="12.75" hidden="1">
      <c r="A54" s="49">
        <v>38564</v>
      </c>
      <c r="B54" s="50"/>
      <c r="C54" s="44"/>
      <c r="D54" s="44"/>
      <c r="E54" s="92">
        <f t="shared" si="6"/>
        <v>0</v>
      </c>
      <c r="F54" s="64"/>
      <c r="G54" s="44"/>
      <c r="H54" s="44"/>
      <c r="I54" s="44"/>
      <c r="J54" s="44"/>
      <c r="K54" s="101">
        <f t="shared" si="7"/>
        <v>0</v>
      </c>
      <c r="L54" s="265">
        <f t="shared" si="8"/>
        <v>0</v>
      </c>
    </row>
    <row r="55" spans="1:12" ht="12.75" hidden="1">
      <c r="A55" s="51">
        <v>38595</v>
      </c>
      <c r="B55" s="52"/>
      <c r="C55" s="45"/>
      <c r="D55" s="45"/>
      <c r="E55" s="92">
        <f t="shared" si="6"/>
        <v>0</v>
      </c>
      <c r="F55" s="58"/>
      <c r="G55" s="45"/>
      <c r="H55" s="45"/>
      <c r="I55" s="45"/>
      <c r="J55" s="45"/>
      <c r="K55" s="102">
        <f t="shared" si="7"/>
        <v>0</v>
      </c>
      <c r="L55" s="110">
        <f t="shared" si="8"/>
        <v>0</v>
      </c>
    </row>
    <row r="56" spans="1:12" ht="12.75" hidden="1">
      <c r="A56" s="51">
        <v>38625</v>
      </c>
      <c r="B56" s="52"/>
      <c r="C56" s="45"/>
      <c r="D56" s="45"/>
      <c r="E56" s="92">
        <f t="shared" si="6"/>
        <v>0</v>
      </c>
      <c r="F56" s="58"/>
      <c r="G56" s="45"/>
      <c r="H56" s="45"/>
      <c r="I56" s="45"/>
      <c r="J56" s="45"/>
      <c r="K56" s="102">
        <f t="shared" si="7"/>
        <v>0</v>
      </c>
      <c r="L56" s="110">
        <f t="shared" si="8"/>
        <v>0</v>
      </c>
    </row>
    <row r="57" spans="1:12" ht="12.75" hidden="1">
      <c r="A57" s="53">
        <v>38656</v>
      </c>
      <c r="B57" s="54"/>
      <c r="C57" s="46"/>
      <c r="D57" s="46"/>
      <c r="E57" s="92">
        <f t="shared" si="6"/>
        <v>0</v>
      </c>
      <c r="F57" s="66"/>
      <c r="G57" s="46"/>
      <c r="H57" s="46"/>
      <c r="I57" s="46"/>
      <c r="J57" s="46"/>
      <c r="K57" s="102">
        <f t="shared" si="7"/>
        <v>0</v>
      </c>
      <c r="L57" s="110">
        <f t="shared" si="8"/>
        <v>0</v>
      </c>
    </row>
    <row r="58" spans="1:12" ht="12.75" hidden="1">
      <c r="A58" s="51">
        <v>38686</v>
      </c>
      <c r="B58" s="52"/>
      <c r="C58" s="45"/>
      <c r="D58" s="45"/>
      <c r="E58" s="92">
        <f t="shared" si="6"/>
        <v>0</v>
      </c>
      <c r="F58" s="58"/>
      <c r="G58" s="45"/>
      <c r="H58" s="45"/>
      <c r="I58" s="45"/>
      <c r="J58" s="45"/>
      <c r="K58" s="102">
        <f t="shared" si="7"/>
        <v>0</v>
      </c>
      <c r="L58" s="110">
        <f t="shared" si="8"/>
        <v>0</v>
      </c>
    </row>
    <row r="59" spans="1:12" ht="13.5" hidden="1" thickBot="1">
      <c r="A59" s="55">
        <v>38717</v>
      </c>
      <c r="B59" s="56"/>
      <c r="C59" s="57"/>
      <c r="D59" s="57"/>
      <c r="E59" s="93">
        <f t="shared" si="6"/>
        <v>0</v>
      </c>
      <c r="F59" s="67"/>
      <c r="G59" s="57"/>
      <c r="H59" s="57"/>
      <c r="I59" s="57"/>
      <c r="J59" s="57"/>
      <c r="K59" s="103">
        <f t="shared" si="7"/>
        <v>0</v>
      </c>
      <c r="L59" s="264">
        <f t="shared" si="8"/>
        <v>0</v>
      </c>
    </row>
    <row r="60" ht="3.75" customHeight="1"/>
    <row r="61" spans="1:12" ht="12.75" customHeight="1">
      <c r="A61" s="905" t="s">
        <v>407</v>
      </c>
      <c r="B61" s="996"/>
      <c r="C61" s="996"/>
      <c r="D61" s="996"/>
      <c r="E61" s="996"/>
      <c r="F61" s="996"/>
      <c r="G61" s="996"/>
      <c r="H61" s="996"/>
      <c r="I61" s="996"/>
      <c r="J61" s="996"/>
      <c r="K61" s="996"/>
      <c r="L61" s="997"/>
    </row>
    <row r="62" spans="1:12" ht="12.75">
      <c r="A62" s="998"/>
      <c r="B62" s="999"/>
      <c r="C62" s="999"/>
      <c r="D62" s="999"/>
      <c r="E62" s="999"/>
      <c r="F62" s="999"/>
      <c r="G62" s="999"/>
      <c r="H62" s="999"/>
      <c r="I62" s="999"/>
      <c r="J62" s="999"/>
      <c r="K62" s="999"/>
      <c r="L62" s="1000"/>
    </row>
    <row r="63" spans="1:12" ht="12.75">
      <c r="A63" s="998"/>
      <c r="B63" s="999"/>
      <c r="C63" s="999"/>
      <c r="D63" s="999"/>
      <c r="E63" s="999"/>
      <c r="F63" s="999"/>
      <c r="G63" s="999"/>
      <c r="H63" s="999"/>
      <c r="I63" s="999"/>
      <c r="J63" s="999"/>
      <c r="K63" s="999"/>
      <c r="L63" s="1000"/>
    </row>
    <row r="64" spans="1:12" ht="12.75">
      <c r="A64" s="1001"/>
      <c r="B64" s="1002"/>
      <c r="C64" s="1002"/>
      <c r="D64" s="1002"/>
      <c r="E64" s="1002"/>
      <c r="F64" s="1002"/>
      <c r="G64" s="1002"/>
      <c r="H64" s="1002"/>
      <c r="I64" s="1002"/>
      <c r="J64" s="1002"/>
      <c r="K64" s="1002"/>
      <c r="L64" s="1003"/>
    </row>
    <row r="66" spans="1:12" ht="16.5" thickBot="1">
      <c r="A66" s="25" t="s">
        <v>93</v>
      </c>
      <c r="L66" s="274" t="s">
        <v>19</v>
      </c>
    </row>
    <row r="67" spans="1:12" ht="13.5" customHeight="1">
      <c r="A67" s="926" t="s">
        <v>15</v>
      </c>
      <c r="B67" s="855" t="s">
        <v>13</v>
      </c>
      <c r="C67" s="856"/>
      <c r="D67" s="857"/>
      <c r="E67" s="919" t="s">
        <v>15</v>
      </c>
      <c r="F67" s="920"/>
      <c r="G67" s="856" t="s">
        <v>44</v>
      </c>
      <c r="H67" s="856"/>
      <c r="I67" s="858"/>
      <c r="J67" s="856" t="s">
        <v>1</v>
      </c>
      <c r="K67" s="856"/>
      <c r="L67" s="858"/>
    </row>
    <row r="68" spans="1:12" ht="28.5" customHeight="1" thickBot="1">
      <c r="A68" s="927"/>
      <c r="B68" s="127" t="s">
        <v>90</v>
      </c>
      <c r="C68" s="122" t="s">
        <v>91</v>
      </c>
      <c r="D68" s="124" t="s">
        <v>92</v>
      </c>
      <c r="E68" s="921"/>
      <c r="F68" s="922"/>
      <c r="G68" s="122" t="s">
        <v>90</v>
      </c>
      <c r="H68" s="122" t="s">
        <v>91</v>
      </c>
      <c r="I68" s="123" t="s">
        <v>92</v>
      </c>
      <c r="J68" s="392" t="s">
        <v>90</v>
      </c>
      <c r="K68" s="392" t="s">
        <v>91</v>
      </c>
      <c r="L68" s="123" t="s">
        <v>92</v>
      </c>
    </row>
    <row r="69" spans="1:12" ht="20.25" customHeight="1">
      <c r="A69" s="301" t="s">
        <v>81</v>
      </c>
      <c r="B69" s="496">
        <v>140.36</v>
      </c>
      <c r="C69" s="116">
        <v>61680745</v>
      </c>
      <c r="D69" s="128">
        <f aca="true" t="shared" si="9" ref="D69:D75">+IF(B69&gt;0,C69/B69/12,"")</f>
        <v>36620.56200721952</v>
      </c>
      <c r="E69" s="1021" t="s">
        <v>81</v>
      </c>
      <c r="F69" s="1022"/>
      <c r="G69" s="496">
        <v>137.71</v>
      </c>
      <c r="H69" s="186">
        <v>55432808</v>
      </c>
      <c r="I69" s="128">
        <f aca="true" t="shared" si="10" ref="I69:I79">+IF(G69&gt;0,H69/G69/12,"")</f>
        <v>33544.40974995764</v>
      </c>
      <c r="J69" s="496">
        <v>139.43</v>
      </c>
      <c r="K69" s="97">
        <v>31028854</v>
      </c>
      <c r="L69" s="128">
        <f aca="true" t="shared" si="11" ref="L69:L75">+K69/J69/6</f>
        <v>37090.12168591169</v>
      </c>
    </row>
    <row r="70" spans="1:12" ht="20.25" customHeight="1">
      <c r="A70" s="301" t="s">
        <v>82</v>
      </c>
      <c r="B70" s="497">
        <v>6.01</v>
      </c>
      <c r="C70" s="118">
        <v>1834810</v>
      </c>
      <c r="D70" s="65">
        <f t="shared" si="9"/>
        <v>25441.070438158626</v>
      </c>
      <c r="E70" s="974" t="s">
        <v>82</v>
      </c>
      <c r="F70" s="975"/>
      <c r="G70" s="497">
        <v>5.84</v>
      </c>
      <c r="H70" s="46">
        <v>1655725</v>
      </c>
      <c r="I70" s="65">
        <f t="shared" si="10"/>
        <v>23626.212899543378</v>
      </c>
      <c r="J70" s="497">
        <v>6</v>
      </c>
      <c r="K70" s="45">
        <v>1002456</v>
      </c>
      <c r="L70" s="65">
        <f t="shared" si="11"/>
        <v>27846</v>
      </c>
    </row>
    <row r="71" spans="1:12" ht="20.25" customHeight="1">
      <c r="A71" s="301" t="s">
        <v>83</v>
      </c>
      <c r="B71" s="497">
        <v>6</v>
      </c>
      <c r="C71" s="118">
        <v>1817647</v>
      </c>
      <c r="D71" s="65">
        <f t="shared" si="9"/>
        <v>25245.097222222223</v>
      </c>
      <c r="E71" s="974" t="s">
        <v>118</v>
      </c>
      <c r="F71" s="975"/>
      <c r="G71" s="497">
        <v>527.76</v>
      </c>
      <c r="H71" s="46">
        <v>102641455</v>
      </c>
      <c r="I71" s="65">
        <f t="shared" si="10"/>
        <v>16207.09144939619</v>
      </c>
      <c r="J71" s="497">
        <v>532.02</v>
      </c>
      <c r="K71" s="45">
        <v>51425345</v>
      </c>
      <c r="L71" s="65">
        <f t="shared" si="11"/>
        <v>16110.091412603537</v>
      </c>
    </row>
    <row r="72" spans="1:12" ht="20.25" customHeight="1">
      <c r="A72" s="301" t="s">
        <v>84</v>
      </c>
      <c r="B72" s="497">
        <v>8.6</v>
      </c>
      <c r="C72" s="118">
        <v>1390265</v>
      </c>
      <c r="D72" s="65">
        <f t="shared" si="9"/>
        <v>13471.560077519382</v>
      </c>
      <c r="E72" s="974" t="s">
        <v>117</v>
      </c>
      <c r="F72" s="975"/>
      <c r="G72" s="497">
        <v>71.25</v>
      </c>
      <c r="H72" s="46">
        <v>14839822</v>
      </c>
      <c r="I72" s="65">
        <f t="shared" si="10"/>
        <v>17356.516959064327</v>
      </c>
      <c r="J72" s="497">
        <v>78.98</v>
      </c>
      <c r="K72" s="45">
        <v>8306636</v>
      </c>
      <c r="L72" s="65">
        <f t="shared" si="11"/>
        <v>17528.98624124251</v>
      </c>
    </row>
    <row r="73" spans="1:12" ht="20.25" customHeight="1">
      <c r="A73" s="301" t="s">
        <v>85</v>
      </c>
      <c r="B73" s="497">
        <v>634.12</v>
      </c>
      <c r="C73" s="118">
        <v>127318193</v>
      </c>
      <c r="D73" s="65">
        <f t="shared" si="9"/>
        <v>16731.61139321685</v>
      </c>
      <c r="E73" s="974" t="s">
        <v>119</v>
      </c>
      <c r="F73" s="975"/>
      <c r="G73" s="497">
        <v>23.8</v>
      </c>
      <c r="H73" s="46">
        <v>4019358</v>
      </c>
      <c r="I73" s="65">
        <f t="shared" si="10"/>
        <v>14073.382352941177</v>
      </c>
      <c r="J73" s="497">
        <v>22.06</v>
      </c>
      <c r="K73" s="45">
        <v>1976759</v>
      </c>
      <c r="L73" s="65">
        <f t="shared" si="11"/>
        <v>14934.715926261712</v>
      </c>
    </row>
    <row r="74" spans="1:12" ht="20.25" customHeight="1">
      <c r="A74" s="301" t="s">
        <v>86</v>
      </c>
      <c r="B74" s="497">
        <v>27.02</v>
      </c>
      <c r="C74" s="118">
        <v>3588667</v>
      </c>
      <c r="D74" s="65">
        <f t="shared" si="9"/>
        <v>11067.934246237355</v>
      </c>
      <c r="E74" s="974" t="s">
        <v>120</v>
      </c>
      <c r="F74" s="975"/>
      <c r="G74" s="497">
        <v>145.79</v>
      </c>
      <c r="H74" s="46">
        <v>18031838</v>
      </c>
      <c r="I74" s="65">
        <f t="shared" si="10"/>
        <v>10306.970071106844</v>
      </c>
      <c r="J74" s="497">
        <v>148.93</v>
      </c>
      <c r="K74" s="45">
        <v>9617670</v>
      </c>
      <c r="L74" s="65">
        <f t="shared" si="11"/>
        <v>10763.076613173975</v>
      </c>
    </row>
    <row r="75" spans="1:12" ht="20.25" customHeight="1">
      <c r="A75" s="301" t="s">
        <v>87</v>
      </c>
      <c r="B75" s="497">
        <v>131.25</v>
      </c>
      <c r="C75" s="118">
        <v>16160101</v>
      </c>
      <c r="D75" s="65">
        <f t="shared" si="9"/>
        <v>10260.381587301586</v>
      </c>
      <c r="E75" s="974" t="s">
        <v>121</v>
      </c>
      <c r="F75" s="975"/>
      <c r="G75" s="497">
        <v>1</v>
      </c>
      <c r="H75" s="46">
        <v>241122</v>
      </c>
      <c r="I75" s="65">
        <f t="shared" si="10"/>
        <v>20093.5</v>
      </c>
      <c r="J75" s="497">
        <v>0.89</v>
      </c>
      <c r="K75" s="45">
        <v>116180</v>
      </c>
      <c r="L75" s="65">
        <f t="shared" si="11"/>
        <v>21756.554307116105</v>
      </c>
    </row>
    <row r="76" spans="1:12" ht="13.5" customHeight="1">
      <c r="A76" s="301"/>
      <c r="B76" s="497"/>
      <c r="C76" s="118"/>
      <c r="D76" s="65"/>
      <c r="E76" s="974" t="s">
        <v>122</v>
      </c>
      <c r="F76" s="975"/>
      <c r="G76" s="497">
        <v>0</v>
      </c>
      <c r="H76" s="46">
        <v>0</v>
      </c>
      <c r="I76" s="65">
        <f t="shared" si="10"/>
      </c>
      <c r="J76" s="497">
        <v>0</v>
      </c>
      <c r="K76" s="45">
        <v>0</v>
      </c>
      <c r="L76" s="65"/>
    </row>
    <row r="77" spans="1:12" ht="20.25" customHeight="1">
      <c r="A77" s="301" t="s">
        <v>88</v>
      </c>
      <c r="B77" s="497">
        <v>81.02</v>
      </c>
      <c r="C77" s="118">
        <v>14477581</v>
      </c>
      <c r="D77" s="65">
        <f>+IF(B77&gt;0,C77/B77/12,"")</f>
        <v>14890.953879700486</v>
      </c>
      <c r="E77" s="974" t="s">
        <v>88</v>
      </c>
      <c r="F77" s="975"/>
      <c r="G77" s="497">
        <v>79.05</v>
      </c>
      <c r="H77" s="45">
        <v>13933044</v>
      </c>
      <c r="I77" s="65">
        <f t="shared" si="10"/>
        <v>14688.00759013283</v>
      </c>
      <c r="J77" s="497">
        <v>75.64</v>
      </c>
      <c r="K77" s="45">
        <v>6880990</v>
      </c>
      <c r="L77" s="65">
        <f>+K77/J77/6</f>
        <v>15161.708972325048</v>
      </c>
    </row>
    <row r="78" spans="1:12" ht="28.5" customHeight="1" thickBot="1">
      <c r="A78" s="382" t="s">
        <v>89</v>
      </c>
      <c r="B78" s="498">
        <v>249.14</v>
      </c>
      <c r="C78" s="118">
        <v>27808173</v>
      </c>
      <c r="D78" s="65">
        <f>+IF(B78&gt;0,C78/B78/12,"")</f>
        <v>9301.387773942362</v>
      </c>
      <c r="E78" s="976" t="s">
        <v>123</v>
      </c>
      <c r="F78" s="977"/>
      <c r="G78" s="498">
        <v>137.07</v>
      </c>
      <c r="H78" s="186">
        <v>15735439</v>
      </c>
      <c r="I78" s="128">
        <f t="shared" si="10"/>
        <v>9566.546898178547</v>
      </c>
      <c r="J78" s="498">
        <v>124.98</v>
      </c>
      <c r="K78" s="341">
        <v>7258173</v>
      </c>
      <c r="L78" s="128">
        <f>+K78/J78/6</f>
        <v>9679.112658025284</v>
      </c>
    </row>
    <row r="79" spans="1:12" s="35" customFormat="1" ht="22.5" customHeight="1" thickBot="1">
      <c r="A79" s="302" t="s">
        <v>31</v>
      </c>
      <c r="B79" s="499">
        <f>SUM(B69:B78)</f>
        <v>1283.52</v>
      </c>
      <c r="C79" s="120">
        <f>SUM(C69:C78)</f>
        <v>256076182</v>
      </c>
      <c r="D79" s="121">
        <f>+IF(B79&gt;0,C79/B79/12,"")</f>
        <v>16625.905193010887</v>
      </c>
      <c r="E79" s="978" t="s">
        <v>31</v>
      </c>
      <c r="F79" s="979"/>
      <c r="G79" s="499">
        <f>SUM(G69:G78)</f>
        <v>1129.2699999999998</v>
      </c>
      <c r="H79" s="47">
        <f>SUM(H69:H78)</f>
        <v>226530611</v>
      </c>
      <c r="I79" s="121">
        <f t="shared" si="10"/>
        <v>16716.596488587027</v>
      </c>
      <c r="J79" s="499">
        <f>SUM(J69:J78)</f>
        <v>1128.93</v>
      </c>
      <c r="K79" s="89">
        <f>SUM(K69:K78)</f>
        <v>117613063</v>
      </c>
      <c r="L79" s="121">
        <f>+K79/J79/6</f>
        <v>17363.500984708233</v>
      </c>
    </row>
    <row r="81" spans="1:12" ht="12.75" customHeight="1">
      <c r="A81" s="905" t="s">
        <v>408</v>
      </c>
      <c r="B81" s="980"/>
      <c r="C81" s="980"/>
      <c r="D81" s="980"/>
      <c r="E81" s="980"/>
      <c r="F81" s="980"/>
      <c r="G81" s="980"/>
      <c r="H81" s="980"/>
      <c r="I81" s="980"/>
      <c r="J81" s="980"/>
      <c r="K81" s="980"/>
      <c r="L81" s="981"/>
    </row>
    <row r="82" spans="1:12" ht="12.75">
      <c r="A82" s="982"/>
      <c r="B82" s="983"/>
      <c r="C82" s="983"/>
      <c r="D82" s="983"/>
      <c r="E82" s="983"/>
      <c r="F82" s="983"/>
      <c r="G82" s="983"/>
      <c r="H82" s="983"/>
      <c r="I82" s="983"/>
      <c r="J82" s="983"/>
      <c r="K82" s="983"/>
      <c r="L82" s="984"/>
    </row>
    <row r="83" spans="1:12" ht="12.75">
      <c r="A83" s="985"/>
      <c r="B83" s="986"/>
      <c r="C83" s="986"/>
      <c r="D83" s="986"/>
      <c r="E83" s="986"/>
      <c r="F83" s="986"/>
      <c r="G83" s="986"/>
      <c r="H83" s="986"/>
      <c r="I83" s="986"/>
      <c r="J83" s="986"/>
      <c r="K83" s="986"/>
      <c r="L83" s="987"/>
    </row>
    <row r="86" spans="1:9" ht="16.5" thickBot="1">
      <c r="A86" s="25" t="s">
        <v>116</v>
      </c>
      <c r="B86" s="129"/>
      <c r="C86" s="129"/>
      <c r="D86" s="129"/>
      <c r="E86" s="129"/>
      <c r="F86" s="129"/>
      <c r="G86" s="129"/>
      <c r="H86" s="129"/>
      <c r="I86" s="129"/>
    </row>
    <row r="87" spans="1:12" ht="13.5" thickBot="1">
      <c r="A87" s="988" t="s">
        <v>94</v>
      </c>
      <c r="B87" s="989"/>
      <c r="C87" s="882" t="s">
        <v>95</v>
      </c>
      <c r="D87" s="881"/>
      <c r="E87" s="881"/>
      <c r="F87" s="881"/>
      <c r="G87" s="992"/>
      <c r="H87" s="882" t="s">
        <v>96</v>
      </c>
      <c r="I87" s="881"/>
      <c r="J87" s="881"/>
      <c r="K87" s="881"/>
      <c r="L87" s="992"/>
    </row>
    <row r="88" spans="1:12" ht="13.5" thickBot="1">
      <c r="A88" s="990"/>
      <c r="B88" s="991"/>
      <c r="C88" s="1">
        <v>2003</v>
      </c>
      <c r="D88" s="10">
        <v>2004</v>
      </c>
      <c r="E88" s="131" t="s">
        <v>97</v>
      </c>
      <c r="F88" s="10">
        <v>2005</v>
      </c>
      <c r="G88" s="131" t="s">
        <v>97</v>
      </c>
      <c r="H88" s="130">
        <v>2003</v>
      </c>
      <c r="I88" s="10">
        <v>2004</v>
      </c>
      <c r="J88" s="131" t="s">
        <v>97</v>
      </c>
      <c r="K88" s="10">
        <v>2005</v>
      </c>
      <c r="L88" s="260" t="s">
        <v>97</v>
      </c>
    </row>
    <row r="89" spans="1:12" ht="12.75">
      <c r="A89" s="993" t="s">
        <v>98</v>
      </c>
      <c r="B89" s="994"/>
      <c r="C89" s="132">
        <v>124</v>
      </c>
      <c r="D89" s="134">
        <v>124</v>
      </c>
      <c r="E89" s="133">
        <f>+D89-C89</f>
        <v>0</v>
      </c>
      <c r="F89" s="500">
        <v>124</v>
      </c>
      <c r="G89" s="133">
        <f aca="true" t="shared" si="12" ref="G89:G107">+F89-D89</f>
        <v>0</v>
      </c>
      <c r="H89" s="135">
        <v>79.9</v>
      </c>
      <c r="I89" s="136">
        <v>82.34</v>
      </c>
      <c r="J89" s="136">
        <f>+I89-H89</f>
        <v>2.4399999999999977</v>
      </c>
      <c r="K89" s="501">
        <v>80.41732819233387</v>
      </c>
      <c r="L89" s="157">
        <f aca="true" t="shared" si="13" ref="L89:L107">+K89-I89</f>
        <v>-1.9226718076661342</v>
      </c>
    </row>
    <row r="90" spans="1:12" ht="12.75">
      <c r="A90" s="880" t="s">
        <v>99</v>
      </c>
      <c r="B90" s="727"/>
      <c r="C90" s="138">
        <v>40</v>
      </c>
      <c r="D90" s="140">
        <v>40</v>
      </c>
      <c r="E90" s="139">
        <f>+D90-C90</f>
        <v>0</v>
      </c>
      <c r="F90" s="502">
        <v>40</v>
      </c>
      <c r="G90" s="133">
        <f t="shared" si="12"/>
        <v>0</v>
      </c>
      <c r="H90" s="141">
        <v>79.1</v>
      </c>
      <c r="I90" s="136">
        <v>70.56</v>
      </c>
      <c r="J90" s="142">
        <f>+I90-H90</f>
        <v>-8.539999999999992</v>
      </c>
      <c r="K90" s="501">
        <v>66.48611111111111</v>
      </c>
      <c r="L90" s="158">
        <f t="shared" si="13"/>
        <v>-4.073888888888888</v>
      </c>
    </row>
    <row r="91" spans="1:12" ht="12.75">
      <c r="A91" s="880" t="s">
        <v>100</v>
      </c>
      <c r="B91" s="727"/>
      <c r="C91" s="138">
        <v>30</v>
      </c>
      <c r="D91" s="140">
        <v>30</v>
      </c>
      <c r="E91" s="139">
        <f>+D91-C91</f>
        <v>0</v>
      </c>
      <c r="F91" s="502">
        <v>30</v>
      </c>
      <c r="G91" s="133">
        <f t="shared" si="12"/>
        <v>0</v>
      </c>
      <c r="H91" s="141">
        <v>77.4</v>
      </c>
      <c r="I91" s="136">
        <v>85.97</v>
      </c>
      <c r="J91" s="142">
        <f>+I91-H91</f>
        <v>8.569999999999993</v>
      </c>
      <c r="K91" s="501">
        <v>79.12962962962963</v>
      </c>
      <c r="L91" s="158">
        <f t="shared" si="13"/>
        <v>-6.8403703703703655</v>
      </c>
    </row>
    <row r="92" spans="1:12" ht="12.75">
      <c r="A92" s="880" t="s">
        <v>101</v>
      </c>
      <c r="B92" s="727"/>
      <c r="C92" s="138">
        <v>47</v>
      </c>
      <c r="D92" s="140">
        <v>50</v>
      </c>
      <c r="E92" s="139">
        <f>+D92-C92</f>
        <v>3</v>
      </c>
      <c r="F92" s="502">
        <v>50</v>
      </c>
      <c r="G92" s="133">
        <f t="shared" si="12"/>
        <v>0</v>
      </c>
      <c r="H92" s="141">
        <v>85.7</v>
      </c>
      <c r="I92" s="136">
        <v>99.45</v>
      </c>
      <c r="J92" s="142">
        <f>+I92-H92</f>
        <v>13.75</v>
      </c>
      <c r="K92" s="501">
        <v>101.2193678228957</v>
      </c>
      <c r="L92" s="158">
        <f t="shared" si="13"/>
        <v>1.7693678228957026</v>
      </c>
    </row>
    <row r="93" spans="1:12" ht="12.75">
      <c r="A93" s="880" t="s">
        <v>102</v>
      </c>
      <c r="B93" s="727"/>
      <c r="C93" s="168"/>
      <c r="D93" s="140"/>
      <c r="E93" s="139"/>
      <c r="F93" s="502"/>
      <c r="G93" s="133">
        <f t="shared" si="12"/>
        <v>0</v>
      </c>
      <c r="H93" s="141"/>
      <c r="I93" s="136"/>
      <c r="J93" s="142"/>
      <c r="K93" s="501"/>
      <c r="L93" s="158">
        <f t="shared" si="13"/>
        <v>0</v>
      </c>
    </row>
    <row r="94" spans="1:12" ht="12.75">
      <c r="A94" s="880" t="s">
        <v>103</v>
      </c>
      <c r="B94" s="727"/>
      <c r="C94" s="138">
        <v>66</v>
      </c>
      <c r="D94" s="140">
        <v>66</v>
      </c>
      <c r="E94" s="139">
        <f aca="true" t="shared" si="14" ref="E94:E107">+D94-C94</f>
        <v>0</v>
      </c>
      <c r="F94" s="502">
        <v>66</v>
      </c>
      <c r="G94" s="133">
        <f t="shared" si="12"/>
        <v>0</v>
      </c>
      <c r="H94" s="141">
        <v>86.5</v>
      </c>
      <c r="I94" s="136">
        <v>94</v>
      </c>
      <c r="J94" s="142">
        <f aca="true" t="shared" si="15" ref="J94:J107">+I94-H94</f>
        <v>7.5</v>
      </c>
      <c r="K94" s="501">
        <v>103.24097397145256</v>
      </c>
      <c r="L94" s="158">
        <f t="shared" si="13"/>
        <v>9.240973971452561</v>
      </c>
    </row>
    <row r="95" spans="1:12" ht="12.75">
      <c r="A95" s="880" t="s">
        <v>104</v>
      </c>
      <c r="B95" s="727"/>
      <c r="C95" s="138">
        <v>54</v>
      </c>
      <c r="D95" s="140">
        <v>60</v>
      </c>
      <c r="E95" s="139">
        <f t="shared" si="14"/>
        <v>6</v>
      </c>
      <c r="F95" s="502">
        <v>60</v>
      </c>
      <c r="G95" s="133">
        <f t="shared" si="12"/>
        <v>0</v>
      </c>
      <c r="H95" s="141">
        <v>66.1</v>
      </c>
      <c r="I95" s="136">
        <v>71.43</v>
      </c>
      <c r="J95" s="142">
        <f t="shared" si="15"/>
        <v>5.3300000000000125</v>
      </c>
      <c r="K95" s="501">
        <v>75.82</v>
      </c>
      <c r="L95" s="158">
        <f t="shared" si="13"/>
        <v>4.389999999999986</v>
      </c>
    </row>
    <row r="96" spans="1:12" ht="12.75">
      <c r="A96" s="880" t="s">
        <v>105</v>
      </c>
      <c r="B96" s="727"/>
      <c r="C96" s="138">
        <v>107</v>
      </c>
      <c r="D96" s="140">
        <v>107</v>
      </c>
      <c r="E96" s="139">
        <f t="shared" si="14"/>
        <v>0</v>
      </c>
      <c r="F96" s="502">
        <v>107</v>
      </c>
      <c r="G96" s="133">
        <f t="shared" si="12"/>
        <v>0</v>
      </c>
      <c r="H96" s="141">
        <v>84.8</v>
      </c>
      <c r="I96" s="136">
        <v>86.17</v>
      </c>
      <c r="J96" s="142">
        <f t="shared" si="15"/>
        <v>1.3700000000000045</v>
      </c>
      <c r="K96" s="501">
        <v>87.51</v>
      </c>
      <c r="L96" s="158">
        <f t="shared" si="13"/>
        <v>1.3400000000000034</v>
      </c>
    </row>
    <row r="97" spans="1:12" ht="12.75">
      <c r="A97" s="880" t="s">
        <v>106</v>
      </c>
      <c r="B97" s="727"/>
      <c r="C97" s="138">
        <v>5</v>
      </c>
      <c r="D97" s="140">
        <v>5</v>
      </c>
      <c r="E97" s="139">
        <f t="shared" si="14"/>
        <v>0</v>
      </c>
      <c r="F97" s="502">
        <v>5</v>
      </c>
      <c r="G97" s="133">
        <f t="shared" si="12"/>
        <v>0</v>
      </c>
      <c r="H97" s="141">
        <v>83.3</v>
      </c>
      <c r="I97" s="136">
        <v>88.03</v>
      </c>
      <c r="J97" s="142">
        <f t="shared" si="15"/>
        <v>4.730000000000004</v>
      </c>
      <c r="K97" s="501">
        <v>91.49171270718232</v>
      </c>
      <c r="L97" s="158">
        <f t="shared" si="13"/>
        <v>3.461712707182315</v>
      </c>
    </row>
    <row r="98" spans="1:12" ht="12.75">
      <c r="A98" s="880" t="s">
        <v>107</v>
      </c>
      <c r="B98" s="727"/>
      <c r="C98" s="138">
        <v>20</v>
      </c>
      <c r="D98" s="140">
        <v>26</v>
      </c>
      <c r="E98" s="139">
        <f t="shared" si="14"/>
        <v>6</v>
      </c>
      <c r="F98" s="502">
        <v>26</v>
      </c>
      <c r="G98" s="133">
        <f t="shared" si="12"/>
        <v>0</v>
      </c>
      <c r="H98" s="141">
        <v>100</v>
      </c>
      <c r="I98" s="136">
        <v>106.73</v>
      </c>
      <c r="J98" s="142">
        <f t="shared" si="15"/>
        <v>6.730000000000004</v>
      </c>
      <c r="K98" s="501">
        <v>111.30555555555556</v>
      </c>
      <c r="L98" s="158">
        <f t="shared" si="13"/>
        <v>4.575555555555553</v>
      </c>
    </row>
    <row r="99" spans="1:12" ht="12.75">
      <c r="A99" s="880" t="s">
        <v>108</v>
      </c>
      <c r="B99" s="727"/>
      <c r="C99" s="138">
        <v>17</v>
      </c>
      <c r="D99" s="140">
        <v>20</v>
      </c>
      <c r="E99" s="139">
        <f t="shared" si="14"/>
        <v>3</v>
      </c>
      <c r="F99" s="502">
        <v>20</v>
      </c>
      <c r="G99" s="133">
        <f t="shared" si="12"/>
        <v>0</v>
      </c>
      <c r="H99" s="141">
        <v>76.7</v>
      </c>
      <c r="I99" s="136">
        <v>74.24</v>
      </c>
      <c r="J99" s="142">
        <f t="shared" si="15"/>
        <v>-2.460000000000008</v>
      </c>
      <c r="K99" s="501">
        <v>77.52777777777777</v>
      </c>
      <c r="L99" s="158">
        <f t="shared" si="13"/>
        <v>3.2877777777777766</v>
      </c>
    </row>
    <row r="100" spans="1:12" ht="12.75">
      <c r="A100" s="880" t="s">
        <v>109</v>
      </c>
      <c r="B100" s="727"/>
      <c r="C100" s="138">
        <v>30</v>
      </c>
      <c r="D100" s="140">
        <v>30</v>
      </c>
      <c r="E100" s="139">
        <f t="shared" si="14"/>
        <v>0</v>
      </c>
      <c r="F100" s="502">
        <v>30</v>
      </c>
      <c r="G100" s="133">
        <f t="shared" si="12"/>
        <v>0</v>
      </c>
      <c r="H100" s="141">
        <v>86.6</v>
      </c>
      <c r="I100" s="136">
        <v>79.36</v>
      </c>
      <c r="J100" s="142">
        <f t="shared" si="15"/>
        <v>-7.239999999999995</v>
      </c>
      <c r="K100" s="501">
        <v>77.75322283609576</v>
      </c>
      <c r="L100" s="158">
        <f t="shared" si="13"/>
        <v>-1.6067771639042405</v>
      </c>
    </row>
    <row r="101" spans="1:12" ht="12.75">
      <c r="A101" s="880" t="s">
        <v>110</v>
      </c>
      <c r="B101" s="727"/>
      <c r="C101" s="138">
        <v>20</v>
      </c>
      <c r="D101" s="140">
        <v>20</v>
      </c>
      <c r="E101" s="139">
        <f t="shared" si="14"/>
        <v>0</v>
      </c>
      <c r="F101" s="502">
        <v>20</v>
      </c>
      <c r="G101" s="133">
        <f t="shared" si="12"/>
        <v>0</v>
      </c>
      <c r="H101" s="141">
        <v>76.5</v>
      </c>
      <c r="I101" s="136">
        <v>82.21</v>
      </c>
      <c r="J101" s="142">
        <f t="shared" si="15"/>
        <v>5.709999999999994</v>
      </c>
      <c r="K101" s="501">
        <v>90.16759776536313</v>
      </c>
      <c r="L101" s="158">
        <f t="shared" si="13"/>
        <v>7.957597765363133</v>
      </c>
    </row>
    <row r="102" spans="1:12" ht="12.75">
      <c r="A102" s="880" t="s">
        <v>111</v>
      </c>
      <c r="B102" s="727"/>
      <c r="C102" s="138">
        <v>20</v>
      </c>
      <c r="D102" s="140">
        <v>20</v>
      </c>
      <c r="E102" s="139">
        <f t="shared" si="14"/>
        <v>0</v>
      </c>
      <c r="F102" s="502">
        <v>20</v>
      </c>
      <c r="G102" s="133">
        <f t="shared" si="12"/>
        <v>0</v>
      </c>
      <c r="H102" s="141">
        <v>77.6</v>
      </c>
      <c r="I102" s="136">
        <v>77.98</v>
      </c>
      <c r="J102" s="142">
        <f t="shared" si="15"/>
        <v>0.38000000000000966</v>
      </c>
      <c r="K102" s="501">
        <v>77.12290502793296</v>
      </c>
      <c r="L102" s="158">
        <f t="shared" si="13"/>
        <v>-0.8570949720670455</v>
      </c>
    </row>
    <row r="103" spans="1:12" ht="12.75">
      <c r="A103" s="880" t="s">
        <v>112</v>
      </c>
      <c r="B103" s="727"/>
      <c r="C103" s="138">
        <v>52</v>
      </c>
      <c r="D103" s="140">
        <v>52</v>
      </c>
      <c r="E103" s="139">
        <f t="shared" si="14"/>
        <v>0</v>
      </c>
      <c r="F103" s="502">
        <v>52</v>
      </c>
      <c r="G103" s="133">
        <f t="shared" si="12"/>
        <v>0</v>
      </c>
      <c r="H103" s="141">
        <v>73.8</v>
      </c>
      <c r="I103" s="136">
        <v>83.05</v>
      </c>
      <c r="J103" s="142">
        <f t="shared" si="15"/>
        <v>9.25</v>
      </c>
      <c r="K103" s="501">
        <v>87.15841161400512</v>
      </c>
      <c r="L103" s="158">
        <f t="shared" si="13"/>
        <v>4.108411614005121</v>
      </c>
    </row>
    <row r="104" spans="1:12" ht="12.75">
      <c r="A104" s="880" t="s">
        <v>113</v>
      </c>
      <c r="B104" s="727"/>
      <c r="C104" s="138">
        <v>20</v>
      </c>
      <c r="D104" s="140">
        <v>20</v>
      </c>
      <c r="E104" s="139">
        <f t="shared" si="14"/>
        <v>0</v>
      </c>
      <c r="F104" s="502">
        <v>20</v>
      </c>
      <c r="G104" s="133">
        <f t="shared" si="12"/>
        <v>0</v>
      </c>
      <c r="H104" s="141">
        <v>85</v>
      </c>
      <c r="I104" s="136">
        <v>88.48</v>
      </c>
      <c r="J104" s="142">
        <f t="shared" si="15"/>
        <v>3.480000000000004</v>
      </c>
      <c r="K104" s="501">
        <v>89.27710843373494</v>
      </c>
      <c r="L104" s="158">
        <f t="shared" si="13"/>
        <v>0.7971084337349339</v>
      </c>
    </row>
    <row r="105" spans="1:12" ht="12.75">
      <c r="A105" s="880" t="s">
        <v>114</v>
      </c>
      <c r="B105" s="727"/>
      <c r="C105" s="138">
        <v>88</v>
      </c>
      <c r="D105" s="140">
        <v>88</v>
      </c>
      <c r="E105" s="139">
        <f t="shared" si="14"/>
        <v>0</v>
      </c>
      <c r="F105" s="502">
        <v>88</v>
      </c>
      <c r="G105" s="133">
        <f t="shared" si="12"/>
        <v>0</v>
      </c>
      <c r="H105" s="141">
        <v>84.3</v>
      </c>
      <c r="I105" s="136">
        <v>85.64</v>
      </c>
      <c r="J105" s="142">
        <f t="shared" si="15"/>
        <v>1.3400000000000034</v>
      </c>
      <c r="K105" s="501">
        <v>82.05047714716223</v>
      </c>
      <c r="L105" s="158">
        <f t="shared" si="13"/>
        <v>-3.5895228528377743</v>
      </c>
    </row>
    <row r="106" spans="1:12" ht="13.5" thickBot="1">
      <c r="A106" s="867" t="s">
        <v>115</v>
      </c>
      <c r="B106" s="842"/>
      <c r="C106" s="169"/>
      <c r="D106" s="146"/>
      <c r="E106" s="145">
        <f t="shared" si="14"/>
        <v>0</v>
      </c>
      <c r="F106" s="503"/>
      <c r="G106" s="161">
        <f t="shared" si="12"/>
        <v>0</v>
      </c>
      <c r="H106" s="147"/>
      <c r="I106" s="281"/>
      <c r="J106" s="148">
        <f t="shared" si="15"/>
        <v>0</v>
      </c>
      <c r="K106" s="504"/>
      <c r="L106" s="159">
        <f t="shared" si="13"/>
        <v>0</v>
      </c>
    </row>
    <row r="107" spans="1:12" ht="13.5" thickBot="1">
      <c r="A107" s="868" t="s">
        <v>31</v>
      </c>
      <c r="B107" s="749"/>
      <c r="C107" s="170">
        <f>SUM(C89:C106)</f>
        <v>740</v>
      </c>
      <c r="D107" s="152">
        <f>SUM(D89:D106)</f>
        <v>758</v>
      </c>
      <c r="E107" s="151">
        <f t="shared" si="14"/>
        <v>18</v>
      </c>
      <c r="F107" s="152">
        <f>SUM(F89:F106)</f>
        <v>758</v>
      </c>
      <c r="G107" s="151">
        <f t="shared" si="12"/>
        <v>0</v>
      </c>
      <c r="H107" s="153">
        <v>81.3</v>
      </c>
      <c r="I107" s="282">
        <v>84.57</v>
      </c>
      <c r="J107" s="154">
        <f t="shared" si="15"/>
        <v>3.269999999999996</v>
      </c>
      <c r="K107" s="282">
        <v>85.5</v>
      </c>
      <c r="L107" s="160">
        <f t="shared" si="13"/>
        <v>0.9300000000000068</v>
      </c>
    </row>
    <row r="109" spans="1:12" ht="12.75">
      <c r="A109" s="995" t="s">
        <v>403</v>
      </c>
      <c r="B109" s="996"/>
      <c r="C109" s="996"/>
      <c r="D109" s="996"/>
      <c r="E109" s="996"/>
      <c r="F109" s="996"/>
      <c r="G109" s="996"/>
      <c r="H109" s="996"/>
      <c r="I109" s="996"/>
      <c r="J109" s="996"/>
      <c r="K109" s="996"/>
      <c r="L109" s="997"/>
    </row>
    <row r="110" spans="1:12" ht="12.75">
      <c r="A110" s="998"/>
      <c r="B110" s="999"/>
      <c r="C110" s="999"/>
      <c r="D110" s="999"/>
      <c r="E110" s="999"/>
      <c r="F110" s="999"/>
      <c r="G110" s="999"/>
      <c r="H110" s="999"/>
      <c r="I110" s="999"/>
      <c r="J110" s="999"/>
      <c r="K110" s="999"/>
      <c r="L110" s="1000"/>
    </row>
    <row r="111" spans="1:12" ht="12.75">
      <c r="A111" s="998"/>
      <c r="B111" s="999"/>
      <c r="C111" s="999"/>
      <c r="D111" s="999"/>
      <c r="E111" s="999"/>
      <c r="F111" s="999"/>
      <c r="G111" s="999"/>
      <c r="H111" s="999"/>
      <c r="I111" s="999"/>
      <c r="J111" s="999"/>
      <c r="K111" s="999"/>
      <c r="L111" s="1000"/>
    </row>
    <row r="112" spans="1:12" ht="12.75">
      <c r="A112" s="1001"/>
      <c r="B112" s="1002"/>
      <c r="C112" s="1002"/>
      <c r="D112" s="1002"/>
      <c r="E112" s="1002"/>
      <c r="F112" s="1002"/>
      <c r="G112" s="1002"/>
      <c r="H112" s="1002"/>
      <c r="I112" s="1002"/>
      <c r="J112" s="1002"/>
      <c r="K112" s="1002"/>
      <c r="L112" s="1003"/>
    </row>
    <row r="113" spans="1:12" ht="12.75">
      <c r="A113" s="70"/>
      <c r="B113" s="70"/>
      <c r="C113" s="70"/>
      <c r="D113" s="70"/>
      <c r="E113" s="70"/>
      <c r="F113" s="70"/>
      <c r="G113" s="70"/>
      <c r="H113" s="70"/>
      <c r="I113" s="70"/>
      <c r="J113" s="70"/>
      <c r="K113" s="70"/>
      <c r="L113" s="246"/>
    </row>
    <row r="114" spans="1:12" ht="16.5" thickBot="1">
      <c r="A114" s="25" t="s">
        <v>314</v>
      </c>
      <c r="L114" s="274" t="s">
        <v>19</v>
      </c>
    </row>
    <row r="115" spans="1:12" ht="24.75" customHeight="1" thickBot="1">
      <c r="A115" s="859" t="s">
        <v>192</v>
      </c>
      <c r="B115" s="860"/>
      <c r="C115" s="860"/>
      <c r="D115" s="860"/>
      <c r="E115" s="901" t="s">
        <v>173</v>
      </c>
      <c r="F115" s="902"/>
      <c r="G115" s="35"/>
      <c r="H115" s="859" t="s">
        <v>193</v>
      </c>
      <c r="I115" s="860"/>
      <c r="J115" s="860"/>
      <c r="K115" s="901" t="s">
        <v>173</v>
      </c>
      <c r="L115" s="902"/>
    </row>
    <row r="116" spans="1:12" ht="21" customHeight="1">
      <c r="A116" s="899" t="s">
        <v>316</v>
      </c>
      <c r="B116" s="900"/>
      <c r="C116" s="900"/>
      <c r="D116" s="900"/>
      <c r="E116" s="1016">
        <v>9180380</v>
      </c>
      <c r="F116" s="785"/>
      <c r="G116" s="245"/>
      <c r="H116" s="899" t="s">
        <v>175</v>
      </c>
      <c r="I116" s="900"/>
      <c r="J116" s="900"/>
      <c r="K116" s="896">
        <f>+F180</f>
        <v>3713380.0000000005</v>
      </c>
      <c r="L116" s="828"/>
    </row>
    <row r="117" spans="1:12" ht="18.75" customHeight="1">
      <c r="A117" s="892" t="s">
        <v>175</v>
      </c>
      <c r="B117" s="893"/>
      <c r="C117" s="893"/>
      <c r="D117" s="893"/>
      <c r="E117" s="1004">
        <v>0</v>
      </c>
      <c r="F117" s="727"/>
      <c r="G117" s="245"/>
      <c r="H117" s="892" t="s">
        <v>176</v>
      </c>
      <c r="I117" s="893"/>
      <c r="J117" s="893"/>
      <c r="K117" s="817">
        <f>+G180</f>
        <v>0</v>
      </c>
      <c r="L117" s="904"/>
    </row>
    <row r="118" spans="1:12" ht="18.75" customHeight="1">
      <c r="A118" s="892" t="s">
        <v>176</v>
      </c>
      <c r="B118" s="893"/>
      <c r="C118" s="893"/>
      <c r="D118" s="893"/>
      <c r="E118" s="1004">
        <v>0</v>
      </c>
      <c r="F118" s="727"/>
      <c r="G118" s="245"/>
      <c r="H118" s="892" t="s">
        <v>315</v>
      </c>
      <c r="I118" s="893"/>
      <c r="J118" s="893"/>
      <c r="K118" s="817">
        <f>+H180</f>
        <v>0</v>
      </c>
      <c r="L118" s="818"/>
    </row>
    <row r="119" spans="1:12" ht="18" customHeight="1">
      <c r="A119" s="892" t="s">
        <v>177</v>
      </c>
      <c r="B119" s="893"/>
      <c r="C119" s="893"/>
      <c r="D119" s="893"/>
      <c r="E119" s="1004">
        <v>0</v>
      </c>
      <c r="F119" s="727"/>
      <c r="G119" s="245"/>
      <c r="H119" s="1005"/>
      <c r="I119" s="1006"/>
      <c r="J119" s="1007"/>
      <c r="K119" s="1018"/>
      <c r="L119" s="826"/>
    </row>
    <row r="120" spans="1:12" ht="16.5" customHeight="1">
      <c r="A120" s="892" t="s">
        <v>205</v>
      </c>
      <c r="B120" s="893"/>
      <c r="C120" s="893"/>
      <c r="D120" s="893"/>
      <c r="E120" s="1004">
        <v>24000</v>
      </c>
      <c r="F120" s="727"/>
      <c r="G120" s="245"/>
      <c r="H120" s="1008"/>
      <c r="I120" s="1009"/>
      <c r="J120" s="1010"/>
      <c r="K120" s="1019"/>
      <c r="L120" s="1020"/>
    </row>
    <row r="121" spans="1:12" ht="18" customHeight="1">
      <c r="A121" s="892" t="s">
        <v>311</v>
      </c>
      <c r="B121" s="893"/>
      <c r="C121" s="893"/>
      <c r="D121" s="893"/>
      <c r="E121" s="1004">
        <v>561600</v>
      </c>
      <c r="F121" s="727"/>
      <c r="G121" s="35"/>
      <c r="H121" s="1011"/>
      <c r="I121" s="1012"/>
      <c r="J121" s="1013"/>
      <c r="K121" s="827"/>
      <c r="L121" s="828"/>
    </row>
    <row r="122" spans="1:12" ht="21.75" customHeight="1" thickBot="1">
      <c r="A122" s="894" t="s">
        <v>179</v>
      </c>
      <c r="B122" s="895"/>
      <c r="C122" s="895"/>
      <c r="D122" s="895"/>
      <c r="E122" s="1017">
        <f>SUM(E116:E121)</f>
        <v>9765980</v>
      </c>
      <c r="F122" s="710"/>
      <c r="G122" s="35"/>
      <c r="H122" s="894" t="s">
        <v>180</v>
      </c>
      <c r="I122" s="895"/>
      <c r="J122" s="895"/>
      <c r="K122" s="897">
        <f>SUM(K116:L121)</f>
        <v>3713380.0000000005</v>
      </c>
      <c r="L122" s="898"/>
    </row>
    <row r="123" spans="1:12" ht="13.5" thickBot="1">
      <c r="A123" s="70"/>
      <c r="B123" s="70"/>
      <c r="C123" s="70"/>
      <c r="D123" s="70"/>
      <c r="E123" s="70"/>
      <c r="F123" s="70"/>
      <c r="G123" s="70"/>
      <c r="H123" s="70"/>
      <c r="I123" s="70"/>
      <c r="J123" s="70"/>
      <c r="K123" s="70"/>
      <c r="L123" s="246"/>
    </row>
    <row r="124" spans="1:10" ht="45">
      <c r="A124" s="829" t="s">
        <v>206</v>
      </c>
      <c r="B124" s="949"/>
      <c r="C124" s="784"/>
      <c r="D124" s="785"/>
      <c r="E124" s="429" t="s">
        <v>243</v>
      </c>
      <c r="F124" s="429" t="s">
        <v>313</v>
      </c>
      <c r="G124" s="429" t="s">
        <v>209</v>
      </c>
      <c r="H124" s="416" t="s">
        <v>240</v>
      </c>
      <c r="I124" s="953" t="s">
        <v>210</v>
      </c>
      <c r="J124" s="745"/>
    </row>
    <row r="125" spans="1:10" ht="23.25" thickBot="1">
      <c r="A125" s="845" t="s">
        <v>244</v>
      </c>
      <c r="B125" s="950" t="s">
        <v>245</v>
      </c>
      <c r="C125" s="846"/>
      <c r="D125" s="710"/>
      <c r="E125" s="1" t="s">
        <v>239</v>
      </c>
      <c r="F125" s="1" t="s">
        <v>212</v>
      </c>
      <c r="G125" s="1" t="s">
        <v>213</v>
      </c>
      <c r="H125" s="10" t="s">
        <v>215</v>
      </c>
      <c r="I125" s="954" t="s">
        <v>216</v>
      </c>
      <c r="J125" s="955"/>
    </row>
    <row r="126" spans="1:10" ht="16.5" customHeight="1">
      <c r="A126" s="1035" t="s">
        <v>246</v>
      </c>
      <c r="B126" s="1036"/>
      <c r="C126" s="1036"/>
      <c r="D126" s="1037"/>
      <c r="E126" s="391"/>
      <c r="F126" s="391"/>
      <c r="G126" s="391"/>
      <c r="H126" s="399"/>
      <c r="I126" s="966">
        <f aca="true" t="shared" si="16" ref="I126:I142">+E126+F126+G126+H126</f>
        <v>0</v>
      </c>
      <c r="J126" s="967"/>
    </row>
    <row r="127" spans="1:10" ht="16.5" customHeight="1">
      <c r="A127" s="933" t="s">
        <v>247</v>
      </c>
      <c r="B127" s="934"/>
      <c r="C127" s="935"/>
      <c r="D127" s="936"/>
      <c r="E127" s="391"/>
      <c r="F127" s="391"/>
      <c r="G127" s="391"/>
      <c r="H127" s="399"/>
      <c r="I127" s="966">
        <f t="shared" si="16"/>
        <v>0</v>
      </c>
      <c r="J127" s="967"/>
    </row>
    <row r="128" spans="1:10" ht="23.25" customHeight="1">
      <c r="A128" s="933" t="s">
        <v>248</v>
      </c>
      <c r="B128" s="934"/>
      <c r="C128" s="935"/>
      <c r="D128" s="936"/>
      <c r="E128" s="391"/>
      <c r="F128" s="391"/>
      <c r="G128" s="391"/>
      <c r="H128" s="399"/>
      <c r="I128" s="966">
        <f t="shared" si="16"/>
        <v>0</v>
      </c>
      <c r="J128" s="967"/>
    </row>
    <row r="129" spans="1:10" ht="16.5" customHeight="1">
      <c r="A129" s="933" t="s">
        <v>249</v>
      </c>
      <c r="B129" s="934"/>
      <c r="C129" s="935"/>
      <c r="D129" s="936"/>
      <c r="E129" s="391"/>
      <c r="F129" s="391"/>
      <c r="G129" s="391"/>
      <c r="H129" s="399"/>
      <c r="I129" s="966">
        <f t="shared" si="16"/>
        <v>0</v>
      </c>
      <c r="J129" s="967"/>
    </row>
    <row r="130" spans="1:10" ht="22.5" customHeight="1">
      <c r="A130" s="933" t="s">
        <v>250</v>
      </c>
      <c r="B130" s="934"/>
      <c r="C130" s="935"/>
      <c r="D130" s="936"/>
      <c r="E130" s="391"/>
      <c r="F130" s="391"/>
      <c r="G130" s="391"/>
      <c r="H130" s="399"/>
      <c r="I130" s="966">
        <f t="shared" si="16"/>
        <v>0</v>
      </c>
      <c r="J130" s="967"/>
    </row>
    <row r="131" spans="1:10" ht="16.5" customHeight="1">
      <c r="A131" s="933" t="s">
        <v>251</v>
      </c>
      <c r="B131" s="934"/>
      <c r="C131" s="935"/>
      <c r="D131" s="936"/>
      <c r="E131" s="391"/>
      <c r="F131" s="391"/>
      <c r="G131" s="391"/>
      <c r="H131" s="399"/>
      <c r="I131" s="966">
        <f t="shared" si="16"/>
        <v>0</v>
      </c>
      <c r="J131" s="967"/>
    </row>
    <row r="132" spans="1:10" ht="20.25" customHeight="1">
      <c r="A132" s="933" t="s">
        <v>252</v>
      </c>
      <c r="B132" s="934"/>
      <c r="C132" s="935"/>
      <c r="D132" s="936"/>
      <c r="E132" s="391"/>
      <c r="F132" s="391"/>
      <c r="G132" s="391"/>
      <c r="H132" s="399"/>
      <c r="I132" s="966">
        <f t="shared" si="16"/>
        <v>0</v>
      </c>
      <c r="J132" s="967"/>
    </row>
    <row r="133" spans="1:10" ht="16.5" customHeight="1">
      <c r="A133" s="933" t="s">
        <v>253</v>
      </c>
      <c r="B133" s="934"/>
      <c r="C133" s="935"/>
      <c r="D133" s="936"/>
      <c r="E133" s="391"/>
      <c r="F133" s="391"/>
      <c r="G133" s="391"/>
      <c r="H133" s="399"/>
      <c r="I133" s="966">
        <f t="shared" si="16"/>
        <v>0</v>
      </c>
      <c r="J133" s="967"/>
    </row>
    <row r="134" spans="1:10" ht="16.5" customHeight="1">
      <c r="A134" s="933" t="s">
        <v>254</v>
      </c>
      <c r="B134" s="934"/>
      <c r="C134" s="935"/>
      <c r="D134" s="936"/>
      <c r="E134" s="391"/>
      <c r="F134" s="391"/>
      <c r="G134" s="391"/>
      <c r="H134" s="399"/>
      <c r="I134" s="966">
        <f t="shared" si="16"/>
        <v>0</v>
      </c>
      <c r="J134" s="967"/>
    </row>
    <row r="135" spans="1:10" ht="16.5" customHeight="1">
      <c r="A135" s="933" t="s">
        <v>255</v>
      </c>
      <c r="B135" s="934" t="s">
        <v>256</v>
      </c>
      <c r="C135" s="935"/>
      <c r="D135" s="936"/>
      <c r="E135" s="391"/>
      <c r="F135" s="391">
        <f>500000+353348.67+380853.03</f>
        <v>1234201.7</v>
      </c>
      <c r="G135" s="391"/>
      <c r="H135" s="399"/>
      <c r="I135" s="966">
        <f t="shared" si="16"/>
        <v>1234201.7</v>
      </c>
      <c r="J135" s="967"/>
    </row>
    <row r="136" spans="1:10" ht="16.5" customHeight="1">
      <c r="A136" s="933" t="s">
        <v>257</v>
      </c>
      <c r="B136" s="934" t="s">
        <v>258</v>
      </c>
      <c r="C136" s="935"/>
      <c r="D136" s="936"/>
      <c r="E136" s="391"/>
      <c r="F136" s="391"/>
      <c r="G136" s="391"/>
      <c r="H136" s="399"/>
      <c r="I136" s="966">
        <f t="shared" si="16"/>
        <v>0</v>
      </c>
      <c r="J136" s="967"/>
    </row>
    <row r="137" spans="1:10" ht="16.5" customHeight="1">
      <c r="A137" s="933" t="s">
        <v>259</v>
      </c>
      <c r="B137" s="934" t="s">
        <v>260</v>
      </c>
      <c r="C137" s="935"/>
      <c r="D137" s="936"/>
      <c r="E137" s="391"/>
      <c r="F137" s="391"/>
      <c r="G137" s="391"/>
      <c r="H137" s="399"/>
      <c r="I137" s="966">
        <f t="shared" si="16"/>
        <v>0</v>
      </c>
      <c r="J137" s="967"/>
    </row>
    <row r="138" spans="1:10" ht="16.5" customHeight="1">
      <c r="A138" s="933" t="s">
        <v>261</v>
      </c>
      <c r="B138" s="934" t="s">
        <v>262</v>
      </c>
      <c r="C138" s="935"/>
      <c r="D138" s="936"/>
      <c r="E138" s="391"/>
      <c r="F138" s="391"/>
      <c r="G138" s="391"/>
      <c r="H138" s="399"/>
      <c r="I138" s="966">
        <f t="shared" si="16"/>
        <v>0</v>
      </c>
      <c r="J138" s="967"/>
    </row>
    <row r="139" spans="1:10" ht="16.5" customHeight="1">
      <c r="A139" s="933" t="s">
        <v>263</v>
      </c>
      <c r="B139" s="934" t="s">
        <v>264</v>
      </c>
      <c r="C139" s="935"/>
      <c r="D139" s="936"/>
      <c r="E139" s="391"/>
      <c r="F139" s="391"/>
      <c r="G139" s="391"/>
      <c r="H139" s="399"/>
      <c r="I139" s="966">
        <f t="shared" si="16"/>
        <v>0</v>
      </c>
      <c r="J139" s="967"/>
    </row>
    <row r="140" spans="1:10" ht="16.5" customHeight="1">
      <c r="A140" s="933" t="s">
        <v>265</v>
      </c>
      <c r="B140" s="934" t="s">
        <v>266</v>
      </c>
      <c r="C140" s="935"/>
      <c r="D140" s="936"/>
      <c r="E140" s="391"/>
      <c r="F140" s="391">
        <f>500000+500000</f>
        <v>1000000</v>
      </c>
      <c r="G140" s="391"/>
      <c r="H140" s="399"/>
      <c r="I140" s="966">
        <f t="shared" si="16"/>
        <v>1000000</v>
      </c>
      <c r="J140" s="967"/>
    </row>
    <row r="141" spans="1:10" ht="16.5" customHeight="1">
      <c r="A141" s="933" t="s">
        <v>265</v>
      </c>
      <c r="B141" s="934" t="s">
        <v>267</v>
      </c>
      <c r="C141" s="935"/>
      <c r="D141" s="936"/>
      <c r="E141" s="391"/>
      <c r="F141" s="391">
        <v>119146.97</v>
      </c>
      <c r="G141" s="391"/>
      <c r="H141" s="399"/>
      <c r="I141" s="966">
        <f t="shared" si="16"/>
        <v>119146.97</v>
      </c>
      <c r="J141" s="967"/>
    </row>
    <row r="142" spans="1:10" ht="16.5" customHeight="1" thickBot="1">
      <c r="A142" s="933" t="s">
        <v>268</v>
      </c>
      <c r="B142" s="934" t="s">
        <v>269</v>
      </c>
      <c r="C142" s="935"/>
      <c r="D142" s="936"/>
      <c r="E142" s="391"/>
      <c r="F142" s="391"/>
      <c r="G142" s="391"/>
      <c r="H142" s="399"/>
      <c r="I142" s="966">
        <f t="shared" si="16"/>
        <v>0</v>
      </c>
      <c r="J142" s="967"/>
    </row>
    <row r="143" spans="1:10" ht="13.5" thickBot="1">
      <c r="A143" s="928" t="s">
        <v>270</v>
      </c>
      <c r="B143" s="929"/>
      <c r="C143" s="930"/>
      <c r="D143" s="931"/>
      <c r="E143" s="47">
        <f>SUM(E126:E142)</f>
        <v>0</v>
      </c>
      <c r="F143" s="47">
        <f>SUM(F126:F142)</f>
        <v>2353348.6700000004</v>
      </c>
      <c r="G143" s="47">
        <f>SUM(G126:G142)</f>
        <v>0</v>
      </c>
      <c r="H143" s="59">
        <f>SUM(H126:H142)</f>
        <v>0</v>
      </c>
      <c r="I143" s="1027">
        <f>SUM(I126:J142)</f>
        <v>2353348.6700000004</v>
      </c>
      <c r="J143" s="754"/>
    </row>
    <row r="144" spans="12:17" ht="8.25" customHeight="1" thickBot="1">
      <c r="L144" s="300"/>
      <c r="M144" s="300"/>
      <c r="N144" s="300"/>
      <c r="O144" s="300"/>
      <c r="P144" s="300"/>
      <c r="Q144" s="300"/>
    </row>
    <row r="145" spans="1:10" ht="45">
      <c r="A145" s="1028" t="s">
        <v>222</v>
      </c>
      <c r="B145" s="1029"/>
      <c r="C145" s="1030"/>
      <c r="D145" s="1030"/>
      <c r="E145" s="432" t="s">
        <v>243</v>
      </c>
      <c r="F145" s="429" t="s">
        <v>313</v>
      </c>
      <c r="G145" s="429" t="s">
        <v>209</v>
      </c>
      <c r="H145" s="416" t="s">
        <v>240</v>
      </c>
      <c r="I145" s="953" t="s">
        <v>210</v>
      </c>
      <c r="J145" s="745"/>
    </row>
    <row r="146" spans="1:10" ht="18" customHeight="1" thickBot="1">
      <c r="A146" s="703"/>
      <c r="B146" s="799"/>
      <c r="C146" s="799"/>
      <c r="D146" s="799"/>
      <c r="E146" s="259" t="s">
        <v>312</v>
      </c>
      <c r="F146" s="1" t="s">
        <v>212</v>
      </c>
      <c r="G146" s="1" t="s">
        <v>213</v>
      </c>
      <c r="H146" s="10" t="s">
        <v>215</v>
      </c>
      <c r="I146" s="954" t="s">
        <v>216</v>
      </c>
      <c r="J146" s="955"/>
    </row>
    <row r="147" spans="1:10" ht="16.5" customHeight="1">
      <c r="A147" s="945" t="s">
        <v>271</v>
      </c>
      <c r="B147" s="946"/>
      <c r="C147" s="947"/>
      <c r="D147" s="948"/>
      <c r="E147" s="391"/>
      <c r="F147" s="391"/>
      <c r="G147" s="391"/>
      <c r="H147" s="399"/>
      <c r="I147" s="966">
        <f aca="true" t="shared" si="17" ref="I147:I177">SUM(E147:H147)</f>
        <v>0</v>
      </c>
      <c r="J147" s="967"/>
    </row>
    <row r="148" spans="1:10" ht="16.5" customHeight="1">
      <c r="A148" s="933" t="s">
        <v>272</v>
      </c>
      <c r="B148" s="934"/>
      <c r="C148" s="935"/>
      <c r="D148" s="936"/>
      <c r="E148" s="391"/>
      <c r="F148" s="391"/>
      <c r="G148" s="391"/>
      <c r="H148" s="399"/>
      <c r="I148" s="966">
        <f t="shared" si="17"/>
        <v>0</v>
      </c>
      <c r="J148" s="967"/>
    </row>
    <row r="149" spans="1:10" ht="16.5" customHeight="1">
      <c r="A149" s="933" t="s">
        <v>273</v>
      </c>
      <c r="B149" s="934"/>
      <c r="C149" s="935"/>
      <c r="D149" s="936"/>
      <c r="E149" s="391"/>
      <c r="F149" s="391"/>
      <c r="G149" s="391"/>
      <c r="H149" s="399"/>
      <c r="I149" s="966">
        <f t="shared" si="17"/>
        <v>0</v>
      </c>
      <c r="J149" s="967"/>
    </row>
    <row r="150" spans="1:10" ht="16.5" customHeight="1">
      <c r="A150" s="933" t="s">
        <v>274</v>
      </c>
      <c r="B150" s="934"/>
      <c r="C150" s="935"/>
      <c r="D150" s="936"/>
      <c r="E150" s="391"/>
      <c r="F150" s="391"/>
      <c r="G150" s="391"/>
      <c r="H150" s="399"/>
      <c r="I150" s="966">
        <f t="shared" si="17"/>
        <v>0</v>
      </c>
      <c r="J150" s="967"/>
    </row>
    <row r="151" spans="1:10" ht="16.5" customHeight="1">
      <c r="A151" s="933" t="s">
        <v>275</v>
      </c>
      <c r="B151" s="934"/>
      <c r="C151" s="935"/>
      <c r="D151" s="936"/>
      <c r="E151" s="391"/>
      <c r="F151" s="391"/>
      <c r="G151" s="391"/>
      <c r="H151" s="399"/>
      <c r="I151" s="966">
        <f t="shared" si="17"/>
        <v>0</v>
      </c>
      <c r="J151" s="967"/>
    </row>
    <row r="152" spans="1:10" ht="16.5" customHeight="1">
      <c r="A152" s="933" t="s">
        <v>276</v>
      </c>
      <c r="B152" s="934"/>
      <c r="C152" s="935"/>
      <c r="D152" s="936"/>
      <c r="E152" s="391"/>
      <c r="F152" s="391"/>
      <c r="G152" s="391"/>
      <c r="H152" s="399"/>
      <c r="I152" s="966">
        <f t="shared" si="17"/>
        <v>0</v>
      </c>
      <c r="J152" s="967"/>
    </row>
    <row r="153" spans="1:10" ht="16.5" customHeight="1">
      <c r="A153" s="933" t="s">
        <v>277</v>
      </c>
      <c r="B153" s="934"/>
      <c r="C153" s="935"/>
      <c r="D153" s="936"/>
      <c r="E153" s="391"/>
      <c r="F153" s="391"/>
      <c r="G153" s="391"/>
      <c r="H153" s="399"/>
      <c r="I153" s="966">
        <f t="shared" si="17"/>
        <v>0</v>
      </c>
      <c r="J153" s="967"/>
    </row>
    <row r="154" spans="1:10" ht="16.5" customHeight="1">
      <c r="A154" s="933" t="s">
        <v>278</v>
      </c>
      <c r="B154" s="934"/>
      <c r="C154" s="935"/>
      <c r="D154" s="936"/>
      <c r="E154" s="391"/>
      <c r="F154" s="391"/>
      <c r="G154" s="391"/>
      <c r="H154" s="399"/>
      <c r="I154" s="966">
        <f t="shared" si="17"/>
        <v>0</v>
      </c>
      <c r="J154" s="967"/>
    </row>
    <row r="155" spans="1:10" ht="16.5" customHeight="1">
      <c r="A155" s="933" t="s">
        <v>279</v>
      </c>
      <c r="B155" s="934"/>
      <c r="C155" s="935"/>
      <c r="D155" s="936"/>
      <c r="E155" s="391"/>
      <c r="F155" s="391"/>
      <c r="G155" s="391"/>
      <c r="H155" s="399"/>
      <c r="I155" s="966">
        <f t="shared" si="17"/>
        <v>0</v>
      </c>
      <c r="J155" s="967"/>
    </row>
    <row r="156" spans="1:10" ht="16.5" customHeight="1">
      <c r="A156" s="933" t="s">
        <v>280</v>
      </c>
      <c r="B156" s="934"/>
      <c r="C156" s="935"/>
      <c r="D156" s="936"/>
      <c r="E156" s="391"/>
      <c r="F156" s="391"/>
      <c r="G156" s="391"/>
      <c r="H156" s="399"/>
      <c r="I156" s="966">
        <f t="shared" si="17"/>
        <v>0</v>
      </c>
      <c r="J156" s="967"/>
    </row>
    <row r="157" spans="1:10" ht="16.5" customHeight="1">
      <c r="A157" s="933" t="s">
        <v>281</v>
      </c>
      <c r="B157" s="934"/>
      <c r="C157" s="935"/>
      <c r="D157" s="936"/>
      <c r="E157" s="391"/>
      <c r="F157" s="391"/>
      <c r="G157" s="391"/>
      <c r="H157" s="399"/>
      <c r="I157" s="966">
        <f t="shared" si="17"/>
        <v>0</v>
      </c>
      <c r="J157" s="967"/>
    </row>
    <row r="158" spans="1:10" ht="16.5" customHeight="1">
      <c r="A158" s="933" t="s">
        <v>282</v>
      </c>
      <c r="B158" s="934"/>
      <c r="C158" s="935"/>
      <c r="D158" s="936"/>
      <c r="E158" s="391"/>
      <c r="F158" s="391"/>
      <c r="G158" s="391"/>
      <c r="H158" s="399"/>
      <c r="I158" s="966">
        <f t="shared" si="17"/>
        <v>0</v>
      </c>
      <c r="J158" s="967"/>
    </row>
    <row r="159" spans="1:10" ht="16.5" customHeight="1">
      <c r="A159" s="933" t="s">
        <v>283</v>
      </c>
      <c r="B159" s="934"/>
      <c r="C159" s="935"/>
      <c r="D159" s="936"/>
      <c r="E159" s="391"/>
      <c r="F159" s="391"/>
      <c r="G159" s="391"/>
      <c r="H159" s="399"/>
      <c r="I159" s="966">
        <f t="shared" si="17"/>
        <v>0</v>
      </c>
      <c r="J159" s="967"/>
    </row>
    <row r="160" spans="1:10" ht="16.5" customHeight="1">
      <c r="A160" s="933" t="s">
        <v>284</v>
      </c>
      <c r="B160" s="934"/>
      <c r="C160" s="935"/>
      <c r="D160" s="936"/>
      <c r="E160" s="391"/>
      <c r="F160" s="391"/>
      <c r="G160" s="391"/>
      <c r="H160" s="399"/>
      <c r="I160" s="966">
        <f t="shared" si="17"/>
        <v>0</v>
      </c>
      <c r="J160" s="967"/>
    </row>
    <row r="161" spans="1:10" ht="16.5" customHeight="1">
      <c r="A161" s="933" t="s">
        <v>285</v>
      </c>
      <c r="B161" s="934"/>
      <c r="C161" s="935"/>
      <c r="D161" s="936"/>
      <c r="E161" s="391"/>
      <c r="F161" s="391"/>
      <c r="G161" s="391"/>
      <c r="H161" s="399"/>
      <c r="I161" s="966">
        <f t="shared" si="17"/>
        <v>0</v>
      </c>
      <c r="J161" s="967"/>
    </row>
    <row r="162" spans="1:10" ht="16.5" customHeight="1">
      <c r="A162" s="933" t="s">
        <v>286</v>
      </c>
      <c r="B162" s="934"/>
      <c r="C162" s="935"/>
      <c r="D162" s="936"/>
      <c r="E162" s="391"/>
      <c r="F162" s="391"/>
      <c r="G162" s="391"/>
      <c r="H162" s="399"/>
      <c r="I162" s="966">
        <f t="shared" si="17"/>
        <v>0</v>
      </c>
      <c r="J162" s="967"/>
    </row>
    <row r="163" spans="1:10" ht="16.5" customHeight="1">
      <c r="A163" s="933" t="s">
        <v>287</v>
      </c>
      <c r="B163" s="934"/>
      <c r="C163" s="935"/>
      <c r="D163" s="936"/>
      <c r="E163" s="391"/>
      <c r="F163" s="391"/>
      <c r="G163" s="391"/>
      <c r="H163" s="399"/>
      <c r="I163" s="966">
        <f t="shared" si="17"/>
        <v>0</v>
      </c>
      <c r="J163" s="967"/>
    </row>
    <row r="164" spans="1:10" ht="16.5" customHeight="1">
      <c r="A164" s="933" t="s">
        <v>288</v>
      </c>
      <c r="B164" s="934"/>
      <c r="C164" s="935"/>
      <c r="D164" s="936"/>
      <c r="E164" s="391"/>
      <c r="F164" s="391"/>
      <c r="G164" s="391"/>
      <c r="H164" s="399"/>
      <c r="I164" s="966">
        <f t="shared" si="17"/>
        <v>0</v>
      </c>
      <c r="J164" s="967"/>
    </row>
    <row r="165" spans="1:10" ht="16.5" customHeight="1">
      <c r="A165" s="933" t="s">
        <v>289</v>
      </c>
      <c r="B165" s="934"/>
      <c r="C165" s="935"/>
      <c r="D165" s="936"/>
      <c r="E165" s="391"/>
      <c r="F165" s="391"/>
      <c r="G165" s="391"/>
      <c r="H165" s="399"/>
      <c r="I165" s="966">
        <f t="shared" si="17"/>
        <v>0</v>
      </c>
      <c r="J165" s="967"/>
    </row>
    <row r="166" spans="1:10" ht="16.5" customHeight="1">
      <c r="A166" s="933" t="s">
        <v>290</v>
      </c>
      <c r="B166" s="934"/>
      <c r="C166" s="935"/>
      <c r="D166" s="936"/>
      <c r="E166" s="391"/>
      <c r="F166" s="391"/>
      <c r="G166" s="391"/>
      <c r="H166" s="399"/>
      <c r="I166" s="966">
        <f t="shared" si="17"/>
        <v>0</v>
      </c>
      <c r="J166" s="967"/>
    </row>
    <row r="167" spans="1:10" ht="16.5" customHeight="1">
      <c r="A167" s="933" t="s">
        <v>291</v>
      </c>
      <c r="B167" s="934"/>
      <c r="C167" s="935"/>
      <c r="D167" s="936"/>
      <c r="E167" s="391"/>
      <c r="F167" s="391">
        <f>354000+118000+118000+118000</f>
        <v>708000</v>
      </c>
      <c r="G167" s="391"/>
      <c r="H167" s="399"/>
      <c r="I167" s="966">
        <f t="shared" si="17"/>
        <v>708000</v>
      </c>
      <c r="J167" s="967"/>
    </row>
    <row r="168" spans="1:10" ht="16.5" customHeight="1">
      <c r="A168" s="933" t="s">
        <v>292</v>
      </c>
      <c r="B168" s="934"/>
      <c r="C168" s="935"/>
      <c r="D168" s="936"/>
      <c r="E168" s="391"/>
      <c r="F168" s="391"/>
      <c r="G168" s="391"/>
      <c r="H168" s="399"/>
      <c r="I168" s="966">
        <f t="shared" si="17"/>
        <v>0</v>
      </c>
      <c r="J168" s="967"/>
    </row>
    <row r="169" spans="1:10" ht="16.5" customHeight="1">
      <c r="A169" s="933" t="s">
        <v>293</v>
      </c>
      <c r="B169" s="934" t="s">
        <v>294</v>
      </c>
      <c r="C169" s="935"/>
      <c r="D169" s="936"/>
      <c r="E169" s="391"/>
      <c r="F169" s="391"/>
      <c r="G169" s="391"/>
      <c r="H169" s="399"/>
      <c r="I169" s="966">
        <f t="shared" si="17"/>
        <v>0</v>
      </c>
      <c r="J169" s="967"/>
    </row>
    <row r="170" spans="1:10" ht="16.5" customHeight="1">
      <c r="A170" s="933" t="s">
        <v>295</v>
      </c>
      <c r="B170" s="934" t="s">
        <v>296</v>
      </c>
      <c r="C170" s="935"/>
      <c r="D170" s="936"/>
      <c r="E170" s="391"/>
      <c r="F170" s="391"/>
      <c r="G170" s="391"/>
      <c r="H170" s="399"/>
      <c r="I170" s="966">
        <f t="shared" si="17"/>
        <v>0</v>
      </c>
      <c r="J170" s="967"/>
    </row>
    <row r="171" spans="1:10" ht="16.5" customHeight="1">
      <c r="A171" s="933" t="s">
        <v>297</v>
      </c>
      <c r="B171" s="934" t="s">
        <v>298</v>
      </c>
      <c r="C171" s="935"/>
      <c r="D171" s="936"/>
      <c r="E171" s="391"/>
      <c r="F171" s="391">
        <f>146651.33+500000</f>
        <v>646651.33</v>
      </c>
      <c r="G171" s="391"/>
      <c r="H171" s="399"/>
      <c r="I171" s="966">
        <f t="shared" si="17"/>
        <v>646651.33</v>
      </c>
      <c r="J171" s="967"/>
    </row>
    <row r="172" spans="1:10" ht="16.5" customHeight="1">
      <c r="A172" s="933" t="s">
        <v>299</v>
      </c>
      <c r="B172" s="934" t="s">
        <v>300</v>
      </c>
      <c r="C172" s="935"/>
      <c r="D172" s="936"/>
      <c r="E172" s="391"/>
      <c r="F172" s="391"/>
      <c r="G172" s="391"/>
      <c r="H172" s="399"/>
      <c r="I172" s="966">
        <f t="shared" si="17"/>
        <v>0</v>
      </c>
      <c r="J172" s="967"/>
    </row>
    <row r="173" spans="1:10" ht="16.5" customHeight="1">
      <c r="A173" s="933" t="s">
        <v>301</v>
      </c>
      <c r="B173" s="934" t="s">
        <v>302</v>
      </c>
      <c r="C173" s="935"/>
      <c r="D173" s="936"/>
      <c r="E173" s="391"/>
      <c r="F173" s="391"/>
      <c r="G173" s="391"/>
      <c r="H173" s="399"/>
      <c r="I173" s="966">
        <f t="shared" si="17"/>
        <v>0</v>
      </c>
      <c r="J173" s="967"/>
    </row>
    <row r="174" spans="1:10" ht="16.5" customHeight="1">
      <c r="A174" s="933" t="s">
        <v>303</v>
      </c>
      <c r="B174" s="934" t="s">
        <v>304</v>
      </c>
      <c r="C174" s="935"/>
      <c r="D174" s="936"/>
      <c r="E174" s="391"/>
      <c r="F174" s="391"/>
      <c r="G174" s="391"/>
      <c r="H174" s="399"/>
      <c r="I174" s="966">
        <f t="shared" si="17"/>
        <v>0</v>
      </c>
      <c r="J174" s="967"/>
    </row>
    <row r="175" spans="1:10" ht="16.5" customHeight="1">
      <c r="A175" s="933" t="s">
        <v>305</v>
      </c>
      <c r="B175" s="934" t="s">
        <v>306</v>
      </c>
      <c r="C175" s="935"/>
      <c r="D175" s="936"/>
      <c r="E175" s="391"/>
      <c r="F175" s="391">
        <v>5380</v>
      </c>
      <c r="G175" s="391"/>
      <c r="H175" s="399"/>
      <c r="I175" s="966">
        <f t="shared" si="17"/>
        <v>5380</v>
      </c>
      <c r="J175" s="967"/>
    </row>
    <row r="176" spans="1:10" ht="16.5" customHeight="1">
      <c r="A176" s="933" t="s">
        <v>307</v>
      </c>
      <c r="B176" s="934" t="s">
        <v>308</v>
      </c>
      <c r="C176" s="935"/>
      <c r="D176" s="936"/>
      <c r="E176" s="391"/>
      <c r="F176" s="391"/>
      <c r="G176" s="391"/>
      <c r="H176" s="399"/>
      <c r="I176" s="966">
        <f t="shared" si="17"/>
        <v>0</v>
      </c>
      <c r="J176" s="967"/>
    </row>
    <row r="177" spans="1:10" ht="16.5" customHeight="1" thickBot="1">
      <c r="A177" s="933" t="s">
        <v>309</v>
      </c>
      <c r="B177" s="934"/>
      <c r="C177" s="935"/>
      <c r="D177" s="936"/>
      <c r="E177" s="391"/>
      <c r="F177" s="391"/>
      <c r="G177" s="391"/>
      <c r="H177" s="399"/>
      <c r="I177" s="966">
        <f t="shared" si="17"/>
        <v>0</v>
      </c>
      <c r="J177" s="967"/>
    </row>
    <row r="178" spans="1:10" ht="13.5" thickBot="1">
      <c r="A178" s="928" t="s">
        <v>310</v>
      </c>
      <c r="B178" s="929"/>
      <c r="C178" s="930"/>
      <c r="D178" s="931"/>
      <c r="E178" s="47">
        <f>SUM(E147:E177)</f>
        <v>0</v>
      </c>
      <c r="F178" s="47">
        <f>SUM(F147:F177)</f>
        <v>1360031.33</v>
      </c>
      <c r="G178" s="47">
        <f>SUM(G164:G177)</f>
        <v>0</v>
      </c>
      <c r="H178" s="59">
        <f>SUM(H147:H177)</f>
        <v>0</v>
      </c>
      <c r="I178" s="1027">
        <f>SUM(I147:J177)</f>
        <v>1360031.33</v>
      </c>
      <c r="J178" s="754"/>
    </row>
    <row r="179" spans="2:10" ht="5.25" customHeight="1" thickBot="1">
      <c r="B179" s="431"/>
      <c r="E179" s="300"/>
      <c r="F179" s="300"/>
      <c r="G179" s="300"/>
      <c r="H179" s="300"/>
      <c r="I179" s="300"/>
      <c r="J179" s="300"/>
    </row>
    <row r="180" spans="1:10" ht="13.5" thickBot="1">
      <c r="A180" s="928" t="s">
        <v>238</v>
      </c>
      <c r="B180" s="929"/>
      <c r="C180" s="930"/>
      <c r="D180" s="931"/>
      <c r="E180" s="47">
        <f>SUM(E147:E178)</f>
        <v>0</v>
      </c>
      <c r="F180" s="47">
        <f>+F143+F178</f>
        <v>3713380.0000000005</v>
      </c>
      <c r="G180" s="47">
        <f>+G143+G178</f>
        <v>0</v>
      </c>
      <c r="H180" s="47">
        <f>+H143+H178</f>
        <v>0</v>
      </c>
      <c r="I180" s="1034">
        <f>+I143+I178</f>
        <v>3713380.0000000005</v>
      </c>
      <c r="J180" s="754"/>
    </row>
    <row r="181" spans="1:10" ht="12.75">
      <c r="A181" s="257"/>
      <c r="B181" s="431"/>
      <c r="E181" s="431"/>
      <c r="F181" s="431"/>
      <c r="G181" s="431"/>
      <c r="H181" s="257"/>
      <c r="I181" s="257"/>
      <c r="J181" s="257"/>
    </row>
    <row r="182" spans="1:12" ht="12.75" customHeight="1">
      <c r="A182" s="905" t="s">
        <v>404</v>
      </c>
      <c r="B182" s="980"/>
      <c r="C182" s="980"/>
      <c r="D182" s="980"/>
      <c r="E182" s="980"/>
      <c r="F182" s="980"/>
      <c r="G182" s="980"/>
      <c r="H182" s="980"/>
      <c r="I182" s="980"/>
      <c r="J182" s="980"/>
      <c r="K182" s="980"/>
      <c r="L182" s="1031"/>
    </row>
    <row r="183" spans="1:12" ht="12.75">
      <c r="A183" s="982"/>
      <c r="B183" s="983"/>
      <c r="C183" s="983"/>
      <c r="D183" s="983"/>
      <c r="E183" s="983"/>
      <c r="F183" s="983"/>
      <c r="G183" s="983"/>
      <c r="H183" s="983"/>
      <c r="I183" s="983"/>
      <c r="J183" s="983"/>
      <c r="K183" s="983"/>
      <c r="L183" s="1032"/>
    </row>
    <row r="184" spans="1:12" ht="12.75">
      <c r="A184" s="982"/>
      <c r="B184" s="983"/>
      <c r="C184" s="983"/>
      <c r="D184" s="983"/>
      <c r="E184" s="983"/>
      <c r="F184" s="983"/>
      <c r="G184" s="983"/>
      <c r="H184" s="983"/>
      <c r="I184" s="983"/>
      <c r="J184" s="983"/>
      <c r="K184" s="983"/>
      <c r="L184" s="1032"/>
    </row>
    <row r="185" spans="1:12" ht="12.75">
      <c r="A185" s="985"/>
      <c r="B185" s="986"/>
      <c r="C185" s="986"/>
      <c r="D185" s="986"/>
      <c r="E185" s="986"/>
      <c r="F185" s="986"/>
      <c r="G185" s="986"/>
      <c r="H185" s="986"/>
      <c r="I185" s="986"/>
      <c r="J185" s="986"/>
      <c r="K185" s="986"/>
      <c r="L185" s="1033"/>
    </row>
    <row r="186" spans="1:10" ht="12.75">
      <c r="A186" s="257"/>
      <c r="B186" s="431"/>
      <c r="E186" s="431"/>
      <c r="F186" s="431"/>
      <c r="G186" s="431"/>
      <c r="H186" s="257"/>
      <c r="I186" s="257"/>
      <c r="J186" s="257"/>
    </row>
    <row r="188" spans="1:11" ht="16.5" thickBot="1">
      <c r="A188" s="25" t="s">
        <v>181</v>
      </c>
      <c r="K188" s="274" t="s">
        <v>194</v>
      </c>
    </row>
    <row r="189" spans="1:11" ht="12.75">
      <c r="A189" s="829" t="s">
        <v>124</v>
      </c>
      <c r="B189" s="784"/>
      <c r="C189" s="785"/>
      <c r="D189" s="217" t="s">
        <v>17</v>
      </c>
      <c r="E189" s="218"/>
      <c r="F189" s="200"/>
      <c r="G189" s="199" t="s">
        <v>18</v>
      </c>
      <c r="H189" s="218"/>
      <c r="I189" s="200"/>
      <c r="J189" s="829" t="s">
        <v>166</v>
      </c>
      <c r="K189" s="830"/>
    </row>
    <row r="190" spans="1:11" ht="12.75">
      <c r="A190" s="844"/>
      <c r="B190" s="779"/>
      <c r="C190" s="727"/>
      <c r="D190" s="793" t="s">
        <v>125</v>
      </c>
      <c r="E190" s="850" t="s">
        <v>126</v>
      </c>
      <c r="F190" s="853" t="s">
        <v>31</v>
      </c>
      <c r="G190" s="793" t="s">
        <v>125</v>
      </c>
      <c r="H190" s="850" t="s">
        <v>126</v>
      </c>
      <c r="I190" s="853" t="s">
        <v>31</v>
      </c>
      <c r="J190" s="831"/>
      <c r="K190" s="832"/>
    </row>
    <row r="191" spans="1:11" ht="12.75">
      <c r="A191" s="844"/>
      <c r="B191" s="779"/>
      <c r="C191" s="727"/>
      <c r="D191" s="866"/>
      <c r="E191" s="851" t="s">
        <v>127</v>
      </c>
      <c r="F191" s="854"/>
      <c r="G191" s="866"/>
      <c r="H191" s="851" t="s">
        <v>127</v>
      </c>
      <c r="I191" s="854"/>
      <c r="J191" s="833"/>
      <c r="K191" s="727"/>
    </row>
    <row r="192" spans="1:11" ht="13.5" thickBot="1">
      <c r="A192" s="845"/>
      <c r="B192" s="846"/>
      <c r="C192" s="710"/>
      <c r="D192" s="712"/>
      <c r="E192" s="852" t="s">
        <v>127</v>
      </c>
      <c r="F192" s="789"/>
      <c r="G192" s="712"/>
      <c r="H192" s="852" t="s">
        <v>127</v>
      </c>
      <c r="I192" s="789"/>
      <c r="J192" s="202" t="s">
        <v>97</v>
      </c>
      <c r="K192" s="203" t="s">
        <v>167</v>
      </c>
    </row>
    <row r="193" spans="1:11" ht="12.75">
      <c r="A193" s="847" t="s">
        <v>128</v>
      </c>
      <c r="B193" s="848"/>
      <c r="C193" s="849"/>
      <c r="D193" s="220">
        <v>583521</v>
      </c>
      <c r="E193" s="192">
        <v>1186</v>
      </c>
      <c r="F193" s="421">
        <f>+D193+E193</f>
        <v>584707</v>
      </c>
      <c r="G193" s="215">
        <v>291314</v>
      </c>
      <c r="H193" s="219">
        <v>487</v>
      </c>
      <c r="I193" s="276">
        <f aca="true" t="shared" si="18" ref="I193:I203">SUM(G193:H193)</f>
        <v>291801</v>
      </c>
      <c r="J193" s="205">
        <f aca="true" t="shared" si="19" ref="J193:J204">+I193-F193</f>
        <v>-292906</v>
      </c>
      <c r="K193" s="207">
        <f aca="true" t="shared" si="20" ref="K193:K204">+I193/F193</f>
        <v>0.49905508228907813</v>
      </c>
    </row>
    <row r="194" spans="1:11" ht="12.75">
      <c r="A194" s="797" t="s">
        <v>129</v>
      </c>
      <c r="B194" s="779"/>
      <c r="C194" s="727"/>
      <c r="D194" s="213">
        <v>566934</v>
      </c>
      <c r="E194" s="191"/>
      <c r="F194" s="201">
        <f>SUM(D194:E194)</f>
        <v>566934</v>
      </c>
      <c r="G194" s="213">
        <v>286701</v>
      </c>
      <c r="H194" s="191"/>
      <c r="I194" s="201">
        <f t="shared" si="18"/>
        <v>286701</v>
      </c>
      <c r="J194" s="205">
        <f t="shared" si="19"/>
        <v>-280233</v>
      </c>
      <c r="K194" s="207">
        <f t="shared" si="20"/>
        <v>0.5057043677041773</v>
      </c>
    </row>
    <row r="195" spans="1:11" ht="12.75">
      <c r="A195" s="797" t="s">
        <v>130</v>
      </c>
      <c r="B195" s="779"/>
      <c r="C195" s="727"/>
      <c r="D195" s="213">
        <v>16587</v>
      </c>
      <c r="E195" s="191">
        <f>17773-D195</f>
        <v>1186</v>
      </c>
      <c r="F195" s="201">
        <f>SUM(D195:E195)</f>
        <v>17773</v>
      </c>
      <c r="G195" s="213">
        <v>4613</v>
      </c>
      <c r="H195" s="191">
        <v>487</v>
      </c>
      <c r="I195" s="195">
        <f t="shared" si="18"/>
        <v>5100</v>
      </c>
      <c r="J195" s="205">
        <f t="shared" si="19"/>
        <v>-12673</v>
      </c>
      <c r="K195" s="207">
        <f t="shared" si="20"/>
        <v>0.2869521183818151</v>
      </c>
    </row>
    <row r="196" spans="1:11" ht="12.75">
      <c r="A196" s="797" t="s">
        <v>131</v>
      </c>
      <c r="B196" s="779"/>
      <c r="C196" s="727"/>
      <c r="D196" s="220">
        <v>163</v>
      </c>
      <c r="E196" s="192">
        <v>91862</v>
      </c>
      <c r="F196" s="421">
        <f>+D196+E196</f>
        <v>92025</v>
      </c>
      <c r="G196" s="213">
        <v>15</v>
      </c>
      <c r="H196" s="191">
        <v>49141</v>
      </c>
      <c r="I196" s="201">
        <f t="shared" si="18"/>
        <v>49156</v>
      </c>
      <c r="J196" s="205">
        <f t="shared" si="19"/>
        <v>-42869</v>
      </c>
      <c r="K196" s="207">
        <f t="shared" si="20"/>
        <v>0.5341591958706873</v>
      </c>
    </row>
    <row r="197" spans="1:11" ht="12.75">
      <c r="A197" s="797" t="s">
        <v>132</v>
      </c>
      <c r="B197" s="779"/>
      <c r="C197" s="727"/>
      <c r="D197" s="220">
        <v>163</v>
      </c>
      <c r="E197" s="192">
        <f>92025-D197</f>
        <v>91862</v>
      </c>
      <c r="F197" s="201">
        <f>SUM(D197:E197)</f>
        <v>92025</v>
      </c>
      <c r="G197" s="220">
        <v>15</v>
      </c>
      <c r="H197" s="192">
        <v>49141</v>
      </c>
      <c r="I197" s="201">
        <f t="shared" si="18"/>
        <v>49156</v>
      </c>
      <c r="J197" s="205">
        <f t="shared" si="19"/>
        <v>-42869</v>
      </c>
      <c r="K197" s="207">
        <f t="shared" si="20"/>
        <v>0.5341591958706873</v>
      </c>
    </row>
    <row r="198" spans="1:11" ht="12.75">
      <c r="A198" s="797" t="s">
        <v>133</v>
      </c>
      <c r="B198" s="779"/>
      <c r="C198" s="727"/>
      <c r="D198" s="220">
        <v>8300</v>
      </c>
      <c r="E198" s="192">
        <v>0</v>
      </c>
      <c r="F198" s="421">
        <f aca="true" t="shared" si="21" ref="F198:F203">+D198+E198</f>
        <v>8300</v>
      </c>
      <c r="G198" s="213">
        <v>4412</v>
      </c>
      <c r="H198" s="191">
        <v>4</v>
      </c>
      <c r="I198" s="201">
        <f t="shared" si="18"/>
        <v>4416</v>
      </c>
      <c r="J198" s="205">
        <f t="shared" si="19"/>
        <v>-3884</v>
      </c>
      <c r="K198" s="207">
        <f t="shared" si="20"/>
        <v>0.5320481927710843</v>
      </c>
    </row>
    <row r="199" spans="1:11" ht="12.75">
      <c r="A199" s="797" t="s">
        <v>134</v>
      </c>
      <c r="B199" s="779"/>
      <c r="C199" s="727"/>
      <c r="D199" s="220">
        <v>10140</v>
      </c>
      <c r="E199" s="192">
        <v>0</v>
      </c>
      <c r="F199" s="421">
        <f t="shared" si="21"/>
        <v>10140</v>
      </c>
      <c r="G199" s="213">
        <v>8601</v>
      </c>
      <c r="H199" s="191">
        <v>249</v>
      </c>
      <c r="I199" s="201">
        <f t="shared" si="18"/>
        <v>8850</v>
      </c>
      <c r="J199" s="205">
        <f t="shared" si="19"/>
        <v>-1290</v>
      </c>
      <c r="K199" s="207">
        <f t="shared" si="20"/>
        <v>0.8727810650887574</v>
      </c>
    </row>
    <row r="200" spans="1:11" ht="12.75">
      <c r="A200" s="797" t="s">
        <v>135</v>
      </c>
      <c r="B200" s="779"/>
      <c r="C200" s="727"/>
      <c r="D200" s="220">
        <v>3850</v>
      </c>
      <c r="E200" s="192">
        <v>0</v>
      </c>
      <c r="F200" s="421">
        <f t="shared" si="21"/>
        <v>3850</v>
      </c>
      <c r="G200" s="213">
        <v>3941</v>
      </c>
      <c r="H200" s="191"/>
      <c r="I200" s="201">
        <f t="shared" si="18"/>
        <v>3941</v>
      </c>
      <c r="J200" s="205">
        <f t="shared" si="19"/>
        <v>91</v>
      </c>
      <c r="K200" s="207">
        <f t="shared" si="20"/>
        <v>1.0236363636363637</v>
      </c>
    </row>
    <row r="201" spans="1:11" ht="12.75">
      <c r="A201" s="797" t="s">
        <v>136</v>
      </c>
      <c r="B201" s="779"/>
      <c r="C201" s="727"/>
      <c r="D201" s="220">
        <v>10470</v>
      </c>
      <c r="E201" s="192">
        <v>0</v>
      </c>
      <c r="F201" s="421">
        <f t="shared" si="21"/>
        <v>10470</v>
      </c>
      <c r="G201" s="213">
        <v>5082</v>
      </c>
      <c r="H201" s="191"/>
      <c r="I201" s="201">
        <f t="shared" si="18"/>
        <v>5082</v>
      </c>
      <c r="J201" s="205">
        <f t="shared" si="19"/>
        <v>-5388</v>
      </c>
      <c r="K201" s="207">
        <f t="shared" si="20"/>
        <v>0.4853868194842407</v>
      </c>
    </row>
    <row r="202" spans="1:11" ht="12.75">
      <c r="A202" s="797" t="s">
        <v>137</v>
      </c>
      <c r="B202" s="779"/>
      <c r="C202" s="727"/>
      <c r="D202" s="220"/>
      <c r="E202" s="192"/>
      <c r="F202" s="421">
        <f t="shared" si="21"/>
        <v>0</v>
      </c>
      <c r="G202" s="213"/>
      <c r="H202" s="191"/>
      <c r="I202" s="201">
        <f t="shared" si="18"/>
        <v>0</v>
      </c>
      <c r="J202" s="205">
        <f t="shared" si="19"/>
        <v>0</v>
      </c>
      <c r="K202" s="207" t="e">
        <f t="shared" si="20"/>
        <v>#DIV/0!</v>
      </c>
    </row>
    <row r="203" spans="1:11" ht="13.5" thickBot="1">
      <c r="A203" s="840" t="s">
        <v>138</v>
      </c>
      <c r="B203" s="841"/>
      <c r="C203" s="842"/>
      <c r="D203" s="216">
        <f>24489+562</f>
        <v>25051</v>
      </c>
      <c r="E203" s="418"/>
      <c r="F203" s="421">
        <f t="shared" si="21"/>
        <v>25051</v>
      </c>
      <c r="G203" s="216">
        <v>12849</v>
      </c>
      <c r="H203" s="221"/>
      <c r="I203" s="227">
        <f t="shared" si="18"/>
        <v>12849</v>
      </c>
      <c r="J203" s="205">
        <f t="shared" si="19"/>
        <v>-12202</v>
      </c>
      <c r="K203" s="207">
        <f t="shared" si="20"/>
        <v>0.5129136561414714</v>
      </c>
    </row>
    <row r="204" spans="1:11" ht="13.5" thickBot="1">
      <c r="A204" s="800" t="s">
        <v>24</v>
      </c>
      <c r="B204" s="801"/>
      <c r="C204" s="802"/>
      <c r="D204" s="222">
        <f aca="true" t="shared" si="22" ref="D204:I204">SUM(D193+D196+D198+D199+D201+D203)</f>
        <v>637645</v>
      </c>
      <c r="E204" s="193">
        <f t="shared" si="22"/>
        <v>93048</v>
      </c>
      <c r="F204" s="225">
        <f t="shared" si="22"/>
        <v>730693</v>
      </c>
      <c r="G204" s="222">
        <f t="shared" si="22"/>
        <v>322273</v>
      </c>
      <c r="H204" s="193">
        <f t="shared" si="22"/>
        <v>49881</v>
      </c>
      <c r="I204" s="225">
        <f t="shared" si="22"/>
        <v>372154</v>
      </c>
      <c r="J204" s="210">
        <f t="shared" si="19"/>
        <v>-358539</v>
      </c>
      <c r="K204" s="211">
        <f t="shared" si="20"/>
        <v>0.5093164981736515</v>
      </c>
    </row>
    <row r="205" ht="13.5" thickBot="1"/>
    <row r="206" spans="1:11" ht="12.75">
      <c r="A206" s="843" t="s">
        <v>139</v>
      </c>
      <c r="B206" s="784"/>
      <c r="C206" s="785"/>
      <c r="D206" s="423">
        <v>170200</v>
      </c>
      <c r="E206" s="424">
        <v>310</v>
      </c>
      <c r="F206" s="454">
        <f>+D206+E206</f>
        <v>170510</v>
      </c>
      <c r="G206" s="215">
        <v>93798</v>
      </c>
      <c r="H206" s="219">
        <v>125</v>
      </c>
      <c r="I206" s="194">
        <f aca="true" t="shared" si="23" ref="I206:I233">SUM(G206:H206)</f>
        <v>93923</v>
      </c>
      <c r="J206" s="209">
        <f aca="true" t="shared" si="24" ref="J206:J234">+I206-F206</f>
        <v>-76587</v>
      </c>
      <c r="K206" s="373">
        <f aca="true" t="shared" si="25" ref="K206:K228">+I206/F206</f>
        <v>0.5508357281097883</v>
      </c>
    </row>
    <row r="207" spans="1:11" ht="12.75">
      <c r="A207" s="797" t="s">
        <v>169</v>
      </c>
      <c r="B207" s="779"/>
      <c r="C207" s="727"/>
      <c r="D207" s="223">
        <v>2078</v>
      </c>
      <c r="E207" s="190">
        <v>2</v>
      </c>
      <c r="F207" s="422">
        <f>+D207+E207</f>
        <v>2080</v>
      </c>
      <c r="G207" s="214">
        <v>857</v>
      </c>
      <c r="H207" s="204"/>
      <c r="I207" s="195">
        <f t="shared" si="23"/>
        <v>857</v>
      </c>
      <c r="J207" s="205">
        <f t="shared" si="24"/>
        <v>-1223</v>
      </c>
      <c r="K207" s="207">
        <f t="shared" si="25"/>
        <v>0.41201923076923075</v>
      </c>
    </row>
    <row r="208" spans="1:11" ht="12.75">
      <c r="A208" s="797" t="s">
        <v>140</v>
      </c>
      <c r="B208" s="779"/>
      <c r="C208" s="727"/>
      <c r="D208" s="223">
        <v>49977</v>
      </c>
      <c r="E208" s="190">
        <f>50000-D208</f>
        <v>23</v>
      </c>
      <c r="F208" s="195">
        <f aca="true" t="shared" si="26" ref="F208:F213">SUM(D208:E208)</f>
        <v>50000</v>
      </c>
      <c r="G208" s="223">
        <v>26685</v>
      </c>
      <c r="H208" s="190">
        <v>4</v>
      </c>
      <c r="I208" s="195">
        <f t="shared" si="23"/>
        <v>26689</v>
      </c>
      <c r="J208" s="205">
        <f t="shared" si="24"/>
        <v>-23311</v>
      </c>
      <c r="K208" s="207">
        <f t="shared" si="25"/>
        <v>0.53378</v>
      </c>
    </row>
    <row r="209" spans="1:11" ht="12.75">
      <c r="A209" s="797" t="s">
        <v>141</v>
      </c>
      <c r="B209" s="779"/>
      <c r="C209" s="727"/>
      <c r="D209" s="223">
        <v>8000</v>
      </c>
      <c r="E209" s="190">
        <v>0</v>
      </c>
      <c r="F209" s="195">
        <f t="shared" si="26"/>
        <v>8000</v>
      </c>
      <c r="G209" s="223">
        <v>5437</v>
      </c>
      <c r="H209" s="190"/>
      <c r="I209" s="195">
        <f t="shared" si="23"/>
        <v>5437</v>
      </c>
      <c r="J209" s="205">
        <f t="shared" si="24"/>
        <v>-2563</v>
      </c>
      <c r="K209" s="207">
        <f t="shared" si="25"/>
        <v>0.679625</v>
      </c>
    </row>
    <row r="210" spans="1:11" ht="12.75">
      <c r="A210" s="797" t="s">
        <v>142</v>
      </c>
      <c r="B210" s="779"/>
      <c r="C210" s="727"/>
      <c r="D210" s="223">
        <v>83971</v>
      </c>
      <c r="E210" s="190">
        <f>84000-D210</f>
        <v>29</v>
      </c>
      <c r="F210" s="195">
        <f t="shared" si="26"/>
        <v>84000</v>
      </c>
      <c r="G210" s="223">
        <v>45748</v>
      </c>
      <c r="H210" s="190"/>
      <c r="I210" s="195">
        <f t="shared" si="23"/>
        <v>45748</v>
      </c>
      <c r="J210" s="205">
        <f t="shared" si="24"/>
        <v>-38252</v>
      </c>
      <c r="K210" s="207">
        <f t="shared" si="25"/>
        <v>0.5446190476190477</v>
      </c>
    </row>
    <row r="211" spans="1:11" ht="12.75">
      <c r="A211" s="797" t="s">
        <v>143</v>
      </c>
      <c r="B211" s="779"/>
      <c r="C211" s="727"/>
      <c r="D211" s="223">
        <v>16979</v>
      </c>
      <c r="E211" s="190">
        <f>17200-D211</f>
        <v>221</v>
      </c>
      <c r="F211" s="195">
        <f t="shared" si="26"/>
        <v>17200</v>
      </c>
      <c r="G211" s="223">
        <v>8917</v>
      </c>
      <c r="H211" s="190">
        <v>121</v>
      </c>
      <c r="I211" s="195">
        <f t="shared" si="23"/>
        <v>9038</v>
      </c>
      <c r="J211" s="205">
        <f t="shared" si="24"/>
        <v>-8162</v>
      </c>
      <c r="K211" s="207">
        <f t="shared" si="25"/>
        <v>0.5254651162790698</v>
      </c>
    </row>
    <row r="212" spans="1:11" ht="12.75">
      <c r="A212" s="797" t="s">
        <v>144</v>
      </c>
      <c r="B212" s="779"/>
      <c r="C212" s="727"/>
      <c r="D212" s="223">
        <v>400</v>
      </c>
      <c r="E212" s="190">
        <v>0</v>
      </c>
      <c r="F212" s="195">
        <f t="shared" si="26"/>
        <v>400</v>
      </c>
      <c r="G212" s="223">
        <v>156</v>
      </c>
      <c r="H212" s="190"/>
      <c r="I212" s="195">
        <f t="shared" si="23"/>
        <v>156</v>
      </c>
      <c r="J212" s="205">
        <f t="shared" si="24"/>
        <v>-244</v>
      </c>
      <c r="K212" s="207">
        <f t="shared" si="25"/>
        <v>0.39</v>
      </c>
    </row>
    <row r="213" spans="1:11" ht="12.75">
      <c r="A213" s="797" t="s">
        <v>145</v>
      </c>
      <c r="B213" s="779"/>
      <c r="C213" s="727"/>
      <c r="D213" s="214">
        <v>3975</v>
      </c>
      <c r="E213" s="204">
        <f>4000-D213</f>
        <v>25</v>
      </c>
      <c r="F213" s="195">
        <f t="shared" si="26"/>
        <v>4000</v>
      </c>
      <c r="G213" s="214">
        <v>2063</v>
      </c>
      <c r="H213" s="204"/>
      <c r="I213" s="195">
        <f t="shared" si="23"/>
        <v>2063</v>
      </c>
      <c r="J213" s="205">
        <f t="shared" si="24"/>
        <v>-1937</v>
      </c>
      <c r="K213" s="207">
        <f t="shared" si="25"/>
        <v>0.51575</v>
      </c>
    </row>
    <row r="214" spans="1:11" ht="12.75">
      <c r="A214" s="797" t="s">
        <v>146</v>
      </c>
      <c r="B214" s="779"/>
      <c r="C214" s="727"/>
      <c r="D214" s="420">
        <v>24754</v>
      </c>
      <c r="E214" s="192">
        <v>578</v>
      </c>
      <c r="F214" s="422">
        <f aca="true" t="shared" si="27" ref="F214:F219">+D214+E214</f>
        <v>25332</v>
      </c>
      <c r="G214" s="213">
        <v>16022</v>
      </c>
      <c r="H214" s="191"/>
      <c r="I214" s="195">
        <f t="shared" si="23"/>
        <v>16022</v>
      </c>
      <c r="J214" s="205">
        <f t="shared" si="24"/>
        <v>-9310</v>
      </c>
      <c r="K214" s="207">
        <f t="shared" si="25"/>
        <v>0.6324806568766778</v>
      </c>
    </row>
    <row r="215" spans="1:11" ht="12.75">
      <c r="A215" s="797" t="s">
        <v>147</v>
      </c>
      <c r="B215" s="779"/>
      <c r="C215" s="727"/>
      <c r="D215" s="220">
        <v>400</v>
      </c>
      <c r="E215" s="192">
        <v>0</v>
      </c>
      <c r="F215" s="422">
        <f t="shared" si="27"/>
        <v>400</v>
      </c>
      <c r="G215" s="213"/>
      <c r="H215" s="191"/>
      <c r="I215" s="195">
        <f t="shared" si="23"/>
        <v>0</v>
      </c>
      <c r="J215" s="205">
        <f t="shared" si="24"/>
        <v>-400</v>
      </c>
      <c r="K215" s="207">
        <f t="shared" si="25"/>
        <v>0</v>
      </c>
    </row>
    <row r="216" spans="1:11" ht="12.75">
      <c r="A216" s="797" t="s">
        <v>148</v>
      </c>
      <c r="B216" s="779"/>
      <c r="C216" s="727"/>
      <c r="D216" s="220">
        <v>0</v>
      </c>
      <c r="E216" s="192">
        <v>75000</v>
      </c>
      <c r="F216" s="422">
        <f t="shared" si="27"/>
        <v>75000</v>
      </c>
      <c r="G216" s="213">
        <v>0</v>
      </c>
      <c r="H216" s="191">
        <v>40599</v>
      </c>
      <c r="I216" s="195">
        <f t="shared" si="23"/>
        <v>40599</v>
      </c>
      <c r="J216" s="205">
        <f t="shared" si="24"/>
        <v>-34401</v>
      </c>
      <c r="K216" s="207">
        <f t="shared" si="25"/>
        <v>0.54132</v>
      </c>
    </row>
    <row r="217" spans="1:11" ht="12.75">
      <c r="A217" s="797" t="s">
        <v>149</v>
      </c>
      <c r="B217" s="779"/>
      <c r="C217" s="727"/>
      <c r="D217" s="220">
        <v>106381</v>
      </c>
      <c r="E217" s="192">
        <v>410</v>
      </c>
      <c r="F217" s="422">
        <f t="shared" si="27"/>
        <v>106791</v>
      </c>
      <c r="G217" s="213">
        <f>+G218+G219+334+7</f>
        <v>55085</v>
      </c>
      <c r="H217" s="191">
        <f>+H219</f>
        <v>30</v>
      </c>
      <c r="I217" s="195">
        <f t="shared" si="23"/>
        <v>55115</v>
      </c>
      <c r="J217" s="205">
        <f t="shared" si="24"/>
        <v>-51676</v>
      </c>
      <c r="K217" s="207">
        <f t="shared" si="25"/>
        <v>0.5161015441376146</v>
      </c>
    </row>
    <row r="218" spans="1:11" ht="12.75">
      <c r="A218" s="797" t="s">
        <v>150</v>
      </c>
      <c r="B218" s="779"/>
      <c r="C218" s="727"/>
      <c r="D218" s="213">
        <v>12481</v>
      </c>
      <c r="E218" s="192">
        <v>19</v>
      </c>
      <c r="F218" s="422">
        <f t="shared" si="27"/>
        <v>12500</v>
      </c>
      <c r="G218" s="213">
        <v>6851</v>
      </c>
      <c r="H218" s="191"/>
      <c r="I218" s="195">
        <f t="shared" si="23"/>
        <v>6851</v>
      </c>
      <c r="J218" s="205">
        <f t="shared" si="24"/>
        <v>-5649</v>
      </c>
      <c r="K218" s="207">
        <f t="shared" si="25"/>
        <v>0.54808</v>
      </c>
    </row>
    <row r="219" spans="1:11" ht="12.75">
      <c r="A219" s="797" t="s">
        <v>151</v>
      </c>
      <c r="B219" s="779"/>
      <c r="C219" s="727"/>
      <c r="D219" s="213">
        <v>93096</v>
      </c>
      <c r="E219" s="192">
        <f>93490-D219</f>
        <v>394</v>
      </c>
      <c r="F219" s="422">
        <f t="shared" si="27"/>
        <v>93490</v>
      </c>
      <c r="G219" s="213">
        <v>47893</v>
      </c>
      <c r="H219" s="191">
        <v>30</v>
      </c>
      <c r="I219" s="195">
        <f t="shared" si="23"/>
        <v>47923</v>
      </c>
      <c r="J219" s="205">
        <f t="shared" si="24"/>
        <v>-45567</v>
      </c>
      <c r="K219" s="207">
        <f t="shared" si="25"/>
        <v>0.5126002781046102</v>
      </c>
    </row>
    <row r="220" spans="1:11" ht="12.75">
      <c r="A220" s="797" t="s">
        <v>152</v>
      </c>
      <c r="B220" s="779"/>
      <c r="C220" s="727"/>
      <c r="D220" s="213">
        <v>3194</v>
      </c>
      <c r="E220" s="191">
        <f>3550-D220</f>
        <v>356</v>
      </c>
      <c r="F220" s="195">
        <f>SUM(D220:E220)</f>
        <v>3550</v>
      </c>
      <c r="G220" s="213">
        <v>1231</v>
      </c>
      <c r="H220" s="191">
        <v>30</v>
      </c>
      <c r="I220" s="195">
        <f t="shared" si="23"/>
        <v>1261</v>
      </c>
      <c r="J220" s="205">
        <f t="shared" si="24"/>
        <v>-2289</v>
      </c>
      <c r="K220" s="207">
        <f t="shared" si="25"/>
        <v>0.3552112676056338</v>
      </c>
    </row>
    <row r="221" spans="1:11" ht="12.75">
      <c r="A221" s="797" t="s">
        <v>153</v>
      </c>
      <c r="B221" s="779"/>
      <c r="C221" s="727"/>
      <c r="D221" s="213">
        <v>65</v>
      </c>
      <c r="E221" s="191">
        <v>0</v>
      </c>
      <c r="F221" s="195">
        <f>SUM(D221:E221)</f>
        <v>65</v>
      </c>
      <c r="G221" s="213">
        <v>33</v>
      </c>
      <c r="H221" s="191"/>
      <c r="I221" s="195">
        <f t="shared" si="23"/>
        <v>33</v>
      </c>
      <c r="J221" s="205">
        <f t="shared" si="24"/>
        <v>-32</v>
      </c>
      <c r="K221" s="207">
        <f t="shared" si="25"/>
        <v>0.5076923076923077</v>
      </c>
    </row>
    <row r="222" spans="1:11" ht="12.75">
      <c r="A222" s="797" t="s">
        <v>154</v>
      </c>
      <c r="B222" s="779"/>
      <c r="C222" s="727"/>
      <c r="D222" s="213">
        <v>35900</v>
      </c>
      <c r="E222" s="191">
        <v>0</v>
      </c>
      <c r="F222" s="195">
        <f>SUM(D222:E222)</f>
        <v>35900</v>
      </c>
      <c r="G222" s="213">
        <v>29759</v>
      </c>
      <c r="H222" s="191"/>
      <c r="I222" s="195">
        <f t="shared" si="23"/>
        <v>29759</v>
      </c>
      <c r="J222" s="205">
        <f t="shared" si="24"/>
        <v>-6141</v>
      </c>
      <c r="K222" s="207">
        <f t="shared" si="25"/>
        <v>0.828941504178273</v>
      </c>
    </row>
    <row r="223" spans="1:11" ht="12.75">
      <c r="A223" s="797" t="s">
        <v>155</v>
      </c>
      <c r="B223" s="779"/>
      <c r="C223" s="727"/>
      <c r="D223" s="213">
        <v>1595</v>
      </c>
      <c r="E223" s="191">
        <f>1600-D223</f>
        <v>5</v>
      </c>
      <c r="F223" s="195">
        <f>SUM(D223:E223)</f>
        <v>1600</v>
      </c>
      <c r="G223" s="213">
        <v>878</v>
      </c>
      <c r="H223" s="191"/>
      <c r="I223" s="195">
        <f t="shared" si="23"/>
        <v>878</v>
      </c>
      <c r="J223" s="205">
        <f t="shared" si="24"/>
        <v>-722</v>
      </c>
      <c r="K223" s="207">
        <f t="shared" si="25"/>
        <v>0.54875</v>
      </c>
    </row>
    <row r="224" spans="1:11" ht="12.75">
      <c r="A224" s="797" t="s">
        <v>156</v>
      </c>
      <c r="B224" s="779"/>
      <c r="C224" s="727"/>
      <c r="D224" s="420">
        <v>333146</v>
      </c>
      <c r="E224" s="192">
        <v>1118</v>
      </c>
      <c r="F224" s="422">
        <f aca="true" t="shared" si="28" ref="F224:F233">+D224+E224</f>
        <v>334264</v>
      </c>
      <c r="G224" s="213">
        <v>163772</v>
      </c>
      <c r="H224" s="191"/>
      <c r="I224" s="195">
        <f t="shared" si="23"/>
        <v>163772</v>
      </c>
      <c r="J224" s="205">
        <f t="shared" si="24"/>
        <v>-170492</v>
      </c>
      <c r="K224" s="207">
        <f t="shared" si="25"/>
        <v>0.489948065002513</v>
      </c>
    </row>
    <row r="225" spans="1:11" ht="12.75">
      <c r="A225" s="797" t="s">
        <v>157</v>
      </c>
      <c r="B225" s="779"/>
      <c r="C225" s="727"/>
      <c r="D225" s="453">
        <v>242940</v>
      </c>
      <c r="E225" s="191">
        <v>815</v>
      </c>
      <c r="F225" s="422">
        <f t="shared" si="28"/>
        <v>243755</v>
      </c>
      <c r="G225" s="213">
        <v>119581</v>
      </c>
      <c r="H225" s="191"/>
      <c r="I225" s="195">
        <f t="shared" si="23"/>
        <v>119581</v>
      </c>
      <c r="J225" s="205">
        <f t="shared" si="24"/>
        <v>-124174</v>
      </c>
      <c r="K225" s="207">
        <f t="shared" si="25"/>
        <v>0.49057865479682466</v>
      </c>
    </row>
    <row r="226" spans="1:11" ht="12.75">
      <c r="A226" s="797" t="s">
        <v>158</v>
      </c>
      <c r="B226" s="779"/>
      <c r="C226" s="727"/>
      <c r="D226" s="420">
        <v>234810</v>
      </c>
      <c r="E226" s="192">
        <v>815</v>
      </c>
      <c r="F226" s="422">
        <f t="shared" si="28"/>
        <v>235625</v>
      </c>
      <c r="G226" s="213">
        <f>+K79/1000</f>
        <v>117613.063</v>
      </c>
      <c r="H226" s="191"/>
      <c r="I226" s="195">
        <f t="shared" si="23"/>
        <v>117613.063</v>
      </c>
      <c r="J226" s="205">
        <f t="shared" si="24"/>
        <v>-118011.937</v>
      </c>
      <c r="K226" s="207">
        <f t="shared" si="25"/>
        <v>0.49915358302387264</v>
      </c>
    </row>
    <row r="227" spans="1:11" ht="12.75">
      <c r="A227" s="797" t="s">
        <v>159</v>
      </c>
      <c r="B227" s="779"/>
      <c r="C227" s="727"/>
      <c r="D227" s="420">
        <v>4375</v>
      </c>
      <c r="E227" s="192">
        <v>0</v>
      </c>
      <c r="F227" s="422">
        <f t="shared" si="28"/>
        <v>4375</v>
      </c>
      <c r="G227" s="213">
        <f>+G225-G226</f>
        <v>1967.9370000000054</v>
      </c>
      <c r="H227" s="191"/>
      <c r="I227" s="195">
        <f t="shared" si="23"/>
        <v>1967.9370000000054</v>
      </c>
      <c r="J227" s="205">
        <f t="shared" si="24"/>
        <v>-2407.0629999999946</v>
      </c>
      <c r="K227" s="207">
        <f t="shared" si="25"/>
        <v>0.44981417142857266</v>
      </c>
    </row>
    <row r="228" spans="1:11" ht="12.75">
      <c r="A228" s="797" t="s">
        <v>160</v>
      </c>
      <c r="B228" s="779"/>
      <c r="C228" s="727"/>
      <c r="D228" s="420">
        <v>90206</v>
      </c>
      <c r="E228" s="192">
        <v>303</v>
      </c>
      <c r="F228" s="422">
        <f t="shared" si="28"/>
        <v>90509</v>
      </c>
      <c r="G228" s="213">
        <f>41838.68+2352.26</f>
        <v>44190.94</v>
      </c>
      <c r="H228" s="191">
        <v>0</v>
      </c>
      <c r="I228" s="195">
        <f t="shared" si="23"/>
        <v>44190.94</v>
      </c>
      <c r="J228" s="205">
        <f t="shared" si="24"/>
        <v>-46318.06</v>
      </c>
      <c r="K228" s="207">
        <f t="shared" si="25"/>
        <v>0.4882491243964689</v>
      </c>
    </row>
    <row r="229" spans="1:11" ht="12.75">
      <c r="A229" s="797" t="s">
        <v>161</v>
      </c>
      <c r="B229" s="779"/>
      <c r="C229" s="727"/>
      <c r="D229" s="220">
        <v>0</v>
      </c>
      <c r="E229" s="192">
        <v>0</v>
      </c>
      <c r="F229" s="422">
        <f t="shared" si="28"/>
        <v>0</v>
      </c>
      <c r="G229" s="213">
        <v>0</v>
      </c>
      <c r="H229" s="191"/>
      <c r="I229" s="195">
        <f t="shared" si="23"/>
        <v>0</v>
      </c>
      <c r="J229" s="205">
        <f t="shared" si="24"/>
        <v>0</v>
      </c>
      <c r="K229" s="207"/>
    </row>
    <row r="230" spans="1:11" ht="12.75">
      <c r="A230" s="797" t="s">
        <v>162</v>
      </c>
      <c r="B230" s="779"/>
      <c r="C230" s="727"/>
      <c r="D230" s="220">
        <v>5669</v>
      </c>
      <c r="E230" s="192">
        <v>1</v>
      </c>
      <c r="F230" s="422">
        <f t="shared" si="28"/>
        <v>5670</v>
      </c>
      <c r="G230" s="213">
        <v>-549</v>
      </c>
      <c r="H230" s="191">
        <v>28</v>
      </c>
      <c r="I230" s="195">
        <f t="shared" si="23"/>
        <v>-521</v>
      </c>
      <c r="J230" s="205">
        <f t="shared" si="24"/>
        <v>-6191</v>
      </c>
      <c r="K230" s="207">
        <f>+I230/F230</f>
        <v>-0.09188712522045855</v>
      </c>
    </row>
    <row r="231" spans="1:11" ht="12.75">
      <c r="A231" s="797" t="s">
        <v>163</v>
      </c>
      <c r="B231" s="779"/>
      <c r="C231" s="727"/>
      <c r="D231" s="213">
        <v>12726</v>
      </c>
      <c r="E231" s="192">
        <v>0</v>
      </c>
      <c r="F231" s="422">
        <f t="shared" si="28"/>
        <v>12726</v>
      </c>
      <c r="G231" s="213">
        <f>955+5055</f>
        <v>6010</v>
      </c>
      <c r="H231" s="191"/>
      <c r="I231" s="195">
        <f t="shared" si="23"/>
        <v>6010</v>
      </c>
      <c r="J231" s="205">
        <f t="shared" si="24"/>
        <v>-6716</v>
      </c>
      <c r="K231" s="207">
        <f>+I231/F231</f>
        <v>0.47226151186547227</v>
      </c>
    </row>
    <row r="232" spans="1:11" ht="12.75">
      <c r="A232" s="797" t="s">
        <v>164</v>
      </c>
      <c r="B232" s="779"/>
      <c r="C232" s="727"/>
      <c r="D232" s="213">
        <v>2426</v>
      </c>
      <c r="E232" s="192">
        <v>0</v>
      </c>
      <c r="F232" s="422">
        <f t="shared" si="28"/>
        <v>2426</v>
      </c>
      <c r="G232" s="213">
        <v>955</v>
      </c>
      <c r="H232" s="191"/>
      <c r="I232" s="195">
        <f t="shared" si="23"/>
        <v>955</v>
      </c>
      <c r="J232" s="205">
        <f t="shared" si="24"/>
        <v>-1471</v>
      </c>
      <c r="K232" s="207">
        <f>+I232/F232</f>
        <v>0.39365210222588626</v>
      </c>
    </row>
    <row r="233" spans="1:11" ht="13.5" thickBot="1">
      <c r="A233" s="790" t="s">
        <v>165</v>
      </c>
      <c r="B233" s="791"/>
      <c r="C233" s="792"/>
      <c r="D233" s="419">
        <v>0</v>
      </c>
      <c r="E233" s="418">
        <v>0</v>
      </c>
      <c r="F233" s="422">
        <f t="shared" si="28"/>
        <v>0</v>
      </c>
      <c r="G233" s="216">
        <v>1765</v>
      </c>
      <c r="H233" s="221"/>
      <c r="I233" s="195">
        <f t="shared" si="23"/>
        <v>1765</v>
      </c>
      <c r="J233" s="374">
        <f t="shared" si="24"/>
        <v>1765</v>
      </c>
      <c r="K233" s="228" t="e">
        <f>+I233/F233</f>
        <v>#DIV/0!</v>
      </c>
    </row>
    <row r="234" spans="1:11" s="35" customFormat="1" ht="13.5" thickBot="1">
      <c r="A234" s="800" t="s">
        <v>23</v>
      </c>
      <c r="B234" s="968"/>
      <c r="C234" s="969"/>
      <c r="D234" s="224">
        <f aca="true" t="shared" si="29" ref="D234:I234">SUM(D206+D214+D215+D216+D217+D224+D229+D230+D231+D233)</f>
        <v>653276</v>
      </c>
      <c r="E234" s="197">
        <f t="shared" si="29"/>
        <v>77417</v>
      </c>
      <c r="F234" s="198">
        <f t="shared" si="29"/>
        <v>730693</v>
      </c>
      <c r="G234" s="224">
        <f t="shared" si="29"/>
        <v>335903</v>
      </c>
      <c r="H234" s="197">
        <f t="shared" si="29"/>
        <v>40782</v>
      </c>
      <c r="I234" s="198">
        <f t="shared" si="29"/>
        <v>376685</v>
      </c>
      <c r="J234" s="455">
        <f t="shared" si="24"/>
        <v>-354008</v>
      </c>
      <c r="K234" s="456">
        <f>+I234/F234</f>
        <v>0.5155174608214393</v>
      </c>
    </row>
    <row r="235" spans="1:11" s="35" customFormat="1" ht="13.5" thickBot="1">
      <c r="A235" s="800" t="s">
        <v>435</v>
      </c>
      <c r="B235" s="968"/>
      <c r="C235" s="969"/>
      <c r="D235" s="224">
        <f aca="true" t="shared" si="30" ref="D235:I235">+D204-D234</f>
        <v>-15631</v>
      </c>
      <c r="E235" s="197">
        <f t="shared" si="30"/>
        <v>15631</v>
      </c>
      <c r="F235" s="198">
        <f t="shared" si="30"/>
        <v>0</v>
      </c>
      <c r="G235" s="224">
        <f t="shared" si="30"/>
        <v>-13630</v>
      </c>
      <c r="H235" s="197">
        <f t="shared" si="30"/>
        <v>9099</v>
      </c>
      <c r="I235" s="198">
        <f t="shared" si="30"/>
        <v>-4531</v>
      </c>
      <c r="J235"/>
      <c r="K235"/>
    </row>
    <row r="236" ht="13.5" thickBot="1"/>
    <row r="237" spans="1:9" ht="13.5" thickBot="1">
      <c r="A237" s="776" t="s">
        <v>41</v>
      </c>
      <c r="B237" s="777"/>
      <c r="C237" s="777"/>
      <c r="D237" s="803">
        <f>+F204-F234</f>
        <v>0</v>
      </c>
      <c r="E237" s="804"/>
      <c r="F237" s="805"/>
      <c r="G237" s="803">
        <f>+I204-I234</f>
        <v>-4531</v>
      </c>
      <c r="H237" s="804"/>
      <c r="I237" s="805"/>
    </row>
    <row r="238" spans="1:9" ht="12.75">
      <c r="A238" s="834" t="s">
        <v>422</v>
      </c>
      <c r="B238" s="835"/>
      <c r="C238" s="835"/>
      <c r="D238" s="835"/>
      <c r="E238" s="835"/>
      <c r="F238" s="714"/>
      <c r="G238" s="836">
        <v>-228985</v>
      </c>
      <c r="H238" s="1014"/>
      <c r="I238" s="1015"/>
    </row>
    <row r="239" spans="1:9" ht="13.5" thickBot="1">
      <c r="A239" s="798" t="s">
        <v>168</v>
      </c>
      <c r="B239" s="799"/>
      <c r="C239" s="799"/>
      <c r="D239" s="799"/>
      <c r="E239" s="799"/>
      <c r="F239" s="704"/>
      <c r="G239" s="788">
        <f>+G237+G238</f>
        <v>-233516</v>
      </c>
      <c r="H239" s="720"/>
      <c r="I239" s="789"/>
    </row>
    <row r="241" ht="12.75" customHeight="1"/>
    <row r="253" spans="1:12" ht="15.75">
      <c r="A253" s="389" t="s">
        <v>405</v>
      </c>
      <c r="B253" s="390"/>
      <c r="C253" s="369"/>
      <c r="D253" s="369"/>
      <c r="E253" s="369"/>
      <c r="F253" s="369"/>
      <c r="G253" s="369"/>
      <c r="H253" s="369"/>
      <c r="I253" s="369"/>
      <c r="J253" s="369"/>
      <c r="K253" s="369"/>
      <c r="L253" s="369"/>
    </row>
  </sheetData>
  <mergeCells count="262">
    <mergeCell ref="A124:D125"/>
    <mergeCell ref="A126:D126"/>
    <mergeCell ref="A127:D127"/>
    <mergeCell ref="A128:D128"/>
    <mergeCell ref="A129:D129"/>
    <mergeCell ref="A130:D130"/>
    <mergeCell ref="A131:D131"/>
    <mergeCell ref="A132:D132"/>
    <mergeCell ref="A182:L185"/>
    <mergeCell ref="I180:J180"/>
    <mergeCell ref="A180:D180"/>
    <mergeCell ref="I178:J178"/>
    <mergeCell ref="A177:D177"/>
    <mergeCell ref="A178:D178"/>
    <mergeCell ref="I177:J177"/>
    <mergeCell ref="I176:J176"/>
    <mergeCell ref="A175:D175"/>
    <mergeCell ref="A176:D176"/>
    <mergeCell ref="I175:J175"/>
    <mergeCell ref="I174:J174"/>
    <mergeCell ref="A173:D173"/>
    <mergeCell ref="A174:D174"/>
    <mergeCell ref="I173:J173"/>
    <mergeCell ref="I172:J172"/>
    <mergeCell ref="A171:D171"/>
    <mergeCell ref="A172:D172"/>
    <mergeCell ref="I171:J171"/>
    <mergeCell ref="I170:J170"/>
    <mergeCell ref="A169:D169"/>
    <mergeCell ref="A170:D170"/>
    <mergeCell ref="I169:J169"/>
    <mergeCell ref="I168:J168"/>
    <mergeCell ref="A167:D167"/>
    <mergeCell ref="A168:D168"/>
    <mergeCell ref="I167:J167"/>
    <mergeCell ref="I166:J166"/>
    <mergeCell ref="A165:D165"/>
    <mergeCell ref="A166:D166"/>
    <mergeCell ref="I165:J165"/>
    <mergeCell ref="I164:J164"/>
    <mergeCell ref="A163:D163"/>
    <mergeCell ref="A164:D164"/>
    <mergeCell ref="I163:J163"/>
    <mergeCell ref="I162:J162"/>
    <mergeCell ref="A161:D161"/>
    <mergeCell ref="A162:D162"/>
    <mergeCell ref="I161:J161"/>
    <mergeCell ref="I160:J160"/>
    <mergeCell ref="A159:D159"/>
    <mergeCell ref="A160:D160"/>
    <mergeCell ref="I159:J159"/>
    <mergeCell ref="I158:J158"/>
    <mergeCell ref="A157:D157"/>
    <mergeCell ref="A158:D158"/>
    <mergeCell ref="I157:J157"/>
    <mergeCell ref="I156:J156"/>
    <mergeCell ref="A155:D155"/>
    <mergeCell ref="A156:D156"/>
    <mergeCell ref="I155:J155"/>
    <mergeCell ref="I154:J154"/>
    <mergeCell ref="A153:D153"/>
    <mergeCell ref="A154:D154"/>
    <mergeCell ref="I153:J153"/>
    <mergeCell ref="I152:J152"/>
    <mergeCell ref="A151:D151"/>
    <mergeCell ref="A152:D152"/>
    <mergeCell ref="I151:J151"/>
    <mergeCell ref="I150:J150"/>
    <mergeCell ref="A149:D149"/>
    <mergeCell ref="A150:D150"/>
    <mergeCell ref="I149:J149"/>
    <mergeCell ref="I148:J148"/>
    <mergeCell ref="A147:D147"/>
    <mergeCell ref="A148:D148"/>
    <mergeCell ref="I147:J147"/>
    <mergeCell ref="I145:J145"/>
    <mergeCell ref="I146:J146"/>
    <mergeCell ref="A145:D146"/>
    <mergeCell ref="I143:J143"/>
    <mergeCell ref="A142:D142"/>
    <mergeCell ref="A143:D143"/>
    <mergeCell ref="I142:J142"/>
    <mergeCell ref="I141:J141"/>
    <mergeCell ref="A140:D140"/>
    <mergeCell ref="A141:D141"/>
    <mergeCell ref="I140:J140"/>
    <mergeCell ref="I139:J139"/>
    <mergeCell ref="A138:D138"/>
    <mergeCell ref="A139:D139"/>
    <mergeCell ref="I138:J138"/>
    <mergeCell ref="I137:J137"/>
    <mergeCell ref="A136:D136"/>
    <mergeCell ref="A137:D137"/>
    <mergeCell ref="I136:J136"/>
    <mergeCell ref="I135:J135"/>
    <mergeCell ref="A134:D134"/>
    <mergeCell ref="A135:D135"/>
    <mergeCell ref="I134:J134"/>
    <mergeCell ref="I133:J133"/>
    <mergeCell ref="A133:D133"/>
    <mergeCell ref="I132:J132"/>
    <mergeCell ref="I131:J131"/>
    <mergeCell ref="I130:J130"/>
    <mergeCell ref="I129:J129"/>
    <mergeCell ref="I128:J128"/>
    <mergeCell ref="I127:J127"/>
    <mergeCell ref="I126:J126"/>
    <mergeCell ref="I124:J124"/>
    <mergeCell ref="I125:J125"/>
    <mergeCell ref="H4:L4"/>
    <mergeCell ref="L26:L27"/>
    <mergeCell ref="L44:L45"/>
    <mergeCell ref="A61:L64"/>
    <mergeCell ref="A20:L23"/>
    <mergeCell ref="H122:J122"/>
    <mergeCell ref="A4:A6"/>
    <mergeCell ref="A67:A68"/>
    <mergeCell ref="E67:F68"/>
    <mergeCell ref="J67:L67"/>
    <mergeCell ref="B67:D67"/>
    <mergeCell ref="G67:I67"/>
    <mergeCell ref="E69:F69"/>
    <mergeCell ref="E70:F70"/>
    <mergeCell ref="E71:F71"/>
    <mergeCell ref="E72:F72"/>
    <mergeCell ref="E73:F73"/>
    <mergeCell ref="E74:F74"/>
    <mergeCell ref="A119:D119"/>
    <mergeCell ref="A120:D120"/>
    <mergeCell ref="A117:D117"/>
    <mergeCell ref="A118:D118"/>
    <mergeCell ref="A101:B101"/>
    <mergeCell ref="A102:B102"/>
    <mergeCell ref="A103:B103"/>
    <mergeCell ref="A104:B104"/>
    <mergeCell ref="K122:L122"/>
    <mergeCell ref="H115:J115"/>
    <mergeCell ref="H116:J116"/>
    <mergeCell ref="H117:J117"/>
    <mergeCell ref="H118:J118"/>
    <mergeCell ref="K119:L121"/>
    <mergeCell ref="K115:L115"/>
    <mergeCell ref="K116:L116"/>
    <mergeCell ref="K117:L117"/>
    <mergeCell ref="K118:L118"/>
    <mergeCell ref="A122:D122"/>
    <mergeCell ref="E115:F115"/>
    <mergeCell ref="E116:F116"/>
    <mergeCell ref="E117:F117"/>
    <mergeCell ref="E118:F118"/>
    <mergeCell ref="E119:F119"/>
    <mergeCell ref="E120:F120"/>
    <mergeCell ref="E122:F122"/>
    <mergeCell ref="A115:D115"/>
    <mergeCell ref="A116:D116"/>
    <mergeCell ref="G239:I239"/>
    <mergeCell ref="G237:I237"/>
    <mergeCell ref="A239:F239"/>
    <mergeCell ref="D237:F237"/>
    <mergeCell ref="J189:K191"/>
    <mergeCell ref="A238:F238"/>
    <mergeCell ref="G238:I238"/>
    <mergeCell ref="A233:C233"/>
    <mergeCell ref="A234:C234"/>
    <mergeCell ref="A237:C237"/>
    <mergeCell ref="A229:C229"/>
    <mergeCell ref="A230:C230"/>
    <mergeCell ref="A231:C231"/>
    <mergeCell ref="A232:C232"/>
    <mergeCell ref="A225:C225"/>
    <mergeCell ref="A226:C226"/>
    <mergeCell ref="A227:C227"/>
    <mergeCell ref="A228:C228"/>
    <mergeCell ref="A224:C224"/>
    <mergeCell ref="A218:C218"/>
    <mergeCell ref="A219:C219"/>
    <mergeCell ref="A220:C220"/>
    <mergeCell ref="A221:C221"/>
    <mergeCell ref="A216:C216"/>
    <mergeCell ref="A217:C217"/>
    <mergeCell ref="A222:C222"/>
    <mergeCell ref="A223:C223"/>
    <mergeCell ref="A212:C212"/>
    <mergeCell ref="A213:C213"/>
    <mergeCell ref="A214:C214"/>
    <mergeCell ref="A215:C215"/>
    <mergeCell ref="A208:C208"/>
    <mergeCell ref="A209:C209"/>
    <mergeCell ref="A210:C210"/>
    <mergeCell ref="A211:C211"/>
    <mergeCell ref="A203:C203"/>
    <mergeCell ref="A204:C204"/>
    <mergeCell ref="A206:C206"/>
    <mergeCell ref="A207:C207"/>
    <mergeCell ref="A201:C201"/>
    <mergeCell ref="A202:C202"/>
    <mergeCell ref="A200:C200"/>
    <mergeCell ref="A197:C197"/>
    <mergeCell ref="A198:C198"/>
    <mergeCell ref="A199:C199"/>
    <mergeCell ref="D190:D192"/>
    <mergeCell ref="E190:E192"/>
    <mergeCell ref="F190:F192"/>
    <mergeCell ref="A196:C196"/>
    <mergeCell ref="A189:C192"/>
    <mergeCell ref="A193:C193"/>
    <mergeCell ref="A194:C194"/>
    <mergeCell ref="A195:C195"/>
    <mergeCell ref="G190:G192"/>
    <mergeCell ref="H190:H192"/>
    <mergeCell ref="I190:I192"/>
    <mergeCell ref="A105:B105"/>
    <mergeCell ref="A106:B106"/>
    <mergeCell ref="A107:B107"/>
    <mergeCell ref="A109:L112"/>
    <mergeCell ref="A121:D121"/>
    <mergeCell ref="E121:F121"/>
    <mergeCell ref="H119:J121"/>
    <mergeCell ref="A97:B97"/>
    <mergeCell ref="A98:B98"/>
    <mergeCell ref="A99:B99"/>
    <mergeCell ref="A100:B100"/>
    <mergeCell ref="A93:B93"/>
    <mergeCell ref="A94:B94"/>
    <mergeCell ref="A95:B95"/>
    <mergeCell ref="A96:B96"/>
    <mergeCell ref="A89:B89"/>
    <mergeCell ref="A90:B90"/>
    <mergeCell ref="A91:B91"/>
    <mergeCell ref="A92:B92"/>
    <mergeCell ref="A81:L83"/>
    <mergeCell ref="A87:B88"/>
    <mergeCell ref="C87:G87"/>
    <mergeCell ref="H87:L87"/>
    <mergeCell ref="E77:F77"/>
    <mergeCell ref="E78:F78"/>
    <mergeCell ref="E79:F79"/>
    <mergeCell ref="E75:F75"/>
    <mergeCell ref="E76:F76"/>
    <mergeCell ref="E26:E27"/>
    <mergeCell ref="F26:K26"/>
    <mergeCell ref="A26:A27"/>
    <mergeCell ref="B26:B27"/>
    <mergeCell ref="C26:C27"/>
    <mergeCell ref="D26:D27"/>
    <mergeCell ref="A2:K2"/>
    <mergeCell ref="B4:C4"/>
    <mergeCell ref="D4:G4"/>
    <mergeCell ref="B5:B6"/>
    <mergeCell ref="C5:C6"/>
    <mergeCell ref="D5:E5"/>
    <mergeCell ref="F5:G5"/>
    <mergeCell ref="A235:C235"/>
    <mergeCell ref="H5:I5"/>
    <mergeCell ref="J5:K5"/>
    <mergeCell ref="L5:L6"/>
    <mergeCell ref="E44:E45"/>
    <mergeCell ref="F44:K44"/>
    <mergeCell ref="A44:A45"/>
    <mergeCell ref="B44:B45"/>
    <mergeCell ref="C44:C45"/>
    <mergeCell ref="D44:D45"/>
  </mergeCells>
  <printOptions horizontalCentered="1"/>
  <pageMargins left="0.2" right="0.2" top="0.32" bottom="0.3937007874015748" header="0.2362204724409449" footer="0.2362204724409449"/>
  <pageSetup horizontalDpi="600" verticalDpi="600" orientation="portrait" paperSize="9" scale="80" r:id="rId2"/>
  <headerFooter alignWithMargins="0">
    <oddFooter>&amp;C&amp;8&amp;P / 25</oddFooter>
  </headerFooter>
  <rowBreaks count="2" manualBreakCount="2">
    <brk id="144" max="255" man="1"/>
    <brk id="187" max="255" man="1"/>
  </rowBreaks>
  <drawing r:id="rId1"/>
</worksheet>
</file>

<file path=xl/worksheets/sheet6.xml><?xml version="1.0" encoding="utf-8"?>
<worksheet xmlns="http://schemas.openxmlformats.org/spreadsheetml/2006/main" xmlns:r="http://schemas.openxmlformats.org/officeDocument/2006/relationships">
  <dimension ref="A1:L199"/>
  <sheetViews>
    <sheetView tabSelected="1" workbookViewId="0" topLeftCell="A187">
      <selection activeCell="M193" sqref="A193:IV193"/>
    </sheetView>
  </sheetViews>
  <sheetFormatPr defaultColWidth="9.00390625" defaultRowHeight="12.75"/>
  <cols>
    <col min="1" max="1" width="10.625" style="0" customWidth="1"/>
    <col min="2" max="12" width="10.375" style="0" customWidth="1"/>
  </cols>
  <sheetData>
    <row r="1" spans="1:11" ht="18">
      <c r="A1" s="883" t="s">
        <v>76</v>
      </c>
      <c r="B1" s="884"/>
      <c r="C1" s="884"/>
      <c r="D1" s="884"/>
      <c r="E1" s="884"/>
      <c r="F1" s="884"/>
      <c r="G1" s="884"/>
      <c r="H1" s="884"/>
      <c r="I1" s="884"/>
      <c r="J1" s="884"/>
      <c r="K1" s="884"/>
    </row>
    <row r="2" ht="15.75">
      <c r="A2" s="25"/>
    </row>
    <row r="3" spans="1:10" ht="17.25" customHeight="1" thickBot="1">
      <c r="A3" s="85" t="s">
        <v>71</v>
      </c>
      <c r="J3" s="274" t="s">
        <v>194</v>
      </c>
    </row>
    <row r="4" spans="1:12" ht="15" customHeight="1">
      <c r="A4" s="734" t="s">
        <v>49</v>
      </c>
      <c r="B4" s="743" t="s">
        <v>23</v>
      </c>
      <c r="C4" s="746"/>
      <c r="D4" s="783" t="s">
        <v>391</v>
      </c>
      <c r="E4" s="795"/>
      <c r="F4" s="784"/>
      <c r="G4" s="796"/>
      <c r="H4" s="783" t="s">
        <v>41</v>
      </c>
      <c r="I4" s="784"/>
      <c r="J4" s="784"/>
      <c r="K4" s="784"/>
      <c r="L4" s="785"/>
    </row>
    <row r="5" spans="1:12" ht="12.75" customHeight="1">
      <c r="A5" s="794"/>
      <c r="B5" s="793">
        <v>2004</v>
      </c>
      <c r="C5" s="786">
        <v>2005</v>
      </c>
      <c r="D5" s="778">
        <v>2004</v>
      </c>
      <c r="E5" s="779"/>
      <c r="F5" s="781">
        <v>2005</v>
      </c>
      <c r="G5" s="782"/>
      <c r="H5" s="778">
        <v>2004</v>
      </c>
      <c r="I5" s="779"/>
      <c r="J5" s="781">
        <v>2005</v>
      </c>
      <c r="K5" s="782" t="s">
        <v>390</v>
      </c>
      <c r="L5" s="786" t="s">
        <v>395</v>
      </c>
    </row>
    <row r="6" spans="1:12" ht="23.25" thickBot="1">
      <c r="A6" s="735"/>
      <c r="B6" s="712"/>
      <c r="C6" s="787"/>
      <c r="D6" s="81" t="s">
        <v>392</v>
      </c>
      <c r="E6" s="91" t="s">
        <v>393</v>
      </c>
      <c r="F6" s="91" t="s">
        <v>392</v>
      </c>
      <c r="G6" s="74" t="s">
        <v>393</v>
      </c>
      <c r="H6" s="81" t="s">
        <v>394</v>
      </c>
      <c r="I6" s="91" t="s">
        <v>390</v>
      </c>
      <c r="J6" s="91" t="s">
        <v>394</v>
      </c>
      <c r="K6" s="74" t="s">
        <v>390</v>
      </c>
      <c r="L6" s="787"/>
    </row>
    <row r="7" spans="1:12" s="35" customFormat="1" ht="12.75" customHeight="1">
      <c r="A7" s="49" t="s">
        <v>50</v>
      </c>
      <c r="B7" s="75">
        <v>36335</v>
      </c>
      <c r="C7" s="21">
        <v>38866</v>
      </c>
      <c r="D7" s="26">
        <v>30338</v>
      </c>
      <c r="E7" s="2">
        <v>1315</v>
      </c>
      <c r="F7" s="2">
        <v>31044</v>
      </c>
      <c r="G7" s="2">
        <v>65</v>
      </c>
      <c r="H7" s="26">
        <v>-5997</v>
      </c>
      <c r="I7" s="2">
        <f aca="true" t="shared" si="0" ref="I7:I12">+H7-E7</f>
        <v>-7312</v>
      </c>
      <c r="J7" s="2">
        <f aca="true" t="shared" si="1" ref="J7:J12">+F7-C7</f>
        <v>-7822</v>
      </c>
      <c r="K7" s="2">
        <f aca="true" t="shared" si="2" ref="K7:K12">+J7-G7</f>
        <v>-7887</v>
      </c>
      <c r="L7" s="3">
        <f aca="true" t="shared" si="3" ref="L7:L12">+J7-H7</f>
        <v>-1825</v>
      </c>
    </row>
    <row r="8" spans="1:12" s="35" customFormat="1" ht="12.75">
      <c r="A8" s="51" t="s">
        <v>51</v>
      </c>
      <c r="B8" s="12">
        <v>68293</v>
      </c>
      <c r="C8" s="5">
        <v>71146</v>
      </c>
      <c r="D8" s="23">
        <v>62719</v>
      </c>
      <c r="E8" s="4">
        <v>2724</v>
      </c>
      <c r="F8" s="4">
        <v>61643</v>
      </c>
      <c r="G8" s="4">
        <v>253</v>
      </c>
      <c r="H8" s="23">
        <v>-5574</v>
      </c>
      <c r="I8" s="2">
        <f t="shared" si="0"/>
        <v>-8298</v>
      </c>
      <c r="J8" s="4">
        <f t="shared" si="1"/>
        <v>-9503</v>
      </c>
      <c r="K8" s="2">
        <f t="shared" si="2"/>
        <v>-9756</v>
      </c>
      <c r="L8" s="3">
        <f t="shared" si="3"/>
        <v>-3929</v>
      </c>
    </row>
    <row r="9" spans="1:12" s="35" customFormat="1" ht="12.75">
      <c r="A9" s="51" t="s">
        <v>52</v>
      </c>
      <c r="B9" s="12">
        <v>101120</v>
      </c>
      <c r="C9" s="5">
        <v>104231</v>
      </c>
      <c r="D9" s="23">
        <v>99867</v>
      </c>
      <c r="E9" s="4">
        <v>7886</v>
      </c>
      <c r="F9" s="4">
        <v>94177</v>
      </c>
      <c r="G9" s="4">
        <v>360</v>
      </c>
      <c r="H9" s="23">
        <v>-1253</v>
      </c>
      <c r="I9" s="2">
        <f t="shared" si="0"/>
        <v>-9139</v>
      </c>
      <c r="J9" s="4">
        <f t="shared" si="1"/>
        <v>-10054</v>
      </c>
      <c r="K9" s="2">
        <f t="shared" si="2"/>
        <v>-10414</v>
      </c>
      <c r="L9" s="3">
        <f t="shared" si="3"/>
        <v>-8801</v>
      </c>
    </row>
    <row r="10" spans="1:12" s="35" customFormat="1" ht="12.75">
      <c r="A10" s="51" t="s">
        <v>53</v>
      </c>
      <c r="B10" s="12">
        <v>135283</v>
      </c>
      <c r="C10" s="5">
        <v>141564</v>
      </c>
      <c r="D10" s="23">
        <v>134936</v>
      </c>
      <c r="E10" s="4">
        <v>10223</v>
      </c>
      <c r="F10" s="4">
        <v>130301</v>
      </c>
      <c r="G10" s="4">
        <v>5717</v>
      </c>
      <c r="H10" s="23">
        <v>-347</v>
      </c>
      <c r="I10" s="2">
        <f t="shared" si="0"/>
        <v>-10570</v>
      </c>
      <c r="J10" s="4">
        <f t="shared" si="1"/>
        <v>-11263</v>
      </c>
      <c r="K10" s="2">
        <f t="shared" si="2"/>
        <v>-16980</v>
      </c>
      <c r="L10" s="3">
        <f t="shared" si="3"/>
        <v>-10916</v>
      </c>
    </row>
    <row r="11" spans="1:12" s="35" customFormat="1" ht="12.75">
      <c r="A11" s="51" t="s">
        <v>54</v>
      </c>
      <c r="B11" s="12">
        <v>167812</v>
      </c>
      <c r="C11" s="5">
        <v>173539</v>
      </c>
      <c r="D11" s="23">
        <v>169510</v>
      </c>
      <c r="E11" s="4">
        <v>12538</v>
      </c>
      <c r="F11" s="4">
        <v>164264</v>
      </c>
      <c r="G11" s="4">
        <v>7293</v>
      </c>
      <c r="H11" s="23">
        <v>1698</v>
      </c>
      <c r="I11" s="2">
        <f t="shared" si="0"/>
        <v>-10840</v>
      </c>
      <c r="J11" s="4">
        <f t="shared" si="1"/>
        <v>-9275</v>
      </c>
      <c r="K11" s="2">
        <f t="shared" si="2"/>
        <v>-16568</v>
      </c>
      <c r="L11" s="3">
        <f t="shared" si="3"/>
        <v>-10973</v>
      </c>
    </row>
    <row r="12" spans="1:12" s="35" customFormat="1" ht="13.5" thickBot="1">
      <c r="A12" s="337" t="s">
        <v>55</v>
      </c>
      <c r="B12" s="338">
        <v>200842</v>
      </c>
      <c r="C12" s="167">
        <v>206906</v>
      </c>
      <c r="D12" s="27">
        <v>210749</v>
      </c>
      <c r="E12" s="6">
        <v>20931</v>
      </c>
      <c r="F12" s="6">
        <v>201042</v>
      </c>
      <c r="G12" s="6">
        <v>10971</v>
      </c>
      <c r="H12" s="165">
        <v>9907</v>
      </c>
      <c r="I12" s="166">
        <f t="shared" si="0"/>
        <v>-11024</v>
      </c>
      <c r="J12" s="166">
        <f t="shared" si="1"/>
        <v>-5864</v>
      </c>
      <c r="K12" s="166">
        <f t="shared" si="2"/>
        <v>-16835</v>
      </c>
      <c r="L12" s="167">
        <f t="shared" si="3"/>
        <v>-15771</v>
      </c>
    </row>
    <row r="13" spans="1:12" ht="12.75" hidden="1">
      <c r="A13" s="49" t="s">
        <v>56</v>
      </c>
      <c r="B13" s="40">
        <v>230948</v>
      </c>
      <c r="C13" s="76">
        <v>232448</v>
      </c>
      <c r="D13" s="41"/>
      <c r="E13" s="43">
        <v>221507</v>
      </c>
      <c r="F13" s="76">
        <v>238381</v>
      </c>
      <c r="G13" s="76"/>
      <c r="H13" s="26">
        <v>-9441</v>
      </c>
      <c r="I13" s="11">
        <v>5933</v>
      </c>
      <c r="J13" s="391">
        <f aca="true" t="shared" si="4" ref="J13:J18">+I13-H13</f>
        <v>15374</v>
      </c>
      <c r="K13" s="229">
        <v>0</v>
      </c>
      <c r="L13" s="86"/>
    </row>
    <row r="14" spans="1:12" ht="12.75" hidden="1">
      <c r="A14" s="51" t="s">
        <v>57</v>
      </c>
      <c r="B14" s="38">
        <v>258229</v>
      </c>
      <c r="C14" s="77">
        <v>261948</v>
      </c>
      <c r="D14" s="39"/>
      <c r="E14" s="36">
        <v>247782</v>
      </c>
      <c r="F14" s="77">
        <v>265712</v>
      </c>
      <c r="G14" s="77"/>
      <c r="H14" s="26">
        <v>-10447</v>
      </c>
      <c r="I14" s="11">
        <v>3764</v>
      </c>
      <c r="J14" s="377">
        <f t="shared" si="4"/>
        <v>14211</v>
      </c>
      <c r="K14" s="393">
        <v>0</v>
      </c>
      <c r="L14" s="14"/>
    </row>
    <row r="15" spans="1:12" ht="12.75" hidden="1">
      <c r="A15" s="51" t="s">
        <v>58</v>
      </c>
      <c r="B15" s="23">
        <v>288576</v>
      </c>
      <c r="C15" s="12">
        <v>293234</v>
      </c>
      <c r="D15" s="5"/>
      <c r="E15" s="42">
        <v>278409</v>
      </c>
      <c r="F15" s="12">
        <v>295292</v>
      </c>
      <c r="G15" s="12"/>
      <c r="H15" s="23">
        <v>-10167</v>
      </c>
      <c r="I15" s="12">
        <v>2058</v>
      </c>
      <c r="J15" s="377">
        <f t="shared" si="4"/>
        <v>12225</v>
      </c>
      <c r="K15" s="287">
        <v>0</v>
      </c>
      <c r="L15" s="14"/>
    </row>
    <row r="16" spans="1:12" ht="12.75" hidden="1">
      <c r="A16" s="53" t="s">
        <v>59</v>
      </c>
      <c r="B16" s="38">
        <v>318925</v>
      </c>
      <c r="C16" s="77">
        <v>327243</v>
      </c>
      <c r="D16" s="39"/>
      <c r="E16" s="36">
        <v>311285</v>
      </c>
      <c r="F16" s="77">
        <v>323544</v>
      </c>
      <c r="G16" s="77"/>
      <c r="H16" s="23">
        <v>-7640</v>
      </c>
      <c r="I16" s="12">
        <v>-3699</v>
      </c>
      <c r="J16" s="377">
        <f t="shared" si="4"/>
        <v>3941</v>
      </c>
      <c r="K16" s="393">
        <v>0</v>
      </c>
      <c r="L16" s="14"/>
    </row>
    <row r="17" spans="1:12" ht="12.75" hidden="1">
      <c r="A17" s="51" t="s">
        <v>60</v>
      </c>
      <c r="B17" s="38">
        <v>352774</v>
      </c>
      <c r="C17" s="77">
        <v>362794</v>
      </c>
      <c r="D17" s="39"/>
      <c r="E17" s="36">
        <v>339922</v>
      </c>
      <c r="F17" s="77">
        <v>356646</v>
      </c>
      <c r="G17" s="77"/>
      <c r="H17" s="23">
        <v>-12852</v>
      </c>
      <c r="I17" s="12">
        <v>-6148</v>
      </c>
      <c r="J17" s="377">
        <f t="shared" si="4"/>
        <v>6704</v>
      </c>
      <c r="K17" s="393">
        <v>0</v>
      </c>
      <c r="L17" s="14"/>
    </row>
    <row r="18" spans="1:12" ht="13.5" hidden="1" thickBot="1">
      <c r="A18" s="55" t="s">
        <v>61</v>
      </c>
      <c r="B18" s="27">
        <v>388517.94</v>
      </c>
      <c r="C18" s="78">
        <v>389970.77</v>
      </c>
      <c r="D18" s="7"/>
      <c r="E18" s="37">
        <v>388920.06</v>
      </c>
      <c r="F18" s="78">
        <v>390041.76</v>
      </c>
      <c r="G18" s="78"/>
      <c r="H18" s="27">
        <v>402.11999999993714</v>
      </c>
      <c r="I18" s="78">
        <v>70.98999999999069</v>
      </c>
      <c r="J18" s="378">
        <f t="shared" si="4"/>
        <v>-331.12999999994645</v>
      </c>
      <c r="K18" s="394">
        <v>0</v>
      </c>
      <c r="L18" s="15"/>
    </row>
    <row r="20" spans="1:12" ht="12.75" customHeight="1">
      <c r="A20" s="905" t="s">
        <v>409</v>
      </c>
      <c r="B20" s="820"/>
      <c r="C20" s="820"/>
      <c r="D20" s="820"/>
      <c r="E20" s="820"/>
      <c r="F20" s="820"/>
      <c r="G20" s="820"/>
      <c r="H20" s="820"/>
      <c r="I20" s="820"/>
      <c r="J20" s="820"/>
      <c r="K20" s="820"/>
      <c r="L20" s="821"/>
    </row>
    <row r="21" spans="1:12" ht="12.75">
      <c r="A21" s="1023"/>
      <c r="B21" s="1024"/>
      <c r="C21" s="1024"/>
      <c r="D21" s="1024"/>
      <c r="E21" s="1024"/>
      <c r="F21" s="1024"/>
      <c r="G21" s="1024"/>
      <c r="H21" s="1024"/>
      <c r="I21" s="1024"/>
      <c r="J21" s="1024"/>
      <c r="K21" s="1024"/>
      <c r="L21" s="1025"/>
    </row>
    <row r="22" spans="1:12" ht="12.75">
      <c r="A22" s="1023"/>
      <c r="B22" s="1024"/>
      <c r="C22" s="1024"/>
      <c r="D22" s="1024"/>
      <c r="E22" s="1024"/>
      <c r="F22" s="1024"/>
      <c r="G22" s="1024"/>
      <c r="H22" s="1024"/>
      <c r="I22" s="1024"/>
      <c r="J22" s="1024"/>
      <c r="K22" s="1024"/>
      <c r="L22" s="1025"/>
    </row>
    <row r="23" spans="1:12" ht="12.75">
      <c r="A23" s="1026"/>
      <c r="B23" s="823"/>
      <c r="C23" s="823"/>
      <c r="D23" s="823"/>
      <c r="E23" s="823"/>
      <c r="F23" s="823"/>
      <c r="G23" s="823"/>
      <c r="H23" s="823"/>
      <c r="I23" s="823"/>
      <c r="J23" s="823"/>
      <c r="K23" s="823"/>
      <c r="L23" s="824"/>
    </row>
    <row r="24" spans="1:11" ht="12.75">
      <c r="A24" s="70"/>
      <c r="B24" s="70"/>
      <c r="C24" s="70"/>
      <c r="D24" s="70"/>
      <c r="E24" s="70"/>
      <c r="F24" s="70"/>
      <c r="G24" s="70"/>
      <c r="H24" s="70"/>
      <c r="I24" s="70"/>
      <c r="J24" s="70"/>
      <c r="K24" s="70"/>
    </row>
    <row r="25" ht="16.5" thickBot="1">
      <c r="A25" s="25" t="s">
        <v>72</v>
      </c>
    </row>
    <row r="26" spans="1:12" ht="12.75">
      <c r="A26" s="970" t="s">
        <v>45</v>
      </c>
      <c r="B26" s="972" t="s">
        <v>46</v>
      </c>
      <c r="C26" s="889" t="s">
        <v>47</v>
      </c>
      <c r="D26" s="889" t="s">
        <v>48</v>
      </c>
      <c r="E26" s="914" t="s">
        <v>31</v>
      </c>
      <c r="F26" s="915" t="s">
        <v>62</v>
      </c>
      <c r="G26" s="744"/>
      <c r="H26" s="744"/>
      <c r="I26" s="744"/>
      <c r="J26" s="744"/>
      <c r="K26" s="916"/>
      <c r="L26" s="734" t="s">
        <v>21</v>
      </c>
    </row>
    <row r="27" spans="1:12" s="35" customFormat="1" ht="18" customHeight="1" thickBot="1">
      <c r="A27" s="971"/>
      <c r="B27" s="1074"/>
      <c r="C27" s="1064" t="s">
        <v>47</v>
      </c>
      <c r="D27" s="1064" t="s">
        <v>48</v>
      </c>
      <c r="E27" s="865" t="s">
        <v>31</v>
      </c>
      <c r="F27" s="91" t="s">
        <v>63</v>
      </c>
      <c r="G27" s="91" t="s">
        <v>64</v>
      </c>
      <c r="H27" s="91" t="s">
        <v>65</v>
      </c>
      <c r="I27" s="91" t="s">
        <v>66</v>
      </c>
      <c r="J27" s="91" t="s">
        <v>67</v>
      </c>
      <c r="K27" s="82" t="s">
        <v>31</v>
      </c>
      <c r="L27" s="891"/>
    </row>
    <row r="28" spans="1:12" ht="12.75">
      <c r="A28" s="380">
        <v>37986</v>
      </c>
      <c r="B28" s="345">
        <v>18973.85</v>
      </c>
      <c r="C28" s="345">
        <v>0</v>
      </c>
      <c r="D28" s="345">
        <v>119.18</v>
      </c>
      <c r="E28" s="346">
        <f>SUM(B28:D28)</f>
        <v>19093.03</v>
      </c>
      <c r="F28" s="344">
        <v>9123.7</v>
      </c>
      <c r="G28" s="345">
        <v>150.79</v>
      </c>
      <c r="H28" s="345">
        <v>152.55</v>
      </c>
      <c r="I28" s="345"/>
      <c r="J28" s="345"/>
      <c r="K28" s="348">
        <f>SUM(F28:J28)</f>
        <v>9427.04</v>
      </c>
      <c r="L28" s="349">
        <v>1560</v>
      </c>
    </row>
    <row r="29" spans="1:12" ht="13.5" thickBot="1">
      <c r="A29" s="98">
        <v>38352</v>
      </c>
      <c r="B29" s="99">
        <v>14614.86</v>
      </c>
      <c r="C29" s="89">
        <v>0</v>
      </c>
      <c r="D29" s="89">
        <v>265.56</v>
      </c>
      <c r="E29" s="24">
        <v>14880.42</v>
      </c>
      <c r="F29" s="88">
        <v>6813</v>
      </c>
      <c r="G29" s="89">
        <v>111.18</v>
      </c>
      <c r="H29" s="89">
        <v>-6.93</v>
      </c>
      <c r="I29" s="89">
        <v>6.64</v>
      </c>
      <c r="J29" s="89">
        <v>-0.9</v>
      </c>
      <c r="K29" s="100">
        <v>6922.99</v>
      </c>
      <c r="L29" s="354">
        <v>720</v>
      </c>
    </row>
    <row r="30" spans="1:12" ht="12.75">
      <c r="A30" s="49">
        <v>38383</v>
      </c>
      <c r="B30" s="50">
        <v>23574</v>
      </c>
      <c r="C30" s="44">
        <v>0</v>
      </c>
      <c r="D30" s="44">
        <v>266</v>
      </c>
      <c r="E30" s="92">
        <f aca="true" t="shared" si="5" ref="E30:E41">SUM(B30:D30)</f>
        <v>23840</v>
      </c>
      <c r="F30" s="64">
        <v>5471</v>
      </c>
      <c r="G30" s="44">
        <v>106</v>
      </c>
      <c r="H30" s="44">
        <v>-7</v>
      </c>
      <c r="I30" s="44">
        <v>7</v>
      </c>
      <c r="J30" s="44">
        <v>-1</v>
      </c>
      <c r="K30" s="94">
        <f aca="true" t="shared" si="6" ref="K30:K41">SUM(F30:J30)</f>
        <v>5576</v>
      </c>
      <c r="L30" s="457">
        <v>720</v>
      </c>
    </row>
    <row r="31" spans="1:12" ht="12.75">
      <c r="A31" s="51" t="s">
        <v>11</v>
      </c>
      <c r="B31" s="52">
        <v>24743</v>
      </c>
      <c r="C31" s="45">
        <v>0</v>
      </c>
      <c r="D31" s="45">
        <v>151</v>
      </c>
      <c r="E31" s="92">
        <f t="shared" si="5"/>
        <v>24894</v>
      </c>
      <c r="F31" s="58">
        <v>9452</v>
      </c>
      <c r="G31" s="45">
        <v>1792</v>
      </c>
      <c r="H31" s="45">
        <v>62</v>
      </c>
      <c r="I31" s="45"/>
      <c r="J31" s="45"/>
      <c r="K31" s="95">
        <f t="shared" si="6"/>
        <v>11306</v>
      </c>
      <c r="L31" s="458">
        <v>720</v>
      </c>
    </row>
    <row r="32" spans="1:12" ht="12.75">
      <c r="A32" s="51">
        <v>38442</v>
      </c>
      <c r="B32" s="52">
        <v>28216</v>
      </c>
      <c r="C32" s="45">
        <v>0</v>
      </c>
      <c r="D32" s="45">
        <v>122</v>
      </c>
      <c r="E32" s="92">
        <f t="shared" si="5"/>
        <v>28338</v>
      </c>
      <c r="F32" s="58">
        <v>9349</v>
      </c>
      <c r="G32" s="45">
        <v>4508</v>
      </c>
      <c r="H32" s="45">
        <v>29</v>
      </c>
      <c r="I32" s="45"/>
      <c r="J32" s="45"/>
      <c r="K32" s="95">
        <f t="shared" si="6"/>
        <v>13886</v>
      </c>
      <c r="L32" s="110">
        <v>510</v>
      </c>
    </row>
    <row r="33" spans="1:12" ht="12.75">
      <c r="A33" s="51">
        <v>38472</v>
      </c>
      <c r="B33" s="50">
        <v>28029</v>
      </c>
      <c r="C33" s="44">
        <v>50</v>
      </c>
      <c r="D33" s="44">
        <v>172</v>
      </c>
      <c r="E33" s="92">
        <f t="shared" si="5"/>
        <v>28251</v>
      </c>
      <c r="F33" s="58">
        <v>8125</v>
      </c>
      <c r="G33" s="45">
        <v>3672</v>
      </c>
      <c r="H33" s="45">
        <v>72</v>
      </c>
      <c r="I33" s="45"/>
      <c r="J33" s="45"/>
      <c r="K33" s="95">
        <f t="shared" si="6"/>
        <v>11869</v>
      </c>
      <c r="L33" s="411">
        <v>510</v>
      </c>
    </row>
    <row r="34" spans="1:12" ht="12.75">
      <c r="A34" s="51">
        <v>38503</v>
      </c>
      <c r="B34" s="52">
        <v>28342</v>
      </c>
      <c r="C34" s="45">
        <v>50</v>
      </c>
      <c r="D34" s="45">
        <v>48</v>
      </c>
      <c r="E34" s="92">
        <f t="shared" si="5"/>
        <v>28440</v>
      </c>
      <c r="F34" s="58">
        <v>9157</v>
      </c>
      <c r="G34" s="45">
        <v>3173</v>
      </c>
      <c r="H34" s="45"/>
      <c r="I34" s="45"/>
      <c r="J34" s="45">
        <v>-1</v>
      </c>
      <c r="K34" s="95">
        <f t="shared" si="6"/>
        <v>12329</v>
      </c>
      <c r="L34" s="458">
        <v>510</v>
      </c>
    </row>
    <row r="35" spans="1:12" ht="13.5" thickBot="1">
      <c r="A35" s="337">
        <v>38533</v>
      </c>
      <c r="B35" s="341">
        <v>24167</v>
      </c>
      <c r="C35" s="341">
        <v>50</v>
      </c>
      <c r="D35" s="341">
        <v>71</v>
      </c>
      <c r="E35" s="93">
        <f t="shared" si="5"/>
        <v>24288</v>
      </c>
      <c r="F35" s="340">
        <v>7721</v>
      </c>
      <c r="G35" s="341">
        <v>2319</v>
      </c>
      <c r="H35" s="341">
        <v>-1</v>
      </c>
      <c r="I35" s="341"/>
      <c r="J35" s="341"/>
      <c r="K35" s="96">
        <f t="shared" si="6"/>
        <v>10039</v>
      </c>
      <c r="L35" s="412">
        <v>300</v>
      </c>
    </row>
    <row r="36" spans="1:12" ht="12.75" hidden="1">
      <c r="A36" s="49">
        <v>38199</v>
      </c>
      <c r="B36" s="44"/>
      <c r="C36" s="44"/>
      <c r="D36" s="44"/>
      <c r="E36" s="92">
        <f t="shared" si="5"/>
        <v>0</v>
      </c>
      <c r="F36" s="50"/>
      <c r="G36" s="44"/>
      <c r="H36" s="44"/>
      <c r="I36" s="44"/>
      <c r="J36" s="44"/>
      <c r="K36" s="94">
        <f t="shared" si="6"/>
        <v>0</v>
      </c>
      <c r="L36" s="106"/>
    </row>
    <row r="37" spans="1:12" ht="12.75" hidden="1">
      <c r="A37" s="51">
        <v>38230</v>
      </c>
      <c r="B37" s="52"/>
      <c r="C37" s="45"/>
      <c r="D37" s="45"/>
      <c r="E37" s="92">
        <f t="shared" si="5"/>
        <v>0</v>
      </c>
      <c r="F37" s="52"/>
      <c r="G37" s="45"/>
      <c r="H37" s="45"/>
      <c r="I37" s="45"/>
      <c r="J37" s="45"/>
      <c r="K37" s="95">
        <f t="shared" si="6"/>
        <v>0</v>
      </c>
      <c r="L37" s="104"/>
    </row>
    <row r="38" spans="1:12" ht="12.75" hidden="1">
      <c r="A38" s="51">
        <v>38260</v>
      </c>
      <c r="B38" s="52"/>
      <c r="C38" s="45"/>
      <c r="D38" s="45"/>
      <c r="E38" s="92">
        <f t="shared" si="5"/>
        <v>0</v>
      </c>
      <c r="F38" s="52"/>
      <c r="G38" s="45"/>
      <c r="H38" s="45"/>
      <c r="I38" s="45"/>
      <c r="J38" s="45"/>
      <c r="K38" s="95">
        <f t="shared" si="6"/>
        <v>0</v>
      </c>
      <c r="L38" s="104"/>
    </row>
    <row r="39" spans="1:12" ht="12.75" hidden="1">
      <c r="A39" s="53">
        <v>38291</v>
      </c>
      <c r="B39" s="54"/>
      <c r="C39" s="46"/>
      <c r="D39" s="46"/>
      <c r="E39" s="92">
        <f t="shared" si="5"/>
        <v>0</v>
      </c>
      <c r="F39" s="54"/>
      <c r="G39" s="46"/>
      <c r="H39" s="46"/>
      <c r="I39" s="46"/>
      <c r="J39" s="46"/>
      <c r="K39" s="95">
        <f t="shared" si="6"/>
        <v>0</v>
      </c>
      <c r="L39" s="104"/>
    </row>
    <row r="40" spans="1:12" ht="12.75" hidden="1">
      <c r="A40" s="51">
        <v>38321</v>
      </c>
      <c r="B40" s="52"/>
      <c r="C40" s="45"/>
      <c r="D40" s="45"/>
      <c r="E40" s="92">
        <f t="shared" si="5"/>
        <v>0</v>
      </c>
      <c r="F40" s="58"/>
      <c r="G40" s="45"/>
      <c r="H40" s="45"/>
      <c r="I40" s="45"/>
      <c r="J40" s="45"/>
      <c r="K40" s="95">
        <f t="shared" si="6"/>
        <v>0</v>
      </c>
      <c r="L40" s="104"/>
    </row>
    <row r="41" spans="1:12" ht="13.5" hidden="1" thickBot="1">
      <c r="A41" s="55">
        <v>38352</v>
      </c>
      <c r="B41" s="56"/>
      <c r="C41" s="57"/>
      <c r="D41" s="57"/>
      <c r="E41" s="93">
        <f t="shared" si="5"/>
        <v>0</v>
      </c>
      <c r="F41" s="56"/>
      <c r="G41" s="57"/>
      <c r="H41" s="57"/>
      <c r="I41" s="57"/>
      <c r="J41" s="57"/>
      <c r="K41" s="96">
        <f t="shared" si="6"/>
        <v>0</v>
      </c>
      <c r="L41" s="105"/>
    </row>
    <row r="42" spans="1:12" ht="12.75">
      <c r="A42" s="111" t="s">
        <v>79</v>
      </c>
      <c r="B42" s="72"/>
      <c r="C42" s="72"/>
      <c r="D42" s="72"/>
      <c r="E42" s="73"/>
      <c r="F42" s="72"/>
      <c r="G42" s="72"/>
      <c r="H42" s="72"/>
      <c r="I42" s="72"/>
      <c r="J42" s="72"/>
      <c r="K42" s="72"/>
      <c r="L42" s="109"/>
    </row>
    <row r="43" spans="1:11" ht="12.75">
      <c r="A43" s="71"/>
      <c r="B43" s="72"/>
      <c r="C43" s="72"/>
      <c r="D43" s="72"/>
      <c r="E43" s="73"/>
      <c r="F43" s="72"/>
      <c r="G43" s="72"/>
      <c r="H43" s="72"/>
      <c r="I43" s="72"/>
      <c r="J43" s="72"/>
      <c r="K43" s="72"/>
    </row>
    <row r="44" ht="16.5" thickBot="1">
      <c r="A44" s="25" t="s">
        <v>73</v>
      </c>
    </row>
    <row r="45" spans="1:12" ht="22.5" customHeight="1" thickBot="1">
      <c r="A45" s="970" t="s">
        <v>45</v>
      </c>
      <c r="B45" s="972" t="s">
        <v>68</v>
      </c>
      <c r="C45" s="889" t="s">
        <v>69</v>
      </c>
      <c r="D45" s="889" t="s">
        <v>70</v>
      </c>
      <c r="E45" s="914" t="s">
        <v>31</v>
      </c>
      <c r="F45" s="1057" t="s">
        <v>62</v>
      </c>
      <c r="G45" s="1075"/>
      <c r="H45" s="1075"/>
      <c r="I45" s="1075"/>
      <c r="J45" s="1075"/>
      <c r="K45" s="1075"/>
      <c r="L45" s="734" t="s">
        <v>191</v>
      </c>
    </row>
    <row r="46" spans="1:12" ht="33" customHeight="1" thickBot="1">
      <c r="A46" s="971"/>
      <c r="B46" s="973"/>
      <c r="C46" s="890" t="s">
        <v>47</v>
      </c>
      <c r="D46" s="890" t="s">
        <v>48</v>
      </c>
      <c r="E46" s="864" t="s">
        <v>31</v>
      </c>
      <c r="F46" s="231" t="s">
        <v>63</v>
      </c>
      <c r="G46" s="232" t="s">
        <v>64</v>
      </c>
      <c r="H46" s="232" t="s">
        <v>65</v>
      </c>
      <c r="I46" s="232" t="s">
        <v>66</v>
      </c>
      <c r="J46" s="232" t="s">
        <v>67</v>
      </c>
      <c r="K46" s="263" t="s">
        <v>31</v>
      </c>
      <c r="L46" s="891"/>
    </row>
    <row r="47" spans="1:12" ht="12.75">
      <c r="A47" s="380">
        <v>37986</v>
      </c>
      <c r="B47" s="383">
        <v>40603</v>
      </c>
      <c r="C47" s="384">
        <v>204</v>
      </c>
      <c r="D47" s="384">
        <v>1193</v>
      </c>
      <c r="E47" s="346">
        <f>SUM(B47:D47)</f>
        <v>42000</v>
      </c>
      <c r="F47" s="385">
        <v>1742</v>
      </c>
      <c r="G47" s="347">
        <v>62</v>
      </c>
      <c r="H47" s="347">
        <v>52</v>
      </c>
      <c r="I47" s="347">
        <v>151</v>
      </c>
      <c r="J47" s="347">
        <v>687</v>
      </c>
      <c r="K47" s="386">
        <f>SUM(F47:J47)</f>
        <v>2694</v>
      </c>
      <c r="L47" s="349">
        <f aca="true" t="shared" si="7" ref="L47:L60">+E47-E28</f>
        <v>22906.97</v>
      </c>
    </row>
    <row r="48" spans="1:12" ht="12" customHeight="1" thickBot="1">
      <c r="A48" s="98">
        <v>38352</v>
      </c>
      <c r="B48" s="387">
        <v>51452.59</v>
      </c>
      <c r="C48" s="388">
        <v>44.35</v>
      </c>
      <c r="D48" s="388">
        <v>848.34</v>
      </c>
      <c r="E48" s="24">
        <v>52345.28</v>
      </c>
      <c r="F48" s="187">
        <v>12985.2</v>
      </c>
      <c r="G48" s="188">
        <v>577.58</v>
      </c>
      <c r="H48" s="188">
        <v>25.8</v>
      </c>
      <c r="I48" s="188">
        <v>85.49</v>
      </c>
      <c r="J48" s="188">
        <v>686.15</v>
      </c>
      <c r="K48" s="262">
        <v>14360.22</v>
      </c>
      <c r="L48" s="354">
        <f t="shared" si="7"/>
        <v>37464.86</v>
      </c>
    </row>
    <row r="49" spans="1:12" ht="12.75">
      <c r="A49" s="49">
        <v>38383</v>
      </c>
      <c r="B49" s="50">
        <v>56846</v>
      </c>
      <c r="C49" s="44">
        <v>149</v>
      </c>
      <c r="D49" s="44">
        <v>766</v>
      </c>
      <c r="E49" s="92">
        <f aca="true" t="shared" si="8" ref="E49:E60">SUM(B49:D49)</f>
        <v>57761</v>
      </c>
      <c r="F49" s="64">
        <v>13372</v>
      </c>
      <c r="G49" s="44">
        <v>15</v>
      </c>
      <c r="H49" s="44">
        <v>13</v>
      </c>
      <c r="I49" s="44">
        <v>26</v>
      </c>
      <c r="J49" s="44">
        <v>682</v>
      </c>
      <c r="K49" s="101">
        <f aca="true" t="shared" si="9" ref="K49:K60">SUM(F49:J49)</f>
        <v>14108</v>
      </c>
      <c r="L49" s="265">
        <f t="shared" si="7"/>
        <v>33921</v>
      </c>
    </row>
    <row r="50" spans="1:12" ht="12.75">
      <c r="A50" s="51" t="s">
        <v>11</v>
      </c>
      <c r="B50" s="52">
        <v>70347</v>
      </c>
      <c r="C50" s="45">
        <v>59</v>
      </c>
      <c r="D50" s="45">
        <v>832</v>
      </c>
      <c r="E50" s="92">
        <f t="shared" si="8"/>
        <v>71238</v>
      </c>
      <c r="F50" s="58">
        <v>14513</v>
      </c>
      <c r="G50" s="45">
        <v>1668</v>
      </c>
      <c r="H50" s="45">
        <v>17</v>
      </c>
      <c r="I50" s="45">
        <v>26</v>
      </c>
      <c r="J50" s="45">
        <v>682</v>
      </c>
      <c r="K50" s="102">
        <f t="shared" si="9"/>
        <v>16906</v>
      </c>
      <c r="L50" s="110">
        <f t="shared" si="7"/>
        <v>46344</v>
      </c>
    </row>
    <row r="51" spans="1:12" ht="12.75">
      <c r="A51" s="51">
        <v>38442</v>
      </c>
      <c r="B51" s="52">
        <v>59476</v>
      </c>
      <c r="C51" s="45">
        <v>71</v>
      </c>
      <c r="D51" s="45">
        <v>959</v>
      </c>
      <c r="E51" s="92">
        <f t="shared" si="8"/>
        <v>60506</v>
      </c>
      <c r="F51" s="58">
        <v>16742</v>
      </c>
      <c r="G51" s="45">
        <v>42</v>
      </c>
      <c r="H51" s="45">
        <v>22</v>
      </c>
      <c r="I51" s="45">
        <v>21</v>
      </c>
      <c r="J51" s="45">
        <v>687</v>
      </c>
      <c r="K51" s="102">
        <f t="shared" si="9"/>
        <v>17514</v>
      </c>
      <c r="L51" s="110">
        <f t="shared" si="7"/>
        <v>32168</v>
      </c>
    </row>
    <row r="52" spans="1:12" ht="12.75">
      <c r="A52" s="51">
        <v>38472</v>
      </c>
      <c r="B52" s="52">
        <v>47445</v>
      </c>
      <c r="C52" s="45">
        <v>69</v>
      </c>
      <c r="D52" s="45">
        <v>848</v>
      </c>
      <c r="E52" s="92">
        <f t="shared" si="8"/>
        <v>48362</v>
      </c>
      <c r="F52" s="58">
        <v>2123</v>
      </c>
      <c r="G52" s="45">
        <v>65</v>
      </c>
      <c r="H52" s="45">
        <v>10</v>
      </c>
      <c r="I52" s="45">
        <v>21</v>
      </c>
      <c r="J52" s="45">
        <v>687</v>
      </c>
      <c r="K52" s="102">
        <f t="shared" si="9"/>
        <v>2906</v>
      </c>
      <c r="L52" s="110">
        <f t="shared" si="7"/>
        <v>20111</v>
      </c>
    </row>
    <row r="53" spans="1:12" ht="12.75">
      <c r="A53" s="51">
        <v>38503</v>
      </c>
      <c r="B53" s="52">
        <v>49676</v>
      </c>
      <c r="C53" s="45">
        <v>44</v>
      </c>
      <c r="D53" s="45">
        <v>992</v>
      </c>
      <c r="E53" s="92">
        <f t="shared" si="8"/>
        <v>50712</v>
      </c>
      <c r="F53" s="58">
        <v>4910</v>
      </c>
      <c r="G53" s="45">
        <v>111</v>
      </c>
      <c r="H53" s="45">
        <v>46</v>
      </c>
      <c r="I53" s="45">
        <v>21</v>
      </c>
      <c r="J53" s="45">
        <v>687</v>
      </c>
      <c r="K53" s="102">
        <f t="shared" si="9"/>
        <v>5775</v>
      </c>
      <c r="L53" s="110">
        <f t="shared" si="7"/>
        <v>22272</v>
      </c>
    </row>
    <row r="54" spans="1:12" ht="13.5" thickBot="1">
      <c r="A54" s="337">
        <v>38533</v>
      </c>
      <c r="B54" s="342">
        <v>50907</v>
      </c>
      <c r="C54" s="341">
        <v>59</v>
      </c>
      <c r="D54" s="341">
        <v>1131</v>
      </c>
      <c r="E54" s="350">
        <f t="shared" si="8"/>
        <v>52097</v>
      </c>
      <c r="F54" s="340">
        <v>6756</v>
      </c>
      <c r="G54" s="341">
        <v>1466</v>
      </c>
      <c r="H54" s="341">
        <v>71</v>
      </c>
      <c r="I54" s="341">
        <v>4</v>
      </c>
      <c r="J54" s="341">
        <v>708</v>
      </c>
      <c r="K54" s="103">
        <f t="shared" si="9"/>
        <v>9005</v>
      </c>
      <c r="L54" s="264">
        <f t="shared" si="7"/>
        <v>27809</v>
      </c>
    </row>
    <row r="55" spans="1:12" ht="12.75" hidden="1">
      <c r="A55" s="49">
        <v>38199</v>
      </c>
      <c r="B55" s="50"/>
      <c r="C55" s="44"/>
      <c r="D55" s="44"/>
      <c r="E55" s="92">
        <f t="shared" si="8"/>
        <v>0</v>
      </c>
      <c r="F55" s="64"/>
      <c r="G55" s="44"/>
      <c r="H55" s="44"/>
      <c r="I55" s="44"/>
      <c r="J55" s="44"/>
      <c r="K55" s="101">
        <f t="shared" si="9"/>
        <v>0</v>
      </c>
      <c r="L55" s="265">
        <f t="shared" si="7"/>
        <v>0</v>
      </c>
    </row>
    <row r="56" spans="1:12" ht="12.75" hidden="1">
      <c r="A56" s="51">
        <v>38230</v>
      </c>
      <c r="B56" s="52"/>
      <c r="C56" s="45"/>
      <c r="D56" s="45"/>
      <c r="E56" s="92">
        <f t="shared" si="8"/>
        <v>0</v>
      </c>
      <c r="F56" s="58"/>
      <c r="G56" s="45"/>
      <c r="H56" s="45"/>
      <c r="I56" s="45"/>
      <c r="J56" s="45"/>
      <c r="K56" s="102">
        <f t="shared" si="9"/>
        <v>0</v>
      </c>
      <c r="L56" s="110">
        <f t="shared" si="7"/>
        <v>0</v>
      </c>
    </row>
    <row r="57" spans="1:12" ht="12.75" hidden="1">
      <c r="A57" s="51">
        <v>38260</v>
      </c>
      <c r="B57" s="52"/>
      <c r="C57" s="45"/>
      <c r="D57" s="45"/>
      <c r="E57" s="92">
        <f t="shared" si="8"/>
        <v>0</v>
      </c>
      <c r="F57" s="58"/>
      <c r="G57" s="45"/>
      <c r="H57" s="45"/>
      <c r="I57" s="45"/>
      <c r="J57" s="45"/>
      <c r="K57" s="102">
        <f t="shared" si="9"/>
        <v>0</v>
      </c>
      <c r="L57" s="110">
        <f t="shared" si="7"/>
        <v>0</v>
      </c>
    </row>
    <row r="58" spans="1:12" ht="12.75" hidden="1">
      <c r="A58" s="53">
        <v>38291</v>
      </c>
      <c r="B58" s="54"/>
      <c r="C58" s="46"/>
      <c r="D58" s="46"/>
      <c r="E58" s="92">
        <f t="shared" si="8"/>
        <v>0</v>
      </c>
      <c r="F58" s="66"/>
      <c r="G58" s="46"/>
      <c r="H58" s="46"/>
      <c r="I58" s="46"/>
      <c r="J58" s="46"/>
      <c r="K58" s="102">
        <f t="shared" si="9"/>
        <v>0</v>
      </c>
      <c r="L58" s="110">
        <f t="shared" si="7"/>
        <v>0</v>
      </c>
    </row>
    <row r="59" spans="1:12" ht="12.75" hidden="1">
      <c r="A59" s="51">
        <v>38321</v>
      </c>
      <c r="B59" s="52"/>
      <c r="C59" s="45"/>
      <c r="D59" s="45"/>
      <c r="E59" s="92">
        <f t="shared" si="8"/>
        <v>0</v>
      </c>
      <c r="F59" s="58"/>
      <c r="G59" s="45"/>
      <c r="H59" s="45"/>
      <c r="I59" s="45"/>
      <c r="J59" s="45"/>
      <c r="K59" s="102">
        <f t="shared" si="9"/>
        <v>0</v>
      </c>
      <c r="L59" s="110">
        <f t="shared" si="7"/>
        <v>0</v>
      </c>
    </row>
    <row r="60" spans="1:12" ht="13.5" hidden="1" thickBot="1">
      <c r="A60" s="55">
        <v>38352</v>
      </c>
      <c r="B60" s="56"/>
      <c r="C60" s="57"/>
      <c r="D60" s="57"/>
      <c r="E60" s="93">
        <f t="shared" si="8"/>
        <v>0</v>
      </c>
      <c r="F60" s="67"/>
      <c r="G60" s="57"/>
      <c r="H60" s="57"/>
      <c r="I60" s="57"/>
      <c r="J60" s="57"/>
      <c r="K60" s="103">
        <f t="shared" si="9"/>
        <v>0</v>
      </c>
      <c r="L60" s="264">
        <f t="shared" si="7"/>
        <v>0</v>
      </c>
    </row>
    <row r="62" spans="1:12" ht="12.75" customHeight="1">
      <c r="A62" s="905" t="s">
        <v>411</v>
      </c>
      <c r="B62" s="996"/>
      <c r="C62" s="996"/>
      <c r="D62" s="996"/>
      <c r="E62" s="996"/>
      <c r="F62" s="996"/>
      <c r="G62" s="996"/>
      <c r="H62" s="996"/>
      <c r="I62" s="996"/>
      <c r="J62" s="996"/>
      <c r="K62" s="996"/>
      <c r="L62" s="997"/>
    </row>
    <row r="63" spans="1:12" ht="12.75">
      <c r="A63" s="998"/>
      <c r="B63" s="999"/>
      <c r="C63" s="999"/>
      <c r="D63" s="999"/>
      <c r="E63" s="999"/>
      <c r="F63" s="999"/>
      <c r="G63" s="999"/>
      <c r="H63" s="999"/>
      <c r="I63" s="999"/>
      <c r="J63" s="999"/>
      <c r="K63" s="999"/>
      <c r="L63" s="1000"/>
    </row>
    <row r="64" spans="1:12" ht="12.75">
      <c r="A64" s="998"/>
      <c r="B64" s="999"/>
      <c r="C64" s="999"/>
      <c r="D64" s="999"/>
      <c r="E64" s="999"/>
      <c r="F64" s="999"/>
      <c r="G64" s="999"/>
      <c r="H64" s="999"/>
      <c r="I64" s="999"/>
      <c r="J64" s="999"/>
      <c r="K64" s="999"/>
      <c r="L64" s="1000"/>
    </row>
    <row r="65" spans="1:12" ht="12.75">
      <c r="A65" s="1001"/>
      <c r="B65" s="1002"/>
      <c r="C65" s="1002"/>
      <c r="D65" s="1002"/>
      <c r="E65" s="1002"/>
      <c r="F65" s="1002"/>
      <c r="G65" s="1002"/>
      <c r="H65" s="1002"/>
      <c r="I65" s="1002"/>
      <c r="J65" s="1002"/>
      <c r="K65" s="1002"/>
      <c r="L65" s="1003"/>
    </row>
    <row r="67" ht="16.5" thickBot="1">
      <c r="A67" s="25" t="s">
        <v>93</v>
      </c>
    </row>
    <row r="68" spans="1:12" ht="13.5" customHeight="1">
      <c r="A68" s="926" t="s">
        <v>80</v>
      </c>
      <c r="B68" s="855" t="s">
        <v>42</v>
      </c>
      <c r="C68" s="856"/>
      <c r="D68" s="857"/>
      <c r="E68" s="919" t="s">
        <v>80</v>
      </c>
      <c r="F68" s="920"/>
      <c r="G68" s="856" t="s">
        <v>44</v>
      </c>
      <c r="H68" s="856"/>
      <c r="I68" s="858"/>
      <c r="J68" s="856" t="s">
        <v>1</v>
      </c>
      <c r="K68" s="856"/>
      <c r="L68" s="858"/>
    </row>
    <row r="69" spans="1:12" ht="28.5" customHeight="1" thickBot="1">
      <c r="A69" s="927"/>
      <c r="B69" s="127" t="s">
        <v>90</v>
      </c>
      <c r="C69" s="122" t="s">
        <v>91</v>
      </c>
      <c r="D69" s="124" t="s">
        <v>92</v>
      </c>
      <c r="E69" s="921"/>
      <c r="F69" s="922"/>
      <c r="G69" s="122" t="s">
        <v>90</v>
      </c>
      <c r="H69" s="122" t="s">
        <v>91</v>
      </c>
      <c r="I69" s="123" t="s">
        <v>92</v>
      </c>
      <c r="J69" s="122" t="s">
        <v>90</v>
      </c>
      <c r="K69" s="122" t="s">
        <v>91</v>
      </c>
      <c r="L69" s="123" t="s">
        <v>92</v>
      </c>
    </row>
    <row r="70" spans="1:12" ht="20.25" customHeight="1">
      <c r="A70" s="301" t="s">
        <v>81</v>
      </c>
      <c r="B70" s="115">
        <v>82.5</v>
      </c>
      <c r="C70" s="116">
        <v>35817960</v>
      </c>
      <c r="D70" s="128">
        <f aca="true" t="shared" si="10" ref="D70:D76">+IF(B70&gt;0,C70/B70/12,"")</f>
        <v>36179.757575757576</v>
      </c>
      <c r="E70" s="917" t="s">
        <v>81</v>
      </c>
      <c r="F70" s="918"/>
      <c r="G70" s="355">
        <v>83.21</v>
      </c>
      <c r="H70" s="186">
        <v>35863059</v>
      </c>
      <c r="I70" s="128">
        <f aca="true" t="shared" si="11" ref="I70:I80">+IF(G70&gt;0,H70/G70/12,"")</f>
        <v>35916.214998197334</v>
      </c>
      <c r="J70" s="355">
        <v>86.86</v>
      </c>
      <c r="K70" s="186">
        <v>18590136</v>
      </c>
      <c r="L70" s="128">
        <f aca="true" t="shared" si="12" ref="L70:L80">+K70/J70/6</f>
        <v>35670.68846419526</v>
      </c>
    </row>
    <row r="71" spans="1:12" ht="20.25" customHeight="1">
      <c r="A71" s="301" t="s">
        <v>82</v>
      </c>
      <c r="B71" s="117">
        <v>2.48</v>
      </c>
      <c r="C71" s="118">
        <v>739392</v>
      </c>
      <c r="D71" s="65">
        <f t="shared" si="10"/>
        <v>24845.16129032258</v>
      </c>
      <c r="E71" s="917" t="s">
        <v>82</v>
      </c>
      <c r="F71" s="918"/>
      <c r="G71" s="356">
        <v>3</v>
      </c>
      <c r="H71" s="46">
        <v>806807</v>
      </c>
      <c r="I71" s="65">
        <f t="shared" si="11"/>
        <v>22411.30555555556</v>
      </c>
      <c r="J71" s="356">
        <v>4</v>
      </c>
      <c r="K71" s="46">
        <v>532994</v>
      </c>
      <c r="L71" s="65">
        <f t="shared" si="12"/>
        <v>22208.083333333332</v>
      </c>
    </row>
    <row r="72" spans="1:12" ht="20.25" customHeight="1">
      <c r="A72" s="301" t="s">
        <v>83</v>
      </c>
      <c r="B72" s="117">
        <v>5.93</v>
      </c>
      <c r="C72" s="118">
        <v>1615389</v>
      </c>
      <c r="D72" s="65">
        <f t="shared" si="10"/>
        <v>22700.801011804386</v>
      </c>
      <c r="E72" s="917" t="s">
        <v>118</v>
      </c>
      <c r="F72" s="918"/>
      <c r="G72" s="356">
        <v>268.18</v>
      </c>
      <c r="H72" s="46">
        <v>54173241</v>
      </c>
      <c r="I72" s="65">
        <f t="shared" si="11"/>
        <v>16833.607092251474</v>
      </c>
      <c r="J72" s="356">
        <v>263.11</v>
      </c>
      <c r="K72" s="46">
        <v>26544871</v>
      </c>
      <c r="L72" s="65">
        <f t="shared" si="12"/>
        <v>16814.81192910443</v>
      </c>
    </row>
    <row r="73" spans="1:12" ht="20.25" customHeight="1">
      <c r="A73" s="301" t="s">
        <v>84</v>
      </c>
      <c r="B73" s="117">
        <v>5.25</v>
      </c>
      <c r="C73" s="118">
        <v>911957</v>
      </c>
      <c r="D73" s="65">
        <f t="shared" si="10"/>
        <v>14475.507936507936</v>
      </c>
      <c r="E73" s="917" t="s">
        <v>117</v>
      </c>
      <c r="F73" s="918"/>
      <c r="G73" s="356">
        <v>55.06</v>
      </c>
      <c r="H73" s="46">
        <v>12397766</v>
      </c>
      <c r="I73" s="65">
        <f t="shared" si="11"/>
        <v>18764.024094926746</v>
      </c>
      <c r="J73" s="356">
        <v>45.11</v>
      </c>
      <c r="K73" s="46">
        <v>5159820</v>
      </c>
      <c r="L73" s="65">
        <f t="shared" si="12"/>
        <v>19063.843937042784</v>
      </c>
    </row>
    <row r="74" spans="1:12" ht="20.25" customHeight="1">
      <c r="A74" s="301" t="s">
        <v>85</v>
      </c>
      <c r="B74" s="117">
        <v>332.35</v>
      </c>
      <c r="C74" s="118">
        <v>70517703</v>
      </c>
      <c r="D74" s="65">
        <f t="shared" si="10"/>
        <v>17681.586429968407</v>
      </c>
      <c r="E74" s="917" t="s">
        <v>119</v>
      </c>
      <c r="F74" s="918"/>
      <c r="G74" s="356">
        <v>12.52</v>
      </c>
      <c r="H74" s="46">
        <v>1916373</v>
      </c>
      <c r="I74" s="65">
        <f t="shared" si="11"/>
        <v>12755.411341853034</v>
      </c>
      <c r="J74" s="356">
        <v>10.74</v>
      </c>
      <c r="K74" s="46">
        <v>871586</v>
      </c>
      <c r="L74" s="65">
        <f t="shared" si="12"/>
        <v>13525.543140906268</v>
      </c>
    </row>
    <row r="75" spans="1:12" ht="20.25" customHeight="1">
      <c r="A75" s="301" t="s">
        <v>86</v>
      </c>
      <c r="B75" s="117">
        <v>10</v>
      </c>
      <c r="C75" s="118">
        <v>2407919</v>
      </c>
      <c r="D75" s="65">
        <f t="shared" si="10"/>
        <v>20065.991666666665</v>
      </c>
      <c r="E75" s="917" t="s">
        <v>120</v>
      </c>
      <c r="F75" s="918"/>
      <c r="G75" s="356">
        <v>71.78</v>
      </c>
      <c r="H75" s="46">
        <v>11592868</v>
      </c>
      <c r="I75" s="65">
        <f t="shared" si="11"/>
        <v>13458.795393331477</v>
      </c>
      <c r="J75" s="356">
        <v>80.72</v>
      </c>
      <c r="K75" s="46">
        <v>6489411</v>
      </c>
      <c r="L75" s="65">
        <f t="shared" si="12"/>
        <v>13399.015113974232</v>
      </c>
    </row>
    <row r="76" spans="1:12" ht="20.25" customHeight="1">
      <c r="A76" s="301" t="s">
        <v>87</v>
      </c>
      <c r="B76" s="117">
        <v>82.77</v>
      </c>
      <c r="C76" s="118">
        <v>11396880</v>
      </c>
      <c r="D76" s="65">
        <f t="shared" si="10"/>
        <v>11474.44726350127</v>
      </c>
      <c r="E76" s="917" t="s">
        <v>121</v>
      </c>
      <c r="F76" s="918"/>
      <c r="G76" s="356">
        <v>0</v>
      </c>
      <c r="H76" s="46">
        <v>0</v>
      </c>
      <c r="I76" s="65">
        <f t="shared" si="11"/>
      </c>
      <c r="J76" s="356">
        <v>10.69</v>
      </c>
      <c r="K76" s="46">
        <v>1245365</v>
      </c>
      <c r="L76" s="65">
        <f t="shared" si="12"/>
        <v>19416.35484876832</v>
      </c>
    </row>
    <row r="77" spans="1:12" ht="20.25" customHeight="1">
      <c r="A77" s="301"/>
      <c r="B77" s="117"/>
      <c r="C77" s="118"/>
      <c r="D77" s="65"/>
      <c r="E77" s="917" t="s">
        <v>122</v>
      </c>
      <c r="F77" s="918"/>
      <c r="G77" s="356">
        <v>0</v>
      </c>
      <c r="H77" s="46">
        <v>0</v>
      </c>
      <c r="I77" s="65">
        <f t="shared" si="11"/>
      </c>
      <c r="J77" s="356">
        <v>0</v>
      </c>
      <c r="K77" s="46">
        <v>0</v>
      </c>
      <c r="L77" s="65" t="e">
        <f t="shared" si="12"/>
        <v>#DIV/0!</v>
      </c>
    </row>
    <row r="78" spans="1:12" ht="20.25" customHeight="1">
      <c r="A78" s="301" t="s">
        <v>88</v>
      </c>
      <c r="B78" s="117">
        <v>59.36</v>
      </c>
      <c r="C78" s="118">
        <v>10515348</v>
      </c>
      <c r="D78" s="65">
        <f>+IF(B78&gt;0,C78/B78/12,"")</f>
        <v>14762.112533692722</v>
      </c>
      <c r="E78" s="917" t="s">
        <v>88</v>
      </c>
      <c r="F78" s="918"/>
      <c r="G78" s="357">
        <v>57.24</v>
      </c>
      <c r="H78" s="45">
        <v>10540682</v>
      </c>
      <c r="I78" s="65">
        <f t="shared" si="11"/>
        <v>15345.740158397391</v>
      </c>
      <c r="J78" s="357">
        <v>56.11</v>
      </c>
      <c r="K78" s="45">
        <v>5389780</v>
      </c>
      <c r="L78" s="65">
        <f t="shared" si="12"/>
        <v>16009.56454583259</v>
      </c>
    </row>
    <row r="79" spans="1:12" ht="28.5" customHeight="1" thickBot="1">
      <c r="A79" s="382" t="s">
        <v>89</v>
      </c>
      <c r="B79" s="117">
        <v>81.14</v>
      </c>
      <c r="C79" s="118">
        <v>11259120</v>
      </c>
      <c r="D79" s="65">
        <f>+IF(B79&gt;0,C79/B79/12,"")</f>
        <v>11563.470544737489</v>
      </c>
      <c r="E79" s="923" t="s">
        <v>123</v>
      </c>
      <c r="F79" s="782"/>
      <c r="G79" s="355">
        <v>78.04</v>
      </c>
      <c r="H79" s="186">
        <v>10562287</v>
      </c>
      <c r="I79" s="128">
        <f t="shared" si="11"/>
        <v>11278.710703912524</v>
      </c>
      <c r="J79" s="355">
        <v>79.71</v>
      </c>
      <c r="K79" s="186">
        <v>5520747</v>
      </c>
      <c r="L79" s="65">
        <f t="shared" si="12"/>
        <v>11543.401078911054</v>
      </c>
    </row>
    <row r="80" spans="1:12" s="35" customFormat="1" ht="22.5" customHeight="1" thickBot="1">
      <c r="A80" s="302" t="s">
        <v>31</v>
      </c>
      <c r="B80" s="119">
        <f>SUM(B70:B79)</f>
        <v>661.78</v>
      </c>
      <c r="C80" s="120">
        <f>SUM(C70:C79)</f>
        <v>145181668</v>
      </c>
      <c r="D80" s="121">
        <f>+IF(B80&gt;0,C80/B80/12,"")</f>
        <v>18281.713459659302</v>
      </c>
      <c r="E80" s="924" t="s">
        <v>31</v>
      </c>
      <c r="F80" s="925"/>
      <c r="G80" s="358">
        <f>SUM(G70:G79)</f>
        <v>629.03</v>
      </c>
      <c r="H80" s="47">
        <f>SUM(H70:H79)</f>
        <v>137853083</v>
      </c>
      <c r="I80" s="121">
        <f t="shared" si="11"/>
        <v>18262.65347704667</v>
      </c>
      <c r="J80" s="358">
        <v>637.05</v>
      </c>
      <c r="K80" s="47">
        <v>70335710</v>
      </c>
      <c r="L80" s="121">
        <f t="shared" si="12"/>
        <v>18401.41014572378</v>
      </c>
    </row>
    <row r="82" spans="1:12" ht="12.75" customHeight="1">
      <c r="A82" s="905" t="s">
        <v>12</v>
      </c>
      <c r="B82" s="980"/>
      <c r="C82" s="980"/>
      <c r="D82" s="980"/>
      <c r="E82" s="980"/>
      <c r="F82" s="980"/>
      <c r="G82" s="980"/>
      <c r="H82" s="980"/>
      <c r="I82" s="980"/>
      <c r="J82" s="980"/>
      <c r="K82" s="980"/>
      <c r="L82" s="981"/>
    </row>
    <row r="83" spans="1:12" ht="12.75">
      <c r="A83" s="985"/>
      <c r="B83" s="986"/>
      <c r="C83" s="986"/>
      <c r="D83" s="986"/>
      <c r="E83" s="986"/>
      <c r="F83" s="986"/>
      <c r="G83" s="986"/>
      <c r="H83" s="986"/>
      <c r="I83" s="986"/>
      <c r="J83" s="986"/>
      <c r="K83" s="986"/>
      <c r="L83" s="987"/>
    </row>
    <row r="85" spans="1:9" ht="16.5" thickBot="1">
      <c r="A85" s="25" t="s">
        <v>116</v>
      </c>
      <c r="B85" s="129"/>
      <c r="C85" s="129"/>
      <c r="D85" s="129"/>
      <c r="E85" s="129"/>
      <c r="F85" s="129"/>
      <c r="G85" s="129"/>
      <c r="H85" s="129"/>
      <c r="I85" s="129"/>
    </row>
    <row r="86" spans="1:12" ht="13.5" thickBot="1">
      <c r="A86" s="869" t="s">
        <v>94</v>
      </c>
      <c r="B86" s="785"/>
      <c r="C86" s="881" t="s">
        <v>95</v>
      </c>
      <c r="D86" s="777"/>
      <c r="E86" s="777"/>
      <c r="F86" s="777"/>
      <c r="G86" s="706"/>
      <c r="H86" s="882" t="s">
        <v>96</v>
      </c>
      <c r="I86" s="777"/>
      <c r="J86" s="777"/>
      <c r="K86" s="777"/>
      <c r="L86" s="706"/>
    </row>
    <row r="87" spans="1:12" ht="13.5" thickBot="1">
      <c r="A87" s="870"/>
      <c r="B87" s="727"/>
      <c r="C87" s="1">
        <v>2003</v>
      </c>
      <c r="D87" s="10">
        <v>2004</v>
      </c>
      <c r="E87" s="131" t="s">
        <v>97</v>
      </c>
      <c r="F87" s="10">
        <v>2005</v>
      </c>
      <c r="G87" s="131" t="s">
        <v>97</v>
      </c>
      <c r="H87" s="10">
        <v>2003</v>
      </c>
      <c r="I87" s="90">
        <v>2004</v>
      </c>
      <c r="J87" s="131" t="s">
        <v>97</v>
      </c>
      <c r="K87" s="90">
        <v>2005</v>
      </c>
      <c r="L87" s="156" t="s">
        <v>97</v>
      </c>
    </row>
    <row r="88" spans="1:12" ht="12.75">
      <c r="A88" s="880" t="s">
        <v>98</v>
      </c>
      <c r="B88" s="727"/>
      <c r="C88" s="172">
        <v>80</v>
      </c>
      <c r="D88" s="137">
        <v>80</v>
      </c>
      <c r="E88" s="173">
        <v>0</v>
      </c>
      <c r="F88" s="137">
        <v>80</v>
      </c>
      <c r="G88" s="133">
        <f aca="true" t="shared" si="13" ref="G88:G106">+F88-D88</f>
        <v>0</v>
      </c>
      <c r="H88" s="136">
        <v>82.2</v>
      </c>
      <c r="I88" s="157">
        <f>0.871960382513661*100</f>
        <v>87.19603825136612</v>
      </c>
      <c r="J88" s="136">
        <f>I88-H88</f>
        <v>4.996038251366116</v>
      </c>
      <c r="K88" s="157">
        <v>91.18</v>
      </c>
      <c r="L88" s="157">
        <f aca="true" t="shared" si="14" ref="L88:L106">+K88-I88</f>
        <v>3.983961748633888</v>
      </c>
    </row>
    <row r="89" spans="1:12" ht="12.75">
      <c r="A89" s="880" t="s">
        <v>99</v>
      </c>
      <c r="B89" s="727"/>
      <c r="C89" s="168"/>
      <c r="D89" s="143"/>
      <c r="E89" s="174"/>
      <c r="F89" s="143"/>
      <c r="G89" s="133">
        <f t="shared" si="13"/>
        <v>0</v>
      </c>
      <c r="H89" s="142"/>
      <c r="I89" s="158"/>
      <c r="J89" s="142"/>
      <c r="K89" s="158"/>
      <c r="L89" s="157">
        <f t="shared" si="14"/>
        <v>0</v>
      </c>
    </row>
    <row r="90" spans="1:12" ht="12.75">
      <c r="A90" s="880" t="s">
        <v>100</v>
      </c>
      <c r="B90" s="727"/>
      <c r="C90" s="168"/>
      <c r="D90" s="143"/>
      <c r="E90" s="174"/>
      <c r="F90" s="143"/>
      <c r="G90" s="133">
        <f t="shared" si="13"/>
        <v>0</v>
      </c>
      <c r="H90" s="142"/>
      <c r="I90" s="158"/>
      <c r="J90" s="142"/>
      <c r="K90" s="158"/>
      <c r="L90" s="157">
        <f t="shared" si="14"/>
        <v>0</v>
      </c>
    </row>
    <row r="91" spans="1:12" ht="12.75">
      <c r="A91" s="880" t="s">
        <v>101</v>
      </c>
      <c r="B91" s="727"/>
      <c r="C91" s="168">
        <v>24</v>
      </c>
      <c r="D91" s="143">
        <v>24</v>
      </c>
      <c r="E91" s="174">
        <v>0</v>
      </c>
      <c r="F91" s="143">
        <v>24</v>
      </c>
      <c r="G91" s="133">
        <f t="shared" si="13"/>
        <v>0</v>
      </c>
      <c r="H91" s="142">
        <v>80</v>
      </c>
      <c r="I91" s="158">
        <f>0.784153005464481*100</f>
        <v>78.41530054644808</v>
      </c>
      <c r="J91" s="142">
        <f>I91-H91</f>
        <v>-1.58469945355192</v>
      </c>
      <c r="K91" s="158">
        <v>78.45</v>
      </c>
      <c r="L91" s="157">
        <f t="shared" si="14"/>
        <v>0.03469945355192294</v>
      </c>
    </row>
    <row r="92" spans="1:12" ht="12.75">
      <c r="A92" s="880" t="s">
        <v>102</v>
      </c>
      <c r="B92" s="727"/>
      <c r="C92" s="168"/>
      <c r="D92" s="143"/>
      <c r="E92" s="174"/>
      <c r="F92" s="143"/>
      <c r="G92" s="133">
        <f t="shared" si="13"/>
        <v>0</v>
      </c>
      <c r="H92" s="142"/>
      <c r="I92" s="158"/>
      <c r="J92" s="142"/>
      <c r="K92" s="158"/>
      <c r="L92" s="157">
        <f t="shared" si="14"/>
        <v>0</v>
      </c>
    </row>
    <row r="93" spans="1:12" ht="12.75">
      <c r="A93" s="880" t="s">
        <v>103</v>
      </c>
      <c r="B93" s="727"/>
      <c r="C93" s="168">
        <v>44</v>
      </c>
      <c r="D93" s="143">
        <v>44</v>
      </c>
      <c r="E93" s="174">
        <v>0</v>
      </c>
      <c r="F93" s="143">
        <v>44</v>
      </c>
      <c r="G93" s="133">
        <f t="shared" si="13"/>
        <v>0</v>
      </c>
      <c r="H93" s="142">
        <v>71.5</v>
      </c>
      <c r="I93" s="158">
        <f>0.532662692498758*100</f>
        <v>53.266269249875805</v>
      </c>
      <c r="J93" s="142">
        <f aca="true" t="shared" si="15" ref="J93:J98">I93-H93</f>
        <v>-18.233730750124195</v>
      </c>
      <c r="K93" s="158">
        <v>61.25</v>
      </c>
      <c r="L93" s="157">
        <f t="shared" si="14"/>
        <v>7.983730750124195</v>
      </c>
    </row>
    <row r="94" spans="1:12" ht="12.75">
      <c r="A94" s="880" t="s">
        <v>104</v>
      </c>
      <c r="B94" s="727"/>
      <c r="C94" s="168">
        <v>41</v>
      </c>
      <c r="D94" s="143">
        <v>41</v>
      </c>
      <c r="E94" s="174">
        <v>0</v>
      </c>
      <c r="F94" s="143">
        <v>41</v>
      </c>
      <c r="G94" s="133">
        <f t="shared" si="13"/>
        <v>0</v>
      </c>
      <c r="H94" s="142">
        <v>71.8</v>
      </c>
      <c r="I94" s="158">
        <f>0.718979075036652*100</f>
        <v>71.89790750366521</v>
      </c>
      <c r="J94" s="142">
        <f t="shared" si="15"/>
        <v>0.09790750366521195</v>
      </c>
      <c r="K94" s="158">
        <v>73.26</v>
      </c>
      <c r="L94" s="157">
        <f t="shared" si="14"/>
        <v>1.362092496334796</v>
      </c>
    </row>
    <row r="95" spans="1:12" ht="12.75">
      <c r="A95" s="880" t="s">
        <v>105</v>
      </c>
      <c r="B95" s="727"/>
      <c r="C95" s="168">
        <v>67</v>
      </c>
      <c r="D95" s="143">
        <v>66</v>
      </c>
      <c r="E95" s="174">
        <v>-1</v>
      </c>
      <c r="F95" s="143">
        <v>66</v>
      </c>
      <c r="G95" s="133">
        <f t="shared" si="13"/>
        <v>0</v>
      </c>
      <c r="H95" s="142">
        <v>72.9</v>
      </c>
      <c r="I95" s="158">
        <f>0.715308825964564*100</f>
        <v>71.53088259645637</v>
      </c>
      <c r="J95" s="142">
        <f t="shared" si="15"/>
        <v>-1.3691174035436404</v>
      </c>
      <c r="K95" s="158">
        <v>72.7</v>
      </c>
      <c r="L95" s="157">
        <f t="shared" si="14"/>
        <v>1.1691174035436376</v>
      </c>
    </row>
    <row r="96" spans="1:12" ht="12.75">
      <c r="A96" s="880" t="s">
        <v>106</v>
      </c>
      <c r="B96" s="727"/>
      <c r="C96" s="168">
        <v>5</v>
      </c>
      <c r="D96" s="143">
        <v>5</v>
      </c>
      <c r="E96" s="174">
        <v>0</v>
      </c>
      <c r="F96" s="143">
        <v>5</v>
      </c>
      <c r="G96" s="133">
        <f t="shared" si="13"/>
        <v>0</v>
      </c>
      <c r="H96" s="142">
        <v>58</v>
      </c>
      <c r="I96" s="158">
        <f>0.734972677595628*100</f>
        <v>73.49726775956285</v>
      </c>
      <c r="J96" s="142">
        <f t="shared" si="15"/>
        <v>15.497267759562845</v>
      </c>
      <c r="K96" s="158">
        <v>76.35</v>
      </c>
      <c r="L96" s="157">
        <f t="shared" si="14"/>
        <v>2.852732240437149</v>
      </c>
    </row>
    <row r="97" spans="1:12" ht="12.75">
      <c r="A97" s="880" t="s">
        <v>107</v>
      </c>
      <c r="B97" s="727"/>
      <c r="C97" s="168">
        <v>24</v>
      </c>
      <c r="D97" s="143">
        <v>24</v>
      </c>
      <c r="E97" s="174">
        <v>0</v>
      </c>
      <c r="F97" s="143">
        <v>24</v>
      </c>
      <c r="G97" s="133">
        <f t="shared" si="13"/>
        <v>0</v>
      </c>
      <c r="H97" s="142">
        <v>76.8</v>
      </c>
      <c r="I97" s="158">
        <f>0.766962659380692*100</f>
        <v>76.69626593806922</v>
      </c>
      <c r="J97" s="142">
        <f t="shared" si="15"/>
        <v>-0.10373406193077983</v>
      </c>
      <c r="K97" s="158">
        <v>86.37</v>
      </c>
      <c r="L97" s="157">
        <f t="shared" si="14"/>
        <v>9.673734061930787</v>
      </c>
    </row>
    <row r="98" spans="1:12" ht="12.75">
      <c r="A98" s="880" t="s">
        <v>108</v>
      </c>
      <c r="B98" s="727"/>
      <c r="C98" s="168">
        <v>20</v>
      </c>
      <c r="D98" s="143">
        <v>20</v>
      </c>
      <c r="E98" s="174">
        <v>0</v>
      </c>
      <c r="F98" s="143">
        <v>20</v>
      </c>
      <c r="G98" s="133">
        <f t="shared" si="13"/>
        <v>0</v>
      </c>
      <c r="H98" s="142">
        <v>63.2</v>
      </c>
      <c r="I98" s="158">
        <f>0.615983606557377*100</f>
        <v>61.59836065573771</v>
      </c>
      <c r="J98" s="142">
        <f t="shared" si="15"/>
        <v>-1.6016393442622956</v>
      </c>
      <c r="K98" s="158">
        <v>66.27</v>
      </c>
      <c r="L98" s="157">
        <f t="shared" si="14"/>
        <v>4.671639344262289</v>
      </c>
    </row>
    <row r="99" spans="1:12" ht="12.75">
      <c r="A99" s="880" t="s">
        <v>109</v>
      </c>
      <c r="B99" s="727"/>
      <c r="C99" s="168"/>
      <c r="D99" s="143"/>
      <c r="E99" s="174"/>
      <c r="F99" s="143"/>
      <c r="G99" s="133">
        <f t="shared" si="13"/>
        <v>0</v>
      </c>
      <c r="H99" s="142"/>
      <c r="I99" s="158"/>
      <c r="J99" s="142"/>
      <c r="K99" s="158"/>
      <c r="L99" s="157">
        <f t="shared" si="14"/>
        <v>0</v>
      </c>
    </row>
    <row r="100" spans="1:12" ht="12.75">
      <c r="A100" s="880" t="s">
        <v>110</v>
      </c>
      <c r="B100" s="727"/>
      <c r="C100" s="168"/>
      <c r="D100" s="143"/>
      <c r="E100" s="174"/>
      <c r="F100" s="143"/>
      <c r="G100" s="133">
        <f t="shared" si="13"/>
        <v>0</v>
      </c>
      <c r="H100" s="142"/>
      <c r="I100" s="158"/>
      <c r="J100" s="142"/>
      <c r="K100" s="158"/>
      <c r="L100" s="157">
        <f t="shared" si="14"/>
        <v>0</v>
      </c>
    </row>
    <row r="101" spans="1:12" ht="12.75">
      <c r="A101" s="880" t="s">
        <v>111</v>
      </c>
      <c r="B101" s="727"/>
      <c r="C101" s="168"/>
      <c r="D101" s="143"/>
      <c r="E101" s="174"/>
      <c r="F101" s="143"/>
      <c r="G101" s="133">
        <f t="shared" si="13"/>
        <v>0</v>
      </c>
      <c r="H101" s="142"/>
      <c r="I101" s="158"/>
      <c r="J101" s="142"/>
      <c r="K101" s="158"/>
      <c r="L101" s="157">
        <f t="shared" si="14"/>
        <v>0</v>
      </c>
    </row>
    <row r="102" spans="1:12" ht="12.75">
      <c r="A102" s="880" t="s">
        <v>112</v>
      </c>
      <c r="B102" s="727"/>
      <c r="C102" s="168"/>
      <c r="D102" s="143"/>
      <c r="E102" s="174"/>
      <c r="F102" s="143"/>
      <c r="G102" s="133">
        <f t="shared" si="13"/>
        <v>0</v>
      </c>
      <c r="H102" s="142"/>
      <c r="I102" s="158"/>
      <c r="J102" s="142"/>
      <c r="K102" s="158"/>
      <c r="L102" s="157">
        <f t="shared" si="14"/>
        <v>0</v>
      </c>
    </row>
    <row r="103" spans="1:12" ht="12.75">
      <c r="A103" s="880" t="s">
        <v>113</v>
      </c>
      <c r="B103" s="727"/>
      <c r="C103" s="168"/>
      <c r="D103" s="143"/>
      <c r="E103" s="174"/>
      <c r="F103" s="143"/>
      <c r="G103" s="133">
        <f t="shared" si="13"/>
        <v>0</v>
      </c>
      <c r="H103" s="142"/>
      <c r="I103" s="158"/>
      <c r="J103" s="142"/>
      <c r="K103" s="158"/>
      <c r="L103" s="157">
        <f t="shared" si="14"/>
        <v>0</v>
      </c>
    </row>
    <row r="104" spans="1:12" ht="12.75">
      <c r="A104" s="880" t="s">
        <v>114</v>
      </c>
      <c r="B104" s="727"/>
      <c r="C104" s="168">
        <v>46</v>
      </c>
      <c r="D104" s="143">
        <v>46</v>
      </c>
      <c r="E104" s="174">
        <v>0</v>
      </c>
      <c r="F104" s="143">
        <v>46</v>
      </c>
      <c r="G104" s="133">
        <f t="shared" si="13"/>
        <v>0</v>
      </c>
      <c r="H104" s="142">
        <v>97.3</v>
      </c>
      <c r="I104" s="158">
        <f>0.973271560940841*100</f>
        <v>97.32715609408412</v>
      </c>
      <c r="J104" s="142">
        <f>I104-H104</f>
        <v>0.027156094084119786</v>
      </c>
      <c r="K104" s="158">
        <v>97.24</v>
      </c>
      <c r="L104" s="157">
        <f t="shared" si="14"/>
        <v>-0.08715609408412206</v>
      </c>
    </row>
    <row r="105" spans="1:12" ht="13.5" thickBot="1">
      <c r="A105" s="867" t="s">
        <v>115</v>
      </c>
      <c r="B105" s="842"/>
      <c r="C105" s="169"/>
      <c r="D105" s="149"/>
      <c r="E105" s="175"/>
      <c r="F105" s="149"/>
      <c r="G105" s="161">
        <f t="shared" si="13"/>
        <v>0</v>
      </c>
      <c r="H105" s="148"/>
      <c r="I105" s="159"/>
      <c r="J105" s="148"/>
      <c r="K105" s="159"/>
      <c r="L105" s="157">
        <f t="shared" si="14"/>
        <v>0</v>
      </c>
    </row>
    <row r="106" spans="1:12" ht="13.5" thickBot="1">
      <c r="A106" s="868" t="s">
        <v>31</v>
      </c>
      <c r="B106" s="749"/>
      <c r="C106" s="170">
        <f>SUM(C88:C105)</f>
        <v>351</v>
      </c>
      <c r="D106" s="155">
        <f>SUM(D88:D105)</f>
        <v>350</v>
      </c>
      <c r="E106" s="176">
        <v>4</v>
      </c>
      <c r="F106" s="155">
        <f>SUM(F88:F105)</f>
        <v>350</v>
      </c>
      <c r="G106" s="151">
        <f t="shared" si="13"/>
        <v>0</v>
      </c>
      <c r="H106" s="154">
        <v>77.9</v>
      </c>
      <c r="I106" s="160">
        <f>98042/128100*100</f>
        <v>76.53551912568307</v>
      </c>
      <c r="J106" s="154">
        <f>I106-H106</f>
        <v>-1.3644808743169392</v>
      </c>
      <c r="K106" s="160">
        <v>79.79</v>
      </c>
      <c r="L106" s="160">
        <f t="shared" si="14"/>
        <v>3.2544808743169398</v>
      </c>
    </row>
    <row r="108" spans="1:12" ht="12.75" customHeight="1">
      <c r="A108" s="905" t="s">
        <v>410</v>
      </c>
      <c r="B108" s="1078"/>
      <c r="C108" s="1078"/>
      <c r="D108" s="1078"/>
      <c r="E108" s="1078"/>
      <c r="F108" s="1078"/>
      <c r="G108" s="1078"/>
      <c r="H108" s="1078"/>
      <c r="I108" s="1078"/>
      <c r="J108" s="1078"/>
      <c r="K108" s="1078"/>
      <c r="L108" s="1079"/>
    </row>
    <row r="109" spans="1:12" ht="12.75">
      <c r="A109" s="1038"/>
      <c r="B109" s="875"/>
      <c r="C109" s="875"/>
      <c r="D109" s="875"/>
      <c r="E109" s="875"/>
      <c r="F109" s="875"/>
      <c r="G109" s="875"/>
      <c r="H109" s="875"/>
      <c r="I109" s="875"/>
      <c r="J109" s="875"/>
      <c r="K109" s="875"/>
      <c r="L109" s="1080"/>
    </row>
    <row r="110" spans="1:12" ht="12.75">
      <c r="A110" s="1038"/>
      <c r="B110" s="875"/>
      <c r="C110" s="875"/>
      <c r="D110" s="875"/>
      <c r="E110" s="875"/>
      <c r="F110" s="875"/>
      <c r="G110" s="875"/>
      <c r="H110" s="875"/>
      <c r="I110" s="875"/>
      <c r="J110" s="875"/>
      <c r="K110" s="875"/>
      <c r="L110" s="1080"/>
    </row>
    <row r="111" spans="1:12" ht="12.75">
      <c r="A111" s="1040"/>
      <c r="B111" s="1041"/>
      <c r="C111" s="1041"/>
      <c r="D111" s="1041"/>
      <c r="E111" s="1041"/>
      <c r="F111" s="1041"/>
      <c r="G111" s="1041"/>
      <c r="H111" s="1041"/>
      <c r="I111" s="1041"/>
      <c r="J111" s="1041"/>
      <c r="K111" s="1041"/>
      <c r="L111" s="1081"/>
    </row>
    <row r="112" spans="1:12" ht="12.75">
      <c r="A112" s="70"/>
      <c r="B112" s="70"/>
      <c r="C112" s="70"/>
      <c r="D112" s="70"/>
      <c r="E112" s="70"/>
      <c r="F112" s="70"/>
      <c r="G112" s="70"/>
      <c r="H112" s="70"/>
      <c r="I112" s="70"/>
      <c r="J112" s="70"/>
      <c r="K112" s="70"/>
      <c r="L112" s="246"/>
    </row>
    <row r="113" spans="1:12" ht="16.5" thickBot="1">
      <c r="A113" s="25" t="s">
        <v>326</v>
      </c>
      <c r="L113" s="274" t="s">
        <v>19</v>
      </c>
    </row>
    <row r="114" spans="1:12" ht="22.5" customHeight="1" thickBot="1">
      <c r="A114" s="859" t="s">
        <v>192</v>
      </c>
      <c r="B114" s="860"/>
      <c r="C114" s="860"/>
      <c r="D114" s="860"/>
      <c r="E114" s="901" t="s">
        <v>173</v>
      </c>
      <c r="F114" s="902"/>
      <c r="G114" s="35"/>
      <c r="H114" s="859" t="s">
        <v>193</v>
      </c>
      <c r="I114" s="860"/>
      <c r="J114" s="860"/>
      <c r="K114" s="901" t="s">
        <v>173</v>
      </c>
      <c r="L114" s="902"/>
    </row>
    <row r="115" spans="1:12" ht="18.75" customHeight="1">
      <c r="A115" s="899" t="s">
        <v>174</v>
      </c>
      <c r="B115" s="900"/>
      <c r="C115" s="900"/>
      <c r="D115" s="900"/>
      <c r="E115" s="1076">
        <v>488000</v>
      </c>
      <c r="F115" s="1077"/>
      <c r="G115" s="245"/>
      <c r="H115" s="899" t="s">
        <v>175</v>
      </c>
      <c r="I115" s="900"/>
      <c r="J115" s="900"/>
      <c r="K115" s="896">
        <f>+F138</f>
        <v>870456.5</v>
      </c>
      <c r="L115" s="828"/>
    </row>
    <row r="116" spans="1:12" ht="18.75" customHeight="1">
      <c r="A116" s="892" t="s">
        <v>175</v>
      </c>
      <c r="B116" s="893"/>
      <c r="C116" s="893"/>
      <c r="D116" s="893"/>
      <c r="E116" s="1072">
        <v>9983000</v>
      </c>
      <c r="F116" s="1073"/>
      <c r="G116" s="245"/>
      <c r="H116" s="892" t="s">
        <v>176</v>
      </c>
      <c r="I116" s="893"/>
      <c r="J116" s="893"/>
      <c r="K116" s="817">
        <f>+G138</f>
        <v>0</v>
      </c>
      <c r="L116" s="904"/>
    </row>
    <row r="117" spans="1:12" ht="15.75" customHeight="1">
      <c r="A117" s="892" t="s">
        <v>176</v>
      </c>
      <c r="B117" s="893"/>
      <c r="C117" s="893"/>
      <c r="D117" s="893"/>
      <c r="E117" s="1072">
        <v>80842.2</v>
      </c>
      <c r="F117" s="1073"/>
      <c r="G117" s="245"/>
      <c r="H117" s="892" t="s">
        <v>178</v>
      </c>
      <c r="I117" s="893"/>
      <c r="J117" s="893"/>
      <c r="K117" s="817">
        <v>0</v>
      </c>
      <c r="L117" s="818"/>
    </row>
    <row r="118" spans="1:12" ht="15.75" customHeight="1">
      <c r="A118" s="892" t="s">
        <v>177</v>
      </c>
      <c r="B118" s="893"/>
      <c r="C118" s="893"/>
      <c r="D118" s="893"/>
      <c r="E118" s="1072">
        <v>0</v>
      </c>
      <c r="F118" s="1073"/>
      <c r="G118" s="245"/>
      <c r="H118" s="892" t="s">
        <v>315</v>
      </c>
      <c r="I118" s="893"/>
      <c r="J118" s="893"/>
      <c r="K118" s="817">
        <f>+H138</f>
        <v>0</v>
      </c>
      <c r="L118" s="818"/>
    </row>
    <row r="119" spans="1:12" ht="15.75" customHeight="1">
      <c r="A119" s="892" t="s">
        <v>178</v>
      </c>
      <c r="B119" s="893"/>
      <c r="C119" s="893"/>
      <c r="D119" s="893"/>
      <c r="E119" s="1072">
        <v>0</v>
      </c>
      <c r="F119" s="1073"/>
      <c r="G119" s="245"/>
      <c r="H119" s="1008"/>
      <c r="I119" s="1058"/>
      <c r="J119" s="1010"/>
      <c r="K119" s="1019"/>
      <c r="L119" s="1020"/>
    </row>
    <row r="120" spans="1:12" ht="15.75" customHeight="1">
      <c r="A120" s="892" t="s">
        <v>201</v>
      </c>
      <c r="B120" s="893"/>
      <c r="C120" s="893"/>
      <c r="D120" s="893"/>
      <c r="E120" s="1072">
        <v>419592</v>
      </c>
      <c r="F120" s="1073"/>
      <c r="G120" s="35"/>
      <c r="H120" s="1011"/>
      <c r="I120" s="1012"/>
      <c r="J120" s="1013"/>
      <c r="K120" s="827"/>
      <c r="L120" s="828"/>
    </row>
    <row r="121" spans="1:12" ht="18" customHeight="1" thickBot="1">
      <c r="A121" s="894" t="s">
        <v>179</v>
      </c>
      <c r="B121" s="895"/>
      <c r="C121" s="895"/>
      <c r="D121" s="895"/>
      <c r="E121" s="897">
        <f>SUM(E115:F120)</f>
        <v>10971434.2</v>
      </c>
      <c r="F121" s="898"/>
      <c r="G121" s="35"/>
      <c r="H121" s="894" t="s">
        <v>180</v>
      </c>
      <c r="I121" s="895"/>
      <c r="J121" s="895"/>
      <c r="K121" s="897">
        <f>SUM(K115:L120)</f>
        <v>870456.5</v>
      </c>
      <c r="L121" s="898"/>
    </row>
    <row r="122" ht="9.75" customHeight="1" thickBot="1"/>
    <row r="123" spans="1:12" ht="33.75">
      <c r="A123" s="829" t="s">
        <v>206</v>
      </c>
      <c r="B123" s="949"/>
      <c r="C123" s="784"/>
      <c r="D123" s="785"/>
      <c r="E123" s="429" t="s">
        <v>207</v>
      </c>
      <c r="F123" s="429" t="s">
        <v>313</v>
      </c>
      <c r="G123" s="429" t="s">
        <v>209</v>
      </c>
      <c r="H123" s="429" t="s">
        <v>240</v>
      </c>
      <c r="I123" s="1062" t="s">
        <v>210</v>
      </c>
      <c r="J123" s="1063"/>
      <c r="K123" s="1057" t="s">
        <v>327</v>
      </c>
      <c r="L123" s="914" t="s">
        <v>328</v>
      </c>
    </row>
    <row r="124" spans="1:12" ht="18.75" thickBot="1">
      <c r="A124" s="845"/>
      <c r="B124" s="950"/>
      <c r="C124" s="846"/>
      <c r="D124" s="710"/>
      <c r="E124" s="459" t="s">
        <v>211</v>
      </c>
      <c r="F124" s="1" t="s">
        <v>212</v>
      </c>
      <c r="G124" s="1" t="s">
        <v>213</v>
      </c>
      <c r="H124" s="1" t="s">
        <v>215</v>
      </c>
      <c r="I124" s="1064" t="s">
        <v>216</v>
      </c>
      <c r="J124" s="865"/>
      <c r="K124" s="712"/>
      <c r="L124" s="787"/>
    </row>
    <row r="125" spans="1:12" ht="12.75">
      <c r="A125" s="1069" t="s">
        <v>317</v>
      </c>
      <c r="B125" s="1070"/>
      <c r="C125" s="1070"/>
      <c r="D125" s="1071"/>
      <c r="E125" s="391"/>
      <c r="F125" s="391">
        <f>210000+114000+96000</f>
        <v>420000</v>
      </c>
      <c r="G125" s="391"/>
      <c r="H125" s="391"/>
      <c r="I125" s="1055">
        <f>SUM(E125:H125)</f>
        <v>420000</v>
      </c>
      <c r="J125" s="1056"/>
      <c r="K125" s="460">
        <v>720000</v>
      </c>
      <c r="L125" s="86">
        <f>+K125-I125</f>
        <v>300000</v>
      </c>
    </row>
    <row r="126" spans="1:12" ht="12.75">
      <c r="A126" s="1059" t="s">
        <v>318</v>
      </c>
      <c r="B126" s="1060"/>
      <c r="C126" s="1060"/>
      <c r="D126" s="1061"/>
      <c r="E126" s="391"/>
      <c r="F126" s="391"/>
      <c r="G126" s="391"/>
      <c r="H126" s="391"/>
      <c r="I126" s="1055">
        <f>SUM(E126:H126)</f>
        <v>0</v>
      </c>
      <c r="J126" s="1056"/>
      <c r="K126" s="460">
        <v>5341000</v>
      </c>
      <c r="L126" s="86">
        <f>+K126-I126</f>
        <v>5341000</v>
      </c>
    </row>
    <row r="127" spans="1:12" ht="13.5" thickBot="1">
      <c r="A127" s="1051" t="s">
        <v>319</v>
      </c>
      <c r="B127" s="1052"/>
      <c r="C127" s="1052"/>
      <c r="D127" s="1053"/>
      <c r="E127" s="80"/>
      <c r="F127" s="391"/>
      <c r="G127" s="391"/>
      <c r="H127" s="391"/>
      <c r="I127" s="1055">
        <f>SUM(E127:H127)</f>
        <v>0</v>
      </c>
      <c r="J127" s="1056"/>
      <c r="K127" s="460">
        <v>2500000</v>
      </c>
      <c r="L127" s="86">
        <f>+K127-I127</f>
        <v>2500000</v>
      </c>
    </row>
    <row r="128" spans="1:12" ht="13.5" thickBot="1">
      <c r="A128" s="928" t="s">
        <v>320</v>
      </c>
      <c r="B128" s="929"/>
      <c r="C128" s="930"/>
      <c r="D128" s="931"/>
      <c r="E128" s="47">
        <f>SUM(E125:E127)</f>
        <v>0</v>
      </c>
      <c r="F128" s="47">
        <f>SUM(F125:F127)</f>
        <v>420000</v>
      </c>
      <c r="G128" s="47">
        <f>SUM(G125:G127)</f>
        <v>0</v>
      </c>
      <c r="H128" s="47">
        <f>SUM(H125:H127)</f>
        <v>0</v>
      </c>
      <c r="I128" s="1043">
        <f>SUM(I125:J127)</f>
        <v>420000</v>
      </c>
      <c r="J128" s="1044"/>
      <c r="K128" s="455">
        <v>8561000</v>
      </c>
      <c r="L128" s="121">
        <f>+K128-I128</f>
        <v>8141000</v>
      </c>
    </row>
    <row r="129" spans="5:12" ht="10.5" customHeight="1" thickBot="1">
      <c r="E129" s="461"/>
      <c r="F129" s="461"/>
      <c r="G129" s="461"/>
      <c r="H129" s="461"/>
      <c r="I129" s="462"/>
      <c r="J129" s="462"/>
      <c r="K129" s="462"/>
      <c r="L129" s="462"/>
    </row>
    <row r="130" spans="1:12" ht="33.75">
      <c r="A130" s="829" t="s">
        <v>222</v>
      </c>
      <c r="B130" s="949"/>
      <c r="C130" s="784"/>
      <c r="D130" s="785"/>
      <c r="E130" s="463" t="s">
        <v>207</v>
      </c>
      <c r="F130" s="463" t="s">
        <v>313</v>
      </c>
      <c r="G130" s="463" t="s">
        <v>209</v>
      </c>
      <c r="H130" s="463" t="s">
        <v>240</v>
      </c>
      <c r="I130" s="1065" t="s">
        <v>224</v>
      </c>
      <c r="J130" s="1066"/>
      <c r="K130" s="1045" t="s">
        <v>327</v>
      </c>
      <c r="L130" s="1047" t="s">
        <v>328</v>
      </c>
    </row>
    <row r="131" spans="1:12" ht="18.75" customHeight="1" thickBot="1">
      <c r="A131" s="845" t="s">
        <v>225</v>
      </c>
      <c r="B131" s="950"/>
      <c r="C131" s="846"/>
      <c r="D131" s="710"/>
      <c r="E131" s="464" t="s">
        <v>211</v>
      </c>
      <c r="F131" s="465" t="s">
        <v>212</v>
      </c>
      <c r="G131" s="465" t="s">
        <v>213</v>
      </c>
      <c r="H131" s="465" t="s">
        <v>215</v>
      </c>
      <c r="I131" s="1067" t="s">
        <v>216</v>
      </c>
      <c r="J131" s="1068"/>
      <c r="K131" s="1046"/>
      <c r="L131" s="1048"/>
    </row>
    <row r="132" spans="1:12" ht="12.75">
      <c r="A132" s="1059" t="s">
        <v>321</v>
      </c>
      <c r="B132" s="1060"/>
      <c r="C132" s="1060"/>
      <c r="D132" s="1061"/>
      <c r="E132" s="80"/>
      <c r="F132" s="2"/>
      <c r="G132" s="2"/>
      <c r="H132" s="2"/>
      <c r="I132" s="1049">
        <f>SUM(E132:H132)</f>
        <v>0</v>
      </c>
      <c r="J132" s="1050"/>
      <c r="K132" s="460">
        <v>23000000</v>
      </c>
      <c r="L132" s="86">
        <f>+K132-I132</f>
        <v>23000000</v>
      </c>
    </row>
    <row r="133" spans="1:12" ht="12.75">
      <c r="A133" s="1059" t="s">
        <v>322</v>
      </c>
      <c r="B133" s="1060"/>
      <c r="C133" s="1060"/>
      <c r="D133" s="1061"/>
      <c r="E133" s="80"/>
      <c r="F133" s="2"/>
      <c r="G133" s="2"/>
      <c r="H133" s="2"/>
      <c r="I133" s="1049">
        <f>SUM(E133:H133)</f>
        <v>0</v>
      </c>
      <c r="J133" s="1050"/>
      <c r="K133" s="460">
        <v>700000</v>
      </c>
      <c r="L133" s="86">
        <f>+K133-I133</f>
        <v>700000</v>
      </c>
    </row>
    <row r="134" spans="1:12" ht="12.75">
      <c r="A134" s="1059" t="s">
        <v>323</v>
      </c>
      <c r="B134" s="1060"/>
      <c r="C134" s="1060"/>
      <c r="D134" s="1061"/>
      <c r="E134" s="80"/>
      <c r="F134" s="2"/>
      <c r="G134" s="2"/>
      <c r="H134" s="2"/>
      <c r="I134" s="1049">
        <f>SUM(E134:H134)</f>
        <v>0</v>
      </c>
      <c r="J134" s="1050"/>
      <c r="K134" s="460">
        <v>500000</v>
      </c>
      <c r="L134" s="86">
        <f>+K134-I134</f>
        <v>500000</v>
      </c>
    </row>
    <row r="135" spans="1:12" ht="13.5" thickBot="1">
      <c r="A135" s="1059" t="s">
        <v>324</v>
      </c>
      <c r="B135" s="1060"/>
      <c r="C135" s="1060"/>
      <c r="D135" s="1061"/>
      <c r="E135" s="80"/>
      <c r="F135" s="2">
        <f>178058+272398.5</f>
        <v>450456.5</v>
      </c>
      <c r="G135" s="2"/>
      <c r="H135" s="2"/>
      <c r="I135" s="1049">
        <f>SUM(E135:H135)</f>
        <v>450456.5</v>
      </c>
      <c r="J135" s="1050"/>
      <c r="K135" s="460">
        <v>2023000</v>
      </c>
      <c r="L135" s="86">
        <f>+K135-I135</f>
        <v>1572543.5</v>
      </c>
    </row>
    <row r="136" spans="1:12" ht="13.5" thickBot="1">
      <c r="A136" s="928" t="s">
        <v>325</v>
      </c>
      <c r="B136" s="929"/>
      <c r="C136" s="930"/>
      <c r="D136" s="931"/>
      <c r="E136" s="466">
        <f>SUM(E131:E135)</f>
        <v>0</v>
      </c>
      <c r="F136" s="47">
        <f>SUM(F132:F135)</f>
        <v>450456.5</v>
      </c>
      <c r="G136" s="47">
        <f>SUM(G131:G135)</f>
        <v>0</v>
      </c>
      <c r="H136" s="47">
        <f>SUM(H131:H135)</f>
        <v>0</v>
      </c>
      <c r="I136" s="1043">
        <f>SUM(I132:J135)</f>
        <v>450456.5</v>
      </c>
      <c r="J136" s="1044"/>
      <c r="K136" s="455">
        <f>SUM(K132:K135)</f>
        <v>26223000</v>
      </c>
      <c r="L136" s="121">
        <f>+K136-I136</f>
        <v>25772543.5</v>
      </c>
    </row>
    <row r="137" spans="5:12" ht="13.5" thickBot="1">
      <c r="E137" s="461"/>
      <c r="F137" s="461"/>
      <c r="G137" s="461"/>
      <c r="H137" s="461"/>
      <c r="I137" s="462"/>
      <c r="J137" s="462"/>
      <c r="K137" s="461"/>
      <c r="L137" s="461"/>
    </row>
    <row r="138" spans="1:12" ht="13.5" thickBot="1">
      <c r="A138" s="928" t="s">
        <v>238</v>
      </c>
      <c r="B138" s="929"/>
      <c r="C138" s="930"/>
      <c r="D138" s="931"/>
      <c r="E138" s="47">
        <f>+E136+E128</f>
        <v>0</v>
      </c>
      <c r="F138" s="47">
        <f>+F136+F128</f>
        <v>870456.5</v>
      </c>
      <c r="G138" s="47">
        <f>+G136+G128</f>
        <v>0</v>
      </c>
      <c r="H138" s="47">
        <f>+H136+H128</f>
        <v>0</v>
      </c>
      <c r="I138" s="1054">
        <f>+I136+I128</f>
        <v>870456.5</v>
      </c>
      <c r="J138" s="1044"/>
      <c r="K138" s="455">
        <f>+K136+K128</f>
        <v>34784000</v>
      </c>
      <c r="L138" s="121">
        <f>+K138-I138</f>
        <v>33913543.5</v>
      </c>
    </row>
    <row r="141" spans="1:11" ht="16.5" thickBot="1">
      <c r="A141" s="25" t="s">
        <v>181</v>
      </c>
      <c r="K141" s="274" t="s">
        <v>194</v>
      </c>
    </row>
    <row r="142" spans="1:11" ht="12.75" customHeight="1">
      <c r="A142" s="829" t="s">
        <v>124</v>
      </c>
      <c r="B142" s="784"/>
      <c r="C142" s="785"/>
      <c r="D142" s="217" t="s">
        <v>17</v>
      </c>
      <c r="E142" s="218"/>
      <c r="F142" s="200"/>
      <c r="G142" s="199" t="s">
        <v>18</v>
      </c>
      <c r="H142" s="218"/>
      <c r="I142" s="200"/>
      <c r="J142" s="829" t="s">
        <v>166</v>
      </c>
      <c r="K142" s="830"/>
    </row>
    <row r="143" spans="1:11" ht="12.75" customHeight="1">
      <c r="A143" s="844"/>
      <c r="B143" s="779"/>
      <c r="C143" s="727"/>
      <c r="D143" s="793" t="s">
        <v>125</v>
      </c>
      <c r="E143" s="850" t="s">
        <v>126</v>
      </c>
      <c r="F143" s="853" t="s">
        <v>31</v>
      </c>
      <c r="G143" s="793" t="s">
        <v>125</v>
      </c>
      <c r="H143" s="850" t="s">
        <v>126</v>
      </c>
      <c r="I143" s="853" t="s">
        <v>31</v>
      </c>
      <c r="J143" s="831"/>
      <c r="K143" s="832"/>
    </row>
    <row r="144" spans="1:11" ht="12.75">
      <c r="A144" s="844"/>
      <c r="B144" s="779"/>
      <c r="C144" s="727"/>
      <c r="D144" s="866"/>
      <c r="E144" s="851" t="s">
        <v>127</v>
      </c>
      <c r="F144" s="854"/>
      <c r="G144" s="866"/>
      <c r="H144" s="851" t="s">
        <v>127</v>
      </c>
      <c r="I144" s="854"/>
      <c r="J144" s="833"/>
      <c r="K144" s="727"/>
    </row>
    <row r="145" spans="1:11" ht="13.5" thickBot="1">
      <c r="A145" s="845"/>
      <c r="B145" s="846"/>
      <c r="C145" s="710"/>
      <c r="D145" s="712"/>
      <c r="E145" s="852" t="s">
        <v>127</v>
      </c>
      <c r="F145" s="789"/>
      <c r="G145" s="712"/>
      <c r="H145" s="852" t="s">
        <v>127</v>
      </c>
      <c r="I145" s="789"/>
      <c r="J145" s="202" t="s">
        <v>97</v>
      </c>
      <c r="K145" s="203" t="s">
        <v>167</v>
      </c>
    </row>
    <row r="146" spans="1:11" ht="12.75" customHeight="1">
      <c r="A146" s="847" t="s">
        <v>128</v>
      </c>
      <c r="B146" s="848"/>
      <c r="C146" s="849"/>
      <c r="D146" s="467">
        <v>314437</v>
      </c>
      <c r="E146" s="192">
        <v>600</v>
      </c>
      <c r="F146" s="468">
        <f aca="true" t="shared" si="16" ref="F146:F156">SUM(D146:E146)</f>
        <v>315037</v>
      </c>
      <c r="G146" s="215">
        <v>159211</v>
      </c>
      <c r="H146" s="219">
        <v>756</v>
      </c>
      <c r="I146" s="276">
        <f aca="true" t="shared" si="17" ref="I146:I156">SUM(G146:H146)</f>
        <v>159967</v>
      </c>
      <c r="J146" s="205">
        <f aca="true" t="shared" si="18" ref="J146:J157">+I146-F146</f>
        <v>-155070</v>
      </c>
      <c r="K146" s="207">
        <f aca="true" t="shared" si="19" ref="K146:K154">+I146/F146</f>
        <v>0.507772102959335</v>
      </c>
    </row>
    <row r="147" spans="1:11" ht="12.75" customHeight="1">
      <c r="A147" s="797" t="s">
        <v>129</v>
      </c>
      <c r="B147" s="779"/>
      <c r="C147" s="727"/>
      <c r="D147" s="213">
        <v>305437</v>
      </c>
      <c r="E147" s="191"/>
      <c r="F147" s="468">
        <f t="shared" si="16"/>
        <v>305437</v>
      </c>
      <c r="G147" s="213">
        <v>154284</v>
      </c>
      <c r="H147" s="191"/>
      <c r="I147" s="201">
        <f t="shared" si="17"/>
        <v>154284</v>
      </c>
      <c r="J147" s="205">
        <f t="shared" si="18"/>
        <v>-151153</v>
      </c>
      <c r="K147" s="207">
        <f t="shared" si="19"/>
        <v>0.5051254432174229</v>
      </c>
    </row>
    <row r="148" spans="1:11" ht="12.75" customHeight="1">
      <c r="A148" s="797" t="s">
        <v>130</v>
      </c>
      <c r="B148" s="779"/>
      <c r="C148" s="727"/>
      <c r="D148" s="213">
        <v>9000</v>
      </c>
      <c r="E148" s="191">
        <v>600</v>
      </c>
      <c r="F148" s="468">
        <f t="shared" si="16"/>
        <v>9600</v>
      </c>
      <c r="G148" s="213">
        <v>4927</v>
      </c>
      <c r="H148" s="191">
        <v>756</v>
      </c>
      <c r="I148" s="195">
        <f t="shared" si="17"/>
        <v>5683</v>
      </c>
      <c r="J148" s="205">
        <f t="shared" si="18"/>
        <v>-3917</v>
      </c>
      <c r="K148" s="207">
        <f t="shared" si="19"/>
        <v>0.5919791666666666</v>
      </c>
    </row>
    <row r="149" spans="1:11" ht="12.75" customHeight="1">
      <c r="A149" s="797" t="s">
        <v>131</v>
      </c>
      <c r="B149" s="779"/>
      <c r="C149" s="727"/>
      <c r="D149" s="467">
        <v>41000</v>
      </c>
      <c r="E149" s="192"/>
      <c r="F149" s="468">
        <f t="shared" si="16"/>
        <v>41000</v>
      </c>
      <c r="G149" s="213">
        <v>24041</v>
      </c>
      <c r="H149" s="191"/>
      <c r="I149" s="201">
        <f t="shared" si="17"/>
        <v>24041</v>
      </c>
      <c r="J149" s="205">
        <f t="shared" si="18"/>
        <v>-16959</v>
      </c>
      <c r="K149" s="207">
        <f t="shared" si="19"/>
        <v>0.5863658536585366</v>
      </c>
    </row>
    <row r="150" spans="1:11" ht="12.75" customHeight="1">
      <c r="A150" s="797" t="s">
        <v>132</v>
      </c>
      <c r="B150" s="779"/>
      <c r="C150" s="727"/>
      <c r="D150" s="220">
        <v>38000</v>
      </c>
      <c r="E150" s="192"/>
      <c r="F150" s="468">
        <f t="shared" si="16"/>
        <v>38000</v>
      </c>
      <c r="G150" s="220">
        <v>21382</v>
      </c>
      <c r="H150" s="192"/>
      <c r="I150" s="201">
        <f t="shared" si="17"/>
        <v>21382</v>
      </c>
      <c r="J150" s="205">
        <f t="shared" si="18"/>
        <v>-16618</v>
      </c>
      <c r="K150" s="207">
        <f t="shared" si="19"/>
        <v>0.5626842105263158</v>
      </c>
    </row>
    <row r="151" spans="1:11" ht="12.75" customHeight="1">
      <c r="A151" s="797" t="s">
        <v>133</v>
      </c>
      <c r="B151" s="779"/>
      <c r="C151" s="727"/>
      <c r="D151" s="467">
        <v>8000</v>
      </c>
      <c r="E151" s="192"/>
      <c r="F151" s="468">
        <f t="shared" si="16"/>
        <v>8000</v>
      </c>
      <c r="G151" s="213">
        <v>3697</v>
      </c>
      <c r="H151" s="191"/>
      <c r="I151" s="201">
        <f t="shared" si="17"/>
        <v>3697</v>
      </c>
      <c r="J151" s="205">
        <f t="shared" si="18"/>
        <v>-4303</v>
      </c>
      <c r="K151" s="207">
        <f t="shared" si="19"/>
        <v>0.462125</v>
      </c>
    </row>
    <row r="152" spans="1:11" ht="12.75" customHeight="1">
      <c r="A152" s="797" t="s">
        <v>134</v>
      </c>
      <c r="B152" s="779"/>
      <c r="C152" s="727"/>
      <c r="D152" s="467">
        <v>3698</v>
      </c>
      <c r="E152" s="192"/>
      <c r="F152" s="468">
        <f t="shared" si="16"/>
        <v>3698</v>
      </c>
      <c r="G152" s="213">
        <v>1826</v>
      </c>
      <c r="H152" s="191">
        <v>15</v>
      </c>
      <c r="I152" s="201">
        <f t="shared" si="17"/>
        <v>1841</v>
      </c>
      <c r="J152" s="205">
        <f t="shared" si="18"/>
        <v>-1857</v>
      </c>
      <c r="K152" s="207">
        <f t="shared" si="19"/>
        <v>0.49783666846944297</v>
      </c>
    </row>
    <row r="153" spans="1:11" ht="12.75" customHeight="1">
      <c r="A153" s="797" t="s">
        <v>135</v>
      </c>
      <c r="B153" s="779"/>
      <c r="C153" s="727"/>
      <c r="D153" s="467">
        <v>3600</v>
      </c>
      <c r="E153" s="192"/>
      <c r="F153" s="468">
        <f t="shared" si="16"/>
        <v>3600</v>
      </c>
      <c r="G153" s="213">
        <v>313</v>
      </c>
      <c r="H153" s="191"/>
      <c r="I153" s="201">
        <f t="shared" si="17"/>
        <v>313</v>
      </c>
      <c r="J153" s="205">
        <f t="shared" si="18"/>
        <v>-3287</v>
      </c>
      <c r="K153" s="207">
        <f t="shared" si="19"/>
        <v>0.08694444444444445</v>
      </c>
    </row>
    <row r="154" spans="1:11" ht="12.75" customHeight="1">
      <c r="A154" s="797" t="s">
        <v>136</v>
      </c>
      <c r="B154" s="779"/>
      <c r="C154" s="727"/>
      <c r="D154" s="467">
        <v>2000</v>
      </c>
      <c r="E154" s="192"/>
      <c r="F154" s="468">
        <f t="shared" si="16"/>
        <v>2000</v>
      </c>
      <c r="G154" s="213">
        <v>519</v>
      </c>
      <c r="H154" s="191">
        <v>6</v>
      </c>
      <c r="I154" s="201">
        <f t="shared" si="17"/>
        <v>525</v>
      </c>
      <c r="J154" s="205">
        <f t="shared" si="18"/>
        <v>-1475</v>
      </c>
      <c r="K154" s="207">
        <f t="shared" si="19"/>
        <v>0.2625</v>
      </c>
    </row>
    <row r="155" spans="1:11" ht="12.75" customHeight="1">
      <c r="A155" s="797" t="s">
        <v>137</v>
      </c>
      <c r="B155" s="779"/>
      <c r="C155" s="727"/>
      <c r="D155" s="467"/>
      <c r="E155" s="192"/>
      <c r="F155" s="468">
        <f t="shared" si="16"/>
        <v>0</v>
      </c>
      <c r="G155" s="213"/>
      <c r="H155" s="191"/>
      <c r="I155" s="201">
        <f t="shared" si="17"/>
        <v>0</v>
      </c>
      <c r="J155" s="205">
        <f t="shared" si="18"/>
        <v>0</v>
      </c>
      <c r="K155" s="207"/>
    </row>
    <row r="156" spans="1:11" ht="13.5" customHeight="1" thickBot="1">
      <c r="A156" s="840" t="s">
        <v>138</v>
      </c>
      <c r="B156" s="841"/>
      <c r="C156" s="842"/>
      <c r="D156" s="469">
        <v>21080</v>
      </c>
      <c r="E156" s="418"/>
      <c r="F156" s="468">
        <f t="shared" si="16"/>
        <v>21080</v>
      </c>
      <c r="G156" s="216">
        <v>10971</v>
      </c>
      <c r="H156" s="221"/>
      <c r="I156" s="227">
        <f t="shared" si="17"/>
        <v>10971</v>
      </c>
      <c r="J156" s="205">
        <f t="shared" si="18"/>
        <v>-10109</v>
      </c>
      <c r="K156" s="207">
        <f>+I156/F156</f>
        <v>0.5204459203036053</v>
      </c>
    </row>
    <row r="157" spans="1:11" s="35" customFormat="1" ht="13.5" customHeight="1" thickBot="1">
      <c r="A157" s="800" t="s">
        <v>24</v>
      </c>
      <c r="B157" s="968"/>
      <c r="C157" s="969"/>
      <c r="D157" s="224">
        <f aca="true" t="shared" si="20" ref="D157:I157">SUM(D146+D149+D151+D152+D154+D156)</f>
        <v>390215</v>
      </c>
      <c r="E157" s="197">
        <f t="shared" si="20"/>
        <v>600</v>
      </c>
      <c r="F157" s="198">
        <f t="shared" si="20"/>
        <v>390815</v>
      </c>
      <c r="G157" s="224">
        <f t="shared" si="20"/>
        <v>200265</v>
      </c>
      <c r="H157" s="197">
        <f t="shared" si="20"/>
        <v>777</v>
      </c>
      <c r="I157" s="198">
        <f t="shared" si="20"/>
        <v>201042</v>
      </c>
      <c r="J157" s="455">
        <f t="shared" si="18"/>
        <v>-189773</v>
      </c>
      <c r="K157" s="456">
        <f>+I157/F157</f>
        <v>0.5144173074216701</v>
      </c>
    </row>
    <row r="158" ht="4.5" customHeight="1" thickBot="1"/>
    <row r="159" spans="1:11" ht="12.75" customHeight="1" thickTop="1">
      <c r="A159" s="843" t="s">
        <v>139</v>
      </c>
      <c r="B159" s="784"/>
      <c r="C159" s="785"/>
      <c r="D159" s="470">
        <v>94740</v>
      </c>
      <c r="E159" s="471"/>
      <c r="F159" s="472">
        <f aca="true" t="shared" si="21" ref="F159:F186">SUM(D159:E159)</f>
        <v>94740</v>
      </c>
      <c r="G159" s="215">
        <v>51776</v>
      </c>
      <c r="H159" s="219">
        <v>233</v>
      </c>
      <c r="I159" s="194">
        <f aca="true" t="shared" si="22" ref="I159:I186">SUM(G159:H159)</f>
        <v>52009</v>
      </c>
      <c r="J159" s="209">
        <f aca="true" t="shared" si="23" ref="J159:J187">+I159-F159</f>
        <v>-42731</v>
      </c>
      <c r="K159" s="373">
        <f aca="true" t="shared" si="24" ref="K159:K167">+I159/F159</f>
        <v>0.5489655900358877</v>
      </c>
    </row>
    <row r="160" spans="1:11" ht="12.75">
      <c r="A160" s="797" t="s">
        <v>169</v>
      </c>
      <c r="B160" s="779"/>
      <c r="C160" s="727"/>
      <c r="D160" s="473">
        <v>3300</v>
      </c>
      <c r="E160" s="190"/>
      <c r="F160" s="474">
        <f t="shared" si="21"/>
        <v>3300</v>
      </c>
      <c r="G160" s="214">
        <v>884</v>
      </c>
      <c r="H160" s="204"/>
      <c r="I160" s="195">
        <f t="shared" si="22"/>
        <v>884</v>
      </c>
      <c r="J160" s="205">
        <f t="shared" si="23"/>
        <v>-2416</v>
      </c>
      <c r="K160" s="207">
        <f t="shared" si="24"/>
        <v>0.2678787878787879</v>
      </c>
    </row>
    <row r="161" spans="1:11" ht="12.75" customHeight="1">
      <c r="A161" s="797" t="s">
        <v>140</v>
      </c>
      <c r="B161" s="779"/>
      <c r="C161" s="727"/>
      <c r="D161" s="223">
        <v>25500</v>
      </c>
      <c r="E161" s="190"/>
      <c r="F161" s="474">
        <f t="shared" si="21"/>
        <v>25500</v>
      </c>
      <c r="G161" s="223">
        <v>11643</v>
      </c>
      <c r="H161" s="190"/>
      <c r="I161" s="195">
        <f t="shared" si="22"/>
        <v>11643</v>
      </c>
      <c r="J161" s="205">
        <f t="shared" si="23"/>
        <v>-13857</v>
      </c>
      <c r="K161" s="207">
        <f t="shared" si="24"/>
        <v>0.45658823529411763</v>
      </c>
    </row>
    <row r="162" spans="1:11" ht="12.75" customHeight="1">
      <c r="A162" s="797" t="s">
        <v>141</v>
      </c>
      <c r="B162" s="779"/>
      <c r="C162" s="727"/>
      <c r="D162" s="223">
        <v>6600</v>
      </c>
      <c r="E162" s="190"/>
      <c r="F162" s="474">
        <f t="shared" si="21"/>
        <v>6600</v>
      </c>
      <c r="G162" s="223">
        <v>3155</v>
      </c>
      <c r="H162" s="190"/>
      <c r="I162" s="195">
        <f t="shared" si="22"/>
        <v>3155</v>
      </c>
      <c r="J162" s="205">
        <f t="shared" si="23"/>
        <v>-3445</v>
      </c>
      <c r="K162" s="207">
        <f t="shared" si="24"/>
        <v>0.478030303030303</v>
      </c>
    </row>
    <row r="163" spans="1:11" ht="12.75" customHeight="1">
      <c r="A163" s="797" t="s">
        <v>142</v>
      </c>
      <c r="B163" s="779"/>
      <c r="C163" s="727"/>
      <c r="D163" s="223">
        <v>47000</v>
      </c>
      <c r="E163" s="190"/>
      <c r="F163" s="474">
        <f t="shared" si="21"/>
        <v>47000</v>
      </c>
      <c r="G163" s="223">
        <v>28187</v>
      </c>
      <c r="H163" s="190"/>
      <c r="I163" s="195">
        <f t="shared" si="22"/>
        <v>28187</v>
      </c>
      <c r="J163" s="205">
        <f t="shared" si="23"/>
        <v>-18813</v>
      </c>
      <c r="K163" s="207">
        <f t="shared" si="24"/>
        <v>0.5997234042553191</v>
      </c>
    </row>
    <row r="164" spans="1:11" ht="12.75">
      <c r="A164" s="797" t="s">
        <v>143</v>
      </c>
      <c r="B164" s="779"/>
      <c r="C164" s="727"/>
      <c r="D164" s="223">
        <v>7800</v>
      </c>
      <c r="E164" s="190"/>
      <c r="F164" s="474">
        <f t="shared" si="21"/>
        <v>7800</v>
      </c>
      <c r="G164" s="223">
        <v>3601</v>
      </c>
      <c r="H164" s="190">
        <v>233</v>
      </c>
      <c r="I164" s="195">
        <f t="shared" si="22"/>
        <v>3834</v>
      </c>
      <c r="J164" s="205">
        <f t="shared" si="23"/>
        <v>-3966</v>
      </c>
      <c r="K164" s="207">
        <f t="shared" si="24"/>
        <v>0.49153846153846154</v>
      </c>
    </row>
    <row r="165" spans="1:11" ht="12.75">
      <c r="A165" s="797" t="s">
        <v>144</v>
      </c>
      <c r="B165" s="779"/>
      <c r="C165" s="727"/>
      <c r="D165" s="223">
        <v>1600</v>
      </c>
      <c r="E165" s="190"/>
      <c r="F165" s="474">
        <f t="shared" si="21"/>
        <v>1600</v>
      </c>
      <c r="G165" s="223">
        <v>846</v>
      </c>
      <c r="H165" s="190"/>
      <c r="I165" s="195">
        <f t="shared" si="22"/>
        <v>846</v>
      </c>
      <c r="J165" s="205">
        <f t="shared" si="23"/>
        <v>-754</v>
      </c>
      <c r="K165" s="207">
        <f t="shared" si="24"/>
        <v>0.52875</v>
      </c>
    </row>
    <row r="166" spans="1:11" ht="12.75" customHeight="1">
      <c r="A166" s="797" t="s">
        <v>145</v>
      </c>
      <c r="B166" s="779"/>
      <c r="C166" s="727"/>
      <c r="D166" s="214">
        <v>2940</v>
      </c>
      <c r="E166" s="204"/>
      <c r="F166" s="474">
        <f t="shared" si="21"/>
        <v>2940</v>
      </c>
      <c r="G166" s="214">
        <v>2087</v>
      </c>
      <c r="H166" s="204"/>
      <c r="I166" s="195">
        <f t="shared" si="22"/>
        <v>2087</v>
      </c>
      <c r="J166" s="205">
        <f t="shared" si="23"/>
        <v>-853</v>
      </c>
      <c r="K166" s="207">
        <f t="shared" si="24"/>
        <v>0.7098639455782313</v>
      </c>
    </row>
    <row r="167" spans="1:11" ht="12.75" customHeight="1">
      <c r="A167" s="797" t="s">
        <v>146</v>
      </c>
      <c r="B167" s="779"/>
      <c r="C167" s="727"/>
      <c r="D167" s="467">
        <v>14000</v>
      </c>
      <c r="E167" s="192"/>
      <c r="F167" s="474">
        <f t="shared" si="21"/>
        <v>14000</v>
      </c>
      <c r="G167" s="213">
        <v>8305</v>
      </c>
      <c r="H167" s="191"/>
      <c r="I167" s="195">
        <f t="shared" si="22"/>
        <v>8305</v>
      </c>
      <c r="J167" s="205">
        <f t="shared" si="23"/>
        <v>-5695</v>
      </c>
      <c r="K167" s="207">
        <f t="shared" si="24"/>
        <v>0.5932142857142857</v>
      </c>
    </row>
    <row r="168" spans="1:11" ht="12.75" customHeight="1">
      <c r="A168" s="797" t="s">
        <v>147</v>
      </c>
      <c r="B168" s="779"/>
      <c r="C168" s="727"/>
      <c r="D168" s="467">
        <v>0</v>
      </c>
      <c r="E168" s="192"/>
      <c r="F168" s="474">
        <f t="shared" si="21"/>
        <v>0</v>
      </c>
      <c r="G168" s="213"/>
      <c r="H168" s="191"/>
      <c r="I168" s="195">
        <f t="shared" si="22"/>
        <v>0</v>
      </c>
      <c r="J168" s="205">
        <f t="shared" si="23"/>
        <v>0</v>
      </c>
      <c r="K168" s="207"/>
    </row>
    <row r="169" spans="1:11" ht="12.75" customHeight="1">
      <c r="A169" s="797" t="s">
        <v>148</v>
      </c>
      <c r="B169" s="779"/>
      <c r="C169" s="727"/>
      <c r="D169" s="467">
        <v>33000</v>
      </c>
      <c r="E169" s="192"/>
      <c r="F169" s="474">
        <f t="shared" si="21"/>
        <v>33000</v>
      </c>
      <c r="G169" s="213">
        <v>20399</v>
      </c>
      <c r="H169" s="191"/>
      <c r="I169" s="195">
        <f t="shared" si="22"/>
        <v>20399</v>
      </c>
      <c r="J169" s="205">
        <f t="shared" si="23"/>
        <v>-12601</v>
      </c>
      <c r="K169" s="207">
        <f>+I169/F169</f>
        <v>0.6181515151515151</v>
      </c>
    </row>
    <row r="170" spans="1:11" ht="12.75" customHeight="1">
      <c r="A170" s="797" t="s">
        <v>149</v>
      </c>
      <c r="B170" s="779"/>
      <c r="C170" s="727"/>
      <c r="D170" s="467">
        <v>42375</v>
      </c>
      <c r="E170" s="192"/>
      <c r="F170" s="474">
        <f t="shared" si="21"/>
        <v>42375</v>
      </c>
      <c r="G170" s="213">
        <f>+G171+G172+205+13</f>
        <v>27671</v>
      </c>
      <c r="H170" s="191"/>
      <c r="I170" s="195">
        <f t="shared" si="22"/>
        <v>27671</v>
      </c>
      <c r="J170" s="205">
        <f t="shared" si="23"/>
        <v>-14704</v>
      </c>
      <c r="K170" s="207">
        <f>+I170/F170</f>
        <v>0.6530029498525074</v>
      </c>
    </row>
    <row r="171" spans="1:11" ht="12.75" customHeight="1">
      <c r="A171" s="797" t="s">
        <v>150</v>
      </c>
      <c r="B171" s="779"/>
      <c r="C171" s="727"/>
      <c r="D171" s="467">
        <v>5000</v>
      </c>
      <c r="E171" s="192"/>
      <c r="F171" s="474">
        <f t="shared" si="21"/>
        <v>5000</v>
      </c>
      <c r="G171" s="213">
        <v>3203</v>
      </c>
      <c r="H171" s="191"/>
      <c r="I171" s="195">
        <f t="shared" si="22"/>
        <v>3203</v>
      </c>
      <c r="J171" s="205">
        <f t="shared" si="23"/>
        <v>-1797</v>
      </c>
      <c r="K171" s="207">
        <f>+I171/F171</f>
        <v>0.6406</v>
      </c>
    </row>
    <row r="172" spans="1:11" ht="12.75" customHeight="1">
      <c r="A172" s="797" t="s">
        <v>151</v>
      </c>
      <c r="B172" s="779"/>
      <c r="C172" s="727"/>
      <c r="D172" s="467">
        <v>36200</v>
      </c>
      <c r="E172" s="192"/>
      <c r="F172" s="474">
        <f t="shared" si="21"/>
        <v>36200</v>
      </c>
      <c r="G172" s="213">
        <v>24250</v>
      </c>
      <c r="H172" s="191"/>
      <c r="I172" s="195">
        <f t="shared" si="22"/>
        <v>24250</v>
      </c>
      <c r="J172" s="205">
        <f t="shared" si="23"/>
        <v>-11950</v>
      </c>
      <c r="K172" s="207">
        <f>+I172/F172</f>
        <v>0.669889502762431</v>
      </c>
    </row>
    <row r="173" spans="1:11" ht="12.75" customHeight="1">
      <c r="A173" s="797" t="s">
        <v>152</v>
      </c>
      <c r="B173" s="779"/>
      <c r="C173" s="727"/>
      <c r="D173" s="213">
        <v>120</v>
      </c>
      <c r="E173" s="191"/>
      <c r="F173" s="474">
        <f t="shared" si="21"/>
        <v>120</v>
      </c>
      <c r="G173" s="213">
        <v>805</v>
      </c>
      <c r="H173" s="191"/>
      <c r="I173" s="195">
        <f t="shared" si="22"/>
        <v>805</v>
      </c>
      <c r="J173" s="205">
        <f t="shared" si="23"/>
        <v>685</v>
      </c>
      <c r="K173" s="207">
        <f>+I173/F173</f>
        <v>6.708333333333333</v>
      </c>
    </row>
    <row r="174" spans="1:11" ht="12.75" customHeight="1">
      <c r="A174" s="797" t="s">
        <v>153</v>
      </c>
      <c r="B174" s="779"/>
      <c r="C174" s="727"/>
      <c r="D174" s="213">
        <v>0</v>
      </c>
      <c r="E174" s="191"/>
      <c r="F174" s="474">
        <f t="shared" si="21"/>
        <v>0</v>
      </c>
      <c r="G174" s="213">
        <v>0</v>
      </c>
      <c r="H174" s="191"/>
      <c r="I174" s="195">
        <f t="shared" si="22"/>
        <v>0</v>
      </c>
      <c r="J174" s="205">
        <f t="shared" si="23"/>
        <v>0</v>
      </c>
      <c r="K174" s="207"/>
    </row>
    <row r="175" spans="1:11" ht="12.75" customHeight="1">
      <c r="A175" s="797" t="s">
        <v>154</v>
      </c>
      <c r="B175" s="779"/>
      <c r="C175" s="727"/>
      <c r="D175" s="213">
        <v>28000</v>
      </c>
      <c r="E175" s="191"/>
      <c r="F175" s="474">
        <f t="shared" si="21"/>
        <v>28000</v>
      </c>
      <c r="G175" s="213">
        <v>16485</v>
      </c>
      <c r="H175" s="191"/>
      <c r="I175" s="195">
        <f t="shared" si="22"/>
        <v>16485</v>
      </c>
      <c r="J175" s="205">
        <f t="shared" si="23"/>
        <v>-11515</v>
      </c>
      <c r="K175" s="207">
        <f aca="true" t="shared" si="25" ref="K175:K185">+I175/F175</f>
        <v>0.58875</v>
      </c>
    </row>
    <row r="176" spans="1:11" ht="12.75" customHeight="1">
      <c r="A176" s="797" t="s">
        <v>155</v>
      </c>
      <c r="B176" s="779"/>
      <c r="C176" s="727"/>
      <c r="D176" s="213">
        <v>7000</v>
      </c>
      <c r="E176" s="191"/>
      <c r="F176" s="474">
        <f t="shared" si="21"/>
        <v>7000</v>
      </c>
      <c r="G176" s="213">
        <v>6960</v>
      </c>
      <c r="H176" s="191"/>
      <c r="I176" s="195">
        <f t="shared" si="22"/>
        <v>6960</v>
      </c>
      <c r="J176" s="205">
        <f t="shared" si="23"/>
        <v>-40</v>
      </c>
      <c r="K176" s="207">
        <f t="shared" si="25"/>
        <v>0.9942857142857143</v>
      </c>
    </row>
    <row r="177" spans="1:11" ht="12.75" customHeight="1">
      <c r="A177" s="797" t="s">
        <v>156</v>
      </c>
      <c r="B177" s="779"/>
      <c r="C177" s="727"/>
      <c r="D177" s="467">
        <v>202760</v>
      </c>
      <c r="E177" s="192"/>
      <c r="F177" s="474">
        <f t="shared" si="21"/>
        <v>202760</v>
      </c>
      <c r="G177" s="213">
        <v>96459</v>
      </c>
      <c r="H177" s="191"/>
      <c r="I177" s="195">
        <f t="shared" si="22"/>
        <v>96459</v>
      </c>
      <c r="J177" s="205">
        <f t="shared" si="23"/>
        <v>-106301</v>
      </c>
      <c r="K177" s="207">
        <f t="shared" si="25"/>
        <v>0.47572992700729927</v>
      </c>
    </row>
    <row r="178" spans="1:11" ht="12.75" customHeight="1">
      <c r="A178" s="797" t="s">
        <v>157</v>
      </c>
      <c r="B178" s="779"/>
      <c r="C178" s="727"/>
      <c r="D178" s="467">
        <v>148000</v>
      </c>
      <c r="E178" s="191"/>
      <c r="F178" s="474">
        <f t="shared" si="21"/>
        <v>148000</v>
      </c>
      <c r="G178" s="213">
        <v>70354</v>
      </c>
      <c r="H178" s="191"/>
      <c r="I178" s="195">
        <f t="shared" si="22"/>
        <v>70354</v>
      </c>
      <c r="J178" s="205">
        <f t="shared" si="23"/>
        <v>-77646</v>
      </c>
      <c r="K178" s="207">
        <f t="shared" si="25"/>
        <v>0.47536486486486484</v>
      </c>
    </row>
    <row r="179" spans="1:11" ht="12.75" customHeight="1">
      <c r="A179" s="797" t="s">
        <v>158</v>
      </c>
      <c r="B179" s="779"/>
      <c r="C179" s="727"/>
      <c r="D179" s="467">
        <v>147750</v>
      </c>
      <c r="E179" s="192"/>
      <c r="F179" s="474">
        <f t="shared" si="21"/>
        <v>147750</v>
      </c>
      <c r="G179" s="213"/>
      <c r="H179" s="191"/>
      <c r="I179" s="195">
        <f t="shared" si="22"/>
        <v>0</v>
      </c>
      <c r="J179" s="205">
        <f t="shared" si="23"/>
        <v>-147750</v>
      </c>
      <c r="K179" s="207">
        <f t="shared" si="25"/>
        <v>0</v>
      </c>
    </row>
    <row r="180" spans="1:11" ht="12.75" customHeight="1">
      <c r="A180" s="797" t="s">
        <v>159</v>
      </c>
      <c r="B180" s="779"/>
      <c r="C180" s="727"/>
      <c r="D180" s="467">
        <v>250</v>
      </c>
      <c r="E180" s="192"/>
      <c r="F180" s="474">
        <f t="shared" si="21"/>
        <v>250</v>
      </c>
      <c r="G180" s="213"/>
      <c r="H180" s="191"/>
      <c r="I180" s="195">
        <f t="shared" si="22"/>
        <v>0</v>
      </c>
      <c r="J180" s="205">
        <f t="shared" si="23"/>
        <v>-250</v>
      </c>
      <c r="K180" s="207">
        <f t="shared" si="25"/>
        <v>0</v>
      </c>
    </row>
    <row r="181" spans="1:11" ht="12.75" customHeight="1">
      <c r="A181" s="797" t="s">
        <v>160</v>
      </c>
      <c r="B181" s="779"/>
      <c r="C181" s="727"/>
      <c r="D181" s="467">
        <v>54760</v>
      </c>
      <c r="E181" s="192"/>
      <c r="F181" s="474">
        <f t="shared" si="21"/>
        <v>54760</v>
      </c>
      <c r="G181" s="213"/>
      <c r="H181" s="191"/>
      <c r="I181" s="195">
        <f t="shared" si="22"/>
        <v>0</v>
      </c>
      <c r="J181" s="205">
        <f t="shared" si="23"/>
        <v>-54760</v>
      </c>
      <c r="K181" s="207">
        <f t="shared" si="25"/>
        <v>0</v>
      </c>
    </row>
    <row r="182" spans="1:11" ht="12.75" customHeight="1">
      <c r="A182" s="797" t="s">
        <v>161</v>
      </c>
      <c r="B182" s="779"/>
      <c r="C182" s="727"/>
      <c r="D182" s="467">
        <v>15</v>
      </c>
      <c r="E182" s="192"/>
      <c r="F182" s="474">
        <f t="shared" si="21"/>
        <v>15</v>
      </c>
      <c r="G182" s="213">
        <v>6</v>
      </c>
      <c r="H182" s="191"/>
      <c r="I182" s="195">
        <f t="shared" si="22"/>
        <v>6</v>
      </c>
      <c r="J182" s="205">
        <f t="shared" si="23"/>
        <v>-9</v>
      </c>
      <c r="K182" s="207">
        <f t="shared" si="25"/>
        <v>0.4</v>
      </c>
    </row>
    <row r="183" spans="1:11" ht="12.75" customHeight="1">
      <c r="A183" s="797" t="s">
        <v>162</v>
      </c>
      <c r="B183" s="779"/>
      <c r="C183" s="727"/>
      <c r="D183" s="467">
        <v>2000</v>
      </c>
      <c r="E183" s="192"/>
      <c r="F183" s="474">
        <f t="shared" si="21"/>
        <v>2000</v>
      </c>
      <c r="G183" s="213">
        <v>944</v>
      </c>
      <c r="H183" s="191"/>
      <c r="I183" s="195">
        <f t="shared" si="22"/>
        <v>944</v>
      </c>
      <c r="J183" s="205">
        <f t="shared" si="23"/>
        <v>-1056</v>
      </c>
      <c r="K183" s="207">
        <f t="shared" si="25"/>
        <v>0.472</v>
      </c>
    </row>
    <row r="184" spans="1:11" ht="12.75" customHeight="1">
      <c r="A184" s="797" t="s">
        <v>163</v>
      </c>
      <c r="B184" s="779"/>
      <c r="C184" s="727"/>
      <c r="D184" s="467">
        <v>1925</v>
      </c>
      <c r="E184" s="192"/>
      <c r="F184" s="474">
        <f t="shared" si="21"/>
        <v>1925</v>
      </c>
      <c r="G184" s="213">
        <f>463+644</f>
        <v>1107</v>
      </c>
      <c r="H184" s="191">
        <v>6</v>
      </c>
      <c r="I184" s="195">
        <f t="shared" si="22"/>
        <v>1113</v>
      </c>
      <c r="J184" s="205">
        <f t="shared" si="23"/>
        <v>-812</v>
      </c>
      <c r="K184" s="207">
        <f t="shared" si="25"/>
        <v>0.5781818181818181</v>
      </c>
    </row>
    <row r="185" spans="1:11" ht="12.75" customHeight="1">
      <c r="A185" s="797" t="s">
        <v>164</v>
      </c>
      <c r="B185" s="779"/>
      <c r="C185" s="727"/>
      <c r="D185" s="467">
        <v>925</v>
      </c>
      <c r="E185" s="192"/>
      <c r="F185" s="474">
        <f t="shared" si="21"/>
        <v>925</v>
      </c>
      <c r="G185" s="213">
        <v>644</v>
      </c>
      <c r="H185" s="191"/>
      <c r="I185" s="195">
        <f t="shared" si="22"/>
        <v>644</v>
      </c>
      <c r="J185" s="205">
        <f t="shared" si="23"/>
        <v>-281</v>
      </c>
      <c r="K185" s="207">
        <f t="shared" si="25"/>
        <v>0.6962162162162162</v>
      </c>
    </row>
    <row r="186" spans="1:11" ht="12.75" customHeight="1" thickBot="1">
      <c r="A186" s="790" t="s">
        <v>165</v>
      </c>
      <c r="B186" s="791"/>
      <c r="C186" s="792"/>
      <c r="D186" s="475">
        <v>0</v>
      </c>
      <c r="E186" s="418"/>
      <c r="F186" s="474">
        <f t="shared" si="21"/>
        <v>0</v>
      </c>
      <c r="G186" s="216">
        <v>0</v>
      </c>
      <c r="H186" s="221"/>
      <c r="I186" s="195">
        <f t="shared" si="22"/>
        <v>0</v>
      </c>
      <c r="J186" s="374">
        <f t="shared" si="23"/>
        <v>0</v>
      </c>
      <c r="K186" s="228"/>
    </row>
    <row r="187" spans="1:11" s="35" customFormat="1" ht="13.5" customHeight="1" thickBot="1">
      <c r="A187" s="800" t="s">
        <v>23</v>
      </c>
      <c r="B187" s="968"/>
      <c r="C187" s="969"/>
      <c r="D187" s="224">
        <f aca="true" t="shared" si="26" ref="D187:I187">SUM(D159+D167+D168+D169+D170+D177+D182+D183+D184+D186)</f>
        <v>390815</v>
      </c>
      <c r="E187" s="197">
        <f t="shared" si="26"/>
        <v>0</v>
      </c>
      <c r="F187" s="198">
        <f t="shared" si="26"/>
        <v>390815</v>
      </c>
      <c r="G187" s="224">
        <f t="shared" si="26"/>
        <v>206667</v>
      </c>
      <c r="H187" s="197">
        <f t="shared" si="26"/>
        <v>239</v>
      </c>
      <c r="I187" s="198">
        <f t="shared" si="26"/>
        <v>206906</v>
      </c>
      <c r="J187" s="455">
        <f t="shared" si="23"/>
        <v>-183909</v>
      </c>
      <c r="K187" s="456">
        <f>+I187/F187</f>
        <v>0.529421849212543</v>
      </c>
    </row>
    <row r="188" spans="1:11" s="35" customFormat="1" ht="13.5" thickBot="1">
      <c r="A188" s="800" t="s">
        <v>435</v>
      </c>
      <c r="B188" s="968"/>
      <c r="C188" s="969"/>
      <c r="D188" s="224">
        <f aca="true" t="shared" si="27" ref="D188:I188">+D157-D187</f>
        <v>-600</v>
      </c>
      <c r="E188" s="197">
        <f t="shared" si="27"/>
        <v>600</v>
      </c>
      <c r="F188" s="198">
        <f t="shared" si="27"/>
        <v>0</v>
      </c>
      <c r="G188" s="224">
        <f t="shared" si="27"/>
        <v>-6402</v>
      </c>
      <c r="H188" s="197">
        <f t="shared" si="27"/>
        <v>538</v>
      </c>
      <c r="I188" s="198">
        <f t="shared" si="27"/>
        <v>-5864</v>
      </c>
      <c r="J188"/>
      <c r="K188"/>
    </row>
    <row r="189" ht="13.5" customHeight="1" thickBot="1"/>
    <row r="190" spans="1:9" ht="15.75" customHeight="1" thickBot="1">
      <c r="A190" s="776" t="s">
        <v>41</v>
      </c>
      <c r="B190" s="777"/>
      <c r="C190" s="777"/>
      <c r="D190" s="803">
        <f>+F157-F187</f>
        <v>0</v>
      </c>
      <c r="E190" s="804"/>
      <c r="F190" s="805"/>
      <c r="G190" s="803">
        <f>+I157-I187</f>
        <v>-5864</v>
      </c>
      <c r="H190" s="804"/>
      <c r="I190" s="805"/>
    </row>
    <row r="191" spans="1:9" ht="13.5" customHeight="1">
      <c r="A191" s="834" t="s">
        <v>422</v>
      </c>
      <c r="B191" s="835"/>
      <c r="C191" s="835"/>
      <c r="D191" s="835"/>
      <c r="E191" s="835"/>
      <c r="F191" s="714"/>
      <c r="G191" s="836">
        <v>0</v>
      </c>
      <c r="H191" s="1014"/>
      <c r="I191" s="1015"/>
    </row>
    <row r="192" spans="1:9" ht="12.75" customHeight="1" thickBot="1">
      <c r="A192" s="798" t="s">
        <v>168</v>
      </c>
      <c r="B192" s="799"/>
      <c r="C192" s="799"/>
      <c r="D192" s="799"/>
      <c r="E192" s="799"/>
      <c r="F192" s="704"/>
      <c r="G192" s="788">
        <f>+G190+G191</f>
        <v>-5864</v>
      </c>
      <c r="H192" s="720"/>
      <c r="I192" s="789"/>
    </row>
    <row r="193" spans="1:12" ht="12.75" customHeight="1">
      <c r="A193" s="905" t="s">
        <v>412</v>
      </c>
      <c r="B193" s="980"/>
      <c r="C193" s="980"/>
      <c r="D193" s="980"/>
      <c r="E193" s="980"/>
      <c r="F193" s="980"/>
      <c r="G193" s="980"/>
      <c r="H193" s="980"/>
      <c r="I193" s="980"/>
      <c r="J193" s="980"/>
      <c r="K193" s="980"/>
      <c r="L193" s="981"/>
    </row>
    <row r="194" spans="1:12" ht="12.75">
      <c r="A194" s="982"/>
      <c r="B194" s="983"/>
      <c r="C194" s="983"/>
      <c r="D194" s="983"/>
      <c r="E194" s="983"/>
      <c r="F194" s="983"/>
      <c r="G194" s="983"/>
      <c r="H194" s="983"/>
      <c r="I194" s="983"/>
      <c r="J194" s="983"/>
      <c r="K194" s="983"/>
      <c r="L194" s="984"/>
    </row>
    <row r="195" spans="1:12" ht="12.75">
      <c r="A195" s="982"/>
      <c r="B195" s="983"/>
      <c r="C195" s="983"/>
      <c r="D195" s="983"/>
      <c r="E195" s="983"/>
      <c r="F195" s="983"/>
      <c r="G195" s="983"/>
      <c r="H195" s="983"/>
      <c r="I195" s="983"/>
      <c r="J195" s="983"/>
      <c r="K195" s="983"/>
      <c r="L195" s="984"/>
    </row>
    <row r="196" spans="1:12" ht="12.75">
      <c r="A196" s="982"/>
      <c r="B196" s="983"/>
      <c r="C196" s="983"/>
      <c r="D196" s="983"/>
      <c r="E196" s="983"/>
      <c r="F196" s="983"/>
      <c r="G196" s="983"/>
      <c r="H196" s="983"/>
      <c r="I196" s="983"/>
      <c r="J196" s="983"/>
      <c r="K196" s="983"/>
      <c r="L196" s="984"/>
    </row>
    <row r="197" spans="1:12" ht="12.75">
      <c r="A197" s="1038"/>
      <c r="B197" s="875"/>
      <c r="C197" s="875"/>
      <c r="D197" s="875"/>
      <c r="E197" s="875"/>
      <c r="F197" s="875"/>
      <c r="G197" s="875"/>
      <c r="H197" s="875"/>
      <c r="I197" s="875"/>
      <c r="J197" s="875"/>
      <c r="K197" s="875"/>
      <c r="L197" s="1039"/>
    </row>
    <row r="198" spans="1:12" ht="12.75">
      <c r="A198" s="1040"/>
      <c r="B198" s="1041"/>
      <c r="C198" s="1041"/>
      <c r="D198" s="1041"/>
      <c r="E198" s="1041"/>
      <c r="F198" s="1041"/>
      <c r="G198" s="1041"/>
      <c r="H198" s="1041"/>
      <c r="I198" s="1041"/>
      <c r="J198" s="1041"/>
      <c r="K198" s="1041"/>
      <c r="L198" s="1042"/>
    </row>
    <row r="199" spans="1:12" s="508" customFormat="1" ht="12.75">
      <c r="A199" s="506" t="s">
        <v>405</v>
      </c>
      <c r="B199" s="507"/>
      <c r="C199" s="507"/>
      <c r="D199" s="507"/>
      <c r="E199" s="507"/>
      <c r="F199" s="507"/>
      <c r="G199" s="507"/>
      <c r="H199" s="507"/>
      <c r="I199" s="507"/>
      <c r="J199" s="507"/>
      <c r="K199" s="507"/>
      <c r="L199" s="507"/>
    </row>
    <row r="200" ht="3" customHeight="1"/>
    <row r="201" ht="12.75" customHeight="1"/>
    <row r="216" ht="12.75" customHeight="1"/>
  </sheetData>
  <mergeCells count="186">
    <mergeCell ref="A4:A6"/>
    <mergeCell ref="B4:C4"/>
    <mergeCell ref="D4:G4"/>
    <mergeCell ref="H4:L4"/>
    <mergeCell ref="B5:B6"/>
    <mergeCell ref="C5:C6"/>
    <mergeCell ref="D5:E5"/>
    <mergeCell ref="F5:G5"/>
    <mergeCell ref="H5:I5"/>
    <mergeCell ref="L5:L6"/>
    <mergeCell ref="A192:F192"/>
    <mergeCell ref="G192:I192"/>
    <mergeCell ref="A182:C182"/>
    <mergeCell ref="A184:C184"/>
    <mergeCell ref="A185:C185"/>
    <mergeCell ref="A187:C187"/>
    <mergeCell ref="G191:I191"/>
    <mergeCell ref="A183:C183"/>
    <mergeCell ref="A186:C186"/>
    <mergeCell ref="A191:F191"/>
    <mergeCell ref="A178:C178"/>
    <mergeCell ref="A179:C179"/>
    <mergeCell ref="A180:C180"/>
    <mergeCell ref="A181:C181"/>
    <mergeCell ref="A176:C176"/>
    <mergeCell ref="A177:C177"/>
    <mergeCell ref="A170:C170"/>
    <mergeCell ref="A171:C171"/>
    <mergeCell ref="A172:C172"/>
    <mergeCell ref="A173:C173"/>
    <mergeCell ref="A174:C174"/>
    <mergeCell ref="A175:C175"/>
    <mergeCell ref="A166:C166"/>
    <mergeCell ref="A167:C167"/>
    <mergeCell ref="A168:C168"/>
    <mergeCell ref="A169:C169"/>
    <mergeCell ref="A162:C162"/>
    <mergeCell ref="A163:C163"/>
    <mergeCell ref="A164:C164"/>
    <mergeCell ref="A165:C165"/>
    <mergeCell ref="A157:C157"/>
    <mergeCell ref="A159:C159"/>
    <mergeCell ref="A160:C160"/>
    <mergeCell ref="A161:C161"/>
    <mergeCell ref="A103:B103"/>
    <mergeCell ref="A153:C153"/>
    <mergeCell ref="A149:C149"/>
    <mergeCell ref="A150:C150"/>
    <mergeCell ref="A151:C151"/>
    <mergeCell ref="A152:C152"/>
    <mergeCell ref="A119:D119"/>
    <mergeCell ref="A108:L111"/>
    <mergeCell ref="A106:B106"/>
    <mergeCell ref="A105:B105"/>
    <mergeCell ref="A102:B102"/>
    <mergeCell ref="A96:B96"/>
    <mergeCell ref="K114:L114"/>
    <mergeCell ref="A115:D115"/>
    <mergeCell ref="E115:F115"/>
    <mergeCell ref="H115:J115"/>
    <mergeCell ref="K115:L115"/>
    <mergeCell ref="A114:D114"/>
    <mergeCell ref="E114:F114"/>
    <mergeCell ref="H114:J114"/>
    <mergeCell ref="A90:B90"/>
    <mergeCell ref="A91:B91"/>
    <mergeCell ref="A92:B92"/>
    <mergeCell ref="A93:B93"/>
    <mergeCell ref="E75:F75"/>
    <mergeCell ref="H86:L86"/>
    <mergeCell ref="C86:G86"/>
    <mergeCell ref="A89:B89"/>
    <mergeCell ref="E80:F80"/>
    <mergeCell ref="E76:F76"/>
    <mergeCell ref="E77:F77"/>
    <mergeCell ref="E78:F78"/>
    <mergeCell ref="E79:F79"/>
    <mergeCell ref="A82:L83"/>
    <mergeCell ref="E70:F70"/>
    <mergeCell ref="E71:F71"/>
    <mergeCell ref="E73:F73"/>
    <mergeCell ref="E74:F74"/>
    <mergeCell ref="E72:F72"/>
    <mergeCell ref="C45:C46"/>
    <mergeCell ref="D45:D46"/>
    <mergeCell ref="B45:B46"/>
    <mergeCell ref="A68:A69"/>
    <mergeCell ref="L26:L27"/>
    <mergeCell ref="E68:F69"/>
    <mergeCell ref="J68:L68"/>
    <mergeCell ref="L45:L46"/>
    <mergeCell ref="A62:L65"/>
    <mergeCell ref="E45:E46"/>
    <mergeCell ref="F45:K45"/>
    <mergeCell ref="A45:A46"/>
    <mergeCell ref="G68:I68"/>
    <mergeCell ref="B68:D68"/>
    <mergeCell ref="G143:G145"/>
    <mergeCell ref="A1:K1"/>
    <mergeCell ref="A20:L23"/>
    <mergeCell ref="F26:K26"/>
    <mergeCell ref="E26:E27"/>
    <mergeCell ref="A26:A27"/>
    <mergeCell ref="C26:C27"/>
    <mergeCell ref="D26:D27"/>
    <mergeCell ref="B26:B27"/>
    <mergeCell ref="J5:K5"/>
    <mergeCell ref="E119:F119"/>
    <mergeCell ref="A120:D120"/>
    <mergeCell ref="H118:J118"/>
    <mergeCell ref="A97:B97"/>
    <mergeCell ref="A100:B100"/>
    <mergeCell ref="H116:J116"/>
    <mergeCell ref="A118:D118"/>
    <mergeCell ref="E118:F118"/>
    <mergeCell ref="A116:D116"/>
    <mergeCell ref="E120:F120"/>
    <mergeCell ref="A99:B99"/>
    <mergeCell ref="A101:B101"/>
    <mergeCell ref="A94:B94"/>
    <mergeCell ref="A95:B95"/>
    <mergeCell ref="A86:B87"/>
    <mergeCell ref="K116:L116"/>
    <mergeCell ref="A117:D117"/>
    <mergeCell ref="E117:F117"/>
    <mergeCell ref="H117:J117"/>
    <mergeCell ref="K117:L117"/>
    <mergeCell ref="E116:F116"/>
    <mergeCell ref="A104:B104"/>
    <mergeCell ref="A88:B88"/>
    <mergeCell ref="A98:B98"/>
    <mergeCell ref="A190:C190"/>
    <mergeCell ref="D190:F190"/>
    <mergeCell ref="G190:I190"/>
    <mergeCell ref="E121:F121"/>
    <mergeCell ref="A146:C146"/>
    <mergeCell ref="A147:C147"/>
    <mergeCell ref="H143:H145"/>
    <mergeCell ref="A156:C156"/>
    <mergeCell ref="F143:F145"/>
    <mergeCell ref="A148:C148"/>
    <mergeCell ref="I134:J134"/>
    <mergeCell ref="A155:C155"/>
    <mergeCell ref="H121:J121"/>
    <mergeCell ref="K121:L121"/>
    <mergeCell ref="A154:C154"/>
    <mergeCell ref="J142:K144"/>
    <mergeCell ref="A142:C145"/>
    <mergeCell ref="D143:D145"/>
    <mergeCell ref="E143:E145"/>
    <mergeCell ref="I143:I145"/>
    <mergeCell ref="A121:D121"/>
    <mergeCell ref="A136:D136"/>
    <mergeCell ref="I135:J135"/>
    <mergeCell ref="I125:J125"/>
    <mergeCell ref="I126:J126"/>
    <mergeCell ref="I130:J130"/>
    <mergeCell ref="I131:J131"/>
    <mergeCell ref="A128:D128"/>
    <mergeCell ref="A125:D125"/>
    <mergeCell ref="A126:D126"/>
    <mergeCell ref="I124:J124"/>
    <mergeCell ref="A123:D124"/>
    <mergeCell ref="A132:D132"/>
    <mergeCell ref="A133:D133"/>
    <mergeCell ref="A130:D131"/>
    <mergeCell ref="A138:D138"/>
    <mergeCell ref="K118:L118"/>
    <mergeCell ref="I128:J128"/>
    <mergeCell ref="I127:J127"/>
    <mergeCell ref="K123:K124"/>
    <mergeCell ref="H119:J120"/>
    <mergeCell ref="A134:D134"/>
    <mergeCell ref="A135:D135"/>
    <mergeCell ref="K119:L120"/>
    <mergeCell ref="I123:J123"/>
    <mergeCell ref="A188:C188"/>
    <mergeCell ref="A193:L198"/>
    <mergeCell ref="I136:J136"/>
    <mergeCell ref="L123:L124"/>
    <mergeCell ref="K130:K131"/>
    <mergeCell ref="L130:L131"/>
    <mergeCell ref="I132:J132"/>
    <mergeCell ref="I133:J133"/>
    <mergeCell ref="A127:D127"/>
    <mergeCell ref="I138:J138"/>
  </mergeCells>
  <printOptions horizontalCentered="1"/>
  <pageMargins left="0.2" right="0.1968503937007874" top="0.3937007874015748" bottom="0.3937007874015748" header="0.2362204724409449" footer="0.2362204724409449"/>
  <pageSetup horizontalDpi="300" verticalDpi="300" orientation="portrait" paperSize="9" scale="80" r:id="rId3"/>
  <headerFooter alignWithMargins="0">
    <oddFooter>&amp;C&amp;8&amp;P / 25</oddFooter>
  </headerFooter>
  <rowBreaks count="1" manualBreakCount="1">
    <brk id="140" max="255" man="1"/>
  </rowBreaks>
  <legacyDrawing r:id="rId2"/>
  <oleObjects>
    <oleObject progId="Word.Document.8" shapeId="1451579" r:id="rId1"/>
  </oleObjects>
</worksheet>
</file>

<file path=xl/worksheets/sheet7.xml><?xml version="1.0" encoding="utf-8"?>
<worksheet xmlns="http://schemas.openxmlformats.org/spreadsheetml/2006/main" xmlns:r="http://schemas.openxmlformats.org/officeDocument/2006/relationships">
  <dimension ref="A1:L267"/>
  <sheetViews>
    <sheetView showGridLines="0" workbookViewId="0" topLeftCell="A1">
      <selection activeCell="A1" sqref="A1"/>
    </sheetView>
  </sheetViews>
  <sheetFormatPr defaultColWidth="9.00390625" defaultRowHeight="12.75"/>
  <cols>
    <col min="1" max="1" width="10.625" style="0" customWidth="1"/>
    <col min="2" max="9" width="10.75390625" style="0" customWidth="1"/>
    <col min="10" max="10" width="11.125" style="0" customWidth="1"/>
    <col min="11" max="11" width="10.75390625" style="0" customWidth="1"/>
    <col min="12" max="12" width="11.625" style="0" customWidth="1"/>
  </cols>
  <sheetData>
    <row r="1" spans="1:12" s="257" customFormat="1" ht="18">
      <c r="A1" s="561" t="s">
        <v>77</v>
      </c>
      <c r="B1" s="562"/>
      <c r="C1" s="562"/>
      <c r="D1" s="562"/>
      <c r="E1" s="562"/>
      <c r="F1" s="562"/>
      <c r="G1" s="562"/>
      <c r="H1" s="562"/>
      <c r="I1" s="562"/>
      <c r="J1" s="562"/>
      <c r="K1" s="562"/>
      <c r="L1" s="562"/>
    </row>
    <row r="2" ht="15.75">
      <c r="A2" s="25"/>
    </row>
    <row r="3" spans="1:12" ht="17.25" customHeight="1" thickBot="1">
      <c r="A3" s="85" t="s">
        <v>71</v>
      </c>
      <c r="L3" s="274" t="s">
        <v>194</v>
      </c>
    </row>
    <row r="4" spans="1:12" ht="15" customHeight="1">
      <c r="A4" s="734" t="s">
        <v>49</v>
      </c>
      <c r="B4" s="743" t="s">
        <v>23</v>
      </c>
      <c r="C4" s="746"/>
      <c r="D4" s="783" t="s">
        <v>391</v>
      </c>
      <c r="E4" s="795"/>
      <c r="F4" s="784"/>
      <c r="G4" s="796"/>
      <c r="H4" s="783" t="s">
        <v>41</v>
      </c>
      <c r="I4" s="784"/>
      <c r="J4" s="784"/>
      <c r="K4" s="784"/>
      <c r="L4" s="785"/>
    </row>
    <row r="5" spans="1:12" ht="12.75" customHeight="1">
      <c r="A5" s="794"/>
      <c r="B5" s="793">
        <v>2004</v>
      </c>
      <c r="C5" s="786">
        <v>2005</v>
      </c>
      <c r="D5" s="778">
        <v>2004</v>
      </c>
      <c r="E5" s="779"/>
      <c r="F5" s="781">
        <v>2005</v>
      </c>
      <c r="G5" s="782"/>
      <c r="H5" s="778">
        <v>2004</v>
      </c>
      <c r="I5" s="779"/>
      <c r="J5" s="781">
        <v>2005</v>
      </c>
      <c r="K5" s="782" t="s">
        <v>390</v>
      </c>
      <c r="L5" s="786" t="s">
        <v>395</v>
      </c>
    </row>
    <row r="6" spans="1:12" ht="23.25" thickBot="1">
      <c r="A6" s="735"/>
      <c r="B6" s="712"/>
      <c r="C6" s="787"/>
      <c r="D6" s="81" t="s">
        <v>392</v>
      </c>
      <c r="E6" s="91" t="s">
        <v>393</v>
      </c>
      <c r="F6" s="91" t="s">
        <v>392</v>
      </c>
      <c r="G6" s="74" t="s">
        <v>393</v>
      </c>
      <c r="H6" s="81" t="s">
        <v>394</v>
      </c>
      <c r="I6" s="91" t="s">
        <v>390</v>
      </c>
      <c r="J6" s="91" t="s">
        <v>394</v>
      </c>
      <c r="K6" s="74" t="s">
        <v>390</v>
      </c>
      <c r="L6" s="787"/>
    </row>
    <row r="7" spans="1:12" s="35" customFormat="1" ht="14.25" customHeight="1">
      <c r="A7" s="49" t="s">
        <v>50</v>
      </c>
      <c r="B7" s="75">
        <v>39207</v>
      </c>
      <c r="C7" s="21">
        <v>40489</v>
      </c>
      <c r="D7" s="26">
        <v>38842</v>
      </c>
      <c r="E7" s="2">
        <v>930</v>
      </c>
      <c r="F7" s="2">
        <v>42258</v>
      </c>
      <c r="G7" s="2">
        <v>129</v>
      </c>
      <c r="H7" s="26">
        <v>-365</v>
      </c>
      <c r="I7" s="2">
        <f aca="true" t="shared" si="0" ref="I7:I12">+H7-E7</f>
        <v>-1295</v>
      </c>
      <c r="J7" s="2">
        <f aca="true" t="shared" si="1" ref="J7:J12">+F7-C7</f>
        <v>1769</v>
      </c>
      <c r="K7" s="2">
        <f aca="true" t="shared" si="2" ref="K7:K12">+J7-G7</f>
        <v>1640</v>
      </c>
      <c r="L7" s="3">
        <f aca="true" t="shared" si="3" ref="L7:L12">+J7-H7</f>
        <v>2134</v>
      </c>
    </row>
    <row r="8" spans="1:12" s="35" customFormat="1" ht="14.25" customHeight="1">
      <c r="A8" s="51" t="s">
        <v>51</v>
      </c>
      <c r="B8" s="12">
        <v>78893</v>
      </c>
      <c r="C8" s="5">
        <v>82040</v>
      </c>
      <c r="D8" s="23">
        <v>79388</v>
      </c>
      <c r="E8" s="4">
        <v>2009</v>
      </c>
      <c r="F8" s="4">
        <v>84060</v>
      </c>
      <c r="G8" s="4">
        <v>258</v>
      </c>
      <c r="H8" s="23">
        <v>495</v>
      </c>
      <c r="I8" s="2">
        <f t="shared" si="0"/>
        <v>-1514</v>
      </c>
      <c r="J8" s="4">
        <f t="shared" si="1"/>
        <v>2020</v>
      </c>
      <c r="K8" s="2">
        <f t="shared" si="2"/>
        <v>1762</v>
      </c>
      <c r="L8" s="3">
        <f t="shared" si="3"/>
        <v>1525</v>
      </c>
    </row>
    <row r="9" spans="1:12" s="35" customFormat="1" ht="14.25" customHeight="1">
      <c r="A9" s="51" t="s">
        <v>52</v>
      </c>
      <c r="B9" s="12">
        <v>120364</v>
      </c>
      <c r="C9" s="5">
        <v>123851</v>
      </c>
      <c r="D9" s="23">
        <v>124813</v>
      </c>
      <c r="E9" s="4">
        <v>2709</v>
      </c>
      <c r="F9" s="4">
        <v>128123</v>
      </c>
      <c r="G9" s="4">
        <v>387</v>
      </c>
      <c r="H9" s="23">
        <v>4449</v>
      </c>
      <c r="I9" s="2">
        <f t="shared" si="0"/>
        <v>1740</v>
      </c>
      <c r="J9" s="4">
        <f t="shared" si="1"/>
        <v>4272</v>
      </c>
      <c r="K9" s="2">
        <f t="shared" si="2"/>
        <v>3885</v>
      </c>
      <c r="L9" s="3">
        <f t="shared" si="3"/>
        <v>-177</v>
      </c>
    </row>
    <row r="10" spans="1:12" s="35" customFormat="1" ht="14.25" customHeight="1">
      <c r="A10" s="51" t="s">
        <v>53</v>
      </c>
      <c r="B10" s="12">
        <v>160939</v>
      </c>
      <c r="C10" s="5">
        <v>165020</v>
      </c>
      <c r="D10" s="23">
        <v>165311</v>
      </c>
      <c r="E10" s="4">
        <v>3308</v>
      </c>
      <c r="F10" s="4">
        <v>167842</v>
      </c>
      <c r="G10" s="4">
        <v>516</v>
      </c>
      <c r="H10" s="23">
        <v>4372</v>
      </c>
      <c r="I10" s="2">
        <f t="shared" si="0"/>
        <v>1064</v>
      </c>
      <c r="J10" s="4">
        <f t="shared" si="1"/>
        <v>2822</v>
      </c>
      <c r="K10" s="2">
        <f t="shared" si="2"/>
        <v>2306</v>
      </c>
      <c r="L10" s="3">
        <f t="shared" si="3"/>
        <v>-1550</v>
      </c>
    </row>
    <row r="11" spans="1:12" s="35" customFormat="1" ht="14.25" customHeight="1">
      <c r="A11" s="51" t="s">
        <v>54</v>
      </c>
      <c r="B11" s="12">
        <v>206115</v>
      </c>
      <c r="C11" s="5">
        <v>208574</v>
      </c>
      <c r="D11" s="23">
        <v>211973</v>
      </c>
      <c r="E11" s="4">
        <v>3908</v>
      </c>
      <c r="F11" s="4">
        <v>211626</v>
      </c>
      <c r="G11" s="4">
        <v>748</v>
      </c>
      <c r="H11" s="23">
        <v>5858</v>
      </c>
      <c r="I11" s="2">
        <f t="shared" si="0"/>
        <v>1950</v>
      </c>
      <c r="J11" s="4">
        <f t="shared" si="1"/>
        <v>3052</v>
      </c>
      <c r="K11" s="2">
        <f t="shared" si="2"/>
        <v>2304</v>
      </c>
      <c r="L11" s="3">
        <f t="shared" si="3"/>
        <v>-2806</v>
      </c>
    </row>
    <row r="12" spans="1:12" s="35" customFormat="1" ht="14.25" customHeight="1" thickBot="1">
      <c r="A12" s="337" t="s">
        <v>55</v>
      </c>
      <c r="B12" s="338">
        <v>246744</v>
      </c>
      <c r="C12" s="167">
        <v>246574</v>
      </c>
      <c r="D12" s="27">
        <v>262350</v>
      </c>
      <c r="E12" s="6">
        <v>4512</v>
      </c>
      <c r="F12" s="6">
        <v>256078</v>
      </c>
      <c r="G12" s="6">
        <v>869</v>
      </c>
      <c r="H12" s="165">
        <v>15606</v>
      </c>
      <c r="I12" s="166">
        <f t="shared" si="0"/>
        <v>11094</v>
      </c>
      <c r="J12" s="166">
        <f t="shared" si="1"/>
        <v>9504</v>
      </c>
      <c r="K12" s="166">
        <f t="shared" si="2"/>
        <v>8635</v>
      </c>
      <c r="L12" s="167">
        <f t="shared" si="3"/>
        <v>-6102</v>
      </c>
    </row>
    <row r="13" spans="1:12" ht="12.75" hidden="1">
      <c r="A13" s="49" t="s">
        <v>56</v>
      </c>
      <c r="B13" s="40">
        <v>281545</v>
      </c>
      <c r="C13" s="76">
        <v>287114</v>
      </c>
      <c r="D13" s="41"/>
      <c r="E13" s="43">
        <v>275508</v>
      </c>
      <c r="F13" s="76">
        <v>300536</v>
      </c>
      <c r="G13" s="76"/>
      <c r="H13" s="26">
        <v>-6037</v>
      </c>
      <c r="I13" s="11">
        <v>13422</v>
      </c>
      <c r="J13" s="399"/>
      <c r="K13" s="9">
        <v>0</v>
      </c>
      <c r="L13" s="86"/>
    </row>
    <row r="14" spans="1:12" ht="12.75" hidden="1">
      <c r="A14" s="51" t="s">
        <v>57</v>
      </c>
      <c r="B14" s="38">
        <v>317724</v>
      </c>
      <c r="C14" s="77">
        <v>326561</v>
      </c>
      <c r="D14" s="39"/>
      <c r="E14" s="36">
        <v>310246</v>
      </c>
      <c r="F14" s="77">
        <v>339201</v>
      </c>
      <c r="G14" s="77"/>
      <c r="H14" s="26">
        <v>-7478</v>
      </c>
      <c r="I14" s="11">
        <v>12640</v>
      </c>
      <c r="J14" s="370"/>
      <c r="K14" s="8">
        <v>0</v>
      </c>
      <c r="L14" s="14"/>
    </row>
    <row r="15" spans="1:12" ht="12.75" hidden="1">
      <c r="A15" s="51" t="s">
        <v>58</v>
      </c>
      <c r="B15" s="38">
        <v>358074</v>
      </c>
      <c r="C15" s="77">
        <v>366739</v>
      </c>
      <c r="D15" s="39"/>
      <c r="E15" s="36">
        <v>348921</v>
      </c>
      <c r="F15" s="77">
        <v>382284</v>
      </c>
      <c r="G15" s="77"/>
      <c r="H15" s="26">
        <v>-9153</v>
      </c>
      <c r="I15" s="11">
        <v>15545</v>
      </c>
      <c r="J15" s="370"/>
      <c r="K15" s="8">
        <v>0</v>
      </c>
      <c r="L15" s="14"/>
    </row>
    <row r="16" spans="1:12" ht="12.75" hidden="1">
      <c r="A16" s="53" t="s">
        <v>59</v>
      </c>
      <c r="B16" s="38">
        <v>393910</v>
      </c>
      <c r="C16" s="77">
        <v>409919</v>
      </c>
      <c r="D16" s="39"/>
      <c r="E16" s="36">
        <v>391183</v>
      </c>
      <c r="F16" s="77">
        <v>418906</v>
      </c>
      <c r="G16" s="77"/>
      <c r="H16" s="23">
        <v>-2727</v>
      </c>
      <c r="I16" s="12">
        <v>8987</v>
      </c>
      <c r="J16" s="370"/>
      <c r="K16" s="8">
        <v>0</v>
      </c>
      <c r="L16" s="14"/>
    </row>
    <row r="17" spans="1:12" ht="12.75" hidden="1">
      <c r="A17" s="51" t="s">
        <v>60</v>
      </c>
      <c r="B17" s="38">
        <v>444455</v>
      </c>
      <c r="C17" s="77">
        <v>454034</v>
      </c>
      <c r="D17" s="39"/>
      <c r="E17" s="36">
        <v>429259</v>
      </c>
      <c r="F17" s="77">
        <v>458511</v>
      </c>
      <c r="G17" s="77"/>
      <c r="H17" s="23">
        <v>-15196</v>
      </c>
      <c r="I17" s="12">
        <v>4477</v>
      </c>
      <c r="J17" s="370"/>
      <c r="K17" s="8">
        <v>0</v>
      </c>
      <c r="L17" s="14"/>
    </row>
    <row r="18" spans="1:12" ht="13.5" hidden="1" thickBot="1">
      <c r="A18" s="55" t="s">
        <v>61</v>
      </c>
      <c r="B18" s="27">
        <v>489954</v>
      </c>
      <c r="C18" s="78">
        <v>502000.96</v>
      </c>
      <c r="D18" s="7"/>
      <c r="E18" s="37">
        <v>483959</v>
      </c>
      <c r="F18" s="78">
        <v>502270.27</v>
      </c>
      <c r="G18" s="78"/>
      <c r="H18" s="27">
        <v>-5995</v>
      </c>
      <c r="I18" s="78">
        <v>269.30999999993946</v>
      </c>
      <c r="J18" s="371"/>
      <c r="K18" s="6">
        <v>0</v>
      </c>
      <c r="L18" s="15"/>
    </row>
    <row r="19" ht="5.25" customHeight="1"/>
    <row r="20" spans="1:12" ht="12.75">
      <c r="A20" s="1137"/>
      <c r="B20" s="996"/>
      <c r="C20" s="996"/>
      <c r="D20" s="996"/>
      <c r="E20" s="996"/>
      <c r="F20" s="996"/>
      <c r="G20" s="996"/>
      <c r="H20" s="996"/>
      <c r="I20" s="996"/>
      <c r="J20" s="996"/>
      <c r="K20" s="996"/>
      <c r="L20" s="997"/>
    </row>
    <row r="21" spans="1:12" ht="12.75">
      <c r="A21" s="998"/>
      <c r="B21" s="999"/>
      <c r="C21" s="999"/>
      <c r="D21" s="999"/>
      <c r="E21" s="999"/>
      <c r="F21" s="999"/>
      <c r="G21" s="999"/>
      <c r="H21" s="999"/>
      <c r="I21" s="999"/>
      <c r="J21" s="999"/>
      <c r="K21" s="999"/>
      <c r="L21" s="1000"/>
    </row>
    <row r="22" spans="1:12" ht="12.75">
      <c r="A22" s="998"/>
      <c r="B22" s="999"/>
      <c r="C22" s="999"/>
      <c r="D22" s="999"/>
      <c r="E22" s="999"/>
      <c r="F22" s="999"/>
      <c r="G22" s="999"/>
      <c r="H22" s="999"/>
      <c r="I22" s="999"/>
      <c r="J22" s="999"/>
      <c r="K22" s="999"/>
      <c r="L22" s="1000"/>
    </row>
    <row r="23" spans="1:12" ht="12.75">
      <c r="A23" s="1001"/>
      <c r="B23" s="1002"/>
      <c r="C23" s="1002"/>
      <c r="D23" s="1002"/>
      <c r="E23" s="1002"/>
      <c r="F23" s="1002"/>
      <c r="G23" s="1002"/>
      <c r="H23" s="1002"/>
      <c r="I23" s="1002"/>
      <c r="J23" s="1002"/>
      <c r="K23" s="1002"/>
      <c r="L23" s="1003"/>
    </row>
    <row r="24" spans="1:12" ht="12.75">
      <c r="A24" s="505"/>
      <c r="B24" s="505"/>
      <c r="C24" s="505"/>
      <c r="D24" s="505"/>
      <c r="E24" s="505"/>
      <c r="F24" s="505"/>
      <c r="G24" s="505"/>
      <c r="H24" s="505"/>
      <c r="I24" s="505"/>
      <c r="J24" s="505"/>
      <c r="K24" s="505"/>
      <c r="L24" s="509"/>
    </row>
    <row r="25" spans="1:12" ht="12.75">
      <c r="A25" s="505"/>
      <c r="B25" s="505"/>
      <c r="C25" s="505"/>
      <c r="D25" s="505"/>
      <c r="E25" s="505"/>
      <c r="F25" s="505"/>
      <c r="G25" s="505"/>
      <c r="H25" s="505"/>
      <c r="I25" s="505"/>
      <c r="J25" s="505"/>
      <c r="K25" s="505"/>
      <c r="L25" s="509"/>
    </row>
    <row r="26" spans="1:12" ht="12.75">
      <c r="A26" s="505"/>
      <c r="B26" s="505"/>
      <c r="C26" s="505"/>
      <c r="D26" s="505"/>
      <c r="E26" s="505"/>
      <c r="F26" s="505"/>
      <c r="G26" s="505"/>
      <c r="H26" s="505"/>
      <c r="I26" s="505"/>
      <c r="J26" s="505"/>
      <c r="K26" s="505"/>
      <c r="L26" s="509"/>
    </row>
    <row r="27" spans="1:12" ht="12.75">
      <c r="A27" s="505"/>
      <c r="B27" s="505"/>
      <c r="C27" s="505"/>
      <c r="D27" s="505"/>
      <c r="E27" s="505"/>
      <c r="F27" s="505"/>
      <c r="G27" s="505"/>
      <c r="H27" s="505"/>
      <c r="I27" s="505"/>
      <c r="J27" s="505"/>
      <c r="K27" s="505"/>
      <c r="L27" s="509"/>
    </row>
    <row r="28" spans="1:12" ht="12.75">
      <c r="A28" s="505"/>
      <c r="B28" s="505"/>
      <c r="C28" s="505"/>
      <c r="D28" s="505"/>
      <c r="E28" s="505"/>
      <c r="F28" s="505"/>
      <c r="G28" s="505"/>
      <c r="H28" s="505"/>
      <c r="I28" s="505"/>
      <c r="J28" s="505"/>
      <c r="K28" s="505"/>
      <c r="L28" s="509"/>
    </row>
    <row r="29" spans="1:12" ht="12.75">
      <c r="A29" s="505"/>
      <c r="B29" s="505"/>
      <c r="C29" s="505"/>
      <c r="D29" s="505"/>
      <c r="E29" s="505"/>
      <c r="F29" s="505"/>
      <c r="G29" s="505"/>
      <c r="H29" s="505"/>
      <c r="I29" s="505"/>
      <c r="J29" s="505"/>
      <c r="K29" s="505"/>
      <c r="L29" s="509"/>
    </row>
    <row r="30" spans="1:12" ht="12.75">
      <c r="A30" s="505"/>
      <c r="B30" s="505"/>
      <c r="C30" s="505"/>
      <c r="D30" s="505"/>
      <c r="E30" s="505"/>
      <c r="F30" s="505"/>
      <c r="G30" s="505"/>
      <c r="H30" s="505"/>
      <c r="I30" s="505"/>
      <c r="J30" s="505"/>
      <c r="K30" s="505"/>
      <c r="L30" s="509"/>
    </row>
    <row r="31" spans="1:12" ht="12.75">
      <c r="A31" s="505"/>
      <c r="B31" s="505"/>
      <c r="C31" s="505"/>
      <c r="D31" s="505"/>
      <c r="E31" s="505"/>
      <c r="F31" s="505"/>
      <c r="G31" s="505"/>
      <c r="H31" s="505"/>
      <c r="I31" s="505"/>
      <c r="J31" s="505"/>
      <c r="K31" s="505"/>
      <c r="L31" s="509"/>
    </row>
    <row r="32" spans="1:12" ht="12.75">
      <c r="A32" s="505"/>
      <c r="B32" s="505"/>
      <c r="C32" s="505"/>
      <c r="D32" s="505"/>
      <c r="E32" s="505"/>
      <c r="F32" s="505"/>
      <c r="G32" s="505"/>
      <c r="H32" s="505"/>
      <c r="I32" s="505"/>
      <c r="J32" s="505"/>
      <c r="K32" s="505"/>
      <c r="L32" s="509"/>
    </row>
    <row r="33" spans="1:12" ht="12.75">
      <c r="A33" s="505"/>
      <c r="B33" s="505"/>
      <c r="C33" s="505"/>
      <c r="D33" s="505"/>
      <c r="E33" s="505"/>
      <c r="F33" s="505"/>
      <c r="G33" s="505"/>
      <c r="H33" s="505"/>
      <c r="I33" s="505"/>
      <c r="J33" s="505"/>
      <c r="K33" s="505"/>
      <c r="L33" s="509"/>
    </row>
    <row r="34" spans="1:12" ht="12.75">
      <c r="A34" s="505"/>
      <c r="B34" s="505"/>
      <c r="C34" s="505"/>
      <c r="D34" s="505"/>
      <c r="E34" s="505"/>
      <c r="F34" s="505"/>
      <c r="G34" s="505"/>
      <c r="H34" s="505"/>
      <c r="I34" s="505"/>
      <c r="J34" s="505"/>
      <c r="K34" s="505"/>
      <c r="L34" s="509"/>
    </row>
    <row r="35" spans="1:12" ht="12.75">
      <c r="A35" s="505"/>
      <c r="B35" s="505"/>
      <c r="C35" s="505"/>
      <c r="D35" s="505"/>
      <c r="E35" s="505"/>
      <c r="F35" s="505"/>
      <c r="G35" s="505"/>
      <c r="H35" s="505"/>
      <c r="I35" s="505"/>
      <c r="J35" s="505"/>
      <c r="K35" s="505"/>
      <c r="L35" s="509"/>
    </row>
    <row r="36" spans="1:12" ht="12.75">
      <c r="A36" s="505"/>
      <c r="B36" s="505"/>
      <c r="C36" s="505"/>
      <c r="D36" s="505"/>
      <c r="E36" s="505"/>
      <c r="F36" s="505"/>
      <c r="G36" s="505"/>
      <c r="H36" s="505"/>
      <c r="I36" s="505"/>
      <c r="J36" s="505"/>
      <c r="K36" s="505"/>
      <c r="L36" s="509"/>
    </row>
    <row r="37" spans="1:12" ht="12.75">
      <c r="A37" s="505"/>
      <c r="B37" s="505"/>
      <c r="C37" s="505"/>
      <c r="D37" s="505"/>
      <c r="E37" s="505"/>
      <c r="F37" s="505"/>
      <c r="G37" s="505"/>
      <c r="H37" s="505"/>
      <c r="I37" s="505"/>
      <c r="J37" s="505"/>
      <c r="K37" s="505"/>
      <c r="L37" s="509"/>
    </row>
    <row r="38" spans="1:12" ht="12.75">
      <c r="A38" s="505"/>
      <c r="B38" s="505"/>
      <c r="C38" s="505"/>
      <c r="D38" s="505"/>
      <c r="E38" s="505"/>
      <c r="F38" s="505"/>
      <c r="G38" s="505"/>
      <c r="H38" s="505"/>
      <c r="I38" s="505"/>
      <c r="J38" s="505"/>
      <c r="K38" s="505"/>
      <c r="L38" s="509"/>
    </row>
    <row r="39" spans="1:12" ht="12.75">
      <c r="A39" s="505"/>
      <c r="B39" s="505"/>
      <c r="C39" s="505"/>
      <c r="D39" s="505"/>
      <c r="E39" s="505"/>
      <c r="F39" s="505"/>
      <c r="G39" s="505"/>
      <c r="H39" s="505"/>
      <c r="I39" s="505"/>
      <c r="J39" s="505"/>
      <c r="K39" s="505"/>
      <c r="L39" s="509"/>
    </row>
    <row r="40" spans="1:11" ht="12.75">
      <c r="A40" s="70"/>
      <c r="B40" s="70"/>
      <c r="C40" s="70"/>
      <c r="D40" s="70"/>
      <c r="E40" s="70"/>
      <c r="F40" s="70"/>
      <c r="G40" s="70"/>
      <c r="H40" s="70"/>
      <c r="I40" s="70"/>
      <c r="J40" s="70"/>
      <c r="K40" s="70"/>
    </row>
    <row r="41" spans="1:12" ht="16.5" thickBot="1">
      <c r="A41" s="25" t="s">
        <v>72</v>
      </c>
      <c r="L41" s="274" t="s">
        <v>194</v>
      </c>
    </row>
    <row r="42" spans="1:12" ht="24.75" customHeight="1">
      <c r="A42" s="970" t="s">
        <v>45</v>
      </c>
      <c r="B42" s="972" t="s">
        <v>46</v>
      </c>
      <c r="C42" s="889" t="s">
        <v>47</v>
      </c>
      <c r="D42" s="889" t="s">
        <v>48</v>
      </c>
      <c r="E42" s="914" t="s">
        <v>31</v>
      </c>
      <c r="F42" s="915" t="s">
        <v>62</v>
      </c>
      <c r="G42" s="744"/>
      <c r="H42" s="744"/>
      <c r="I42" s="744"/>
      <c r="J42" s="744"/>
      <c r="K42" s="916"/>
      <c r="L42" s="734" t="s">
        <v>14</v>
      </c>
    </row>
    <row r="43" spans="1:12" s="35" customFormat="1" ht="13.5" thickBot="1">
      <c r="A43" s="971"/>
      <c r="B43" s="1074"/>
      <c r="C43" s="1064" t="s">
        <v>47</v>
      </c>
      <c r="D43" s="1064" t="s">
        <v>48</v>
      </c>
      <c r="E43" s="865" t="s">
        <v>31</v>
      </c>
      <c r="F43" s="91" t="s">
        <v>63</v>
      </c>
      <c r="G43" s="91" t="s">
        <v>64</v>
      </c>
      <c r="H43" s="91" t="s">
        <v>65</v>
      </c>
      <c r="I43" s="91" t="s">
        <v>66</v>
      </c>
      <c r="J43" s="91" t="s">
        <v>67</v>
      </c>
      <c r="K43" s="82" t="s">
        <v>31</v>
      </c>
      <c r="L43" s="891"/>
    </row>
    <row r="44" spans="1:12" ht="15.75" customHeight="1">
      <c r="A44" s="380">
        <v>37986</v>
      </c>
      <c r="B44" s="381">
        <v>74581</v>
      </c>
      <c r="C44" s="345">
        <v>0</v>
      </c>
      <c r="D44" s="345">
        <v>144</v>
      </c>
      <c r="E44" s="346">
        <f>SUM(B44:D44)</f>
        <v>74725</v>
      </c>
      <c r="F44" s="344">
        <v>12103</v>
      </c>
      <c r="G44" s="345">
        <v>17759</v>
      </c>
      <c r="H44" s="345">
        <v>24198</v>
      </c>
      <c r="I44" s="345">
        <v>10473</v>
      </c>
      <c r="J44" s="345">
        <v>23</v>
      </c>
      <c r="K44" s="348">
        <f>SUM(F44:J44)</f>
        <v>64556</v>
      </c>
      <c r="L44" s="349">
        <v>4495</v>
      </c>
    </row>
    <row r="45" spans="1:12" ht="15.75" customHeight="1" thickBot="1">
      <c r="A45" s="98">
        <v>38352</v>
      </c>
      <c r="B45" s="99">
        <v>63581</v>
      </c>
      <c r="C45" s="89">
        <v>0</v>
      </c>
      <c r="D45" s="89">
        <v>0</v>
      </c>
      <c r="E45" s="24">
        <v>63581</v>
      </c>
      <c r="F45" s="88">
        <v>10403</v>
      </c>
      <c r="G45" s="89">
        <v>15082</v>
      </c>
      <c r="H45" s="89">
        <v>9479</v>
      </c>
      <c r="I45" s="89">
        <v>0</v>
      </c>
      <c r="J45" s="89">
        <v>0</v>
      </c>
      <c r="K45" s="100">
        <v>34964</v>
      </c>
      <c r="L45" s="354">
        <v>9917</v>
      </c>
    </row>
    <row r="46" spans="1:12" ht="15.75" customHeight="1">
      <c r="A46" s="49">
        <v>38383</v>
      </c>
      <c r="B46" s="50">
        <v>64577</v>
      </c>
      <c r="C46" s="44">
        <v>63</v>
      </c>
      <c r="D46" s="44">
        <v>0</v>
      </c>
      <c r="E46" s="92">
        <f aca="true" t="shared" si="4" ref="E46:E57">SUM(B46:D46)</f>
        <v>64640</v>
      </c>
      <c r="F46" s="64">
        <v>12683</v>
      </c>
      <c r="G46" s="44">
        <v>16696</v>
      </c>
      <c r="H46" s="44">
        <v>11045</v>
      </c>
      <c r="I46" s="44">
        <v>0</v>
      </c>
      <c r="J46" s="44">
        <v>2</v>
      </c>
      <c r="K46" s="94">
        <f aca="true" t="shared" si="5" ref="K46:K57">SUM(F46:J46)</f>
        <v>40426</v>
      </c>
      <c r="L46" s="414">
        <v>8667.466</v>
      </c>
    </row>
    <row r="47" spans="1:12" ht="15.75" customHeight="1">
      <c r="A47" s="51" t="s">
        <v>11</v>
      </c>
      <c r="B47" s="52">
        <v>72282</v>
      </c>
      <c r="C47" s="45">
        <v>136</v>
      </c>
      <c r="D47" s="45">
        <v>0</v>
      </c>
      <c r="E47" s="92">
        <f t="shared" si="4"/>
        <v>72418</v>
      </c>
      <c r="F47" s="58">
        <v>13690</v>
      </c>
      <c r="G47" s="45">
        <v>20505</v>
      </c>
      <c r="H47" s="45">
        <v>11630</v>
      </c>
      <c r="I47" s="45">
        <v>0</v>
      </c>
      <c r="J47" s="45">
        <v>0</v>
      </c>
      <c r="K47" s="95">
        <f t="shared" si="5"/>
        <v>45825</v>
      </c>
      <c r="L47" s="415">
        <v>7417.466</v>
      </c>
    </row>
    <row r="48" spans="1:12" ht="15.75" customHeight="1">
      <c r="A48" s="51">
        <v>38442</v>
      </c>
      <c r="B48" s="52">
        <v>73816</v>
      </c>
      <c r="C48" s="45">
        <v>134</v>
      </c>
      <c r="D48" s="45">
        <v>0</v>
      </c>
      <c r="E48" s="92">
        <f t="shared" si="4"/>
        <v>73950</v>
      </c>
      <c r="F48" s="58">
        <v>14955</v>
      </c>
      <c r="G48" s="45">
        <v>21385</v>
      </c>
      <c r="H48" s="45">
        <v>10787</v>
      </c>
      <c r="I48" s="45">
        <v>7</v>
      </c>
      <c r="J48" s="45"/>
      <c r="K48" s="95">
        <f t="shared" si="5"/>
        <v>47134</v>
      </c>
      <c r="L48" s="110">
        <v>6167.466</v>
      </c>
    </row>
    <row r="49" spans="1:12" ht="15.75" customHeight="1">
      <c r="A49" s="51">
        <v>38472</v>
      </c>
      <c r="B49" s="52">
        <v>86090</v>
      </c>
      <c r="C49" s="45">
        <v>72</v>
      </c>
      <c r="D49" s="45">
        <v>0</v>
      </c>
      <c r="E49" s="92">
        <f t="shared" si="4"/>
        <v>86162</v>
      </c>
      <c r="F49" s="58">
        <v>10814</v>
      </c>
      <c r="G49" s="45">
        <v>17853</v>
      </c>
      <c r="H49" s="45">
        <v>19367</v>
      </c>
      <c r="I49" s="45">
        <v>0</v>
      </c>
      <c r="J49" s="45">
        <v>0</v>
      </c>
      <c r="K49" s="95">
        <f t="shared" si="5"/>
        <v>48034</v>
      </c>
      <c r="L49" s="415">
        <v>4917.466</v>
      </c>
    </row>
    <row r="50" spans="1:12" ht="15.75" customHeight="1">
      <c r="A50" s="51">
        <v>38503</v>
      </c>
      <c r="B50" s="52">
        <v>86320</v>
      </c>
      <c r="C50" s="45">
        <v>126</v>
      </c>
      <c r="D50" s="45">
        <v>0</v>
      </c>
      <c r="E50" s="92">
        <f t="shared" si="4"/>
        <v>86446</v>
      </c>
      <c r="F50" s="58">
        <v>11070</v>
      </c>
      <c r="G50" s="45">
        <v>12928</v>
      </c>
      <c r="H50" s="45">
        <v>10609</v>
      </c>
      <c r="I50" s="45">
        <v>0</v>
      </c>
      <c r="J50" s="45">
        <v>0</v>
      </c>
      <c r="K50" s="95">
        <f t="shared" si="5"/>
        <v>34607</v>
      </c>
      <c r="L50" s="415">
        <v>1623.672</v>
      </c>
    </row>
    <row r="51" spans="1:12" ht="15.75" customHeight="1" thickBot="1">
      <c r="A51" s="337">
        <v>38533</v>
      </c>
      <c r="B51" s="342">
        <v>94096</v>
      </c>
      <c r="C51" s="341">
        <v>140</v>
      </c>
      <c r="D51" s="341">
        <v>0</v>
      </c>
      <c r="E51" s="93">
        <f t="shared" si="4"/>
        <v>94236</v>
      </c>
      <c r="F51" s="340">
        <v>6536</v>
      </c>
      <c r="G51" s="341">
        <v>15286</v>
      </c>
      <c r="H51" s="341">
        <v>10337</v>
      </c>
      <c r="I51" s="341">
        <v>0</v>
      </c>
      <c r="J51" s="341">
        <v>0</v>
      </c>
      <c r="K51" s="96">
        <f t="shared" si="5"/>
        <v>32159</v>
      </c>
      <c r="L51" s="113">
        <v>998.672</v>
      </c>
    </row>
    <row r="52" spans="1:12" ht="12.75" hidden="1">
      <c r="A52" s="49">
        <v>38199</v>
      </c>
      <c r="B52" s="50"/>
      <c r="C52" s="44"/>
      <c r="D52" s="44"/>
      <c r="E52" s="92">
        <f t="shared" si="4"/>
        <v>0</v>
      </c>
      <c r="F52" s="50"/>
      <c r="G52" s="44"/>
      <c r="H52" s="44"/>
      <c r="I52" s="44"/>
      <c r="J52" s="44"/>
      <c r="K52" s="94">
        <f t="shared" si="5"/>
        <v>0</v>
      </c>
      <c r="L52" s="106"/>
    </row>
    <row r="53" spans="1:12" ht="12.75" hidden="1">
      <c r="A53" s="51">
        <v>38230</v>
      </c>
      <c r="B53" s="52"/>
      <c r="C53" s="45"/>
      <c r="D53" s="45"/>
      <c r="E53" s="92">
        <f t="shared" si="4"/>
        <v>0</v>
      </c>
      <c r="F53" s="52"/>
      <c r="G53" s="45"/>
      <c r="H53" s="45"/>
      <c r="I53" s="45"/>
      <c r="J53" s="45"/>
      <c r="K53" s="95">
        <f t="shared" si="5"/>
        <v>0</v>
      </c>
      <c r="L53" s="104"/>
    </row>
    <row r="54" spans="1:12" ht="12.75" hidden="1">
      <c r="A54" s="51">
        <v>38260</v>
      </c>
      <c r="B54" s="52"/>
      <c r="C54" s="45"/>
      <c r="D54" s="45"/>
      <c r="E54" s="92">
        <f t="shared" si="4"/>
        <v>0</v>
      </c>
      <c r="F54" s="52"/>
      <c r="G54" s="45"/>
      <c r="H54" s="45"/>
      <c r="I54" s="45"/>
      <c r="J54" s="45"/>
      <c r="K54" s="95">
        <f t="shared" si="5"/>
        <v>0</v>
      </c>
      <c r="L54" s="104"/>
    </row>
    <row r="55" spans="1:12" ht="12.75" hidden="1">
      <c r="A55" s="53">
        <v>38291</v>
      </c>
      <c r="B55" s="54"/>
      <c r="C55" s="46"/>
      <c r="D55" s="46"/>
      <c r="E55" s="92">
        <f t="shared" si="4"/>
        <v>0</v>
      </c>
      <c r="F55" s="54"/>
      <c r="G55" s="46"/>
      <c r="H55" s="46"/>
      <c r="I55" s="46"/>
      <c r="J55" s="46"/>
      <c r="K55" s="95">
        <f t="shared" si="5"/>
        <v>0</v>
      </c>
      <c r="L55" s="104"/>
    </row>
    <row r="56" spans="1:12" ht="12.75" hidden="1">
      <c r="A56" s="51">
        <v>38321</v>
      </c>
      <c r="B56" s="52"/>
      <c r="C56" s="45"/>
      <c r="D56" s="45"/>
      <c r="E56" s="92">
        <f t="shared" si="4"/>
        <v>0</v>
      </c>
      <c r="F56" s="58"/>
      <c r="G56" s="45"/>
      <c r="H56" s="45"/>
      <c r="I56" s="45"/>
      <c r="J56" s="45"/>
      <c r="K56" s="95">
        <f t="shared" si="5"/>
        <v>0</v>
      </c>
      <c r="L56" s="104"/>
    </row>
    <row r="57" spans="1:12" ht="13.5" hidden="1" thickBot="1">
      <c r="A57" s="55">
        <v>38352</v>
      </c>
      <c r="B57" s="56"/>
      <c r="C57" s="57"/>
      <c r="D57" s="57"/>
      <c r="E57" s="93">
        <f t="shared" si="4"/>
        <v>0</v>
      </c>
      <c r="F57" s="56"/>
      <c r="G57" s="57"/>
      <c r="H57" s="57"/>
      <c r="I57" s="57"/>
      <c r="J57" s="57"/>
      <c r="K57" s="96">
        <f t="shared" si="5"/>
        <v>0</v>
      </c>
      <c r="L57" s="105"/>
    </row>
    <row r="58" spans="1:12" ht="12.75">
      <c r="A58" s="111"/>
      <c r="B58" s="72"/>
      <c r="C58" s="72"/>
      <c r="D58" s="72"/>
      <c r="E58" s="107"/>
      <c r="F58" s="72"/>
      <c r="G58" s="72"/>
      <c r="H58" s="72"/>
      <c r="I58" s="72"/>
      <c r="J58" s="72"/>
      <c r="K58" s="108"/>
      <c r="L58" s="109"/>
    </row>
    <row r="59" spans="1:12" ht="16.5" thickBot="1">
      <c r="A59" s="25" t="s">
        <v>73</v>
      </c>
      <c r="L59" s="274" t="s">
        <v>194</v>
      </c>
    </row>
    <row r="60" spans="1:12" ht="22.5" customHeight="1">
      <c r="A60" s="970" t="s">
        <v>45</v>
      </c>
      <c r="B60" s="972" t="s">
        <v>68</v>
      </c>
      <c r="C60" s="889" t="s">
        <v>69</v>
      </c>
      <c r="D60" s="889" t="s">
        <v>70</v>
      </c>
      <c r="E60" s="914" t="s">
        <v>31</v>
      </c>
      <c r="F60" s="743" t="s">
        <v>62</v>
      </c>
      <c r="G60" s="744"/>
      <c r="H60" s="744"/>
      <c r="I60" s="744"/>
      <c r="J60" s="744"/>
      <c r="K60" s="744"/>
      <c r="L60" s="734" t="s">
        <v>191</v>
      </c>
    </row>
    <row r="61" spans="1:12" ht="34.5" customHeight="1" thickBot="1">
      <c r="A61" s="1136"/>
      <c r="B61" s="973"/>
      <c r="C61" s="890" t="s">
        <v>47</v>
      </c>
      <c r="D61" s="890" t="s">
        <v>48</v>
      </c>
      <c r="E61" s="864" t="s">
        <v>31</v>
      </c>
      <c r="F61" s="81" t="s">
        <v>63</v>
      </c>
      <c r="G61" s="91" t="s">
        <v>64</v>
      </c>
      <c r="H61" s="91" t="s">
        <v>65</v>
      </c>
      <c r="I61" s="91" t="s">
        <v>66</v>
      </c>
      <c r="J61" s="91" t="s">
        <v>67</v>
      </c>
      <c r="K61" s="74" t="s">
        <v>31</v>
      </c>
      <c r="L61" s="891"/>
    </row>
    <row r="62" spans="1:12" ht="17.25" customHeight="1">
      <c r="A62" s="380">
        <v>37986</v>
      </c>
      <c r="B62" s="383">
        <v>48576</v>
      </c>
      <c r="C62" s="384">
        <v>1667</v>
      </c>
      <c r="D62" s="384">
        <v>0</v>
      </c>
      <c r="E62" s="346">
        <f>SUM(B62:D62)</f>
        <v>50243</v>
      </c>
      <c r="F62" s="398">
        <v>5467</v>
      </c>
      <c r="G62" s="347">
        <v>632</v>
      </c>
      <c r="H62" s="347">
        <v>410</v>
      </c>
      <c r="I62" s="347">
        <v>506</v>
      </c>
      <c r="J62" s="347">
        <v>630</v>
      </c>
      <c r="K62" s="386">
        <f>SUM(F62:J62)</f>
        <v>7645</v>
      </c>
      <c r="L62" s="349">
        <f aca="true" t="shared" si="6" ref="L62:L69">+E62-E44</f>
        <v>-24482</v>
      </c>
    </row>
    <row r="63" spans="1:12" ht="17.25" customHeight="1" thickBot="1">
      <c r="A63" s="98">
        <v>38352</v>
      </c>
      <c r="B63" s="387">
        <v>69990</v>
      </c>
      <c r="C63" s="388">
        <v>271</v>
      </c>
      <c r="D63" s="388">
        <v>0</v>
      </c>
      <c r="E63" s="24">
        <v>70261</v>
      </c>
      <c r="F63" s="189">
        <v>4746</v>
      </c>
      <c r="G63" s="188">
        <v>653</v>
      </c>
      <c r="H63" s="188">
        <v>125</v>
      </c>
      <c r="I63" s="188">
        <v>76</v>
      </c>
      <c r="J63" s="188">
        <v>425</v>
      </c>
      <c r="K63" s="262">
        <v>6025</v>
      </c>
      <c r="L63" s="354">
        <f t="shared" si="6"/>
        <v>6680</v>
      </c>
    </row>
    <row r="64" spans="1:12" ht="17.25" customHeight="1">
      <c r="A64" s="49">
        <v>38383</v>
      </c>
      <c r="B64" s="50">
        <v>70164</v>
      </c>
      <c r="C64" s="44">
        <v>901</v>
      </c>
      <c r="D64" s="44">
        <v>0</v>
      </c>
      <c r="E64" s="92">
        <f aca="true" t="shared" si="7" ref="E64:E69">SUM(B64:D64)</f>
        <v>71065</v>
      </c>
      <c r="F64" s="64">
        <v>3292</v>
      </c>
      <c r="G64" s="44">
        <v>2501</v>
      </c>
      <c r="H64" s="44">
        <v>107</v>
      </c>
      <c r="I64" s="44">
        <v>136</v>
      </c>
      <c r="J64" s="44">
        <v>432</v>
      </c>
      <c r="K64" s="101">
        <f aca="true" t="shared" si="8" ref="K64:K69">SUM(F64:J64)</f>
        <v>6468</v>
      </c>
      <c r="L64" s="265">
        <f t="shared" si="6"/>
        <v>6425</v>
      </c>
    </row>
    <row r="65" spans="1:12" ht="17.25" customHeight="1">
      <c r="A65" s="51" t="s">
        <v>11</v>
      </c>
      <c r="B65" s="52">
        <v>73319</v>
      </c>
      <c r="C65" s="45">
        <v>2128</v>
      </c>
      <c r="D65" s="45">
        <v>14</v>
      </c>
      <c r="E65" s="92">
        <f t="shared" si="7"/>
        <v>75461</v>
      </c>
      <c r="F65" s="58">
        <v>10295</v>
      </c>
      <c r="G65" s="45">
        <v>1261</v>
      </c>
      <c r="H65" s="45">
        <v>196</v>
      </c>
      <c r="I65" s="45">
        <v>151</v>
      </c>
      <c r="J65" s="45">
        <v>432</v>
      </c>
      <c r="K65" s="102">
        <f t="shared" si="8"/>
        <v>12335</v>
      </c>
      <c r="L65" s="110">
        <f t="shared" si="6"/>
        <v>3043</v>
      </c>
    </row>
    <row r="66" spans="1:12" ht="17.25" customHeight="1">
      <c r="A66" s="51">
        <v>38442</v>
      </c>
      <c r="B66" s="52">
        <v>73849</v>
      </c>
      <c r="C66" s="45">
        <v>2368</v>
      </c>
      <c r="D66" s="45">
        <v>14</v>
      </c>
      <c r="E66" s="92">
        <f t="shared" si="7"/>
        <v>76231</v>
      </c>
      <c r="F66" s="58">
        <v>9320</v>
      </c>
      <c r="G66" s="45">
        <v>754</v>
      </c>
      <c r="H66" s="45">
        <v>277</v>
      </c>
      <c r="I66" s="45">
        <v>136</v>
      </c>
      <c r="J66" s="45">
        <v>489</v>
      </c>
      <c r="K66" s="102">
        <f t="shared" si="8"/>
        <v>10976</v>
      </c>
      <c r="L66" s="110">
        <f t="shared" si="6"/>
        <v>2281</v>
      </c>
    </row>
    <row r="67" spans="1:12" ht="17.25" customHeight="1">
      <c r="A67" s="51">
        <v>38472</v>
      </c>
      <c r="B67" s="52">
        <v>86272</v>
      </c>
      <c r="C67" s="45">
        <v>1799</v>
      </c>
      <c r="D67" s="45">
        <v>14</v>
      </c>
      <c r="E67" s="92">
        <f t="shared" si="7"/>
        <v>88085</v>
      </c>
      <c r="F67" s="58">
        <v>22564</v>
      </c>
      <c r="G67" s="45">
        <v>5468</v>
      </c>
      <c r="H67" s="45">
        <v>373</v>
      </c>
      <c r="I67" s="45">
        <v>198</v>
      </c>
      <c r="J67" s="45">
        <v>497</v>
      </c>
      <c r="K67" s="102">
        <f t="shared" si="8"/>
        <v>29100</v>
      </c>
      <c r="L67" s="110">
        <f t="shared" si="6"/>
        <v>1923</v>
      </c>
    </row>
    <row r="68" spans="1:12" ht="17.25" customHeight="1">
      <c r="A68" s="51">
        <v>38503</v>
      </c>
      <c r="B68" s="52">
        <v>69274</v>
      </c>
      <c r="C68" s="45">
        <v>1051</v>
      </c>
      <c r="D68" s="45">
        <v>13</v>
      </c>
      <c r="E68" s="92">
        <f t="shared" si="7"/>
        <v>70338</v>
      </c>
      <c r="F68" s="58">
        <v>3755</v>
      </c>
      <c r="G68" s="45">
        <v>2854</v>
      </c>
      <c r="H68" s="45">
        <v>250</v>
      </c>
      <c r="I68" s="45">
        <v>122</v>
      </c>
      <c r="J68" s="45">
        <v>484</v>
      </c>
      <c r="K68" s="102">
        <f t="shared" si="8"/>
        <v>7465</v>
      </c>
      <c r="L68" s="110">
        <f t="shared" si="6"/>
        <v>-16108</v>
      </c>
    </row>
    <row r="69" spans="1:12" ht="17.25" customHeight="1" thickBot="1">
      <c r="A69" s="337">
        <v>38533</v>
      </c>
      <c r="B69" s="342">
        <v>72331</v>
      </c>
      <c r="C69" s="341">
        <v>1002</v>
      </c>
      <c r="D69" s="341">
        <v>25</v>
      </c>
      <c r="E69" s="350">
        <f t="shared" si="7"/>
        <v>73358</v>
      </c>
      <c r="F69" s="340">
        <v>7423</v>
      </c>
      <c r="G69" s="341">
        <v>407</v>
      </c>
      <c r="H69" s="341">
        <v>215</v>
      </c>
      <c r="I69" s="341">
        <v>80</v>
      </c>
      <c r="J69" s="341">
        <v>577</v>
      </c>
      <c r="K69" s="103">
        <f t="shared" si="8"/>
        <v>8702</v>
      </c>
      <c r="L69" s="264">
        <f t="shared" si="6"/>
        <v>-20878</v>
      </c>
    </row>
    <row r="71" spans="1:12" ht="12.75" customHeight="1">
      <c r="A71" s="1135" t="s">
        <v>426</v>
      </c>
      <c r="B71" s="980"/>
      <c r="C71" s="980"/>
      <c r="D71" s="980"/>
      <c r="E71" s="980"/>
      <c r="F71" s="980"/>
      <c r="G71" s="980"/>
      <c r="H71" s="980"/>
      <c r="I71" s="980"/>
      <c r="J71" s="980"/>
      <c r="K71" s="980"/>
      <c r="L71" s="1031"/>
    </row>
    <row r="72" spans="1:12" ht="12.75">
      <c r="A72" s="982"/>
      <c r="B72" s="983"/>
      <c r="C72" s="983"/>
      <c r="D72" s="983"/>
      <c r="E72" s="983"/>
      <c r="F72" s="983"/>
      <c r="G72" s="983"/>
      <c r="H72" s="983"/>
      <c r="I72" s="983"/>
      <c r="J72" s="983"/>
      <c r="K72" s="983"/>
      <c r="L72" s="1032"/>
    </row>
    <row r="73" spans="1:12" ht="12.75">
      <c r="A73" s="982"/>
      <c r="B73" s="983"/>
      <c r="C73" s="983"/>
      <c r="D73" s="983"/>
      <c r="E73" s="983"/>
      <c r="F73" s="983"/>
      <c r="G73" s="983"/>
      <c r="H73" s="983"/>
      <c r="I73" s="983"/>
      <c r="J73" s="983"/>
      <c r="K73" s="983"/>
      <c r="L73" s="1032"/>
    </row>
    <row r="74" spans="1:12" ht="12.75">
      <c r="A74" s="985"/>
      <c r="B74" s="986"/>
      <c r="C74" s="986"/>
      <c r="D74" s="986"/>
      <c r="E74" s="986"/>
      <c r="F74" s="986"/>
      <c r="G74" s="986"/>
      <c r="H74" s="986"/>
      <c r="I74" s="986"/>
      <c r="J74" s="986"/>
      <c r="K74" s="986"/>
      <c r="L74" s="1033"/>
    </row>
    <row r="76" spans="1:12" ht="16.5" thickBot="1">
      <c r="A76" s="25" t="s">
        <v>93</v>
      </c>
      <c r="L76" s="274" t="s">
        <v>19</v>
      </c>
    </row>
    <row r="77" spans="1:12" ht="13.5" customHeight="1">
      <c r="A77" s="926" t="s">
        <v>413</v>
      </c>
      <c r="B77" s="855" t="s">
        <v>42</v>
      </c>
      <c r="C77" s="856"/>
      <c r="D77" s="857"/>
      <c r="E77" s="919" t="s">
        <v>80</v>
      </c>
      <c r="F77" s="920"/>
      <c r="G77" s="856" t="s">
        <v>44</v>
      </c>
      <c r="H77" s="856"/>
      <c r="I77" s="858"/>
      <c r="J77" s="856" t="s">
        <v>1</v>
      </c>
      <c r="K77" s="856"/>
      <c r="L77" s="858"/>
    </row>
    <row r="78" spans="1:12" ht="28.5" customHeight="1" thickBot="1">
      <c r="A78" s="927"/>
      <c r="B78" s="127" t="s">
        <v>90</v>
      </c>
      <c r="C78" s="122" t="s">
        <v>91</v>
      </c>
      <c r="D78" s="124" t="s">
        <v>92</v>
      </c>
      <c r="E78" s="921"/>
      <c r="F78" s="922"/>
      <c r="G78" s="122" t="s">
        <v>90</v>
      </c>
      <c r="H78" s="122" t="s">
        <v>91</v>
      </c>
      <c r="I78" s="123" t="s">
        <v>92</v>
      </c>
      <c r="J78" s="122" t="s">
        <v>90</v>
      </c>
      <c r="K78" s="122" t="s">
        <v>91</v>
      </c>
      <c r="L78" s="123" t="s">
        <v>92</v>
      </c>
    </row>
    <row r="79" spans="1:12" ht="20.25" customHeight="1">
      <c r="A79" s="301" t="s">
        <v>81</v>
      </c>
      <c r="B79" s="115">
        <v>120.98</v>
      </c>
      <c r="C79" s="116">
        <v>51550901</v>
      </c>
      <c r="D79" s="128">
        <f aca="true" t="shared" si="9" ref="D79:D85">+IF(B79&gt;0,C79/B79/12,"")</f>
        <v>35509.24464098749</v>
      </c>
      <c r="E79" s="917" t="s">
        <v>81</v>
      </c>
      <c r="F79" s="918"/>
      <c r="G79" s="355">
        <v>121.23</v>
      </c>
      <c r="H79" s="186">
        <v>53467097</v>
      </c>
      <c r="I79" s="128">
        <f aca="true" t="shared" si="10" ref="I79:I89">+IF(G79&gt;0,H79/G79/12,"")</f>
        <v>36753.20808930683</v>
      </c>
      <c r="J79" s="355">
        <v>117.039</v>
      </c>
      <c r="K79" s="186">
        <v>26145275</v>
      </c>
      <c r="L79" s="128">
        <f aca="true" t="shared" si="11" ref="L79:L89">+K79/J79/6</f>
        <v>37231.57095782887</v>
      </c>
    </row>
    <row r="80" spans="1:12" ht="20.25" customHeight="1">
      <c r="A80" s="301" t="s">
        <v>82</v>
      </c>
      <c r="B80" s="117">
        <v>4.32</v>
      </c>
      <c r="C80" s="118">
        <v>1492945</v>
      </c>
      <c r="D80" s="65">
        <f t="shared" si="9"/>
        <v>28799.093364197528</v>
      </c>
      <c r="E80" s="917" t="s">
        <v>82</v>
      </c>
      <c r="F80" s="918"/>
      <c r="G80" s="356">
        <v>4.39</v>
      </c>
      <c r="H80" s="46">
        <v>1742169</v>
      </c>
      <c r="I80" s="65">
        <f t="shared" si="10"/>
        <v>33070.78587699317</v>
      </c>
      <c r="J80" s="356">
        <v>3.8</v>
      </c>
      <c r="K80" s="46">
        <v>820428</v>
      </c>
      <c r="L80" s="65">
        <f t="shared" si="11"/>
        <v>35983.68421052631</v>
      </c>
    </row>
    <row r="81" spans="1:12" ht="20.25" customHeight="1">
      <c r="A81" s="301" t="s">
        <v>83</v>
      </c>
      <c r="B81" s="117">
        <v>10.96</v>
      </c>
      <c r="C81" s="118">
        <v>2236467</v>
      </c>
      <c r="D81" s="65">
        <f t="shared" si="9"/>
        <v>17004.76733576642</v>
      </c>
      <c r="E81" s="917" t="s">
        <v>118</v>
      </c>
      <c r="F81" s="918"/>
      <c r="G81" s="356">
        <v>430.78</v>
      </c>
      <c r="H81" s="46">
        <v>84231304</v>
      </c>
      <c r="I81" s="65">
        <f t="shared" si="10"/>
        <v>16294.338951050035</v>
      </c>
      <c r="J81" s="356">
        <v>427.7</v>
      </c>
      <c r="K81" s="46">
        <v>40988408</v>
      </c>
      <c r="L81" s="65">
        <f t="shared" si="11"/>
        <v>15972.413685605175</v>
      </c>
    </row>
    <row r="82" spans="1:12" ht="20.25" customHeight="1">
      <c r="A82" s="301" t="s">
        <v>84</v>
      </c>
      <c r="B82" s="117">
        <v>9.33</v>
      </c>
      <c r="C82" s="118">
        <v>1557713</v>
      </c>
      <c r="D82" s="65">
        <f t="shared" si="9"/>
        <v>13913.12075741336</v>
      </c>
      <c r="E82" s="917" t="s">
        <v>117</v>
      </c>
      <c r="F82" s="918"/>
      <c r="G82" s="356">
        <v>50.99</v>
      </c>
      <c r="H82" s="46">
        <v>10719487</v>
      </c>
      <c r="I82" s="65">
        <f t="shared" si="10"/>
        <v>17518.936719618225</v>
      </c>
      <c r="J82" s="356">
        <v>46.791</v>
      </c>
      <c r="K82" s="46">
        <v>5220157</v>
      </c>
      <c r="L82" s="65">
        <f t="shared" si="11"/>
        <v>18593.87845240894</v>
      </c>
    </row>
    <row r="83" spans="1:12" ht="20.25" customHeight="1">
      <c r="A83" s="301" t="s">
        <v>85</v>
      </c>
      <c r="B83" s="117">
        <v>497.57</v>
      </c>
      <c r="C83" s="118">
        <v>97572834</v>
      </c>
      <c r="D83" s="65">
        <f t="shared" si="9"/>
        <v>16341.558976626404</v>
      </c>
      <c r="E83" s="917" t="s">
        <v>119</v>
      </c>
      <c r="F83" s="918"/>
      <c r="G83" s="356">
        <v>13.29</v>
      </c>
      <c r="H83" s="46">
        <v>2396532</v>
      </c>
      <c r="I83" s="65">
        <f t="shared" si="10"/>
        <v>15027.163280662155</v>
      </c>
      <c r="J83" s="356">
        <v>14.395</v>
      </c>
      <c r="K83" s="46">
        <v>1249072</v>
      </c>
      <c r="L83" s="65">
        <f t="shared" si="11"/>
        <v>14461.873335648954</v>
      </c>
    </row>
    <row r="84" spans="1:12" ht="20.25" customHeight="1">
      <c r="A84" s="301" t="s">
        <v>86</v>
      </c>
      <c r="B84" s="117">
        <v>17.28</v>
      </c>
      <c r="C84" s="118">
        <v>2418514</v>
      </c>
      <c r="D84" s="65">
        <f t="shared" si="9"/>
        <v>11663.358410493827</v>
      </c>
      <c r="E84" s="917" t="s">
        <v>120</v>
      </c>
      <c r="F84" s="918"/>
      <c r="G84" s="356">
        <v>110.97</v>
      </c>
      <c r="H84" s="46">
        <v>13547918</v>
      </c>
      <c r="I84" s="65">
        <f t="shared" si="10"/>
        <v>10173.859301312668</v>
      </c>
      <c r="J84" s="356">
        <v>118.814</v>
      </c>
      <c r="K84" s="46">
        <v>7229455</v>
      </c>
      <c r="L84" s="65">
        <f t="shared" si="11"/>
        <v>10141.13796915066</v>
      </c>
    </row>
    <row r="85" spans="1:12" ht="20.25" customHeight="1">
      <c r="A85" s="301" t="s">
        <v>87</v>
      </c>
      <c r="B85" s="117">
        <v>91.07</v>
      </c>
      <c r="C85" s="118">
        <v>11021584</v>
      </c>
      <c r="D85" s="65">
        <f t="shared" si="9"/>
        <v>10085.267742761978</v>
      </c>
      <c r="E85" s="917" t="s">
        <v>121</v>
      </c>
      <c r="F85" s="918"/>
      <c r="G85" s="356">
        <v>15.2</v>
      </c>
      <c r="H85" s="46">
        <v>2940578</v>
      </c>
      <c r="I85" s="65">
        <f t="shared" si="10"/>
        <v>16121.589912280702</v>
      </c>
      <c r="J85" s="356">
        <v>12.2</v>
      </c>
      <c r="K85" s="46">
        <v>1130541</v>
      </c>
      <c r="L85" s="65">
        <f t="shared" si="11"/>
        <v>15444.54918032787</v>
      </c>
    </row>
    <row r="86" spans="1:12" ht="20.25" customHeight="1">
      <c r="A86" s="301"/>
      <c r="B86" s="117"/>
      <c r="C86" s="118"/>
      <c r="D86" s="65"/>
      <c r="E86" s="917" t="s">
        <v>122</v>
      </c>
      <c r="F86" s="918"/>
      <c r="G86" s="356">
        <v>0.08</v>
      </c>
      <c r="H86" s="46">
        <v>23151</v>
      </c>
      <c r="I86" s="65">
        <f t="shared" si="10"/>
        <v>24115.625</v>
      </c>
      <c r="J86" s="356">
        <v>0.248</v>
      </c>
      <c r="K86" s="46">
        <v>27231</v>
      </c>
      <c r="L86" s="65">
        <f t="shared" si="11"/>
        <v>18300.40322580645</v>
      </c>
    </row>
    <row r="87" spans="1:12" ht="20.25" customHeight="1">
      <c r="A87" s="301" t="s">
        <v>88</v>
      </c>
      <c r="B87" s="117">
        <v>62.1</v>
      </c>
      <c r="C87" s="118">
        <v>12259800</v>
      </c>
      <c r="D87" s="65">
        <f>+IF(B87&gt;0,C87/B87/12,"")</f>
        <v>16451.690821256037</v>
      </c>
      <c r="E87" s="917" t="s">
        <v>88</v>
      </c>
      <c r="F87" s="918"/>
      <c r="G87" s="357">
        <v>60.36</v>
      </c>
      <c r="H87" s="45">
        <v>12421848</v>
      </c>
      <c r="I87" s="65">
        <f t="shared" si="10"/>
        <v>17149.668654738238</v>
      </c>
      <c r="J87" s="357">
        <v>57.435</v>
      </c>
      <c r="K87" s="45">
        <v>6342172</v>
      </c>
      <c r="L87" s="65">
        <f t="shared" si="11"/>
        <v>18403.911668262674</v>
      </c>
    </row>
    <row r="88" spans="1:12" ht="28.5" customHeight="1" thickBot="1">
      <c r="A88" s="382" t="s">
        <v>89</v>
      </c>
      <c r="B88" s="117">
        <v>92.63</v>
      </c>
      <c r="C88" s="118">
        <v>11834393</v>
      </c>
      <c r="D88" s="65">
        <f>+IF(B88&gt;0,C88/B88/12,"")</f>
        <v>10646.652452409227</v>
      </c>
      <c r="E88" s="923" t="s">
        <v>123</v>
      </c>
      <c r="F88" s="782"/>
      <c r="G88" s="355">
        <v>70.07</v>
      </c>
      <c r="H88" s="186">
        <v>8966609</v>
      </c>
      <c r="I88" s="128">
        <f t="shared" si="10"/>
        <v>10663.870653156368</v>
      </c>
      <c r="J88" s="355">
        <v>65.347</v>
      </c>
      <c r="K88" s="186">
        <v>4280911</v>
      </c>
      <c r="L88" s="65">
        <f t="shared" si="11"/>
        <v>10918.407373967691</v>
      </c>
    </row>
    <row r="89" spans="1:12" s="35" customFormat="1" ht="22.5" customHeight="1" thickBot="1">
      <c r="A89" s="302" t="s">
        <v>31</v>
      </c>
      <c r="B89" s="119">
        <f>SUM(B79:B88)</f>
        <v>906.24</v>
      </c>
      <c r="C89" s="120">
        <f>SUM(C79:C88)</f>
        <v>191945151</v>
      </c>
      <c r="D89" s="121">
        <f>+IF(B89&gt;0,C89/B89/12,"")</f>
        <v>17650.32358977754</v>
      </c>
      <c r="E89" s="924" t="s">
        <v>31</v>
      </c>
      <c r="F89" s="925"/>
      <c r="G89" s="358">
        <f>SUM(G79:G88)</f>
        <v>877.3600000000001</v>
      </c>
      <c r="H89" s="47">
        <f>SUM(H79:H88)</f>
        <v>190456693</v>
      </c>
      <c r="I89" s="121">
        <f t="shared" si="10"/>
        <v>18089.94151013647</v>
      </c>
      <c r="J89" s="358">
        <f>SUM(J79:J88)</f>
        <v>863.769</v>
      </c>
      <c r="K89" s="47">
        <f>SUM(K79:K88)</f>
        <v>93433650</v>
      </c>
      <c r="L89" s="121">
        <f t="shared" si="11"/>
        <v>18028.286497894693</v>
      </c>
    </row>
    <row r="90" ht="5.25" customHeight="1"/>
    <row r="91" spans="1:12" ht="12.75">
      <c r="A91" s="905" t="s">
        <v>414</v>
      </c>
      <c r="B91" s="1127"/>
      <c r="C91" s="1127"/>
      <c r="D91" s="1127"/>
      <c r="E91" s="1127"/>
      <c r="F91" s="1127"/>
      <c r="G91" s="1127"/>
      <c r="H91" s="1127"/>
      <c r="I91" s="1127"/>
      <c r="J91" s="1127"/>
      <c r="K91" s="1127"/>
      <c r="L91" s="1128"/>
    </row>
    <row r="92" spans="1:12" ht="12.75">
      <c r="A92" s="1129"/>
      <c r="B92" s="1130"/>
      <c r="C92" s="1130"/>
      <c r="D92" s="1130"/>
      <c r="E92" s="1130"/>
      <c r="F92" s="1130"/>
      <c r="G92" s="1130"/>
      <c r="H92" s="1130"/>
      <c r="I92" s="1130"/>
      <c r="J92" s="1130"/>
      <c r="K92" s="1130"/>
      <c r="L92" s="1131"/>
    </row>
    <row r="93" spans="1:12" ht="12.75">
      <c r="A93" s="1132"/>
      <c r="B93" s="1133"/>
      <c r="C93" s="1133"/>
      <c r="D93" s="1133"/>
      <c r="E93" s="1133"/>
      <c r="F93" s="1133"/>
      <c r="G93" s="1133"/>
      <c r="H93" s="1133"/>
      <c r="I93" s="1133"/>
      <c r="J93" s="1133"/>
      <c r="K93" s="1133"/>
      <c r="L93" s="1134"/>
    </row>
    <row r="94" spans="1:9" ht="16.5" thickBot="1">
      <c r="A94" s="25" t="s">
        <v>116</v>
      </c>
      <c r="B94" s="129"/>
      <c r="C94" s="129"/>
      <c r="D94" s="129"/>
      <c r="E94" s="129"/>
      <c r="F94" s="129"/>
      <c r="G94" s="129"/>
      <c r="H94" s="129"/>
      <c r="I94" s="129"/>
    </row>
    <row r="95" spans="1:12" ht="13.5" thickBot="1">
      <c r="A95" s="869" t="s">
        <v>94</v>
      </c>
      <c r="B95" s="785"/>
      <c r="C95" s="881" t="s">
        <v>95</v>
      </c>
      <c r="D95" s="777"/>
      <c r="E95" s="777"/>
      <c r="F95" s="777"/>
      <c r="G95" s="777"/>
      <c r="H95" s="882" t="s">
        <v>96</v>
      </c>
      <c r="I95" s="777"/>
      <c r="J95" s="777"/>
      <c r="K95" s="777"/>
      <c r="L95" s="706"/>
    </row>
    <row r="96" spans="1:12" ht="13.5" thickBot="1">
      <c r="A96" s="1126"/>
      <c r="B96" s="710"/>
      <c r="C96" s="1">
        <v>2003</v>
      </c>
      <c r="D96" s="10">
        <v>2004</v>
      </c>
      <c r="E96" s="131" t="s">
        <v>97</v>
      </c>
      <c r="F96" s="10">
        <v>2005</v>
      </c>
      <c r="G96" s="131" t="s">
        <v>97</v>
      </c>
      <c r="H96" s="130">
        <v>2003</v>
      </c>
      <c r="I96" s="10">
        <v>2004</v>
      </c>
      <c r="J96" s="396" t="s">
        <v>97</v>
      </c>
      <c r="K96" s="263">
        <v>2005</v>
      </c>
      <c r="L96" s="260" t="s">
        <v>97</v>
      </c>
    </row>
    <row r="97" spans="1:12" ht="12.75">
      <c r="A97" s="1125" t="s">
        <v>98</v>
      </c>
      <c r="B97" s="849"/>
      <c r="C97" s="172">
        <v>100</v>
      </c>
      <c r="D97" s="134">
        <v>100</v>
      </c>
      <c r="E97" s="173">
        <f aca="true" t="shared" si="12" ref="E97:E110">+D97-C97</f>
        <v>0</v>
      </c>
      <c r="F97" s="134">
        <v>100</v>
      </c>
      <c r="G97" s="133">
        <f aca="true" t="shared" si="13" ref="G97:G115">+F97-D97</f>
        <v>0</v>
      </c>
      <c r="H97" s="177">
        <v>84.3</v>
      </c>
      <c r="I97" s="178">
        <v>83.5</v>
      </c>
      <c r="J97" s="178">
        <f aca="true" t="shared" si="14" ref="J97:J110">+I97-H97</f>
        <v>-0.7999999999999972</v>
      </c>
      <c r="K97" s="178">
        <v>72.64646</v>
      </c>
      <c r="L97" s="157">
        <f aca="true" t="shared" si="15" ref="L97:L115">+K97-I97</f>
        <v>-10.853539999999995</v>
      </c>
    </row>
    <row r="98" spans="1:12" ht="12.75">
      <c r="A98" s="880" t="s">
        <v>99</v>
      </c>
      <c r="B98" s="727"/>
      <c r="C98" s="168">
        <v>28</v>
      </c>
      <c r="D98" s="140">
        <v>28</v>
      </c>
      <c r="E98" s="174">
        <f t="shared" si="12"/>
        <v>0</v>
      </c>
      <c r="F98" s="140">
        <v>28</v>
      </c>
      <c r="G98" s="133">
        <f t="shared" si="13"/>
        <v>0</v>
      </c>
      <c r="H98" s="179">
        <v>69.8</v>
      </c>
      <c r="I98" s="180">
        <v>64.31</v>
      </c>
      <c r="J98" s="180">
        <f t="shared" si="14"/>
        <v>-5.489999999999995</v>
      </c>
      <c r="K98" s="180">
        <v>70.119</v>
      </c>
      <c r="L98" s="157">
        <f t="shared" si="15"/>
        <v>5.8089999999999975</v>
      </c>
    </row>
    <row r="99" spans="1:12" ht="12.75">
      <c r="A99" s="880" t="s">
        <v>100</v>
      </c>
      <c r="B99" s="727"/>
      <c r="C99" s="168">
        <v>24</v>
      </c>
      <c r="D99" s="140">
        <v>24</v>
      </c>
      <c r="E99" s="174">
        <f t="shared" si="12"/>
        <v>0</v>
      </c>
      <c r="F99" s="140">
        <v>24</v>
      </c>
      <c r="G99" s="133">
        <f t="shared" si="13"/>
        <v>0</v>
      </c>
      <c r="H99" s="179">
        <v>74.8</v>
      </c>
      <c r="I99" s="180">
        <v>77.96</v>
      </c>
      <c r="J99" s="180">
        <f t="shared" si="14"/>
        <v>3.1599999999999966</v>
      </c>
      <c r="K99" s="180">
        <v>83.478</v>
      </c>
      <c r="L99" s="157">
        <f t="shared" si="15"/>
        <v>5.518000000000001</v>
      </c>
    </row>
    <row r="100" spans="1:12" ht="12.75">
      <c r="A100" s="880" t="s">
        <v>101</v>
      </c>
      <c r="B100" s="727"/>
      <c r="C100" s="168">
        <v>30</v>
      </c>
      <c r="D100" s="140">
        <v>30</v>
      </c>
      <c r="E100" s="174">
        <f t="shared" si="12"/>
        <v>0</v>
      </c>
      <c r="F100" s="140">
        <v>30</v>
      </c>
      <c r="G100" s="133">
        <f t="shared" si="13"/>
        <v>0</v>
      </c>
      <c r="H100" s="179">
        <v>78.9</v>
      </c>
      <c r="I100" s="180">
        <v>78.65</v>
      </c>
      <c r="J100" s="180">
        <f t="shared" si="14"/>
        <v>-0.25</v>
      </c>
      <c r="K100" s="180">
        <v>80.111</v>
      </c>
      <c r="L100" s="157">
        <f t="shared" si="15"/>
        <v>1.4609999999999985</v>
      </c>
    </row>
    <row r="101" spans="1:12" ht="12.75">
      <c r="A101" s="880" t="s">
        <v>102</v>
      </c>
      <c r="B101" s="727"/>
      <c r="C101" s="168">
        <v>60</v>
      </c>
      <c r="D101" s="140">
        <v>50</v>
      </c>
      <c r="E101" s="174">
        <f t="shared" si="12"/>
        <v>-10</v>
      </c>
      <c r="F101" s="140">
        <v>0</v>
      </c>
      <c r="G101" s="133">
        <f t="shared" si="13"/>
        <v>-50</v>
      </c>
      <c r="H101" s="179">
        <v>76.9</v>
      </c>
      <c r="I101" s="180">
        <v>91.01</v>
      </c>
      <c r="J101" s="180">
        <f t="shared" si="14"/>
        <v>14.11</v>
      </c>
      <c r="K101" s="180">
        <v>0</v>
      </c>
      <c r="L101" s="157">
        <f t="shared" si="15"/>
        <v>-91.01</v>
      </c>
    </row>
    <row r="102" spans="1:12" ht="12.75">
      <c r="A102" s="880" t="s">
        <v>103</v>
      </c>
      <c r="B102" s="727"/>
      <c r="C102" s="168">
        <v>52</v>
      </c>
      <c r="D102" s="140">
        <v>52</v>
      </c>
      <c r="E102" s="174">
        <f t="shared" si="12"/>
        <v>0</v>
      </c>
      <c r="F102" s="140">
        <v>52</v>
      </c>
      <c r="G102" s="133">
        <f t="shared" si="13"/>
        <v>0</v>
      </c>
      <c r="H102" s="179">
        <v>63.6</v>
      </c>
      <c r="I102" s="180">
        <v>59.12</v>
      </c>
      <c r="J102" s="180">
        <f t="shared" si="14"/>
        <v>-4.480000000000004</v>
      </c>
      <c r="K102" s="180">
        <v>70.128</v>
      </c>
      <c r="L102" s="157">
        <f t="shared" si="15"/>
        <v>11.008000000000003</v>
      </c>
    </row>
    <row r="103" spans="1:12" ht="12.75">
      <c r="A103" s="880" t="s">
        <v>104</v>
      </c>
      <c r="B103" s="727"/>
      <c r="C103" s="168">
        <v>84</v>
      </c>
      <c r="D103" s="140">
        <v>63</v>
      </c>
      <c r="E103" s="174">
        <f t="shared" si="12"/>
        <v>-21</v>
      </c>
      <c r="F103" s="140">
        <v>56</v>
      </c>
      <c r="G103" s="133">
        <f t="shared" si="13"/>
        <v>-7</v>
      </c>
      <c r="H103" s="179">
        <v>49.9</v>
      </c>
      <c r="I103" s="180">
        <v>66.42</v>
      </c>
      <c r="J103" s="180">
        <f t="shared" si="14"/>
        <v>16.520000000000003</v>
      </c>
      <c r="K103" s="180">
        <v>83.273</v>
      </c>
      <c r="L103" s="157">
        <f t="shared" si="15"/>
        <v>16.852999999999994</v>
      </c>
    </row>
    <row r="104" spans="1:12" ht="12.75">
      <c r="A104" s="880" t="s">
        <v>105</v>
      </c>
      <c r="B104" s="727"/>
      <c r="C104" s="168">
        <v>102</v>
      </c>
      <c r="D104" s="140">
        <v>102</v>
      </c>
      <c r="E104" s="174">
        <f t="shared" si="12"/>
        <v>0</v>
      </c>
      <c r="F104" s="140">
        <v>102</v>
      </c>
      <c r="G104" s="133">
        <f t="shared" si="13"/>
        <v>0</v>
      </c>
      <c r="H104" s="179">
        <v>78.8</v>
      </c>
      <c r="I104" s="180">
        <v>76.67</v>
      </c>
      <c r="J104" s="180">
        <f t="shared" si="14"/>
        <v>-2.1299999999999955</v>
      </c>
      <c r="K104" s="180">
        <v>81.18</v>
      </c>
      <c r="L104" s="157">
        <f t="shared" si="15"/>
        <v>4.510000000000005</v>
      </c>
    </row>
    <row r="105" spans="1:12" ht="12.75">
      <c r="A105" s="880" t="s">
        <v>106</v>
      </c>
      <c r="B105" s="727"/>
      <c r="C105" s="168">
        <v>5</v>
      </c>
      <c r="D105" s="140">
        <v>5</v>
      </c>
      <c r="E105" s="174">
        <f t="shared" si="12"/>
        <v>0</v>
      </c>
      <c r="F105" s="140">
        <v>5</v>
      </c>
      <c r="G105" s="133">
        <f t="shared" si="13"/>
        <v>0</v>
      </c>
      <c r="H105" s="179">
        <v>65.5</v>
      </c>
      <c r="I105" s="180">
        <v>56.66</v>
      </c>
      <c r="J105" s="180">
        <f t="shared" si="14"/>
        <v>-8.840000000000003</v>
      </c>
      <c r="K105" s="180">
        <v>80</v>
      </c>
      <c r="L105" s="157">
        <f t="shared" si="15"/>
        <v>23.340000000000003</v>
      </c>
    </row>
    <row r="106" spans="1:12" ht="12.75">
      <c r="A106" s="880" t="s">
        <v>107</v>
      </c>
      <c r="B106" s="727"/>
      <c r="C106" s="168">
        <v>42</v>
      </c>
      <c r="D106" s="140">
        <v>42</v>
      </c>
      <c r="E106" s="174">
        <f t="shared" si="12"/>
        <v>0</v>
      </c>
      <c r="F106" s="140">
        <v>42</v>
      </c>
      <c r="G106" s="133">
        <f t="shared" si="13"/>
        <v>0</v>
      </c>
      <c r="H106" s="179">
        <v>89.5</v>
      </c>
      <c r="I106" s="180">
        <v>91.64</v>
      </c>
      <c r="J106" s="180">
        <f t="shared" si="14"/>
        <v>2.1400000000000006</v>
      </c>
      <c r="K106" s="180">
        <v>88</v>
      </c>
      <c r="L106" s="157">
        <f t="shared" si="15"/>
        <v>-3.6400000000000006</v>
      </c>
    </row>
    <row r="107" spans="1:12" ht="12.75">
      <c r="A107" s="880" t="s">
        <v>108</v>
      </c>
      <c r="B107" s="727"/>
      <c r="C107" s="168">
        <v>32</v>
      </c>
      <c r="D107" s="140">
        <v>32</v>
      </c>
      <c r="E107" s="174">
        <f t="shared" si="12"/>
        <v>0</v>
      </c>
      <c r="F107" s="140">
        <v>24</v>
      </c>
      <c r="G107" s="133">
        <f t="shared" si="13"/>
        <v>-8</v>
      </c>
      <c r="H107" s="179">
        <v>75.1</v>
      </c>
      <c r="I107" s="180">
        <v>72.95</v>
      </c>
      <c r="J107" s="180">
        <f t="shared" si="14"/>
        <v>-2.1499999999999915</v>
      </c>
      <c r="K107" s="180">
        <v>83.333</v>
      </c>
      <c r="L107" s="157">
        <f t="shared" si="15"/>
        <v>10.382999999999996</v>
      </c>
    </row>
    <row r="108" spans="1:12" ht="12.75">
      <c r="A108" s="880" t="s">
        <v>109</v>
      </c>
      <c r="B108" s="727"/>
      <c r="C108" s="168">
        <v>15</v>
      </c>
      <c r="D108" s="140">
        <v>15</v>
      </c>
      <c r="E108" s="174">
        <f t="shared" si="12"/>
        <v>0</v>
      </c>
      <c r="F108" s="140">
        <v>15</v>
      </c>
      <c r="G108" s="133">
        <f t="shared" si="13"/>
        <v>0</v>
      </c>
      <c r="H108" s="179">
        <v>80.5</v>
      </c>
      <c r="I108" s="180">
        <v>78.87</v>
      </c>
      <c r="J108" s="180">
        <f t="shared" si="14"/>
        <v>-1.6299999999999955</v>
      </c>
      <c r="K108" s="180">
        <v>101.556</v>
      </c>
      <c r="L108" s="157">
        <f t="shared" si="15"/>
        <v>22.685999999999993</v>
      </c>
    </row>
    <row r="109" spans="1:12" ht="12.75">
      <c r="A109" s="880" t="s">
        <v>110</v>
      </c>
      <c r="B109" s="727"/>
      <c r="C109" s="168">
        <v>18</v>
      </c>
      <c r="D109" s="140">
        <v>18</v>
      </c>
      <c r="E109" s="174">
        <f t="shared" si="12"/>
        <v>0</v>
      </c>
      <c r="F109" s="140">
        <v>18</v>
      </c>
      <c r="G109" s="133">
        <f t="shared" si="13"/>
        <v>0</v>
      </c>
      <c r="H109" s="179">
        <v>69</v>
      </c>
      <c r="I109" s="180">
        <v>74.49</v>
      </c>
      <c r="J109" s="180">
        <f t="shared" si="14"/>
        <v>5.489999999999995</v>
      </c>
      <c r="K109" s="180">
        <v>76.481</v>
      </c>
      <c r="L109" s="157">
        <f t="shared" si="15"/>
        <v>1.9909999999999997</v>
      </c>
    </row>
    <row r="110" spans="1:12" ht="12.75">
      <c r="A110" s="880" t="s">
        <v>111</v>
      </c>
      <c r="B110" s="727"/>
      <c r="C110" s="168">
        <v>20</v>
      </c>
      <c r="D110" s="140">
        <v>20</v>
      </c>
      <c r="E110" s="174">
        <f t="shared" si="12"/>
        <v>0</v>
      </c>
      <c r="F110" s="140">
        <v>24</v>
      </c>
      <c r="G110" s="133">
        <f t="shared" si="13"/>
        <v>4</v>
      </c>
      <c r="H110" s="179">
        <v>85.2</v>
      </c>
      <c r="I110" s="180">
        <v>89.73</v>
      </c>
      <c r="J110" s="180">
        <f t="shared" si="14"/>
        <v>4.530000000000001</v>
      </c>
      <c r="K110" s="180">
        <v>95.909</v>
      </c>
      <c r="L110" s="157">
        <f t="shared" si="15"/>
        <v>6.179000000000002</v>
      </c>
    </row>
    <row r="111" spans="1:12" ht="12.75">
      <c r="A111" s="880" t="s">
        <v>112</v>
      </c>
      <c r="B111" s="727"/>
      <c r="C111" s="168"/>
      <c r="D111" s="140"/>
      <c r="E111" s="174"/>
      <c r="F111" s="140"/>
      <c r="G111" s="133">
        <f t="shared" si="13"/>
        <v>0</v>
      </c>
      <c r="H111" s="179"/>
      <c r="I111" s="180"/>
      <c r="J111" s="180"/>
      <c r="K111" s="180"/>
      <c r="L111" s="157">
        <f t="shared" si="15"/>
        <v>0</v>
      </c>
    </row>
    <row r="112" spans="1:12" ht="12.75">
      <c r="A112" s="880" t="s">
        <v>113</v>
      </c>
      <c r="B112" s="727"/>
      <c r="C112" s="168">
        <v>15</v>
      </c>
      <c r="D112" s="140">
        <v>21</v>
      </c>
      <c r="E112" s="174">
        <f>+D112-C112</f>
        <v>6</v>
      </c>
      <c r="F112" s="140">
        <v>23</v>
      </c>
      <c r="G112" s="133">
        <f t="shared" si="13"/>
        <v>2</v>
      </c>
      <c r="H112" s="179">
        <v>87.9</v>
      </c>
      <c r="I112" s="180">
        <v>80.95</v>
      </c>
      <c r="J112" s="180">
        <f>+I112-H112</f>
        <v>-6.950000000000003</v>
      </c>
      <c r="K112" s="180">
        <v>92.608</v>
      </c>
      <c r="L112" s="157">
        <f t="shared" si="15"/>
        <v>11.658000000000001</v>
      </c>
    </row>
    <row r="113" spans="1:12" ht="12.75">
      <c r="A113" s="1122" t="s">
        <v>415</v>
      </c>
      <c r="B113" s="727"/>
      <c r="C113" s="168">
        <v>20</v>
      </c>
      <c r="D113" s="140">
        <v>41</v>
      </c>
      <c r="E113" s="174">
        <f>+D113-C113</f>
        <v>21</v>
      </c>
      <c r="F113" s="140">
        <v>41</v>
      </c>
      <c r="G113" s="133">
        <f t="shared" si="13"/>
        <v>0</v>
      </c>
      <c r="H113" s="179">
        <v>94.1</v>
      </c>
      <c r="I113" s="180">
        <v>99.25</v>
      </c>
      <c r="J113" s="180">
        <f>+I113-H113</f>
        <v>5.150000000000006</v>
      </c>
      <c r="K113" s="180">
        <v>102.845</v>
      </c>
      <c r="L113" s="157">
        <f t="shared" si="15"/>
        <v>3.594999999999999</v>
      </c>
    </row>
    <row r="114" spans="1:12" ht="13.5" thickBot="1">
      <c r="A114" s="867" t="s">
        <v>115</v>
      </c>
      <c r="B114" s="842"/>
      <c r="C114" s="169"/>
      <c r="D114" s="146"/>
      <c r="E114" s="175"/>
      <c r="F114" s="146"/>
      <c r="G114" s="161">
        <f t="shared" si="13"/>
        <v>0</v>
      </c>
      <c r="H114" s="181"/>
      <c r="I114" s="182"/>
      <c r="J114" s="182"/>
      <c r="K114" s="182"/>
      <c r="L114" s="397">
        <f t="shared" si="15"/>
        <v>0</v>
      </c>
    </row>
    <row r="115" spans="1:12" ht="13.5" thickBot="1">
      <c r="A115" s="868" t="s">
        <v>31</v>
      </c>
      <c r="B115" s="749"/>
      <c r="C115" s="510">
        <f>SUM(C97:C114)</f>
        <v>647</v>
      </c>
      <c r="D115" s="152">
        <f>SUM(D97:D114)</f>
        <v>643</v>
      </c>
      <c r="E115" s="151">
        <f>+D115-C115</f>
        <v>-4</v>
      </c>
      <c r="F115" s="511">
        <f>SUM(F97:F114)</f>
        <v>584</v>
      </c>
      <c r="G115" s="512">
        <f t="shared" si="13"/>
        <v>-59</v>
      </c>
      <c r="H115" s="183">
        <v>75</v>
      </c>
      <c r="I115" s="395">
        <v>77.82</v>
      </c>
      <c r="J115" s="184">
        <f>+I115-H115</f>
        <v>2.819999999999993</v>
      </c>
      <c r="K115" s="513">
        <v>82.20491</v>
      </c>
      <c r="L115" s="160">
        <f t="shared" si="15"/>
        <v>4.384910000000005</v>
      </c>
    </row>
    <row r="116" spans="3:7" ht="12.75">
      <c r="C116" s="1123"/>
      <c r="D116" s="1124"/>
      <c r="E116" s="1124"/>
      <c r="F116" s="1124"/>
      <c r="G116" s="1124"/>
    </row>
    <row r="117" ht="2.25" customHeight="1"/>
    <row r="118" spans="1:12" s="514" customFormat="1" ht="12.75" customHeight="1">
      <c r="A118" s="905" t="s">
        <v>416</v>
      </c>
      <c r="B118" s="1138"/>
      <c r="C118" s="1138"/>
      <c r="D118" s="1138"/>
      <c r="E118" s="1138"/>
      <c r="F118" s="1138"/>
      <c r="G118" s="1138"/>
      <c r="H118" s="1138"/>
      <c r="I118" s="1138"/>
      <c r="J118" s="1138"/>
      <c r="K118" s="1138"/>
      <c r="L118" s="1079"/>
    </row>
    <row r="119" spans="1:12" s="514" customFormat="1" ht="12.75">
      <c r="A119" s="1139"/>
      <c r="B119" s="1140"/>
      <c r="C119" s="1140"/>
      <c r="D119" s="1140"/>
      <c r="E119" s="1140"/>
      <c r="F119" s="1140"/>
      <c r="G119" s="1140"/>
      <c r="H119" s="1140"/>
      <c r="I119" s="1140"/>
      <c r="J119" s="1140"/>
      <c r="K119" s="1140"/>
      <c r="L119" s="1081"/>
    </row>
    <row r="120" spans="1:12" ht="6" customHeight="1">
      <c r="A120" s="70"/>
      <c r="B120" s="70"/>
      <c r="C120" s="70"/>
      <c r="D120" s="70"/>
      <c r="E120" s="70"/>
      <c r="F120" s="70"/>
      <c r="G120" s="70"/>
      <c r="H120" s="70"/>
      <c r="I120" s="70"/>
      <c r="J120" s="70"/>
      <c r="K120" s="70"/>
      <c r="L120" s="246"/>
    </row>
    <row r="121" spans="1:12" ht="16.5" thickBot="1">
      <c r="A121" s="25" t="s">
        <v>182</v>
      </c>
      <c r="L121" s="274" t="s">
        <v>19</v>
      </c>
    </row>
    <row r="122" spans="1:12" s="35" customFormat="1" ht="21" customHeight="1" thickBot="1">
      <c r="A122" s="859" t="s">
        <v>192</v>
      </c>
      <c r="B122" s="860"/>
      <c r="C122" s="860"/>
      <c r="D122" s="860"/>
      <c r="E122" s="901" t="s">
        <v>173</v>
      </c>
      <c r="F122" s="902"/>
      <c r="H122" s="859" t="s">
        <v>193</v>
      </c>
      <c r="I122" s="860"/>
      <c r="J122" s="860"/>
      <c r="K122" s="901" t="s">
        <v>173</v>
      </c>
      <c r="L122" s="902"/>
    </row>
    <row r="123" spans="1:12" s="35" customFormat="1" ht="21" customHeight="1">
      <c r="A123" s="899" t="s">
        <v>425</v>
      </c>
      <c r="B123" s="900"/>
      <c r="C123" s="900"/>
      <c r="D123" s="900"/>
      <c r="E123" s="1016">
        <f>498282+100000+227718</f>
        <v>826000</v>
      </c>
      <c r="F123" s="785"/>
      <c r="G123" s="245"/>
      <c r="H123" s="899" t="s">
        <v>175</v>
      </c>
      <c r="I123" s="900"/>
      <c r="J123" s="900"/>
      <c r="K123" s="1120">
        <v>6304752.1</v>
      </c>
      <c r="L123" s="1121"/>
    </row>
    <row r="124" spans="1:12" s="35" customFormat="1" ht="16.5" customHeight="1">
      <c r="A124" s="892" t="s">
        <v>175</v>
      </c>
      <c r="B124" s="893"/>
      <c r="C124" s="893"/>
      <c r="D124" s="893"/>
      <c r="E124" s="1004">
        <v>0</v>
      </c>
      <c r="F124" s="727"/>
      <c r="G124" s="245"/>
      <c r="H124" s="892" t="s">
        <v>176</v>
      </c>
      <c r="I124" s="893"/>
      <c r="J124" s="893"/>
      <c r="K124" s="1112">
        <v>39562</v>
      </c>
      <c r="L124" s="1113"/>
    </row>
    <row r="125" spans="1:12" s="35" customFormat="1" ht="16.5" customHeight="1">
      <c r="A125" s="892" t="s">
        <v>176</v>
      </c>
      <c r="B125" s="893"/>
      <c r="C125" s="893"/>
      <c r="D125" s="893"/>
      <c r="E125" s="1004">
        <v>0</v>
      </c>
      <c r="F125" s="727"/>
      <c r="G125" s="245"/>
      <c r="H125" s="892" t="s">
        <v>360</v>
      </c>
      <c r="I125" s="893"/>
      <c r="J125" s="893"/>
      <c r="K125" s="1112">
        <v>4515906</v>
      </c>
      <c r="L125" s="1113"/>
    </row>
    <row r="126" spans="1:12" s="35" customFormat="1" ht="16.5" customHeight="1">
      <c r="A126" s="892" t="s">
        <v>177</v>
      </c>
      <c r="B126" s="893"/>
      <c r="C126" s="893"/>
      <c r="D126" s="893"/>
      <c r="E126" s="1004">
        <v>0</v>
      </c>
      <c r="F126" s="727"/>
      <c r="G126" s="245"/>
      <c r="H126" s="892" t="s">
        <v>388</v>
      </c>
      <c r="I126" s="893"/>
      <c r="J126" s="893"/>
      <c r="K126" s="1112">
        <v>0</v>
      </c>
      <c r="L126" s="1113"/>
    </row>
    <row r="127" spans="1:12" s="35" customFormat="1" ht="16.5" customHeight="1">
      <c r="A127" s="892" t="s">
        <v>178</v>
      </c>
      <c r="B127" s="893"/>
      <c r="C127" s="893"/>
      <c r="D127" s="893"/>
      <c r="E127" s="1004">
        <v>0</v>
      </c>
      <c r="F127" s="727"/>
      <c r="G127" s="245"/>
      <c r="H127" s="1114"/>
      <c r="I127" s="1115"/>
      <c r="J127" s="1116"/>
      <c r="K127" s="1018"/>
      <c r="L127" s="1117"/>
    </row>
    <row r="128" spans="1:12" s="35" customFormat="1" ht="16.5" customHeight="1">
      <c r="A128" s="892" t="s">
        <v>205</v>
      </c>
      <c r="B128" s="893"/>
      <c r="C128" s="893"/>
      <c r="D128" s="893"/>
      <c r="E128" s="1004">
        <v>42857</v>
      </c>
      <c r="F128" s="727"/>
      <c r="H128" s="1011"/>
      <c r="I128" s="1012"/>
      <c r="J128" s="1013"/>
      <c r="K128" s="1118"/>
      <c r="L128" s="1119"/>
    </row>
    <row r="129" spans="1:12" ht="16.5" customHeight="1" thickBot="1">
      <c r="A129" s="894" t="s">
        <v>179</v>
      </c>
      <c r="B129" s="895"/>
      <c r="C129" s="895"/>
      <c r="D129" s="895"/>
      <c r="E129" s="1110">
        <f>SUM(E123:F128)</f>
        <v>868857</v>
      </c>
      <c r="F129" s="1111"/>
      <c r="G129" s="35"/>
      <c r="H129" s="894" t="s">
        <v>180</v>
      </c>
      <c r="I129" s="895"/>
      <c r="J129" s="895"/>
      <c r="K129" s="1110">
        <f>SUM(K123:L128)</f>
        <v>10860220.1</v>
      </c>
      <c r="L129" s="1111"/>
    </row>
    <row r="130" ht="13.5" thickBot="1"/>
    <row r="131" spans="1:12" ht="67.5">
      <c r="A131" s="1100" t="s">
        <v>206</v>
      </c>
      <c r="B131" s="1101"/>
      <c r="C131" s="1102"/>
      <c r="D131" s="477" t="s">
        <v>207</v>
      </c>
      <c r="E131" s="477" t="s">
        <v>208</v>
      </c>
      <c r="F131" s="915" t="s">
        <v>209</v>
      </c>
      <c r="G131" s="1102"/>
      <c r="H131" s="416" t="s">
        <v>223</v>
      </c>
      <c r="I131" s="429" t="s">
        <v>329</v>
      </c>
      <c r="J131" s="429" t="s">
        <v>417</v>
      </c>
      <c r="K131" s="1057" t="s">
        <v>418</v>
      </c>
      <c r="L131" s="914" t="s">
        <v>419</v>
      </c>
    </row>
    <row r="132" spans="1:12" ht="13.5" thickBot="1">
      <c r="A132" s="1095" t="s">
        <v>420</v>
      </c>
      <c r="B132" s="1096"/>
      <c r="C132" s="1097"/>
      <c r="D132" s="417"/>
      <c r="E132" s="417" t="s">
        <v>212</v>
      </c>
      <c r="F132" s="91" t="s">
        <v>213</v>
      </c>
      <c r="G132" s="476" t="s">
        <v>214</v>
      </c>
      <c r="H132" s="1" t="s">
        <v>330</v>
      </c>
      <c r="I132" s="1" t="s">
        <v>215</v>
      </c>
      <c r="J132" s="90" t="s">
        <v>216</v>
      </c>
      <c r="K132" s="712"/>
      <c r="L132" s="787"/>
    </row>
    <row r="133" spans="1:12" ht="22.5" customHeight="1">
      <c r="A133" s="1069" t="s">
        <v>331</v>
      </c>
      <c r="B133" s="1103"/>
      <c r="C133" s="1104"/>
      <c r="D133" s="515">
        <v>3106404</v>
      </c>
      <c r="E133" s="516">
        <v>2962890</v>
      </c>
      <c r="F133" s="517"/>
      <c r="G133" s="517">
        <v>39562</v>
      </c>
      <c r="H133" s="517">
        <v>4016106</v>
      </c>
      <c r="I133" s="517"/>
      <c r="J133" s="518">
        <f>SUM(D133:I133)</f>
        <v>10124962</v>
      </c>
      <c r="K133" s="519">
        <v>45001396.8</v>
      </c>
      <c r="L133" s="520">
        <f>K133-J133</f>
        <v>34876434.8</v>
      </c>
    </row>
    <row r="134" spans="1:12" ht="12.75">
      <c r="A134" s="1059" t="s">
        <v>332</v>
      </c>
      <c r="B134" s="1098"/>
      <c r="C134" s="1099"/>
      <c r="D134" s="521"/>
      <c r="E134" s="522"/>
      <c r="F134" s="523"/>
      <c r="G134" s="524"/>
      <c r="H134" s="523"/>
      <c r="I134" s="523"/>
      <c r="J134" s="525">
        <f>SUM(E134:I134)</f>
        <v>0</v>
      </c>
      <c r="K134" s="519">
        <v>175000</v>
      </c>
      <c r="L134" s="520">
        <f>+K134-J134-D134</f>
        <v>175000</v>
      </c>
    </row>
    <row r="135" spans="1:12" ht="12.75">
      <c r="A135" s="1059" t="s">
        <v>333</v>
      </c>
      <c r="B135" s="1098"/>
      <c r="C135" s="1099"/>
      <c r="D135" s="521"/>
      <c r="E135" s="522">
        <v>100000.9</v>
      </c>
      <c r="F135" s="523"/>
      <c r="G135" s="524"/>
      <c r="H135" s="523"/>
      <c r="I135" s="523"/>
      <c r="J135" s="525">
        <f>SUM(E135:I135)</f>
        <v>100000.9</v>
      </c>
      <c r="K135" s="519">
        <v>100000.9</v>
      </c>
      <c r="L135" s="520">
        <f>+K135-J135-D135</f>
        <v>0</v>
      </c>
    </row>
    <row r="136" spans="1:12" ht="12.75">
      <c r="A136" s="1107" t="s">
        <v>334</v>
      </c>
      <c r="B136" s="1108"/>
      <c r="C136" s="1109"/>
      <c r="D136" s="521"/>
      <c r="E136" s="522"/>
      <c r="F136" s="523"/>
      <c r="G136" s="524"/>
      <c r="H136" s="523"/>
      <c r="I136" s="523"/>
      <c r="J136" s="525">
        <f>SUM(E136:I136)</f>
        <v>0</v>
      </c>
      <c r="K136" s="519">
        <v>138435</v>
      </c>
      <c r="L136" s="520">
        <f>+K136-J136-D136</f>
        <v>138435</v>
      </c>
    </row>
    <row r="137" spans="1:12" ht="12.75">
      <c r="A137" s="1059" t="s">
        <v>335</v>
      </c>
      <c r="B137" s="1098"/>
      <c r="C137" s="1099"/>
      <c r="D137" s="526"/>
      <c r="E137" s="527">
        <v>2179031</v>
      </c>
      <c r="F137" s="523"/>
      <c r="G137" s="524"/>
      <c r="H137" s="523"/>
      <c r="I137" s="523"/>
      <c r="J137" s="525">
        <f>SUM(E137:I137)</f>
        <v>2179031</v>
      </c>
      <c r="K137" s="519">
        <v>2179031</v>
      </c>
      <c r="L137" s="520">
        <f>+K137-J137-D137</f>
        <v>0</v>
      </c>
    </row>
    <row r="138" spans="1:12" ht="18.75" customHeight="1">
      <c r="A138" s="1051" t="s">
        <v>336</v>
      </c>
      <c r="B138" s="1105"/>
      <c r="C138" s="1106"/>
      <c r="D138" s="522"/>
      <c r="E138" s="522">
        <v>46899.2</v>
      </c>
      <c r="F138" s="523"/>
      <c r="G138" s="524"/>
      <c r="H138" s="523"/>
      <c r="I138" s="523"/>
      <c r="J138" s="525">
        <f>SUM(E138:I138)</f>
        <v>46899.2</v>
      </c>
      <c r="K138" s="519">
        <v>46899.2</v>
      </c>
      <c r="L138" s="520">
        <f>+K138-J138-D138</f>
        <v>0</v>
      </c>
    </row>
    <row r="139" spans="1:12" ht="12.75">
      <c r="A139" s="1059" t="s">
        <v>337</v>
      </c>
      <c r="B139" s="1098"/>
      <c r="C139" s="1099"/>
      <c r="D139" s="522">
        <v>20230</v>
      </c>
      <c r="E139" s="522">
        <f>20230+22157</f>
        <v>42387</v>
      </c>
      <c r="F139" s="523"/>
      <c r="G139" s="524"/>
      <c r="H139" s="523"/>
      <c r="I139" s="523"/>
      <c r="J139" s="525">
        <f>SUM(D139:I139)</f>
        <v>62617</v>
      </c>
      <c r="K139" s="519">
        <v>62617</v>
      </c>
      <c r="L139" s="520">
        <f>K139-J139</f>
        <v>0</v>
      </c>
    </row>
    <row r="140" spans="1:12" ht="13.5" thickBot="1">
      <c r="A140" s="1059" t="s">
        <v>338</v>
      </c>
      <c r="B140" s="1098"/>
      <c r="C140" s="1099"/>
      <c r="D140" s="526"/>
      <c r="E140" s="526"/>
      <c r="F140" s="528"/>
      <c r="G140" s="529"/>
      <c r="H140" s="528"/>
      <c r="I140" s="528"/>
      <c r="J140" s="528">
        <f>SUM(E140:I140)</f>
        <v>0</v>
      </c>
      <c r="K140" s="519">
        <v>3207534.9</v>
      </c>
      <c r="L140" s="520">
        <f>+K140-J140-D140</f>
        <v>3207534.9</v>
      </c>
    </row>
    <row r="141" spans="1:12" ht="13.5" thickBot="1">
      <c r="A141" s="1082" t="s">
        <v>339</v>
      </c>
      <c r="B141" s="777"/>
      <c r="C141" s="1083"/>
      <c r="D141" s="530">
        <f aca="true" t="shared" si="16" ref="D141:L141">SUM(D133:D140)</f>
        <v>3126634</v>
      </c>
      <c r="E141" s="530">
        <f t="shared" si="16"/>
        <v>5331208.100000001</v>
      </c>
      <c r="F141" s="531">
        <f t="shared" si="16"/>
        <v>0</v>
      </c>
      <c r="G141" s="531">
        <f t="shared" si="16"/>
        <v>39562</v>
      </c>
      <c r="H141" s="531">
        <f t="shared" si="16"/>
        <v>4016106</v>
      </c>
      <c r="I141" s="531">
        <f t="shared" si="16"/>
        <v>0</v>
      </c>
      <c r="J141" s="532">
        <f t="shared" si="16"/>
        <v>12513510.1</v>
      </c>
      <c r="K141" s="533">
        <f t="shared" si="16"/>
        <v>50910914.8</v>
      </c>
      <c r="L141" s="532">
        <f t="shared" si="16"/>
        <v>38397404.699999996</v>
      </c>
    </row>
    <row r="142" spans="1:12" ht="13.5" thickBot="1">
      <c r="A142" s="257"/>
      <c r="D142" s="534"/>
      <c r="E142" s="535"/>
      <c r="F142" s="535"/>
      <c r="G142" s="535"/>
      <c r="H142" s="535"/>
      <c r="I142" s="535"/>
      <c r="J142" s="535"/>
      <c r="K142" s="534"/>
      <c r="L142" s="534"/>
    </row>
    <row r="143" spans="1:12" ht="67.5">
      <c r="A143" s="1100" t="s">
        <v>222</v>
      </c>
      <c r="B143" s="1101"/>
      <c r="C143" s="1102"/>
      <c r="D143" s="536" t="s">
        <v>207</v>
      </c>
      <c r="E143" s="537" t="s">
        <v>208</v>
      </c>
      <c r="F143" s="1089" t="s">
        <v>209</v>
      </c>
      <c r="G143" s="1090"/>
      <c r="H143" s="536" t="s">
        <v>223</v>
      </c>
      <c r="I143" s="537" t="s">
        <v>340</v>
      </c>
      <c r="J143" s="537" t="s">
        <v>417</v>
      </c>
      <c r="K143" s="1091" t="s">
        <v>418</v>
      </c>
      <c r="L143" s="1093" t="s">
        <v>419</v>
      </c>
    </row>
    <row r="144" spans="1:12" ht="13.5" customHeight="1" thickBot="1">
      <c r="A144" s="1095" t="s">
        <v>225</v>
      </c>
      <c r="B144" s="1096"/>
      <c r="C144" s="1097"/>
      <c r="D144" s="538"/>
      <c r="E144" s="539" t="s">
        <v>212</v>
      </c>
      <c r="F144" s="540" t="s">
        <v>226</v>
      </c>
      <c r="G144" s="541" t="s">
        <v>214</v>
      </c>
      <c r="H144" s="539" t="s">
        <v>330</v>
      </c>
      <c r="I144" s="539" t="s">
        <v>215</v>
      </c>
      <c r="J144" s="539" t="s">
        <v>216</v>
      </c>
      <c r="K144" s="1092"/>
      <c r="L144" s="1094"/>
    </row>
    <row r="145" spans="1:12" ht="21" customHeight="1">
      <c r="A145" s="1051" t="s">
        <v>341</v>
      </c>
      <c r="B145" s="1052"/>
      <c r="C145" s="1088"/>
      <c r="D145" s="542"/>
      <c r="E145" s="525"/>
      <c r="F145" s="525"/>
      <c r="G145" s="543"/>
      <c r="H145" s="525"/>
      <c r="I145" s="525"/>
      <c r="J145" s="525">
        <f>SUM(E145:I145)</f>
        <v>0</v>
      </c>
      <c r="K145" s="519">
        <v>12421223.88</v>
      </c>
      <c r="L145" s="520">
        <f aca="true" t="shared" si="17" ref="L145:L163">K145-J145</f>
        <v>12421223.88</v>
      </c>
    </row>
    <row r="146" spans="1:12" ht="12.75" customHeight="1">
      <c r="A146" s="1059" t="s">
        <v>342</v>
      </c>
      <c r="B146" s="1060"/>
      <c r="C146" s="1084"/>
      <c r="D146" s="544"/>
      <c r="E146" s="523"/>
      <c r="F146" s="523"/>
      <c r="G146" s="524"/>
      <c r="H146" s="523"/>
      <c r="I146" s="523"/>
      <c r="J146" s="525">
        <f>SUM(E146:I146)</f>
        <v>0</v>
      </c>
      <c r="K146" s="519">
        <v>552812</v>
      </c>
      <c r="L146" s="520">
        <f t="shared" si="17"/>
        <v>552812</v>
      </c>
    </row>
    <row r="147" spans="1:12" ht="21" customHeight="1">
      <c r="A147" s="1059" t="s">
        <v>343</v>
      </c>
      <c r="B147" s="1060"/>
      <c r="C147" s="1084"/>
      <c r="D147" s="544"/>
      <c r="E147" s="523"/>
      <c r="F147" s="523"/>
      <c r="G147" s="524"/>
      <c r="H147" s="523">
        <f>499800</f>
        <v>499800</v>
      </c>
      <c r="I147" s="523"/>
      <c r="J147" s="525">
        <f>SUM(E147:I147)</f>
        <v>499800</v>
      </c>
      <c r="K147" s="519">
        <v>499800</v>
      </c>
      <c r="L147" s="520">
        <f t="shared" si="17"/>
        <v>0</v>
      </c>
    </row>
    <row r="148" spans="1:12" ht="12.75" customHeight="1">
      <c r="A148" s="1059" t="s">
        <v>344</v>
      </c>
      <c r="B148" s="1060"/>
      <c r="C148" s="1084"/>
      <c r="D148" s="544">
        <v>1459080</v>
      </c>
      <c r="E148" s="523">
        <v>640720</v>
      </c>
      <c r="F148" s="523"/>
      <c r="G148" s="524"/>
      <c r="H148" s="523"/>
      <c r="I148" s="523"/>
      <c r="J148" s="525">
        <f>SUM(D148:I148)</f>
        <v>2099800</v>
      </c>
      <c r="K148" s="519">
        <v>2099800</v>
      </c>
      <c r="L148" s="520">
        <f t="shared" si="17"/>
        <v>0</v>
      </c>
    </row>
    <row r="149" spans="1:12" ht="12.75" customHeight="1">
      <c r="A149" s="1059" t="s">
        <v>345</v>
      </c>
      <c r="B149" s="1060"/>
      <c r="C149" s="1084"/>
      <c r="D149" s="544"/>
      <c r="E149" s="523">
        <v>1000</v>
      </c>
      <c r="F149" s="523"/>
      <c r="G149" s="524"/>
      <c r="H149" s="523"/>
      <c r="I149" s="523"/>
      <c r="J149" s="525">
        <f>SUM(E149:I149)</f>
        <v>1000</v>
      </c>
      <c r="K149" s="519">
        <v>1000</v>
      </c>
      <c r="L149" s="520">
        <f t="shared" si="17"/>
        <v>0</v>
      </c>
    </row>
    <row r="150" spans="1:12" ht="12.75" customHeight="1">
      <c r="A150" s="1059" t="s">
        <v>346</v>
      </c>
      <c r="B150" s="1060"/>
      <c r="C150" s="1084"/>
      <c r="D150" s="544">
        <v>656716</v>
      </c>
      <c r="E150" s="523"/>
      <c r="F150" s="523"/>
      <c r="G150" s="524"/>
      <c r="H150" s="523"/>
      <c r="I150" s="523"/>
      <c r="J150" s="525">
        <f>SUM(D150:I150)</f>
        <v>656716</v>
      </c>
      <c r="K150" s="519">
        <v>656716</v>
      </c>
      <c r="L150" s="520">
        <f t="shared" si="17"/>
        <v>0</v>
      </c>
    </row>
    <row r="151" spans="1:12" ht="12.75" customHeight="1">
      <c r="A151" s="1059" t="s">
        <v>347</v>
      </c>
      <c r="B151" s="1060"/>
      <c r="C151" s="1084"/>
      <c r="D151" s="544"/>
      <c r="E151" s="523"/>
      <c r="F151" s="523"/>
      <c r="G151" s="524"/>
      <c r="H151" s="523"/>
      <c r="I151" s="523"/>
      <c r="J151" s="525">
        <f aca="true" t="shared" si="18" ref="J151:J163">SUM(E151:I151)</f>
        <v>0</v>
      </c>
      <c r="K151" s="519">
        <v>1000</v>
      </c>
      <c r="L151" s="520">
        <f t="shared" si="17"/>
        <v>1000</v>
      </c>
    </row>
    <row r="152" spans="1:12" ht="18" customHeight="1">
      <c r="A152" s="1059" t="s">
        <v>348</v>
      </c>
      <c r="B152" s="1060"/>
      <c r="C152" s="1084"/>
      <c r="D152" s="544"/>
      <c r="E152" s="523"/>
      <c r="F152" s="523"/>
      <c r="G152" s="524"/>
      <c r="H152" s="523"/>
      <c r="I152" s="523"/>
      <c r="J152" s="525">
        <f t="shared" si="18"/>
        <v>0</v>
      </c>
      <c r="K152" s="519">
        <v>299985</v>
      </c>
      <c r="L152" s="520">
        <f t="shared" si="17"/>
        <v>299985</v>
      </c>
    </row>
    <row r="153" spans="1:12" ht="12.75" customHeight="1">
      <c r="A153" s="1059" t="s">
        <v>349</v>
      </c>
      <c r="B153" s="1060"/>
      <c r="C153" s="1084"/>
      <c r="D153" s="544"/>
      <c r="E153" s="523"/>
      <c r="F153" s="523"/>
      <c r="G153" s="524"/>
      <c r="H153" s="523"/>
      <c r="I153" s="523"/>
      <c r="J153" s="525">
        <f t="shared" si="18"/>
        <v>0</v>
      </c>
      <c r="K153" s="519">
        <v>73423</v>
      </c>
      <c r="L153" s="520">
        <f t="shared" si="17"/>
        <v>73423</v>
      </c>
    </row>
    <row r="154" spans="1:12" ht="12.75" customHeight="1">
      <c r="A154" s="1059" t="s">
        <v>350</v>
      </c>
      <c r="B154" s="1060"/>
      <c r="C154" s="1084"/>
      <c r="D154" s="544"/>
      <c r="E154" s="523">
        <v>146418</v>
      </c>
      <c r="F154" s="523"/>
      <c r="G154" s="524"/>
      <c r="H154" s="523"/>
      <c r="I154" s="523"/>
      <c r="J154" s="525">
        <f t="shared" si="18"/>
        <v>146418</v>
      </c>
      <c r="K154" s="519">
        <v>146418</v>
      </c>
      <c r="L154" s="520">
        <f t="shared" si="17"/>
        <v>0</v>
      </c>
    </row>
    <row r="155" spans="1:12" ht="12.75" customHeight="1">
      <c r="A155" s="1059" t="s">
        <v>351</v>
      </c>
      <c r="B155" s="1060"/>
      <c r="C155" s="1084"/>
      <c r="D155" s="544"/>
      <c r="E155" s="523">
        <v>99999</v>
      </c>
      <c r="F155" s="523"/>
      <c r="G155" s="524"/>
      <c r="H155" s="523"/>
      <c r="I155" s="523"/>
      <c r="J155" s="525">
        <f t="shared" si="18"/>
        <v>99999</v>
      </c>
      <c r="K155" s="519">
        <v>99999</v>
      </c>
      <c r="L155" s="520">
        <f t="shared" si="17"/>
        <v>0</v>
      </c>
    </row>
    <row r="156" spans="1:12" ht="12.75" customHeight="1">
      <c r="A156" s="1059" t="s">
        <v>352</v>
      </c>
      <c r="B156" s="1060"/>
      <c r="C156" s="1084"/>
      <c r="D156" s="544"/>
      <c r="E156" s="523">
        <v>85407</v>
      </c>
      <c r="F156" s="523"/>
      <c r="G156" s="524"/>
      <c r="H156" s="523"/>
      <c r="I156" s="523"/>
      <c r="J156" s="525">
        <f t="shared" si="18"/>
        <v>85407</v>
      </c>
      <c r="K156" s="519">
        <v>85407</v>
      </c>
      <c r="L156" s="520">
        <f t="shared" si="17"/>
        <v>0</v>
      </c>
    </row>
    <row r="157" spans="1:12" ht="12.75" customHeight="1">
      <c r="A157" s="1059" t="s">
        <v>353</v>
      </c>
      <c r="B157" s="1060"/>
      <c r="C157" s="1084"/>
      <c r="D157" s="544"/>
      <c r="E157" s="523"/>
      <c r="F157" s="523"/>
      <c r="G157" s="524"/>
      <c r="H157" s="523"/>
      <c r="I157" s="523"/>
      <c r="J157" s="525">
        <f t="shared" si="18"/>
        <v>0</v>
      </c>
      <c r="K157" s="519">
        <v>800000</v>
      </c>
      <c r="L157" s="520">
        <f t="shared" si="17"/>
        <v>800000</v>
      </c>
    </row>
    <row r="158" spans="1:12" ht="12.75" customHeight="1">
      <c r="A158" s="1059" t="s">
        <v>354</v>
      </c>
      <c r="B158" s="1060"/>
      <c r="C158" s="1084"/>
      <c r="D158" s="544"/>
      <c r="E158" s="523"/>
      <c r="F158" s="523"/>
      <c r="G158" s="524"/>
      <c r="H158" s="523"/>
      <c r="I158" s="523"/>
      <c r="J158" s="525">
        <f t="shared" si="18"/>
        <v>0</v>
      </c>
      <c r="K158" s="519">
        <v>250000</v>
      </c>
      <c r="L158" s="520">
        <f t="shared" si="17"/>
        <v>250000</v>
      </c>
    </row>
    <row r="159" spans="1:12" ht="12.75" customHeight="1">
      <c r="A159" s="1059" t="s">
        <v>355</v>
      </c>
      <c r="B159" s="1060"/>
      <c r="C159" s="1084"/>
      <c r="D159" s="544"/>
      <c r="E159" s="523"/>
      <c r="F159" s="523"/>
      <c r="G159" s="524"/>
      <c r="H159" s="523"/>
      <c r="I159" s="523"/>
      <c r="J159" s="525">
        <f t="shared" si="18"/>
        <v>0</v>
      </c>
      <c r="K159" s="519">
        <v>1118015</v>
      </c>
      <c r="L159" s="520">
        <f t="shared" si="17"/>
        <v>1118015</v>
      </c>
    </row>
    <row r="160" spans="1:12" ht="12.75" customHeight="1">
      <c r="A160" s="1059" t="s">
        <v>356</v>
      </c>
      <c r="B160" s="1060"/>
      <c r="C160" s="1084"/>
      <c r="D160" s="545"/>
      <c r="E160" s="525"/>
      <c r="F160" s="525"/>
      <c r="G160" s="543"/>
      <c r="H160" s="525"/>
      <c r="I160" s="525"/>
      <c r="J160" s="525">
        <f t="shared" si="18"/>
        <v>0</v>
      </c>
      <c r="K160" s="519">
        <v>800000</v>
      </c>
      <c r="L160" s="520">
        <f t="shared" si="17"/>
        <v>800000</v>
      </c>
    </row>
    <row r="161" spans="1:12" ht="12.75" customHeight="1">
      <c r="A161" s="1059" t="s">
        <v>357</v>
      </c>
      <c r="B161" s="1060"/>
      <c r="C161" s="1084"/>
      <c r="D161" s="545"/>
      <c r="E161" s="525"/>
      <c r="F161" s="525"/>
      <c r="G161" s="543"/>
      <c r="H161" s="525"/>
      <c r="I161" s="525"/>
      <c r="J161" s="525">
        <f t="shared" si="18"/>
        <v>0</v>
      </c>
      <c r="K161" s="519">
        <v>650000</v>
      </c>
      <c r="L161" s="520">
        <f t="shared" si="17"/>
        <v>650000</v>
      </c>
    </row>
    <row r="162" spans="1:12" ht="12.75" customHeight="1">
      <c r="A162" s="1059" t="s">
        <v>358</v>
      </c>
      <c r="B162" s="1060"/>
      <c r="C162" s="1084"/>
      <c r="D162" s="545"/>
      <c r="E162" s="525"/>
      <c r="F162" s="525"/>
      <c r="G162" s="543"/>
      <c r="H162" s="525"/>
      <c r="I162" s="525"/>
      <c r="J162" s="525">
        <f t="shared" si="18"/>
        <v>0</v>
      </c>
      <c r="K162" s="519">
        <v>133660.8</v>
      </c>
      <c r="L162" s="520">
        <f t="shared" si="17"/>
        <v>133660.8</v>
      </c>
    </row>
    <row r="163" spans="1:12" ht="13.5" customHeight="1" thickBot="1">
      <c r="A163" s="1085" t="s">
        <v>359</v>
      </c>
      <c r="B163" s="1086"/>
      <c r="C163" s="1087"/>
      <c r="D163" s="545"/>
      <c r="E163" s="525"/>
      <c r="F163" s="525"/>
      <c r="G163" s="543"/>
      <c r="H163" s="525"/>
      <c r="I163" s="525"/>
      <c r="J163" s="525">
        <f t="shared" si="18"/>
        <v>0</v>
      </c>
      <c r="K163" s="519">
        <v>5880123.84</v>
      </c>
      <c r="L163" s="520">
        <f t="shared" si="17"/>
        <v>5880123.84</v>
      </c>
    </row>
    <row r="164" spans="1:12" ht="13.5" thickBot="1">
      <c r="A164" s="1082" t="s">
        <v>325</v>
      </c>
      <c r="B164" s="777"/>
      <c r="C164" s="1083"/>
      <c r="D164" s="546">
        <f>SUM(D145:D163)</f>
        <v>2115796</v>
      </c>
      <c r="E164" s="531">
        <f>SUM(E145:E163)</f>
        <v>973544</v>
      </c>
      <c r="F164" s="531">
        <f>SUM(F145:F153)</f>
        <v>0</v>
      </c>
      <c r="G164" s="531">
        <f>SUM(G145:G153)</f>
        <v>0</v>
      </c>
      <c r="H164" s="531">
        <f>SUM(H145:H163)</f>
        <v>499800</v>
      </c>
      <c r="I164" s="531">
        <f>SUM(I145:I153)</f>
        <v>0</v>
      </c>
      <c r="J164" s="532">
        <f>SUM(J145:J163)</f>
        <v>3589140</v>
      </c>
      <c r="K164" s="533">
        <f>SUM(K145:K163)</f>
        <v>26569383.520000003</v>
      </c>
      <c r="L164" s="532">
        <f>SUM(L145:L163)</f>
        <v>22980243.520000003</v>
      </c>
    </row>
    <row r="165" spans="4:12" ht="3.75" customHeight="1" thickBot="1">
      <c r="D165" s="534"/>
      <c r="E165" s="534"/>
      <c r="F165" s="534"/>
      <c r="G165" s="534"/>
      <c r="H165" s="534"/>
      <c r="I165" s="534"/>
      <c r="J165" s="534"/>
      <c r="K165" s="534"/>
      <c r="L165" s="534"/>
    </row>
    <row r="166" spans="1:12" ht="13.5" thickBot="1">
      <c r="A166" s="1082" t="s">
        <v>238</v>
      </c>
      <c r="B166" s="777"/>
      <c r="C166" s="1083"/>
      <c r="D166" s="530">
        <f aca="true" t="shared" si="19" ref="D166:K166">+D164+D141</f>
        <v>5242430</v>
      </c>
      <c r="E166" s="530">
        <f t="shared" si="19"/>
        <v>6304752.100000001</v>
      </c>
      <c r="F166" s="531">
        <f t="shared" si="19"/>
        <v>0</v>
      </c>
      <c r="G166" s="531">
        <f t="shared" si="19"/>
        <v>39562</v>
      </c>
      <c r="H166" s="531">
        <f t="shared" si="19"/>
        <v>4515906</v>
      </c>
      <c r="I166" s="531">
        <f t="shared" si="19"/>
        <v>0</v>
      </c>
      <c r="J166" s="532">
        <f t="shared" si="19"/>
        <v>16102650.1</v>
      </c>
      <c r="K166" s="533">
        <f t="shared" si="19"/>
        <v>77480298.32</v>
      </c>
      <c r="L166" s="532">
        <f>K166-J166</f>
        <v>61377648.21999999</v>
      </c>
    </row>
    <row r="167" ht="12.75">
      <c r="K167" s="547"/>
    </row>
    <row r="168" spans="1:11" ht="16.5" thickBot="1">
      <c r="A168" s="25" t="s">
        <v>181</v>
      </c>
      <c r="K168" s="274" t="s">
        <v>194</v>
      </c>
    </row>
    <row r="169" spans="1:11" ht="12.75" customHeight="1">
      <c r="A169" s="829" t="s">
        <v>124</v>
      </c>
      <c r="B169" s="784"/>
      <c r="C169" s="785"/>
      <c r="D169" s="217" t="s">
        <v>17</v>
      </c>
      <c r="E169" s="218"/>
      <c r="F169" s="200"/>
      <c r="G169" s="199" t="s">
        <v>18</v>
      </c>
      <c r="H169" s="218"/>
      <c r="I169" s="200"/>
      <c r="J169" s="829" t="s">
        <v>166</v>
      </c>
      <c r="K169" s="830"/>
    </row>
    <row r="170" spans="1:11" ht="12.75" customHeight="1">
      <c r="A170" s="844"/>
      <c r="B170" s="779"/>
      <c r="C170" s="727"/>
      <c r="D170" s="793" t="s">
        <v>125</v>
      </c>
      <c r="E170" s="850" t="s">
        <v>126</v>
      </c>
      <c r="F170" s="853" t="s">
        <v>31</v>
      </c>
      <c r="G170" s="793" t="s">
        <v>125</v>
      </c>
      <c r="H170" s="850" t="s">
        <v>126</v>
      </c>
      <c r="I170" s="853" t="s">
        <v>31</v>
      </c>
      <c r="J170" s="831"/>
      <c r="K170" s="832"/>
    </row>
    <row r="171" spans="1:11" ht="12.75">
      <c r="A171" s="844"/>
      <c r="B171" s="779"/>
      <c r="C171" s="727"/>
      <c r="D171" s="866"/>
      <c r="E171" s="851" t="s">
        <v>127</v>
      </c>
      <c r="F171" s="854"/>
      <c r="G171" s="866"/>
      <c r="H171" s="851" t="s">
        <v>127</v>
      </c>
      <c r="I171" s="854"/>
      <c r="J171" s="833"/>
      <c r="K171" s="727"/>
    </row>
    <row r="172" spans="1:11" ht="13.5" thickBot="1">
      <c r="A172" s="845"/>
      <c r="B172" s="846"/>
      <c r="C172" s="710"/>
      <c r="D172" s="712"/>
      <c r="E172" s="852" t="s">
        <v>127</v>
      </c>
      <c r="F172" s="789"/>
      <c r="G172" s="712"/>
      <c r="H172" s="852" t="s">
        <v>127</v>
      </c>
      <c r="I172" s="789"/>
      <c r="J172" s="202" t="s">
        <v>97</v>
      </c>
      <c r="K172" s="203" t="s">
        <v>167</v>
      </c>
    </row>
    <row r="173" spans="1:11" ht="12.75" customHeight="1">
      <c r="A173" s="847" t="s">
        <v>361</v>
      </c>
      <c r="B173" s="848"/>
      <c r="C173" s="849"/>
      <c r="D173" s="214">
        <v>1100</v>
      </c>
      <c r="E173" s="204">
        <v>0</v>
      </c>
      <c r="F173" s="195">
        <f aca="true" t="shared" si="20" ref="F173:F184">D173+E173</f>
        <v>1100</v>
      </c>
      <c r="G173" s="215">
        <v>450.664</v>
      </c>
      <c r="H173" s="219">
        <v>0</v>
      </c>
      <c r="I173" s="492">
        <f aca="true" t="shared" si="21" ref="I173:I184">SUM(G173:H173)</f>
        <v>450.664</v>
      </c>
      <c r="J173" s="205">
        <f aca="true" t="shared" si="22" ref="J173:J185">+I173-F173</f>
        <v>-649.336</v>
      </c>
      <c r="K173" s="207">
        <f aca="true" t="shared" si="23" ref="K173:K185">+I173/F173</f>
        <v>0.4096945454545454</v>
      </c>
    </row>
    <row r="174" spans="1:11" ht="12.75" customHeight="1">
      <c r="A174" s="847" t="s">
        <v>128</v>
      </c>
      <c r="B174" s="848"/>
      <c r="C174" s="849"/>
      <c r="D174" s="220">
        <v>458000</v>
      </c>
      <c r="E174" s="192">
        <v>908</v>
      </c>
      <c r="F174" s="201">
        <f t="shared" si="20"/>
        <v>458908</v>
      </c>
      <c r="G174" s="214">
        <v>233773.097</v>
      </c>
      <c r="H174" s="204">
        <v>457.276</v>
      </c>
      <c r="I174" s="201">
        <f t="shared" si="21"/>
        <v>234230.37300000002</v>
      </c>
      <c r="J174" s="205">
        <f t="shared" si="22"/>
        <v>-224677.62699999998</v>
      </c>
      <c r="K174" s="207">
        <f t="shared" si="23"/>
        <v>0.5104081275549784</v>
      </c>
    </row>
    <row r="175" spans="1:12" ht="12.75" customHeight="1">
      <c r="A175" s="797" t="s">
        <v>129</v>
      </c>
      <c r="B175" s="779"/>
      <c r="C175" s="727"/>
      <c r="D175" s="213">
        <v>450000</v>
      </c>
      <c r="E175" s="191">
        <v>0</v>
      </c>
      <c r="F175" s="201">
        <f t="shared" si="20"/>
        <v>450000</v>
      </c>
      <c r="G175" s="213">
        <v>229291</v>
      </c>
      <c r="H175" s="191">
        <v>0</v>
      </c>
      <c r="I175" s="201">
        <f t="shared" si="21"/>
        <v>229291</v>
      </c>
      <c r="J175" s="205">
        <f t="shared" si="22"/>
        <v>-220709</v>
      </c>
      <c r="K175" s="207">
        <f t="shared" si="23"/>
        <v>0.5095355555555555</v>
      </c>
      <c r="L175" s="548"/>
    </row>
    <row r="176" spans="1:11" ht="12.75" customHeight="1">
      <c r="A176" s="797" t="s">
        <v>130</v>
      </c>
      <c r="B176" s="779"/>
      <c r="C176" s="727"/>
      <c r="D176" s="213">
        <v>6781</v>
      </c>
      <c r="E176" s="191">
        <f>6809-D176</f>
        <v>28</v>
      </c>
      <c r="F176" s="201">
        <f t="shared" si="20"/>
        <v>6809</v>
      </c>
      <c r="G176" s="213">
        <v>3606</v>
      </c>
      <c r="H176" s="191">
        <v>12</v>
      </c>
      <c r="I176" s="195">
        <f t="shared" si="21"/>
        <v>3618</v>
      </c>
      <c r="J176" s="205">
        <f t="shared" si="22"/>
        <v>-3191</v>
      </c>
      <c r="K176" s="207">
        <f t="shared" si="23"/>
        <v>0.5313555588192098</v>
      </c>
    </row>
    <row r="177" spans="1:11" ht="12.75" customHeight="1">
      <c r="A177" s="797" t="s">
        <v>131</v>
      </c>
      <c r="B177" s="779"/>
      <c r="C177" s="727"/>
      <c r="D177" s="220">
        <v>37500</v>
      </c>
      <c r="E177" s="192">
        <v>23</v>
      </c>
      <c r="F177" s="201">
        <f t="shared" si="20"/>
        <v>37523</v>
      </c>
      <c r="G177" s="213">
        <v>19779.439</v>
      </c>
      <c r="H177" s="191">
        <v>4.78</v>
      </c>
      <c r="I177" s="201">
        <f t="shared" si="21"/>
        <v>19784.218999999997</v>
      </c>
      <c r="J177" s="205">
        <f t="shared" si="22"/>
        <v>-17738.781000000003</v>
      </c>
      <c r="K177" s="207">
        <f t="shared" si="23"/>
        <v>0.5272557897822668</v>
      </c>
    </row>
    <row r="178" spans="1:11" ht="12.75" customHeight="1">
      <c r="A178" s="797" t="s">
        <v>132</v>
      </c>
      <c r="B178" s="779"/>
      <c r="C178" s="727"/>
      <c r="D178" s="220">
        <v>33784</v>
      </c>
      <c r="E178" s="192">
        <v>0</v>
      </c>
      <c r="F178" s="201">
        <f t="shared" si="20"/>
        <v>33784</v>
      </c>
      <c r="G178" s="220">
        <v>19779</v>
      </c>
      <c r="H178" s="192">
        <v>0</v>
      </c>
      <c r="I178" s="201">
        <f t="shared" si="21"/>
        <v>19779</v>
      </c>
      <c r="J178" s="205">
        <f t="shared" si="22"/>
        <v>-14005</v>
      </c>
      <c r="K178" s="207">
        <f t="shared" si="23"/>
        <v>0.5854546530902203</v>
      </c>
    </row>
    <row r="179" spans="1:11" ht="12.75" customHeight="1">
      <c r="A179" s="797" t="s">
        <v>133</v>
      </c>
      <c r="B179" s="779"/>
      <c r="C179" s="727"/>
      <c r="D179" s="220">
        <v>133</v>
      </c>
      <c r="E179" s="192">
        <v>0</v>
      </c>
      <c r="F179" s="201">
        <f t="shared" si="20"/>
        <v>133</v>
      </c>
      <c r="G179" s="213">
        <v>77.061</v>
      </c>
      <c r="H179" s="191">
        <v>0</v>
      </c>
      <c r="I179" s="201">
        <f t="shared" si="21"/>
        <v>77.061</v>
      </c>
      <c r="J179" s="205">
        <f t="shared" si="22"/>
        <v>-55.93899999999999</v>
      </c>
      <c r="K179" s="207">
        <f t="shared" si="23"/>
        <v>0.579406015037594</v>
      </c>
    </row>
    <row r="180" spans="1:11" ht="12.75" customHeight="1">
      <c r="A180" s="797" t="s">
        <v>134</v>
      </c>
      <c r="B180" s="779"/>
      <c r="C180" s="727"/>
      <c r="D180" s="220">
        <v>1471</v>
      </c>
      <c r="E180" s="192">
        <v>0</v>
      </c>
      <c r="F180" s="201">
        <f t="shared" si="20"/>
        <v>1471</v>
      </c>
      <c r="G180" s="213">
        <f>173.126+68.335+135.385+290.002</f>
        <v>666.848</v>
      </c>
      <c r="H180" s="191">
        <v>0</v>
      </c>
      <c r="I180" s="201">
        <f t="shared" si="21"/>
        <v>666.848</v>
      </c>
      <c r="J180" s="205">
        <f t="shared" si="22"/>
        <v>-804.152</v>
      </c>
      <c r="K180" s="207">
        <f t="shared" si="23"/>
        <v>0.45332970768184905</v>
      </c>
    </row>
    <row r="181" spans="1:11" ht="12.75" customHeight="1">
      <c r="A181" s="797" t="s">
        <v>135</v>
      </c>
      <c r="B181" s="779"/>
      <c r="C181" s="727"/>
      <c r="D181" s="220">
        <v>600</v>
      </c>
      <c r="E181" s="192">
        <v>0</v>
      </c>
      <c r="F181" s="201">
        <f t="shared" si="20"/>
        <v>600</v>
      </c>
      <c r="G181" s="213">
        <v>135</v>
      </c>
      <c r="H181" s="191">
        <v>0</v>
      </c>
      <c r="I181" s="201">
        <f t="shared" si="21"/>
        <v>135</v>
      </c>
      <c r="J181" s="205">
        <f t="shared" si="22"/>
        <v>-465</v>
      </c>
      <c r="K181" s="207">
        <f t="shared" si="23"/>
        <v>0.225</v>
      </c>
    </row>
    <row r="182" spans="1:11" ht="12.75" customHeight="1">
      <c r="A182" s="797" t="s">
        <v>136</v>
      </c>
      <c r="B182" s="779"/>
      <c r="C182" s="727"/>
      <c r="D182" s="220">
        <v>0</v>
      </c>
      <c r="E182" s="192">
        <v>0</v>
      </c>
      <c r="F182" s="201">
        <f t="shared" si="20"/>
        <v>0</v>
      </c>
      <c r="G182" s="213">
        <v>0</v>
      </c>
      <c r="H182" s="191">
        <v>0</v>
      </c>
      <c r="I182" s="201">
        <f t="shared" si="21"/>
        <v>0</v>
      </c>
      <c r="J182" s="205">
        <f t="shared" si="22"/>
        <v>0</v>
      </c>
      <c r="K182" s="207" t="e">
        <f t="shared" si="23"/>
        <v>#DIV/0!</v>
      </c>
    </row>
    <row r="183" spans="1:11" ht="12.75" customHeight="1">
      <c r="A183" s="797" t="s">
        <v>137</v>
      </c>
      <c r="B183" s="779"/>
      <c r="C183" s="727"/>
      <c r="D183" s="220">
        <v>0</v>
      </c>
      <c r="E183" s="192">
        <v>0</v>
      </c>
      <c r="F183" s="201">
        <f t="shared" si="20"/>
        <v>0</v>
      </c>
      <c r="G183" s="213">
        <v>0</v>
      </c>
      <c r="H183" s="191">
        <v>0</v>
      </c>
      <c r="I183" s="201">
        <f t="shared" si="21"/>
        <v>0</v>
      </c>
      <c r="J183" s="205">
        <f t="shared" si="22"/>
        <v>0</v>
      </c>
      <c r="K183" s="207" t="e">
        <f t="shared" si="23"/>
        <v>#DIV/0!</v>
      </c>
    </row>
    <row r="184" spans="1:11" ht="12.75" customHeight="1" thickBot="1">
      <c r="A184" s="840" t="s">
        <v>138</v>
      </c>
      <c r="B184" s="841"/>
      <c r="C184" s="842"/>
      <c r="D184" s="216">
        <v>1557</v>
      </c>
      <c r="E184" s="418">
        <v>0</v>
      </c>
      <c r="F184" s="227">
        <f t="shared" si="20"/>
        <v>1557</v>
      </c>
      <c r="G184" s="216">
        <v>868.857</v>
      </c>
      <c r="H184" s="221">
        <v>0</v>
      </c>
      <c r="I184" s="227">
        <f t="shared" si="21"/>
        <v>868.857</v>
      </c>
      <c r="J184" s="205">
        <f t="shared" si="22"/>
        <v>-688.143</v>
      </c>
      <c r="K184" s="207">
        <f t="shared" si="23"/>
        <v>0.5580327552986513</v>
      </c>
    </row>
    <row r="185" spans="1:11" ht="13.5" customHeight="1" thickBot="1">
      <c r="A185" s="800" t="s">
        <v>24</v>
      </c>
      <c r="B185" s="801"/>
      <c r="C185" s="802"/>
      <c r="D185" s="222">
        <f>SUM(D174+D177+D173+D179+D180+D182+D184)</f>
        <v>499761</v>
      </c>
      <c r="E185" s="193">
        <f>SUM(E174+E177+E179+E180+E182+E184)</f>
        <v>931</v>
      </c>
      <c r="F185" s="225">
        <f>SUM(F174+F177+F179+F173+F180+F182+F184)</f>
        <v>500692</v>
      </c>
      <c r="G185" s="222">
        <f>SUM(G174+G177+G179+G180+G173+G182+G184)</f>
        <v>255615.966</v>
      </c>
      <c r="H185" s="193">
        <f>SUM(H174+H177+H179+H180+H182+H184)</f>
        <v>462.056</v>
      </c>
      <c r="I185" s="225">
        <f>SUM(I174+I177+I179+I173+I180+I182+I184)</f>
        <v>256078.02199999997</v>
      </c>
      <c r="J185" s="206">
        <f t="shared" si="22"/>
        <v>-244613.97800000003</v>
      </c>
      <c r="K185" s="208">
        <f t="shared" si="23"/>
        <v>0.5114481996916267</v>
      </c>
    </row>
    <row r="186" spans="4:9" ht="13.5" customHeight="1" thickBot="1">
      <c r="D186" s="462"/>
      <c r="E186" s="462"/>
      <c r="F186" s="462"/>
      <c r="G186" s="462"/>
      <c r="H186" s="462"/>
      <c r="I186" s="462"/>
    </row>
    <row r="187" spans="1:12" ht="13.5" customHeight="1">
      <c r="A187" s="843" t="s">
        <v>139</v>
      </c>
      <c r="B187" s="784"/>
      <c r="C187" s="785"/>
      <c r="D187" s="479">
        <v>107336</v>
      </c>
      <c r="E187" s="480">
        <v>90</v>
      </c>
      <c r="F187" s="454">
        <f aca="true" t="shared" si="24" ref="F187:F214">SUM(D187:E187)</f>
        <v>107426</v>
      </c>
      <c r="G187" s="215">
        <v>53915.508</v>
      </c>
      <c r="H187" s="219">
        <v>56.322</v>
      </c>
      <c r="I187" s="194">
        <f aca="true" t="shared" si="25" ref="I187:I214">SUM(G187:H187)</f>
        <v>53971.83</v>
      </c>
      <c r="J187" s="209">
        <f aca="true" t="shared" si="26" ref="J187:J215">+I187-F187</f>
        <v>-53454.17</v>
      </c>
      <c r="K187" s="373">
        <f aca="true" t="shared" si="27" ref="K187:K215">+I187/F187</f>
        <v>0.502409379479828</v>
      </c>
      <c r="L187" s="233"/>
    </row>
    <row r="188" spans="1:12" ht="12.75" customHeight="1">
      <c r="A188" s="797" t="s">
        <v>169</v>
      </c>
      <c r="B188" s="779"/>
      <c r="C188" s="727"/>
      <c r="D188" s="481">
        <v>8749</v>
      </c>
      <c r="E188" s="482">
        <v>5</v>
      </c>
      <c r="F188" s="422">
        <f t="shared" si="24"/>
        <v>8754</v>
      </c>
      <c r="G188" s="214">
        <v>1131</v>
      </c>
      <c r="H188" s="204">
        <v>35.9</v>
      </c>
      <c r="I188" s="195">
        <f t="shared" si="25"/>
        <v>1166.9</v>
      </c>
      <c r="J188" s="205">
        <f t="shared" si="26"/>
        <v>-7587.1</v>
      </c>
      <c r="K188" s="207">
        <f t="shared" si="27"/>
        <v>0.1332990632853553</v>
      </c>
      <c r="L188" s="233"/>
    </row>
    <row r="189" spans="1:12" ht="12.75">
      <c r="A189" s="797" t="s">
        <v>140</v>
      </c>
      <c r="B189" s="779"/>
      <c r="C189" s="727"/>
      <c r="D189" s="223">
        <v>40000</v>
      </c>
      <c r="E189" s="190">
        <v>0</v>
      </c>
      <c r="F189" s="422">
        <f t="shared" si="24"/>
        <v>40000</v>
      </c>
      <c r="G189" s="223">
        <v>20945</v>
      </c>
      <c r="H189" s="190">
        <v>0</v>
      </c>
      <c r="I189" s="195">
        <f t="shared" si="25"/>
        <v>20945</v>
      </c>
      <c r="J189" s="205">
        <f t="shared" si="26"/>
        <v>-19055</v>
      </c>
      <c r="K189" s="207">
        <f t="shared" si="27"/>
        <v>0.523625</v>
      </c>
      <c r="L189" s="233"/>
    </row>
    <row r="190" spans="1:12" ht="12.75" customHeight="1">
      <c r="A190" s="797" t="s">
        <v>141</v>
      </c>
      <c r="B190" s="779"/>
      <c r="C190" s="727"/>
      <c r="D190" s="223">
        <v>8000</v>
      </c>
      <c r="E190" s="190">
        <v>0</v>
      </c>
      <c r="F190" s="422">
        <f t="shared" si="24"/>
        <v>8000</v>
      </c>
      <c r="G190" s="223">
        <v>4394</v>
      </c>
      <c r="H190" s="190">
        <v>0</v>
      </c>
      <c r="I190" s="195">
        <f t="shared" si="25"/>
        <v>4394</v>
      </c>
      <c r="J190" s="205">
        <f t="shared" si="26"/>
        <v>-3606</v>
      </c>
      <c r="K190" s="207">
        <f t="shared" si="27"/>
        <v>0.54925</v>
      </c>
      <c r="L190" s="233"/>
    </row>
    <row r="191" spans="1:12" ht="12.75" customHeight="1">
      <c r="A191" s="797" t="s">
        <v>142</v>
      </c>
      <c r="B191" s="779"/>
      <c r="C191" s="727"/>
      <c r="D191" s="223">
        <v>38000</v>
      </c>
      <c r="E191" s="190">
        <v>0</v>
      </c>
      <c r="F191" s="422">
        <f t="shared" si="24"/>
        <v>38000</v>
      </c>
      <c r="G191" s="223">
        <v>20033</v>
      </c>
      <c r="H191" s="190">
        <v>0</v>
      </c>
      <c r="I191" s="195">
        <f t="shared" si="25"/>
        <v>20033</v>
      </c>
      <c r="J191" s="205">
        <f t="shared" si="26"/>
        <v>-17967</v>
      </c>
      <c r="K191" s="207">
        <f t="shared" si="27"/>
        <v>0.5271842105263158</v>
      </c>
      <c r="L191" s="233"/>
    </row>
    <row r="192" spans="1:12" ht="12.75" customHeight="1">
      <c r="A192" s="797" t="s">
        <v>143</v>
      </c>
      <c r="B192" s="779"/>
      <c r="C192" s="727"/>
      <c r="D192" s="223">
        <v>9000</v>
      </c>
      <c r="E192" s="190">
        <v>78</v>
      </c>
      <c r="F192" s="422">
        <f t="shared" si="24"/>
        <v>9078</v>
      </c>
      <c r="G192" s="223">
        <v>4706</v>
      </c>
      <c r="H192" s="190">
        <v>18.718</v>
      </c>
      <c r="I192" s="195">
        <f t="shared" si="25"/>
        <v>4724.718</v>
      </c>
      <c r="J192" s="205">
        <f t="shared" si="26"/>
        <v>-4353.282</v>
      </c>
      <c r="K192" s="207">
        <f t="shared" si="27"/>
        <v>0.5204580304031725</v>
      </c>
      <c r="L192" s="233"/>
    </row>
    <row r="193" spans="1:12" ht="12.75">
      <c r="A193" s="797" t="s">
        <v>144</v>
      </c>
      <c r="B193" s="779"/>
      <c r="C193" s="727"/>
      <c r="D193" s="223">
        <v>160</v>
      </c>
      <c r="E193" s="190">
        <v>0</v>
      </c>
      <c r="F193" s="422">
        <f t="shared" si="24"/>
        <v>160</v>
      </c>
      <c r="G193" s="223">
        <v>91</v>
      </c>
      <c r="H193" s="190">
        <v>0</v>
      </c>
      <c r="I193" s="195">
        <f t="shared" si="25"/>
        <v>91</v>
      </c>
      <c r="J193" s="205">
        <f t="shared" si="26"/>
        <v>-69</v>
      </c>
      <c r="K193" s="207">
        <f t="shared" si="27"/>
        <v>0.56875</v>
      </c>
      <c r="L193" s="548"/>
    </row>
    <row r="194" spans="1:12" ht="12.75">
      <c r="A194" s="1141" t="s">
        <v>421</v>
      </c>
      <c r="B194" s="1142"/>
      <c r="C194" s="1143"/>
      <c r="D194" s="214">
        <v>3100</v>
      </c>
      <c r="E194" s="204">
        <v>5</v>
      </c>
      <c r="F194" s="422">
        <f t="shared" si="24"/>
        <v>3105</v>
      </c>
      <c r="G194" s="214">
        <v>1766</v>
      </c>
      <c r="H194" s="204">
        <f>1.095+0.608</f>
        <v>1.7029999999999998</v>
      </c>
      <c r="I194" s="195">
        <f t="shared" si="25"/>
        <v>1767.703</v>
      </c>
      <c r="J194" s="205">
        <f t="shared" si="26"/>
        <v>-1337.297</v>
      </c>
      <c r="K194" s="207">
        <f t="shared" si="27"/>
        <v>0.569308534621578</v>
      </c>
      <c r="L194" s="548"/>
    </row>
    <row r="195" spans="1:12" ht="12.75" customHeight="1">
      <c r="A195" s="797" t="s">
        <v>146</v>
      </c>
      <c r="B195" s="779"/>
      <c r="C195" s="727"/>
      <c r="D195" s="483">
        <v>17000</v>
      </c>
      <c r="E195" s="484">
        <v>10</v>
      </c>
      <c r="F195" s="422">
        <f t="shared" si="24"/>
        <v>17010</v>
      </c>
      <c r="G195" s="213">
        <v>9617.547</v>
      </c>
      <c r="H195" s="191">
        <v>30.018</v>
      </c>
      <c r="I195" s="195">
        <f t="shared" si="25"/>
        <v>9647.565</v>
      </c>
      <c r="J195" s="205">
        <f t="shared" si="26"/>
        <v>-7362.4349999999995</v>
      </c>
      <c r="K195" s="207">
        <f t="shared" si="27"/>
        <v>0.5671701940035274</v>
      </c>
      <c r="L195" s="548"/>
    </row>
    <row r="196" spans="1:12" ht="12.75" customHeight="1">
      <c r="A196" s="797" t="s">
        <v>147</v>
      </c>
      <c r="B196" s="779"/>
      <c r="C196" s="727"/>
      <c r="D196" s="205">
        <v>0</v>
      </c>
      <c r="E196" s="484">
        <v>0</v>
      </c>
      <c r="F196" s="422">
        <f t="shared" si="24"/>
        <v>0</v>
      </c>
      <c r="G196" s="213">
        <v>0</v>
      </c>
      <c r="H196" s="191">
        <v>0</v>
      </c>
      <c r="I196" s="195">
        <f t="shared" si="25"/>
        <v>0</v>
      </c>
      <c r="J196" s="205">
        <f t="shared" si="26"/>
        <v>0</v>
      </c>
      <c r="K196" s="207" t="e">
        <f t="shared" si="27"/>
        <v>#DIV/0!</v>
      </c>
      <c r="L196" s="548"/>
    </row>
    <row r="197" spans="1:12" ht="12.75" customHeight="1">
      <c r="A197" s="797" t="s">
        <v>148</v>
      </c>
      <c r="B197" s="779"/>
      <c r="C197" s="727"/>
      <c r="D197" s="205">
        <v>29500</v>
      </c>
      <c r="E197" s="484">
        <v>18</v>
      </c>
      <c r="F197" s="422">
        <f t="shared" si="24"/>
        <v>29518</v>
      </c>
      <c r="G197" s="213">
        <v>16521.78</v>
      </c>
      <c r="H197" s="191">
        <v>4.369</v>
      </c>
      <c r="I197" s="195">
        <f t="shared" si="25"/>
        <v>16526.148999999998</v>
      </c>
      <c r="J197" s="205">
        <f t="shared" si="26"/>
        <v>-12991.851000000002</v>
      </c>
      <c r="K197" s="207">
        <f t="shared" si="27"/>
        <v>0.5598668270208008</v>
      </c>
      <c r="L197" s="548"/>
    </row>
    <row r="198" spans="1:12" ht="12.75" customHeight="1">
      <c r="A198" s="797" t="s">
        <v>149</v>
      </c>
      <c r="B198" s="779"/>
      <c r="C198" s="727"/>
      <c r="D198" s="205">
        <v>70810</v>
      </c>
      <c r="E198" s="484">
        <f>E199+E200</f>
        <v>160</v>
      </c>
      <c r="F198" s="422">
        <f t="shared" si="24"/>
        <v>70970</v>
      </c>
      <c r="G198" s="213">
        <f>5384.836+32992.137+251.883+16.93</f>
        <v>38645.78600000001</v>
      </c>
      <c r="H198" s="191">
        <f>6.682+30.795</f>
        <v>37.477000000000004</v>
      </c>
      <c r="I198" s="195">
        <f t="shared" si="25"/>
        <v>38683.263000000006</v>
      </c>
      <c r="J198" s="205">
        <f t="shared" si="26"/>
        <v>-32286.736999999994</v>
      </c>
      <c r="K198" s="207">
        <f t="shared" si="27"/>
        <v>0.545064999295477</v>
      </c>
      <c r="L198" s="548"/>
    </row>
    <row r="199" spans="1:12" ht="12.75" customHeight="1">
      <c r="A199" s="797" t="s">
        <v>150</v>
      </c>
      <c r="B199" s="779"/>
      <c r="C199" s="727"/>
      <c r="D199" s="485">
        <v>12000</v>
      </c>
      <c r="E199" s="484">
        <v>10</v>
      </c>
      <c r="F199" s="422">
        <f t="shared" si="24"/>
        <v>12010</v>
      </c>
      <c r="G199" s="213">
        <v>5384.836</v>
      </c>
      <c r="H199" s="191">
        <v>6.682</v>
      </c>
      <c r="I199" s="195">
        <f t="shared" si="25"/>
        <v>5391.518</v>
      </c>
      <c r="J199" s="205">
        <f t="shared" si="26"/>
        <v>-6618.482</v>
      </c>
      <c r="K199" s="207">
        <f t="shared" si="27"/>
        <v>0.44891906744379684</v>
      </c>
      <c r="L199" s="548"/>
    </row>
    <row r="200" spans="1:12" ht="12.75" customHeight="1">
      <c r="A200" s="797" t="s">
        <v>151</v>
      </c>
      <c r="B200" s="779"/>
      <c r="C200" s="727"/>
      <c r="D200" s="485">
        <v>58386</v>
      </c>
      <c r="E200" s="484">
        <v>150</v>
      </c>
      <c r="F200" s="422">
        <f t="shared" si="24"/>
        <v>58536</v>
      </c>
      <c r="G200" s="213">
        <v>32992.137</v>
      </c>
      <c r="H200" s="191">
        <v>30.795</v>
      </c>
      <c r="I200" s="195">
        <f t="shared" si="25"/>
        <v>33022.932</v>
      </c>
      <c r="J200" s="205">
        <f t="shared" si="26"/>
        <v>-25513.068</v>
      </c>
      <c r="K200" s="207">
        <f t="shared" si="27"/>
        <v>0.5641473964739647</v>
      </c>
      <c r="L200" s="548"/>
    </row>
    <row r="201" spans="1:12" ht="12.75" customHeight="1">
      <c r="A201" s="797" t="s">
        <v>152</v>
      </c>
      <c r="B201" s="779"/>
      <c r="C201" s="727"/>
      <c r="D201" s="213">
        <v>1401</v>
      </c>
      <c r="E201" s="191">
        <v>2</v>
      </c>
      <c r="F201" s="422">
        <f t="shared" si="24"/>
        <v>1403</v>
      </c>
      <c r="G201" s="213">
        <v>723</v>
      </c>
      <c r="H201" s="191">
        <v>1</v>
      </c>
      <c r="I201" s="195">
        <f t="shared" si="25"/>
        <v>724</v>
      </c>
      <c r="J201" s="205">
        <f t="shared" si="26"/>
        <v>-679</v>
      </c>
      <c r="K201" s="207">
        <f t="shared" si="27"/>
        <v>0.5160370634354954</v>
      </c>
      <c r="L201" s="548"/>
    </row>
    <row r="202" spans="1:12" ht="12.75" customHeight="1">
      <c r="A202" s="797" t="s">
        <v>153</v>
      </c>
      <c r="B202" s="779"/>
      <c r="C202" s="727"/>
      <c r="D202" s="213">
        <v>1555</v>
      </c>
      <c r="E202" s="191">
        <v>0</v>
      </c>
      <c r="F202" s="422">
        <f t="shared" si="24"/>
        <v>1555</v>
      </c>
      <c r="G202" s="213">
        <v>812</v>
      </c>
      <c r="H202" s="191">
        <v>0</v>
      </c>
      <c r="I202" s="195">
        <f t="shared" si="25"/>
        <v>812</v>
      </c>
      <c r="J202" s="205">
        <f t="shared" si="26"/>
        <v>-743</v>
      </c>
      <c r="K202" s="207">
        <f t="shared" si="27"/>
        <v>0.5221864951768489</v>
      </c>
      <c r="L202" s="548"/>
    </row>
    <row r="203" spans="1:12" ht="12.75" customHeight="1">
      <c r="A203" s="797" t="s">
        <v>154</v>
      </c>
      <c r="B203" s="779"/>
      <c r="C203" s="727"/>
      <c r="D203" s="213">
        <v>25250</v>
      </c>
      <c r="E203" s="191">
        <v>0</v>
      </c>
      <c r="F203" s="422">
        <f t="shared" si="24"/>
        <v>25250</v>
      </c>
      <c r="G203" s="213">
        <v>12764</v>
      </c>
      <c r="H203" s="191">
        <v>0</v>
      </c>
      <c r="I203" s="195">
        <f t="shared" si="25"/>
        <v>12764</v>
      </c>
      <c r="J203" s="205">
        <f t="shared" si="26"/>
        <v>-12486</v>
      </c>
      <c r="K203" s="207">
        <f t="shared" si="27"/>
        <v>0.5055049504950495</v>
      </c>
      <c r="L203" s="548"/>
    </row>
    <row r="204" spans="1:12" ht="12.75" customHeight="1">
      <c r="A204" s="797" t="s">
        <v>155</v>
      </c>
      <c r="B204" s="779"/>
      <c r="C204" s="727"/>
      <c r="D204" s="213">
        <v>30179</v>
      </c>
      <c r="E204" s="191">
        <f>30328-D204</f>
        <v>149</v>
      </c>
      <c r="F204" s="422">
        <f t="shared" si="24"/>
        <v>30328</v>
      </c>
      <c r="G204" s="213">
        <v>18693</v>
      </c>
      <c r="H204" s="191">
        <v>29</v>
      </c>
      <c r="I204" s="195">
        <f t="shared" si="25"/>
        <v>18722</v>
      </c>
      <c r="J204" s="205">
        <f t="shared" si="26"/>
        <v>-11606</v>
      </c>
      <c r="K204" s="207">
        <f t="shared" si="27"/>
        <v>0.6173173305196518</v>
      </c>
      <c r="L204" s="548"/>
    </row>
    <row r="205" spans="1:12" ht="12.75" customHeight="1">
      <c r="A205" s="797" t="s">
        <v>156</v>
      </c>
      <c r="B205" s="779"/>
      <c r="C205" s="727"/>
      <c r="D205" s="483">
        <f>+D206+D209+100</f>
        <v>269719.24340000004</v>
      </c>
      <c r="E205" s="484">
        <f>+E206+E209</f>
        <v>137</v>
      </c>
      <c r="F205" s="422">
        <f t="shared" si="24"/>
        <v>269856.24340000004</v>
      </c>
      <c r="G205" s="213">
        <f>91033.88+32867.127+1867.592</f>
        <v>125768.59900000002</v>
      </c>
      <c r="H205" s="191">
        <f>53.772+18.87+1.08</f>
        <v>73.722</v>
      </c>
      <c r="I205" s="195">
        <f t="shared" si="25"/>
        <v>125842.32100000001</v>
      </c>
      <c r="J205" s="205">
        <f t="shared" si="26"/>
        <v>-144013.92240000004</v>
      </c>
      <c r="K205" s="207">
        <f t="shared" si="27"/>
        <v>0.4663309598268868</v>
      </c>
      <c r="L205" s="548"/>
    </row>
    <row r="206" spans="1:12" ht="12.75" customHeight="1">
      <c r="A206" s="797" t="s">
        <v>157</v>
      </c>
      <c r="B206" s="779"/>
      <c r="C206" s="727"/>
      <c r="D206" s="486">
        <f>SUM(D207:D208)</f>
        <v>197154.477</v>
      </c>
      <c r="E206" s="487">
        <f>SUM(E207:E208)</f>
        <v>100</v>
      </c>
      <c r="F206" s="422">
        <f t="shared" si="24"/>
        <v>197254.477</v>
      </c>
      <c r="G206" s="213">
        <v>91033.88</v>
      </c>
      <c r="H206" s="191">
        <v>54</v>
      </c>
      <c r="I206" s="195">
        <f t="shared" si="25"/>
        <v>91087.88</v>
      </c>
      <c r="J206" s="205">
        <f t="shared" si="26"/>
        <v>-106166.59700000001</v>
      </c>
      <c r="K206" s="207">
        <f t="shared" si="27"/>
        <v>0.46177851770634337</v>
      </c>
      <c r="L206" s="548"/>
    </row>
    <row r="207" spans="1:12" ht="12.75" customHeight="1">
      <c r="A207" s="797" t="s">
        <v>158</v>
      </c>
      <c r="B207" s="779"/>
      <c r="C207" s="727"/>
      <c r="D207" s="483">
        <v>195850.72</v>
      </c>
      <c r="E207" s="484">
        <v>100</v>
      </c>
      <c r="F207" s="422">
        <f t="shared" si="24"/>
        <v>195950.72</v>
      </c>
      <c r="G207" s="213">
        <f>90052.768+42.857</f>
        <v>90095.625</v>
      </c>
      <c r="H207" s="191">
        <v>53.772</v>
      </c>
      <c r="I207" s="195">
        <f t="shared" si="25"/>
        <v>90149.397</v>
      </c>
      <c r="J207" s="205">
        <f t="shared" si="26"/>
        <v>-105801.323</v>
      </c>
      <c r="K207" s="207">
        <f t="shared" si="27"/>
        <v>0.4600615756859684</v>
      </c>
      <c r="L207" s="233"/>
    </row>
    <row r="208" spans="1:12" ht="12.75" customHeight="1">
      <c r="A208" s="797" t="s">
        <v>159</v>
      </c>
      <c r="B208" s="779"/>
      <c r="C208" s="727"/>
      <c r="D208" s="483">
        <v>1303.757</v>
      </c>
      <c r="E208" s="484">
        <v>0</v>
      </c>
      <c r="F208" s="422">
        <f t="shared" si="24"/>
        <v>1303.757</v>
      </c>
      <c r="G208" s="213">
        <v>938.255</v>
      </c>
      <c r="H208" s="191">
        <v>0</v>
      </c>
      <c r="I208" s="195">
        <f t="shared" si="25"/>
        <v>938.255</v>
      </c>
      <c r="J208" s="205">
        <f t="shared" si="26"/>
        <v>-365.50200000000007</v>
      </c>
      <c r="K208" s="207">
        <f t="shared" si="27"/>
        <v>0.7196548129751172</v>
      </c>
      <c r="L208" s="233"/>
    </row>
    <row r="209" spans="1:12" ht="12.75" customHeight="1">
      <c r="A209" s="797" t="s">
        <v>160</v>
      </c>
      <c r="B209" s="779"/>
      <c r="C209" s="727"/>
      <c r="D209" s="483">
        <f>(D207*0.35)+(D207*0.02)</f>
        <v>72464.7664</v>
      </c>
      <c r="E209" s="484">
        <f>(E207*0.35)+(E207*0.02)</f>
        <v>37</v>
      </c>
      <c r="F209" s="422">
        <f t="shared" si="24"/>
        <v>72501.7664</v>
      </c>
      <c r="G209" s="213">
        <f>32867.127+1867.592</f>
        <v>34734.719</v>
      </c>
      <c r="H209" s="191">
        <f>1.08+18.87</f>
        <v>19.950000000000003</v>
      </c>
      <c r="I209" s="195">
        <f t="shared" si="25"/>
        <v>34754.668999999994</v>
      </c>
      <c r="J209" s="205">
        <f t="shared" si="26"/>
        <v>-37747.0974</v>
      </c>
      <c r="K209" s="207">
        <f t="shared" si="27"/>
        <v>0.47936306555973784</v>
      </c>
      <c r="L209" s="233"/>
    </row>
    <row r="210" spans="1:12" ht="12.75" customHeight="1">
      <c r="A210" s="797" t="s">
        <v>161</v>
      </c>
      <c r="B210" s="779"/>
      <c r="C210" s="727"/>
      <c r="D210" s="205">
        <v>1</v>
      </c>
      <c r="E210" s="484">
        <v>0</v>
      </c>
      <c r="F210" s="422">
        <f t="shared" si="24"/>
        <v>1</v>
      </c>
      <c r="G210" s="213">
        <v>0.772</v>
      </c>
      <c r="H210" s="191">
        <v>0</v>
      </c>
      <c r="I210" s="195">
        <f t="shared" si="25"/>
        <v>0.772</v>
      </c>
      <c r="J210" s="205">
        <f t="shared" si="26"/>
        <v>-0.22799999999999998</v>
      </c>
      <c r="K210" s="207">
        <f t="shared" si="27"/>
        <v>0.772</v>
      </c>
      <c r="L210" s="233"/>
    </row>
    <row r="211" spans="1:12" ht="12.75" customHeight="1">
      <c r="A211" s="797" t="s">
        <v>162</v>
      </c>
      <c r="B211" s="779"/>
      <c r="C211" s="727"/>
      <c r="D211" s="205">
        <v>2444</v>
      </c>
      <c r="E211" s="484">
        <v>5</v>
      </c>
      <c r="F211" s="422">
        <f t="shared" si="24"/>
        <v>2449</v>
      </c>
      <c r="G211" s="213">
        <f>25.854+44.461+750.243</f>
        <v>820.558</v>
      </c>
      <c r="H211" s="191">
        <v>0</v>
      </c>
      <c r="I211" s="195">
        <f t="shared" si="25"/>
        <v>820.558</v>
      </c>
      <c r="J211" s="205">
        <f t="shared" si="26"/>
        <v>-1628.442</v>
      </c>
      <c r="K211" s="207">
        <f t="shared" si="27"/>
        <v>0.3350583911800735</v>
      </c>
      <c r="L211" s="233"/>
    </row>
    <row r="212" spans="1:12" ht="12.75" customHeight="1">
      <c r="A212" s="797" t="s">
        <v>163</v>
      </c>
      <c r="B212" s="779"/>
      <c r="C212" s="727"/>
      <c r="D212" s="485">
        <v>2662</v>
      </c>
      <c r="E212" s="484">
        <f>SUM(E213)</f>
        <v>0</v>
      </c>
      <c r="F212" s="422">
        <f t="shared" si="24"/>
        <v>2662</v>
      </c>
      <c r="G212" s="213">
        <v>1071</v>
      </c>
      <c r="H212" s="191">
        <v>0</v>
      </c>
      <c r="I212" s="195">
        <f t="shared" si="25"/>
        <v>1071</v>
      </c>
      <c r="J212" s="205">
        <f t="shared" si="26"/>
        <v>-1591</v>
      </c>
      <c r="K212" s="207">
        <f t="shared" si="27"/>
        <v>0.4023290758827949</v>
      </c>
      <c r="L212" s="233"/>
    </row>
    <row r="213" spans="1:12" ht="12.75" customHeight="1">
      <c r="A213" s="797" t="s">
        <v>164</v>
      </c>
      <c r="B213" s="779"/>
      <c r="C213" s="727"/>
      <c r="D213" s="485">
        <v>2662</v>
      </c>
      <c r="E213" s="484">
        <v>0</v>
      </c>
      <c r="F213" s="488">
        <f t="shared" si="24"/>
        <v>2662</v>
      </c>
      <c r="G213" s="213">
        <v>1071</v>
      </c>
      <c r="H213" s="191">
        <v>0</v>
      </c>
      <c r="I213" s="195">
        <f t="shared" si="25"/>
        <v>1071</v>
      </c>
      <c r="J213" s="205">
        <f t="shared" si="26"/>
        <v>-1591</v>
      </c>
      <c r="K213" s="207">
        <f t="shared" si="27"/>
        <v>0.4023290758827949</v>
      </c>
      <c r="L213" s="233"/>
    </row>
    <row r="214" spans="1:12" ht="12.75" customHeight="1" thickBot="1">
      <c r="A214" s="790" t="s">
        <v>165</v>
      </c>
      <c r="B214" s="791"/>
      <c r="C214" s="792"/>
      <c r="D214" s="489">
        <v>800</v>
      </c>
      <c r="E214" s="490">
        <v>0</v>
      </c>
      <c r="F214" s="491">
        <f t="shared" si="24"/>
        <v>800</v>
      </c>
      <c r="G214" s="216">
        <v>10.82</v>
      </c>
      <c r="H214" s="221">
        <v>0</v>
      </c>
      <c r="I214" s="195">
        <f t="shared" si="25"/>
        <v>10.82</v>
      </c>
      <c r="J214" s="374">
        <f t="shared" si="26"/>
        <v>-789.18</v>
      </c>
      <c r="K214" s="228">
        <f t="shared" si="27"/>
        <v>0.013525</v>
      </c>
      <c r="L214" s="233"/>
    </row>
    <row r="215" spans="1:11" ht="13.5" customHeight="1" thickBot="1">
      <c r="A215" s="800" t="s">
        <v>23</v>
      </c>
      <c r="B215" s="801"/>
      <c r="C215" s="802"/>
      <c r="D215" s="224">
        <f aca="true" t="shared" si="28" ref="D215:I215">SUM(D187+D195+D196+D197+D198+D205+D210+D211+D212+D214)</f>
        <v>500272.24340000004</v>
      </c>
      <c r="E215" s="197">
        <f t="shared" si="28"/>
        <v>420</v>
      </c>
      <c r="F215" s="198">
        <f t="shared" si="28"/>
        <v>500692.24340000004</v>
      </c>
      <c r="G215" s="224">
        <f t="shared" si="28"/>
        <v>246372.37000000002</v>
      </c>
      <c r="H215" s="197">
        <f t="shared" si="28"/>
        <v>201.90800000000002</v>
      </c>
      <c r="I215" s="198">
        <f t="shared" si="28"/>
        <v>246574.27800000002</v>
      </c>
      <c r="J215" s="210">
        <f t="shared" si="26"/>
        <v>-254117.96540000002</v>
      </c>
      <c r="K215" s="211">
        <f t="shared" si="27"/>
        <v>0.4924667422958524</v>
      </c>
    </row>
    <row r="216" spans="1:11" s="35" customFormat="1" ht="13.5" thickBot="1">
      <c r="A216" s="800" t="s">
        <v>435</v>
      </c>
      <c r="B216" s="968"/>
      <c r="C216" s="969"/>
      <c r="D216" s="224">
        <f aca="true" t="shared" si="29" ref="D216:I216">+D185-D215</f>
        <v>-511.24340000003576</v>
      </c>
      <c r="E216" s="197">
        <f t="shared" si="29"/>
        <v>511</v>
      </c>
      <c r="F216" s="198">
        <f t="shared" si="29"/>
        <v>-0.2434000000357628</v>
      </c>
      <c r="G216" s="224">
        <f t="shared" si="29"/>
        <v>9243.595999999961</v>
      </c>
      <c r="H216" s="197">
        <f t="shared" si="29"/>
        <v>260.14799999999997</v>
      </c>
      <c r="I216" s="198">
        <f t="shared" si="29"/>
        <v>9503.743999999948</v>
      </c>
      <c r="J216"/>
      <c r="K216"/>
    </row>
    <row r="217" ht="15.75" customHeight="1" thickBot="1">
      <c r="G217" s="462"/>
    </row>
    <row r="218" spans="1:9" ht="16.5" customHeight="1" thickBot="1">
      <c r="A218" s="776" t="s">
        <v>41</v>
      </c>
      <c r="B218" s="777"/>
      <c r="C218" s="777"/>
      <c r="D218" s="803">
        <f>+F185-F215</f>
        <v>-0.2434000000357628</v>
      </c>
      <c r="E218" s="804"/>
      <c r="F218" s="805"/>
      <c r="G218" s="803">
        <f>+I185-I215</f>
        <v>9503.743999999948</v>
      </c>
      <c r="H218" s="804"/>
      <c r="I218" s="805"/>
    </row>
    <row r="219" spans="1:9" ht="12.75" customHeight="1">
      <c r="A219" s="834" t="s">
        <v>422</v>
      </c>
      <c r="B219" s="835"/>
      <c r="C219" s="835"/>
      <c r="D219" s="835"/>
      <c r="E219" s="835"/>
      <c r="F219" s="714"/>
      <c r="G219" s="836">
        <v>-52639</v>
      </c>
      <c r="H219" s="1014"/>
      <c r="I219" s="1015"/>
    </row>
    <row r="220" spans="1:9" ht="12.75" customHeight="1" thickBot="1">
      <c r="A220" s="798" t="s">
        <v>168</v>
      </c>
      <c r="B220" s="799"/>
      <c r="C220" s="799"/>
      <c r="D220" s="799"/>
      <c r="E220" s="799"/>
      <c r="F220" s="704"/>
      <c r="G220" s="788">
        <f>+G218+G219</f>
        <v>-43135.25600000005</v>
      </c>
      <c r="H220" s="720"/>
      <c r="I220" s="789"/>
    </row>
    <row r="221" ht="12" customHeight="1"/>
    <row r="222" spans="1:12" ht="20.25" customHeight="1">
      <c r="A222" s="549" t="s">
        <v>423</v>
      </c>
      <c r="B222" s="507"/>
      <c r="C222" s="507"/>
      <c r="D222" s="507"/>
      <c r="E222" s="507"/>
      <c r="F222" s="507"/>
      <c r="G222" s="507"/>
      <c r="H222" s="507"/>
      <c r="I222" s="507"/>
      <c r="J222" s="507"/>
      <c r="K222" s="507"/>
      <c r="L222" s="507"/>
    </row>
    <row r="223" spans="1:12" ht="19.5" customHeight="1">
      <c r="A223" s="507"/>
      <c r="B223" s="507"/>
      <c r="C223" s="507"/>
      <c r="D223" s="507"/>
      <c r="E223" s="507"/>
      <c r="F223" s="507"/>
      <c r="G223" s="507"/>
      <c r="H223" s="507"/>
      <c r="I223" s="507"/>
      <c r="J223" s="507"/>
      <c r="K223" s="507"/>
      <c r="L223" s="507"/>
    </row>
    <row r="224" spans="1:12" ht="19.5" customHeight="1">
      <c r="A224" s="507"/>
      <c r="B224" s="507"/>
      <c r="C224" s="507"/>
      <c r="D224" s="507"/>
      <c r="E224" s="507"/>
      <c r="F224" s="507"/>
      <c r="G224" s="507"/>
      <c r="H224" s="507"/>
      <c r="I224" s="507"/>
      <c r="J224" s="507"/>
      <c r="K224" s="507"/>
      <c r="L224" s="507"/>
    </row>
    <row r="225" spans="1:12" ht="12.75">
      <c r="A225" s="508"/>
      <c r="B225" s="508"/>
      <c r="C225" s="508"/>
      <c r="D225" s="508"/>
      <c r="E225" s="508"/>
      <c r="F225" s="508"/>
      <c r="G225" s="508"/>
      <c r="H225" s="508"/>
      <c r="I225" s="508"/>
      <c r="J225" s="508"/>
      <c r="K225" s="508"/>
      <c r="L225" s="508"/>
    </row>
    <row r="226" spans="1:12" ht="12.75">
      <c r="A226" s="508"/>
      <c r="B226" s="508"/>
      <c r="C226" s="508"/>
      <c r="D226" s="508"/>
      <c r="E226" s="508"/>
      <c r="F226" s="508"/>
      <c r="G226" s="508"/>
      <c r="H226" s="508"/>
      <c r="I226" s="508"/>
      <c r="J226" s="508"/>
      <c r="K226" s="508"/>
      <c r="L226" s="508"/>
    </row>
    <row r="267" ht="15.75">
      <c r="A267" s="549" t="s">
        <v>424</v>
      </c>
    </row>
  </sheetData>
  <mergeCells count="196">
    <mergeCell ref="J5:K5"/>
    <mergeCell ref="A208:C208"/>
    <mergeCell ref="A187:C187"/>
    <mergeCell ref="A188:C188"/>
    <mergeCell ref="A189:C189"/>
    <mergeCell ref="A202:C202"/>
    <mergeCell ref="A195:C195"/>
    <mergeCell ref="A196:C196"/>
    <mergeCell ref="A193:C193"/>
    <mergeCell ref="A194:C194"/>
    <mergeCell ref="A207:C207"/>
    <mergeCell ref="A200:C200"/>
    <mergeCell ref="A199:C199"/>
    <mergeCell ref="A190:C190"/>
    <mergeCell ref="A209:C209"/>
    <mergeCell ref="A122:D122"/>
    <mergeCell ref="A124:D124"/>
    <mergeCell ref="A203:C203"/>
    <mergeCell ref="A204:C204"/>
    <mergeCell ref="A205:C205"/>
    <mergeCell ref="A206:C206"/>
    <mergeCell ref="A192:C192"/>
    <mergeCell ref="A201:C201"/>
    <mergeCell ref="A191:C191"/>
    <mergeCell ref="A214:C214"/>
    <mergeCell ref="A215:C215"/>
    <mergeCell ref="A210:C210"/>
    <mergeCell ref="A211:C211"/>
    <mergeCell ref="A212:C212"/>
    <mergeCell ref="A213:C213"/>
    <mergeCell ref="A197:C197"/>
    <mergeCell ref="A198:C198"/>
    <mergeCell ref="A183:C183"/>
    <mergeCell ref="A184:C184"/>
    <mergeCell ref="A185:C185"/>
    <mergeCell ref="G220:I220"/>
    <mergeCell ref="A218:C218"/>
    <mergeCell ref="D218:F218"/>
    <mergeCell ref="A219:F219"/>
    <mergeCell ref="A220:F220"/>
    <mergeCell ref="G219:I219"/>
    <mergeCell ref="G218:I218"/>
    <mergeCell ref="B60:B61"/>
    <mergeCell ref="C60:C61"/>
    <mergeCell ref="A177:C177"/>
    <mergeCell ref="A178:C178"/>
    <mergeCell ref="A169:C172"/>
    <mergeCell ref="A174:C174"/>
    <mergeCell ref="A175:C175"/>
    <mergeCell ref="A176:C176"/>
    <mergeCell ref="A173:C173"/>
    <mergeCell ref="A118:L119"/>
    <mergeCell ref="D170:D172"/>
    <mergeCell ref="E170:E172"/>
    <mergeCell ref="F170:F172"/>
    <mergeCell ref="J169:K171"/>
    <mergeCell ref="I170:I172"/>
    <mergeCell ref="G170:G172"/>
    <mergeCell ref="H170:H172"/>
    <mergeCell ref="H4:L4"/>
    <mergeCell ref="A4:A6"/>
    <mergeCell ref="B4:C4"/>
    <mergeCell ref="D4:G4"/>
    <mergeCell ref="B5:B6"/>
    <mergeCell ref="C5:C6"/>
    <mergeCell ref="L5:L6"/>
    <mergeCell ref="D5:E5"/>
    <mergeCell ref="F5:G5"/>
    <mergeCell ref="H5:I5"/>
    <mergeCell ref="A20:L23"/>
    <mergeCell ref="A42:A43"/>
    <mergeCell ref="B42:B43"/>
    <mergeCell ref="C42:C43"/>
    <mergeCell ref="D42:D43"/>
    <mergeCell ref="E42:E43"/>
    <mergeCell ref="F42:K42"/>
    <mergeCell ref="A77:A78"/>
    <mergeCell ref="E77:F78"/>
    <mergeCell ref="J77:L77"/>
    <mergeCell ref="L42:L43"/>
    <mergeCell ref="L60:L61"/>
    <mergeCell ref="A71:L74"/>
    <mergeCell ref="D60:D61"/>
    <mergeCell ref="E60:E61"/>
    <mergeCell ref="F60:K60"/>
    <mergeCell ref="A60:A61"/>
    <mergeCell ref="E79:F79"/>
    <mergeCell ref="E80:F80"/>
    <mergeCell ref="B77:D77"/>
    <mergeCell ref="G77:I77"/>
    <mergeCell ref="E83:F83"/>
    <mergeCell ref="E84:F84"/>
    <mergeCell ref="E81:F81"/>
    <mergeCell ref="E82:F82"/>
    <mergeCell ref="E87:F87"/>
    <mergeCell ref="E88:F88"/>
    <mergeCell ref="E89:F89"/>
    <mergeCell ref="E85:F85"/>
    <mergeCell ref="E86:F86"/>
    <mergeCell ref="A95:B96"/>
    <mergeCell ref="C95:G95"/>
    <mergeCell ref="H95:L95"/>
    <mergeCell ref="A91:L93"/>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C116:G116"/>
    <mergeCell ref="E122:F122"/>
    <mergeCell ref="H122:J122"/>
    <mergeCell ref="K122:L122"/>
    <mergeCell ref="A123:D123"/>
    <mergeCell ref="E123:F123"/>
    <mergeCell ref="H123:J123"/>
    <mergeCell ref="K123:L123"/>
    <mergeCell ref="A125:D125"/>
    <mergeCell ref="E125:F125"/>
    <mergeCell ref="H125:J125"/>
    <mergeCell ref="K125:L125"/>
    <mergeCell ref="E124:F124"/>
    <mergeCell ref="H124:J124"/>
    <mergeCell ref="K124:L124"/>
    <mergeCell ref="K127:L128"/>
    <mergeCell ref="K129:L129"/>
    <mergeCell ref="A126:D126"/>
    <mergeCell ref="E126:F126"/>
    <mergeCell ref="A127:D127"/>
    <mergeCell ref="E127:F127"/>
    <mergeCell ref="A128:D128"/>
    <mergeCell ref="E128:F128"/>
    <mergeCell ref="H126:J126"/>
    <mergeCell ref="K126:L126"/>
    <mergeCell ref="H127:J128"/>
    <mergeCell ref="A129:D129"/>
    <mergeCell ref="E129:F129"/>
    <mergeCell ref="H129:J129"/>
    <mergeCell ref="A131:C131"/>
    <mergeCell ref="F131:G131"/>
    <mergeCell ref="L131:L132"/>
    <mergeCell ref="A132:C132"/>
    <mergeCell ref="A133:C133"/>
    <mergeCell ref="A138:C138"/>
    <mergeCell ref="A134:C134"/>
    <mergeCell ref="A135:C135"/>
    <mergeCell ref="A136:C136"/>
    <mergeCell ref="K131:K132"/>
    <mergeCell ref="A137:C137"/>
    <mergeCell ref="A139:C139"/>
    <mergeCell ref="A140:C140"/>
    <mergeCell ref="A141:C141"/>
    <mergeCell ref="A143:C143"/>
    <mergeCell ref="F143:G143"/>
    <mergeCell ref="K143:K144"/>
    <mergeCell ref="L143:L144"/>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216:C216"/>
    <mergeCell ref="A166:C166"/>
    <mergeCell ref="A161:C161"/>
    <mergeCell ref="A162:C162"/>
    <mergeCell ref="A163:C163"/>
    <mergeCell ref="A164:C164"/>
    <mergeCell ref="A181:C181"/>
    <mergeCell ref="A179:C179"/>
    <mergeCell ref="A180:C180"/>
    <mergeCell ref="A182:C182"/>
  </mergeCells>
  <printOptions horizontalCentered="1"/>
  <pageMargins left="0.17" right="0.1968503937007874" top="0.31" bottom="0.35" header="0.2" footer="0.19"/>
  <pageSetup horizontalDpi="600" verticalDpi="600" orientation="portrait" paperSize="9" scale="75" r:id="rId5"/>
  <headerFooter alignWithMargins="0">
    <oddFooter>&amp;C&amp;P / 25</oddFooter>
  </headerFooter>
  <rowBreaks count="1" manualBreakCount="1">
    <brk id="75" max="255" man="1"/>
  </rowBreaks>
  <legacyDrawing r:id="rId4"/>
  <oleObjects>
    <oleObject progId="Word.Document.8" shapeId="836937" r:id="rId1"/>
    <oleObject progId="Word.Document.8" shapeId="836938" r:id="rId2"/>
    <oleObject progId="Word.Document.8" shapeId="836939" r:id="rId3"/>
  </oleObjects>
</worksheet>
</file>

<file path=xl/worksheets/sheet8.xml><?xml version="1.0" encoding="utf-8"?>
<worksheet xmlns="http://schemas.openxmlformats.org/spreadsheetml/2006/main" xmlns:r="http://schemas.openxmlformats.org/officeDocument/2006/relationships">
  <dimension ref="A1:L218"/>
  <sheetViews>
    <sheetView workbookViewId="0" topLeftCell="A1">
      <selection activeCell="A1" sqref="A1:K1"/>
    </sheetView>
  </sheetViews>
  <sheetFormatPr defaultColWidth="9.00390625" defaultRowHeight="12.75"/>
  <cols>
    <col min="1" max="1" width="9.625" style="0" customWidth="1"/>
    <col min="2" max="8" width="10.75390625" style="0" customWidth="1"/>
    <col min="9" max="9" width="11.125" style="0" customWidth="1"/>
    <col min="10" max="11" width="10.75390625" style="0" customWidth="1"/>
    <col min="12" max="12" width="10.625" style="0" customWidth="1"/>
  </cols>
  <sheetData>
    <row r="1" spans="1:11" ht="18">
      <c r="A1" s="883" t="s">
        <v>78</v>
      </c>
      <c r="B1" s="884"/>
      <c r="C1" s="884"/>
      <c r="D1" s="884"/>
      <c r="E1" s="884"/>
      <c r="F1" s="884"/>
      <c r="G1" s="884"/>
      <c r="H1" s="884"/>
      <c r="I1" s="884"/>
      <c r="J1" s="884"/>
      <c r="K1" s="884"/>
    </row>
    <row r="2" ht="9.75" customHeight="1">
      <c r="A2" s="25"/>
    </row>
    <row r="3" spans="1:12" ht="17.25" customHeight="1" thickBot="1">
      <c r="A3" s="85" t="s">
        <v>71</v>
      </c>
      <c r="L3" s="274" t="s">
        <v>194</v>
      </c>
    </row>
    <row r="4" spans="1:12" ht="15" customHeight="1">
      <c r="A4" s="734" t="s">
        <v>49</v>
      </c>
      <c r="B4" s="743" t="s">
        <v>23</v>
      </c>
      <c r="C4" s="746"/>
      <c r="D4" s="783" t="s">
        <v>391</v>
      </c>
      <c r="E4" s="795"/>
      <c r="F4" s="784"/>
      <c r="G4" s="796"/>
      <c r="H4" s="783" t="s">
        <v>41</v>
      </c>
      <c r="I4" s="784"/>
      <c r="J4" s="784"/>
      <c r="K4" s="784"/>
      <c r="L4" s="785"/>
    </row>
    <row r="5" spans="1:12" ht="12.75" customHeight="1">
      <c r="A5" s="794"/>
      <c r="B5" s="793">
        <v>2004</v>
      </c>
      <c r="C5" s="786">
        <v>2005</v>
      </c>
      <c r="D5" s="778">
        <v>2004</v>
      </c>
      <c r="E5" s="779"/>
      <c r="F5" s="781">
        <v>2005</v>
      </c>
      <c r="G5" s="782"/>
      <c r="H5" s="778">
        <v>2004</v>
      </c>
      <c r="I5" s="779"/>
      <c r="J5" s="781">
        <v>2005</v>
      </c>
      <c r="K5" s="782" t="s">
        <v>390</v>
      </c>
      <c r="L5" s="786" t="s">
        <v>395</v>
      </c>
    </row>
    <row r="6" spans="1:12" ht="23.25" thickBot="1">
      <c r="A6" s="735"/>
      <c r="B6" s="712"/>
      <c r="C6" s="787"/>
      <c r="D6" s="81" t="s">
        <v>392</v>
      </c>
      <c r="E6" s="91" t="s">
        <v>393</v>
      </c>
      <c r="F6" s="91" t="s">
        <v>392</v>
      </c>
      <c r="G6" s="74" t="s">
        <v>393</v>
      </c>
      <c r="H6" s="81" t="s">
        <v>394</v>
      </c>
      <c r="I6" s="91" t="s">
        <v>390</v>
      </c>
      <c r="J6" s="91" t="s">
        <v>394</v>
      </c>
      <c r="K6" s="74" t="s">
        <v>390</v>
      </c>
      <c r="L6" s="787"/>
    </row>
    <row r="7" spans="1:12" s="35" customFormat="1" ht="12.75" customHeight="1">
      <c r="A7" s="49" t="s">
        <v>50</v>
      </c>
      <c r="B7" s="75">
        <v>43732</v>
      </c>
      <c r="C7" s="21">
        <v>45733</v>
      </c>
      <c r="D7" s="26">
        <v>40263</v>
      </c>
      <c r="E7" s="2">
        <v>367</v>
      </c>
      <c r="F7" s="2">
        <v>44183</v>
      </c>
      <c r="G7" s="2">
        <v>1726</v>
      </c>
      <c r="H7" s="26">
        <v>-3469</v>
      </c>
      <c r="I7" s="2">
        <f aca="true" t="shared" si="0" ref="I7:I12">+H7-E7</f>
        <v>-3836</v>
      </c>
      <c r="J7" s="2">
        <f aca="true" t="shared" si="1" ref="J7:J12">+F7-C7</f>
        <v>-1550</v>
      </c>
      <c r="K7" s="2">
        <f aca="true" t="shared" si="2" ref="K7:K12">+J7-G7</f>
        <v>-3276</v>
      </c>
      <c r="L7" s="3">
        <f aca="true" t="shared" si="3" ref="L7:L12">+J7-H7</f>
        <v>1919</v>
      </c>
    </row>
    <row r="8" spans="1:12" s="35" customFormat="1" ht="12.75">
      <c r="A8" s="51" t="s">
        <v>51</v>
      </c>
      <c r="B8" s="12">
        <v>85818</v>
      </c>
      <c r="C8" s="5">
        <v>88910</v>
      </c>
      <c r="D8" s="23">
        <v>80802</v>
      </c>
      <c r="E8" s="4">
        <v>503</v>
      </c>
      <c r="F8" s="4">
        <v>88947</v>
      </c>
      <c r="G8" s="4">
        <v>3636</v>
      </c>
      <c r="H8" s="23">
        <v>-5016</v>
      </c>
      <c r="I8" s="2">
        <f t="shared" si="0"/>
        <v>-5519</v>
      </c>
      <c r="J8" s="4">
        <f t="shared" si="1"/>
        <v>37</v>
      </c>
      <c r="K8" s="2">
        <f t="shared" si="2"/>
        <v>-3599</v>
      </c>
      <c r="L8" s="3">
        <f t="shared" si="3"/>
        <v>5053</v>
      </c>
    </row>
    <row r="9" spans="1:12" s="35" customFormat="1" ht="12.75">
      <c r="A9" s="51" t="s">
        <v>52</v>
      </c>
      <c r="B9" s="12">
        <v>130527</v>
      </c>
      <c r="C9" s="5">
        <v>132135</v>
      </c>
      <c r="D9" s="23">
        <v>130281</v>
      </c>
      <c r="E9" s="4">
        <v>5307</v>
      </c>
      <c r="F9" s="4">
        <v>133715</v>
      </c>
      <c r="G9" s="4">
        <v>511</v>
      </c>
      <c r="H9" s="23">
        <v>-246</v>
      </c>
      <c r="I9" s="2">
        <f t="shared" si="0"/>
        <v>-5553</v>
      </c>
      <c r="J9" s="4">
        <f t="shared" si="1"/>
        <v>1580</v>
      </c>
      <c r="K9" s="2">
        <f t="shared" si="2"/>
        <v>1069</v>
      </c>
      <c r="L9" s="3">
        <f t="shared" si="3"/>
        <v>1826</v>
      </c>
    </row>
    <row r="10" spans="1:12" s="35" customFormat="1" ht="12.75">
      <c r="A10" s="51" t="s">
        <v>53</v>
      </c>
      <c r="B10" s="12">
        <v>176136</v>
      </c>
      <c r="C10" s="5">
        <v>180885</v>
      </c>
      <c r="D10" s="23">
        <v>174194</v>
      </c>
      <c r="E10" s="4">
        <v>7531</v>
      </c>
      <c r="F10" s="4">
        <v>184923</v>
      </c>
      <c r="G10" s="4">
        <v>7595</v>
      </c>
      <c r="H10" s="23">
        <v>-1942</v>
      </c>
      <c r="I10" s="2">
        <f t="shared" si="0"/>
        <v>-9473</v>
      </c>
      <c r="J10" s="4">
        <f t="shared" si="1"/>
        <v>4038</v>
      </c>
      <c r="K10" s="2">
        <f t="shared" si="2"/>
        <v>-3557</v>
      </c>
      <c r="L10" s="3">
        <f t="shared" si="3"/>
        <v>5980</v>
      </c>
    </row>
    <row r="11" spans="1:12" s="35" customFormat="1" ht="12.75">
      <c r="A11" s="51" t="s">
        <v>54</v>
      </c>
      <c r="B11" s="12">
        <v>221733</v>
      </c>
      <c r="C11" s="5">
        <v>225141</v>
      </c>
      <c r="D11" s="23">
        <v>216049</v>
      </c>
      <c r="E11" s="4">
        <v>9157</v>
      </c>
      <c r="F11" s="4">
        <v>230179</v>
      </c>
      <c r="G11" s="4">
        <v>9625</v>
      </c>
      <c r="H11" s="23">
        <v>-5684</v>
      </c>
      <c r="I11" s="2">
        <f t="shared" si="0"/>
        <v>-14841</v>
      </c>
      <c r="J11" s="4">
        <f t="shared" si="1"/>
        <v>5038</v>
      </c>
      <c r="K11" s="2">
        <f t="shared" si="2"/>
        <v>-4587</v>
      </c>
      <c r="L11" s="3">
        <f t="shared" si="3"/>
        <v>10722</v>
      </c>
    </row>
    <row r="12" spans="1:12" s="35" customFormat="1" ht="13.5" thickBot="1">
      <c r="A12" s="337" t="s">
        <v>55</v>
      </c>
      <c r="B12" s="338">
        <v>263778</v>
      </c>
      <c r="C12" s="167">
        <v>269611</v>
      </c>
      <c r="D12" s="27">
        <v>267629</v>
      </c>
      <c r="E12" s="6">
        <v>10924</v>
      </c>
      <c r="F12" s="6">
        <v>274427</v>
      </c>
      <c r="G12" s="6">
        <v>11454</v>
      </c>
      <c r="H12" s="165">
        <v>3851</v>
      </c>
      <c r="I12" s="166">
        <f t="shared" si="0"/>
        <v>-7073</v>
      </c>
      <c r="J12" s="166">
        <f t="shared" si="1"/>
        <v>4816</v>
      </c>
      <c r="K12" s="166">
        <f t="shared" si="2"/>
        <v>-6638</v>
      </c>
      <c r="L12" s="167">
        <f t="shared" si="3"/>
        <v>965</v>
      </c>
    </row>
    <row r="13" spans="1:12" ht="12.75" hidden="1">
      <c r="A13" s="49" t="s">
        <v>56</v>
      </c>
      <c r="B13" s="40">
        <v>304342</v>
      </c>
      <c r="C13" s="76">
        <v>308724</v>
      </c>
      <c r="D13" s="41"/>
      <c r="E13" s="40">
        <v>294372</v>
      </c>
      <c r="F13" s="76">
        <v>309252</v>
      </c>
      <c r="G13" s="41"/>
      <c r="H13" s="26">
        <v>-9970</v>
      </c>
      <c r="I13" s="11">
        <v>528</v>
      </c>
      <c r="J13" s="2">
        <f aca="true" t="shared" si="4" ref="J13:J18">+I13-H13</f>
        <v>10498</v>
      </c>
      <c r="K13" s="76">
        <v>0</v>
      </c>
      <c r="L13" s="86"/>
    </row>
    <row r="14" spans="1:12" ht="12.75" hidden="1">
      <c r="A14" s="51" t="s">
        <v>57</v>
      </c>
      <c r="B14" s="38">
        <v>344752</v>
      </c>
      <c r="C14" s="77">
        <v>351939</v>
      </c>
      <c r="D14" s="39"/>
      <c r="E14" s="38">
        <v>334551</v>
      </c>
      <c r="F14" s="77">
        <v>351787</v>
      </c>
      <c r="G14" s="39"/>
      <c r="H14" s="26">
        <v>-10201</v>
      </c>
      <c r="I14" s="11">
        <v>-152</v>
      </c>
      <c r="J14" s="4">
        <f t="shared" si="4"/>
        <v>10049</v>
      </c>
      <c r="K14" s="77">
        <v>0</v>
      </c>
      <c r="L14" s="14"/>
    </row>
    <row r="15" spans="1:12" ht="12.75" hidden="1">
      <c r="A15" s="51" t="s">
        <v>58</v>
      </c>
      <c r="B15" s="38">
        <v>386788</v>
      </c>
      <c r="C15" s="77">
        <v>395914</v>
      </c>
      <c r="D15" s="39"/>
      <c r="E15" s="38">
        <v>376467</v>
      </c>
      <c r="F15" s="77">
        <v>401026</v>
      </c>
      <c r="G15" s="39"/>
      <c r="H15" s="26">
        <v>-10321</v>
      </c>
      <c r="I15" s="11">
        <v>5112</v>
      </c>
      <c r="J15" s="4">
        <f t="shared" si="4"/>
        <v>15433</v>
      </c>
      <c r="K15" s="77">
        <v>0</v>
      </c>
      <c r="L15" s="14"/>
    </row>
    <row r="16" spans="1:12" ht="12.75" hidden="1">
      <c r="A16" s="53" t="s">
        <v>59</v>
      </c>
      <c r="B16" s="38">
        <v>429180</v>
      </c>
      <c r="C16" s="77">
        <v>439054</v>
      </c>
      <c r="D16" s="39"/>
      <c r="E16" s="38">
        <v>416902</v>
      </c>
      <c r="F16" s="77">
        <v>443150</v>
      </c>
      <c r="G16" s="39"/>
      <c r="H16" s="23">
        <v>-12278</v>
      </c>
      <c r="I16" s="12">
        <v>4096</v>
      </c>
      <c r="J16" s="4">
        <f t="shared" si="4"/>
        <v>16374</v>
      </c>
      <c r="K16" s="77">
        <v>0</v>
      </c>
      <c r="L16" s="14"/>
    </row>
    <row r="17" spans="1:12" ht="12.75" hidden="1">
      <c r="A17" s="51" t="s">
        <v>60</v>
      </c>
      <c r="B17" s="38">
        <v>480243</v>
      </c>
      <c r="C17" s="77">
        <v>487967</v>
      </c>
      <c r="D17" s="39"/>
      <c r="E17" s="38">
        <v>455909</v>
      </c>
      <c r="F17" s="77">
        <v>490192</v>
      </c>
      <c r="G17" s="39"/>
      <c r="H17" s="23">
        <v>-24334</v>
      </c>
      <c r="I17" s="12">
        <v>2225</v>
      </c>
      <c r="J17" s="4">
        <f t="shared" si="4"/>
        <v>26559</v>
      </c>
      <c r="K17" s="77">
        <v>0</v>
      </c>
      <c r="L17" s="14"/>
    </row>
    <row r="18" spans="1:12" ht="13.5" hidden="1" thickBot="1">
      <c r="A18" s="55" t="s">
        <v>61</v>
      </c>
      <c r="B18" s="27">
        <v>524740</v>
      </c>
      <c r="C18" s="78">
        <v>534019.13</v>
      </c>
      <c r="D18" s="7"/>
      <c r="E18" s="27">
        <v>522437</v>
      </c>
      <c r="F18" s="78">
        <v>534151.48</v>
      </c>
      <c r="G18" s="7"/>
      <c r="H18" s="27">
        <v>-2303</v>
      </c>
      <c r="I18" s="78">
        <v>132.34999999997672</v>
      </c>
      <c r="J18" s="6">
        <f t="shared" si="4"/>
        <v>2435.3499999999767</v>
      </c>
      <c r="K18" s="78">
        <v>0</v>
      </c>
      <c r="L18" s="15"/>
    </row>
    <row r="20" spans="1:12" ht="12.75" customHeight="1">
      <c r="A20" s="905" t="s">
        <v>429</v>
      </c>
      <c r="B20" s="980"/>
      <c r="C20" s="980"/>
      <c r="D20" s="980"/>
      <c r="E20" s="980"/>
      <c r="F20" s="980"/>
      <c r="G20" s="980"/>
      <c r="H20" s="980"/>
      <c r="I20" s="980"/>
      <c r="J20" s="980"/>
      <c r="K20" s="980"/>
      <c r="L20" s="1031"/>
    </row>
    <row r="21" spans="1:12" ht="12.75">
      <c r="A21" s="982"/>
      <c r="B21" s="983"/>
      <c r="C21" s="983"/>
      <c r="D21" s="983"/>
      <c r="E21" s="983"/>
      <c r="F21" s="983"/>
      <c r="G21" s="983"/>
      <c r="H21" s="983"/>
      <c r="I21" s="983"/>
      <c r="J21" s="983"/>
      <c r="K21" s="983"/>
      <c r="L21" s="1032"/>
    </row>
    <row r="22" spans="1:12" ht="12.75">
      <c r="A22" s="982"/>
      <c r="B22" s="983"/>
      <c r="C22" s="983"/>
      <c r="D22" s="983"/>
      <c r="E22" s="983"/>
      <c r="F22" s="983"/>
      <c r="G22" s="983"/>
      <c r="H22" s="983"/>
      <c r="I22" s="983"/>
      <c r="J22" s="983"/>
      <c r="K22" s="983"/>
      <c r="L22" s="1032"/>
    </row>
    <row r="23" spans="1:12" ht="21.75" customHeight="1">
      <c r="A23" s="985"/>
      <c r="B23" s="986"/>
      <c r="C23" s="986"/>
      <c r="D23" s="986"/>
      <c r="E23" s="986"/>
      <c r="F23" s="986"/>
      <c r="G23" s="986"/>
      <c r="H23" s="986"/>
      <c r="I23" s="986"/>
      <c r="J23" s="986"/>
      <c r="K23" s="986"/>
      <c r="L23" s="1033"/>
    </row>
    <row r="24" spans="1:11" ht="9.75" customHeight="1">
      <c r="A24" s="70"/>
      <c r="B24" s="70"/>
      <c r="C24" s="70"/>
      <c r="D24" s="70"/>
      <c r="E24" s="70"/>
      <c r="F24" s="70"/>
      <c r="G24" s="70"/>
      <c r="H24" s="70"/>
      <c r="I24" s="70"/>
      <c r="J24" s="70"/>
      <c r="K24" s="70"/>
    </row>
    <row r="25" spans="1:12" ht="16.5" thickBot="1">
      <c r="A25" s="25" t="s">
        <v>72</v>
      </c>
      <c r="L25" s="274" t="s">
        <v>194</v>
      </c>
    </row>
    <row r="26" spans="1:12" ht="19.5" customHeight="1">
      <c r="A26" s="970" t="s">
        <v>45</v>
      </c>
      <c r="B26" s="972" t="s">
        <v>46</v>
      </c>
      <c r="C26" s="889" t="s">
        <v>47</v>
      </c>
      <c r="D26" s="889" t="s">
        <v>48</v>
      </c>
      <c r="E26" s="914" t="s">
        <v>31</v>
      </c>
      <c r="F26" s="743" t="s">
        <v>62</v>
      </c>
      <c r="G26" s="744"/>
      <c r="H26" s="744"/>
      <c r="I26" s="744"/>
      <c r="J26" s="744"/>
      <c r="K26" s="744"/>
      <c r="L26" s="734" t="s">
        <v>14</v>
      </c>
    </row>
    <row r="27" spans="1:12" s="35" customFormat="1" ht="24" customHeight="1" thickBot="1">
      <c r="A27" s="971"/>
      <c r="B27" s="1074"/>
      <c r="C27" s="1064" t="s">
        <v>47</v>
      </c>
      <c r="D27" s="1064" t="s">
        <v>48</v>
      </c>
      <c r="E27" s="864" t="s">
        <v>31</v>
      </c>
      <c r="F27" s="81" t="s">
        <v>63</v>
      </c>
      <c r="G27" s="91" t="s">
        <v>64</v>
      </c>
      <c r="H27" s="91" t="s">
        <v>65</v>
      </c>
      <c r="I27" s="91" t="s">
        <v>66</v>
      </c>
      <c r="J27" s="91" t="s">
        <v>67</v>
      </c>
      <c r="K27" s="261" t="s">
        <v>31</v>
      </c>
      <c r="L27" s="891"/>
    </row>
    <row r="28" spans="1:12" ht="12.75">
      <c r="A28" s="380">
        <v>37986</v>
      </c>
      <c r="B28" s="381">
        <v>18484</v>
      </c>
      <c r="C28" s="345">
        <v>0</v>
      </c>
      <c r="D28" s="345">
        <v>0</v>
      </c>
      <c r="E28" s="346">
        <f>SUM(B28:D28)</f>
        <v>18484</v>
      </c>
      <c r="F28" s="344">
        <v>-41</v>
      </c>
      <c r="G28" s="345">
        <v>-1</v>
      </c>
      <c r="H28" s="345">
        <v>0</v>
      </c>
      <c r="I28" s="345">
        <v>0</v>
      </c>
      <c r="J28" s="345">
        <v>-3</v>
      </c>
      <c r="K28" s="386">
        <f>SUM(F28:J28)</f>
        <v>-45</v>
      </c>
      <c r="L28" s="349">
        <v>103</v>
      </c>
    </row>
    <row r="29" spans="1:12" ht="13.5" thickBot="1">
      <c r="A29" s="98">
        <v>38352</v>
      </c>
      <c r="B29" s="99">
        <v>22848</v>
      </c>
      <c r="C29" s="89">
        <v>0</v>
      </c>
      <c r="D29" s="89">
        <v>0</v>
      </c>
      <c r="E29" s="24">
        <v>22848</v>
      </c>
      <c r="F29" s="88">
        <v>49</v>
      </c>
      <c r="G29" s="89">
        <v>0</v>
      </c>
      <c r="H29" s="89">
        <v>0</v>
      </c>
      <c r="I29" s="89">
        <v>0</v>
      </c>
      <c r="J29" s="89">
        <v>-3</v>
      </c>
      <c r="K29" s="262">
        <v>46</v>
      </c>
      <c r="L29" s="354">
        <v>0</v>
      </c>
    </row>
    <row r="30" spans="1:12" ht="12.75">
      <c r="A30" s="49">
        <v>38383</v>
      </c>
      <c r="B30" s="50">
        <v>26502</v>
      </c>
      <c r="C30" s="44"/>
      <c r="D30" s="44"/>
      <c r="E30" s="92">
        <f aca="true" t="shared" si="5" ref="E30:E41">SUM(B30:D30)</f>
        <v>26502</v>
      </c>
      <c r="F30" s="64">
        <v>-93</v>
      </c>
      <c r="G30" s="44"/>
      <c r="H30" s="44"/>
      <c r="I30" s="44"/>
      <c r="J30" s="44">
        <v>-3</v>
      </c>
      <c r="K30" s="101">
        <f aca="true" t="shared" si="6" ref="K30:K41">SUM(F30:J30)</f>
        <v>-96</v>
      </c>
      <c r="L30" s="410">
        <v>0</v>
      </c>
    </row>
    <row r="31" spans="1:12" ht="12.75">
      <c r="A31" s="51" t="s">
        <v>11</v>
      </c>
      <c r="B31" s="52">
        <v>26475</v>
      </c>
      <c r="C31" s="45"/>
      <c r="D31" s="87"/>
      <c r="E31" s="92">
        <f t="shared" si="5"/>
        <v>26475</v>
      </c>
      <c r="F31" s="58">
        <v>285</v>
      </c>
      <c r="G31" s="45"/>
      <c r="H31" s="45"/>
      <c r="I31" s="45"/>
      <c r="J31" s="45">
        <v>-3</v>
      </c>
      <c r="K31" s="102">
        <f t="shared" si="6"/>
        <v>282</v>
      </c>
      <c r="L31" s="411">
        <v>0</v>
      </c>
    </row>
    <row r="32" spans="1:12" ht="12.75">
      <c r="A32" s="51">
        <v>38442</v>
      </c>
      <c r="B32" s="52">
        <v>23146</v>
      </c>
      <c r="C32" s="45"/>
      <c r="D32" s="45"/>
      <c r="E32" s="92">
        <f t="shared" si="5"/>
        <v>23146</v>
      </c>
      <c r="F32" s="58">
        <v>89</v>
      </c>
      <c r="G32" s="45"/>
      <c r="H32" s="45"/>
      <c r="I32" s="45"/>
      <c r="J32" s="45">
        <v>-3</v>
      </c>
      <c r="K32" s="102">
        <f t="shared" si="6"/>
        <v>86</v>
      </c>
      <c r="L32" s="110">
        <v>0</v>
      </c>
    </row>
    <row r="33" spans="1:12" ht="12.75">
      <c r="A33" s="51">
        <v>38472</v>
      </c>
      <c r="B33" s="52">
        <v>26834</v>
      </c>
      <c r="C33" s="45"/>
      <c r="D33" s="45"/>
      <c r="E33" s="92">
        <f t="shared" si="5"/>
        <v>26834</v>
      </c>
      <c r="F33" s="58">
        <v>104</v>
      </c>
      <c r="G33" s="45">
        <v>78</v>
      </c>
      <c r="H33" s="45"/>
      <c r="I33" s="45"/>
      <c r="J33" s="45">
        <v>-3</v>
      </c>
      <c r="K33" s="102">
        <f t="shared" si="6"/>
        <v>179</v>
      </c>
      <c r="L33" s="411">
        <v>0</v>
      </c>
    </row>
    <row r="34" spans="1:12" ht="12.75">
      <c r="A34" s="51">
        <v>38503</v>
      </c>
      <c r="B34" s="52">
        <v>23939</v>
      </c>
      <c r="C34" s="45"/>
      <c r="D34" s="45"/>
      <c r="E34" s="92">
        <f t="shared" si="5"/>
        <v>23939</v>
      </c>
      <c r="F34" s="58">
        <v>247</v>
      </c>
      <c r="G34" s="45">
        <v>65</v>
      </c>
      <c r="H34" s="45"/>
      <c r="I34" s="45"/>
      <c r="J34" s="45">
        <v>-3</v>
      </c>
      <c r="K34" s="102">
        <f t="shared" si="6"/>
        <v>309</v>
      </c>
      <c r="L34" s="411">
        <v>0</v>
      </c>
    </row>
    <row r="35" spans="1:12" ht="13.5" thickBot="1">
      <c r="A35" s="337">
        <v>38533</v>
      </c>
      <c r="B35" s="342">
        <v>24097</v>
      </c>
      <c r="C35" s="341">
        <v>5</v>
      </c>
      <c r="D35" s="341"/>
      <c r="E35" s="93">
        <f t="shared" si="5"/>
        <v>24102</v>
      </c>
      <c r="F35" s="340">
        <v>70</v>
      </c>
      <c r="G35" s="341">
        <v>-12</v>
      </c>
      <c r="H35" s="341"/>
      <c r="I35" s="341"/>
      <c r="J35" s="341">
        <v>-3</v>
      </c>
      <c r="K35" s="103">
        <f t="shared" si="6"/>
        <v>55</v>
      </c>
      <c r="L35" s="412">
        <v>0</v>
      </c>
    </row>
    <row r="36" spans="1:12" ht="12.75" hidden="1">
      <c r="A36" s="49">
        <v>38199</v>
      </c>
      <c r="B36" s="50"/>
      <c r="C36" s="44"/>
      <c r="D36" s="44"/>
      <c r="E36" s="92">
        <f t="shared" si="5"/>
        <v>0</v>
      </c>
      <c r="F36" s="50"/>
      <c r="G36" s="44"/>
      <c r="H36" s="44"/>
      <c r="I36" s="44"/>
      <c r="J36" s="44"/>
      <c r="K36" s="101">
        <f t="shared" si="6"/>
        <v>0</v>
      </c>
      <c r="L36" s="106"/>
    </row>
    <row r="37" spans="1:12" ht="12.75" hidden="1">
      <c r="A37" s="51">
        <v>38230</v>
      </c>
      <c r="B37" s="52"/>
      <c r="C37" s="45"/>
      <c r="D37" s="45"/>
      <c r="E37" s="92">
        <f t="shared" si="5"/>
        <v>0</v>
      </c>
      <c r="F37" s="52"/>
      <c r="G37" s="45"/>
      <c r="H37" s="45"/>
      <c r="I37" s="45"/>
      <c r="J37" s="45"/>
      <c r="K37" s="102">
        <f t="shared" si="6"/>
        <v>0</v>
      </c>
      <c r="L37" s="104"/>
    </row>
    <row r="38" spans="1:12" ht="12.75" hidden="1">
      <c r="A38" s="51">
        <v>38260</v>
      </c>
      <c r="B38" s="52"/>
      <c r="C38" s="45"/>
      <c r="D38" s="45"/>
      <c r="E38" s="92">
        <f t="shared" si="5"/>
        <v>0</v>
      </c>
      <c r="F38" s="52"/>
      <c r="G38" s="45"/>
      <c r="H38" s="45"/>
      <c r="I38" s="45"/>
      <c r="J38" s="45"/>
      <c r="K38" s="102">
        <f t="shared" si="6"/>
        <v>0</v>
      </c>
      <c r="L38" s="104"/>
    </row>
    <row r="39" spans="1:12" ht="12.75" hidden="1">
      <c r="A39" s="53">
        <v>38291</v>
      </c>
      <c r="B39" s="54"/>
      <c r="C39" s="46"/>
      <c r="D39" s="46"/>
      <c r="E39" s="92">
        <f t="shared" si="5"/>
        <v>0</v>
      </c>
      <c r="F39" s="54"/>
      <c r="G39" s="46"/>
      <c r="H39" s="46"/>
      <c r="I39" s="46"/>
      <c r="J39" s="46"/>
      <c r="K39" s="102">
        <f t="shared" si="6"/>
        <v>0</v>
      </c>
      <c r="L39" s="104"/>
    </row>
    <row r="40" spans="1:12" ht="12.75" hidden="1">
      <c r="A40" s="51">
        <v>38321</v>
      </c>
      <c r="B40" s="52"/>
      <c r="C40" s="45"/>
      <c r="D40" s="45"/>
      <c r="E40" s="92">
        <f t="shared" si="5"/>
        <v>0</v>
      </c>
      <c r="F40" s="58"/>
      <c r="G40" s="45"/>
      <c r="H40" s="45"/>
      <c r="I40" s="45"/>
      <c r="J40" s="45"/>
      <c r="K40" s="102">
        <f t="shared" si="6"/>
        <v>0</v>
      </c>
      <c r="L40" s="104"/>
    </row>
    <row r="41" spans="1:12" ht="13.5" hidden="1" thickBot="1">
      <c r="A41" s="55">
        <v>38352</v>
      </c>
      <c r="B41" s="56"/>
      <c r="C41" s="57"/>
      <c r="D41" s="57"/>
      <c r="E41" s="93">
        <f t="shared" si="5"/>
        <v>0</v>
      </c>
      <c r="F41" s="56"/>
      <c r="G41" s="57"/>
      <c r="H41" s="57"/>
      <c r="I41" s="57"/>
      <c r="J41" s="57"/>
      <c r="K41" s="103">
        <f t="shared" si="6"/>
        <v>0</v>
      </c>
      <c r="L41" s="105"/>
    </row>
    <row r="42" spans="1:12" ht="7.5" customHeight="1">
      <c r="A42" s="111"/>
      <c r="B42" s="72"/>
      <c r="C42" s="72"/>
      <c r="D42" s="72"/>
      <c r="E42" s="107"/>
      <c r="F42" s="72"/>
      <c r="G42" s="72"/>
      <c r="H42" s="72"/>
      <c r="I42" s="72"/>
      <c r="J42" s="72"/>
      <c r="K42" s="108"/>
      <c r="L42" s="109"/>
    </row>
    <row r="43" spans="1:12" ht="16.5" thickBot="1">
      <c r="A43" s="25" t="s">
        <v>73</v>
      </c>
      <c r="L43" s="274" t="s">
        <v>194</v>
      </c>
    </row>
    <row r="44" spans="1:12" ht="24.75" customHeight="1">
      <c r="A44" s="970" t="s">
        <v>45</v>
      </c>
      <c r="B44" s="972" t="s">
        <v>68</v>
      </c>
      <c r="C44" s="889" t="s">
        <v>69</v>
      </c>
      <c r="D44" s="889" t="s">
        <v>70</v>
      </c>
      <c r="E44" s="914" t="s">
        <v>31</v>
      </c>
      <c r="F44" s="743" t="s">
        <v>62</v>
      </c>
      <c r="G44" s="744"/>
      <c r="H44" s="744"/>
      <c r="I44" s="744"/>
      <c r="J44" s="744"/>
      <c r="K44" s="744"/>
      <c r="L44" s="734" t="s">
        <v>191</v>
      </c>
    </row>
    <row r="45" spans="1:12" ht="24" customHeight="1" thickBot="1">
      <c r="A45" s="971"/>
      <c r="B45" s="1074"/>
      <c r="C45" s="1064" t="s">
        <v>47</v>
      </c>
      <c r="D45" s="1064" t="s">
        <v>48</v>
      </c>
      <c r="E45" s="864" t="s">
        <v>31</v>
      </c>
      <c r="F45" s="81" t="s">
        <v>63</v>
      </c>
      <c r="G45" s="91" t="s">
        <v>64</v>
      </c>
      <c r="H45" s="91" t="s">
        <v>65</v>
      </c>
      <c r="I45" s="91" t="s">
        <v>66</v>
      </c>
      <c r="J45" s="91" t="s">
        <v>67</v>
      </c>
      <c r="K45" s="261" t="s">
        <v>31</v>
      </c>
      <c r="L45" s="891"/>
    </row>
    <row r="46" spans="1:12" ht="12.75">
      <c r="A46" s="380">
        <v>37986</v>
      </c>
      <c r="B46" s="381">
        <v>61632</v>
      </c>
      <c r="C46" s="345">
        <v>1597</v>
      </c>
      <c r="D46" s="345">
        <v>201</v>
      </c>
      <c r="E46" s="346">
        <f>SUM(B46:D46)</f>
        <v>63430</v>
      </c>
      <c r="F46" s="344">
        <v>6632</v>
      </c>
      <c r="G46" s="345">
        <v>1175</v>
      </c>
      <c r="H46" s="345">
        <v>811</v>
      </c>
      <c r="I46" s="345">
        <v>1023</v>
      </c>
      <c r="J46" s="345">
        <v>173</v>
      </c>
      <c r="K46" s="386">
        <f>SUM(F46:J46)</f>
        <v>9814</v>
      </c>
      <c r="L46" s="349">
        <f aca="true" t="shared" si="7" ref="L46:L59">+E46-E28</f>
        <v>44946</v>
      </c>
    </row>
    <row r="47" spans="1:12" ht="13.5" thickBot="1">
      <c r="A47" s="98">
        <v>38352</v>
      </c>
      <c r="B47" s="99">
        <v>83251</v>
      </c>
      <c r="C47" s="89">
        <v>117</v>
      </c>
      <c r="D47" s="89">
        <v>64</v>
      </c>
      <c r="E47" s="24">
        <v>83432</v>
      </c>
      <c r="F47" s="88">
        <v>17754</v>
      </c>
      <c r="G47" s="89">
        <v>1263</v>
      </c>
      <c r="H47" s="89">
        <v>938</v>
      </c>
      <c r="I47" s="89">
        <v>201</v>
      </c>
      <c r="J47" s="89">
        <v>268</v>
      </c>
      <c r="K47" s="262">
        <v>20424</v>
      </c>
      <c r="L47" s="354">
        <f t="shared" si="7"/>
        <v>60584</v>
      </c>
    </row>
    <row r="48" spans="1:12" ht="12.75">
      <c r="A48" s="49">
        <v>38383</v>
      </c>
      <c r="B48" s="50">
        <v>96450</v>
      </c>
      <c r="C48" s="44">
        <v>115</v>
      </c>
      <c r="D48" s="44">
        <v>197</v>
      </c>
      <c r="E48" s="92">
        <f aca="true" t="shared" si="8" ref="E48:E59">SUM(B48:D48)</f>
        <v>96762</v>
      </c>
      <c r="F48" s="64">
        <v>37637</v>
      </c>
      <c r="G48" s="44">
        <v>1236</v>
      </c>
      <c r="H48" s="44">
        <v>1078</v>
      </c>
      <c r="I48" s="44">
        <v>502</v>
      </c>
      <c r="J48" s="44">
        <v>353</v>
      </c>
      <c r="K48" s="101">
        <f aca="true" t="shared" si="9" ref="K48:K59">SUM(F48:J48)</f>
        <v>40806</v>
      </c>
      <c r="L48" s="265">
        <f t="shared" si="7"/>
        <v>70260</v>
      </c>
    </row>
    <row r="49" spans="1:12" ht="12.75">
      <c r="A49" s="51" t="s">
        <v>11</v>
      </c>
      <c r="B49" s="52">
        <v>102546</v>
      </c>
      <c r="C49" s="45">
        <v>116</v>
      </c>
      <c r="D49" s="258">
        <v>199</v>
      </c>
      <c r="E49" s="92">
        <f t="shared" si="8"/>
        <v>102861</v>
      </c>
      <c r="F49" s="58">
        <v>19261</v>
      </c>
      <c r="G49" s="45">
        <v>2922</v>
      </c>
      <c r="H49" s="45">
        <v>1630</v>
      </c>
      <c r="I49" s="45">
        <v>292</v>
      </c>
      <c r="J49" s="45">
        <v>435</v>
      </c>
      <c r="K49" s="102">
        <f t="shared" si="9"/>
        <v>24540</v>
      </c>
      <c r="L49" s="110">
        <f t="shared" si="7"/>
        <v>76386</v>
      </c>
    </row>
    <row r="50" spans="1:12" ht="12.75">
      <c r="A50" s="51">
        <v>38442</v>
      </c>
      <c r="B50" s="52">
        <v>85451</v>
      </c>
      <c r="C50" s="45">
        <v>585</v>
      </c>
      <c r="D50" s="45">
        <v>179</v>
      </c>
      <c r="E50" s="92">
        <f t="shared" si="8"/>
        <v>86215</v>
      </c>
      <c r="F50" s="58">
        <v>24476</v>
      </c>
      <c r="G50" s="45">
        <v>925</v>
      </c>
      <c r="H50" s="45">
        <v>1742</v>
      </c>
      <c r="I50" s="45">
        <v>442</v>
      </c>
      <c r="J50" s="45">
        <v>271</v>
      </c>
      <c r="K50" s="102">
        <f t="shared" si="9"/>
        <v>27856</v>
      </c>
      <c r="L50" s="110">
        <f t="shared" si="7"/>
        <v>63069</v>
      </c>
    </row>
    <row r="51" spans="1:12" ht="12.75">
      <c r="A51" s="51">
        <v>38472</v>
      </c>
      <c r="B51" s="52">
        <v>102297</v>
      </c>
      <c r="C51" s="45">
        <v>464</v>
      </c>
      <c r="D51" s="45">
        <v>189</v>
      </c>
      <c r="E51" s="92">
        <f t="shared" si="8"/>
        <v>102950</v>
      </c>
      <c r="F51" s="58">
        <v>8923</v>
      </c>
      <c r="G51" s="45">
        <v>16670</v>
      </c>
      <c r="H51" s="45">
        <v>1249</v>
      </c>
      <c r="I51" s="45">
        <v>632</v>
      </c>
      <c r="J51" s="45">
        <v>147</v>
      </c>
      <c r="K51" s="102">
        <f t="shared" si="9"/>
        <v>27621</v>
      </c>
      <c r="L51" s="110">
        <f t="shared" si="7"/>
        <v>76116</v>
      </c>
    </row>
    <row r="52" spans="1:12" ht="12.75">
      <c r="A52" s="51">
        <v>38503</v>
      </c>
      <c r="B52" s="52">
        <v>92709</v>
      </c>
      <c r="C52" s="45">
        <v>147</v>
      </c>
      <c r="D52" s="45">
        <v>200</v>
      </c>
      <c r="E52" s="92">
        <f t="shared" si="8"/>
        <v>93056</v>
      </c>
      <c r="F52" s="58">
        <v>28331</v>
      </c>
      <c r="G52" s="45">
        <v>3249</v>
      </c>
      <c r="H52" s="45">
        <v>2037</v>
      </c>
      <c r="I52" s="45">
        <v>778</v>
      </c>
      <c r="J52" s="45">
        <v>165</v>
      </c>
      <c r="K52" s="102">
        <f t="shared" si="9"/>
        <v>34560</v>
      </c>
      <c r="L52" s="110">
        <f t="shared" si="7"/>
        <v>69117</v>
      </c>
    </row>
    <row r="53" spans="1:12" ht="13.5" thickBot="1">
      <c r="A53" s="337">
        <v>38533</v>
      </c>
      <c r="B53" s="342">
        <v>95231</v>
      </c>
      <c r="C53" s="341">
        <v>171</v>
      </c>
      <c r="D53" s="341">
        <v>259</v>
      </c>
      <c r="E53" s="93">
        <f t="shared" si="8"/>
        <v>95661</v>
      </c>
      <c r="F53" s="340">
        <v>24578</v>
      </c>
      <c r="G53" s="341">
        <v>7679</v>
      </c>
      <c r="H53" s="341">
        <v>2421</v>
      </c>
      <c r="I53" s="341">
        <v>892</v>
      </c>
      <c r="J53" s="341">
        <v>136</v>
      </c>
      <c r="K53" s="103">
        <f t="shared" si="9"/>
        <v>35706</v>
      </c>
      <c r="L53" s="264">
        <f t="shared" si="7"/>
        <v>71559</v>
      </c>
    </row>
    <row r="54" spans="1:12" ht="12.75" hidden="1">
      <c r="A54" s="49">
        <v>38199</v>
      </c>
      <c r="B54" s="50"/>
      <c r="C54" s="44"/>
      <c r="D54" s="44"/>
      <c r="E54" s="92">
        <f t="shared" si="8"/>
        <v>0</v>
      </c>
      <c r="F54" s="64"/>
      <c r="G54" s="44"/>
      <c r="H54" s="44"/>
      <c r="I54" s="44"/>
      <c r="J54" s="44"/>
      <c r="K54" s="101">
        <f t="shared" si="9"/>
        <v>0</v>
      </c>
      <c r="L54" s="265">
        <f t="shared" si="7"/>
        <v>0</v>
      </c>
    </row>
    <row r="55" spans="1:12" ht="12.75" hidden="1">
      <c r="A55" s="51">
        <v>38230</v>
      </c>
      <c r="B55" s="52"/>
      <c r="C55" s="45"/>
      <c r="D55" s="45"/>
      <c r="E55" s="92">
        <f t="shared" si="8"/>
        <v>0</v>
      </c>
      <c r="F55" s="58"/>
      <c r="G55" s="45"/>
      <c r="H55" s="45"/>
      <c r="I55" s="45"/>
      <c r="J55" s="45"/>
      <c r="K55" s="102">
        <f t="shared" si="9"/>
        <v>0</v>
      </c>
      <c r="L55" s="110">
        <f t="shared" si="7"/>
        <v>0</v>
      </c>
    </row>
    <row r="56" spans="1:12" ht="12.75" hidden="1">
      <c r="A56" s="51">
        <v>38260</v>
      </c>
      <c r="B56" s="52"/>
      <c r="C56" s="45"/>
      <c r="D56" s="45"/>
      <c r="E56" s="92">
        <f t="shared" si="8"/>
        <v>0</v>
      </c>
      <c r="F56" s="58"/>
      <c r="G56" s="45"/>
      <c r="H56" s="45"/>
      <c r="I56" s="45"/>
      <c r="J56" s="45"/>
      <c r="K56" s="102">
        <f t="shared" si="9"/>
        <v>0</v>
      </c>
      <c r="L56" s="110">
        <f t="shared" si="7"/>
        <v>0</v>
      </c>
    </row>
    <row r="57" spans="1:12" ht="12.75" hidden="1">
      <c r="A57" s="53">
        <v>38291</v>
      </c>
      <c r="B57" s="54"/>
      <c r="C57" s="46"/>
      <c r="D57" s="46"/>
      <c r="E57" s="92">
        <f t="shared" si="8"/>
        <v>0</v>
      </c>
      <c r="F57" s="66"/>
      <c r="G57" s="46"/>
      <c r="H57" s="46"/>
      <c r="I57" s="46"/>
      <c r="J57" s="46"/>
      <c r="K57" s="102">
        <f t="shared" si="9"/>
        <v>0</v>
      </c>
      <c r="L57" s="110">
        <f t="shared" si="7"/>
        <v>0</v>
      </c>
    </row>
    <row r="58" spans="1:12" ht="12.75" hidden="1">
      <c r="A58" s="51">
        <v>38321</v>
      </c>
      <c r="B58" s="52"/>
      <c r="C58" s="45"/>
      <c r="D58" s="45"/>
      <c r="E58" s="92">
        <f t="shared" si="8"/>
        <v>0</v>
      </c>
      <c r="F58" s="58"/>
      <c r="G58" s="45"/>
      <c r="H58" s="45"/>
      <c r="I58" s="45"/>
      <c r="J58" s="45"/>
      <c r="K58" s="102">
        <f t="shared" si="9"/>
        <v>0</v>
      </c>
      <c r="L58" s="110">
        <f t="shared" si="7"/>
        <v>0</v>
      </c>
    </row>
    <row r="59" spans="1:12" ht="13.5" hidden="1" thickBot="1">
      <c r="A59" s="55">
        <v>38352</v>
      </c>
      <c r="B59" s="56"/>
      <c r="C59" s="57"/>
      <c r="D59" s="57"/>
      <c r="E59" s="93">
        <f t="shared" si="8"/>
        <v>0</v>
      </c>
      <c r="F59" s="67"/>
      <c r="G59" s="57"/>
      <c r="H59" s="57"/>
      <c r="I59" s="57"/>
      <c r="J59" s="57"/>
      <c r="K59" s="103">
        <f t="shared" si="9"/>
        <v>0</v>
      </c>
      <c r="L59" s="277">
        <f t="shared" si="7"/>
        <v>0</v>
      </c>
    </row>
    <row r="61" spans="1:12" ht="12.75" customHeight="1">
      <c r="A61" s="905" t="s">
        <v>430</v>
      </c>
      <c r="B61" s="996"/>
      <c r="C61" s="996"/>
      <c r="D61" s="996"/>
      <c r="E61" s="996"/>
      <c r="F61" s="996"/>
      <c r="G61" s="996"/>
      <c r="H61" s="996"/>
      <c r="I61" s="996"/>
      <c r="J61" s="996"/>
      <c r="K61" s="996"/>
      <c r="L61" s="997"/>
    </row>
    <row r="62" spans="1:12" ht="12.75">
      <c r="A62" s="998"/>
      <c r="B62" s="999"/>
      <c r="C62" s="999"/>
      <c r="D62" s="999"/>
      <c r="E62" s="999"/>
      <c r="F62" s="999"/>
      <c r="G62" s="999"/>
      <c r="H62" s="999"/>
      <c r="I62" s="999"/>
      <c r="J62" s="999"/>
      <c r="K62" s="999"/>
      <c r="L62" s="1000"/>
    </row>
    <row r="63" spans="1:12" ht="12.75">
      <c r="A63" s="1001"/>
      <c r="B63" s="1002"/>
      <c r="C63" s="1002"/>
      <c r="D63" s="1002"/>
      <c r="E63" s="1002"/>
      <c r="F63" s="1002"/>
      <c r="G63" s="1002"/>
      <c r="H63" s="1002"/>
      <c r="I63" s="1002"/>
      <c r="J63" s="1002"/>
      <c r="K63" s="1002"/>
      <c r="L63" s="1003"/>
    </row>
    <row r="65" ht="3" customHeight="1"/>
    <row r="66" ht="16.5" thickBot="1">
      <c r="A66" s="25" t="s">
        <v>93</v>
      </c>
    </row>
    <row r="67" spans="1:12" ht="13.5" customHeight="1">
      <c r="A67" s="926" t="s">
        <v>80</v>
      </c>
      <c r="B67" s="855" t="s">
        <v>42</v>
      </c>
      <c r="C67" s="856"/>
      <c r="D67" s="857"/>
      <c r="E67" s="919" t="s">
        <v>80</v>
      </c>
      <c r="F67" s="920"/>
      <c r="G67" s="856" t="s">
        <v>44</v>
      </c>
      <c r="H67" s="856"/>
      <c r="I67" s="858"/>
      <c r="J67" s="856" t="s">
        <v>1</v>
      </c>
      <c r="K67" s="856"/>
      <c r="L67" s="858"/>
    </row>
    <row r="68" spans="1:12" ht="28.5" customHeight="1" thickBot="1">
      <c r="A68" s="927"/>
      <c r="B68" s="127" t="s">
        <v>90</v>
      </c>
      <c r="C68" s="122" t="s">
        <v>91</v>
      </c>
      <c r="D68" s="124" t="s">
        <v>92</v>
      </c>
      <c r="E68" s="921"/>
      <c r="F68" s="922"/>
      <c r="G68" s="122" t="s">
        <v>90</v>
      </c>
      <c r="H68" s="122" t="s">
        <v>91</v>
      </c>
      <c r="I68" s="123" t="s">
        <v>92</v>
      </c>
      <c r="J68" s="122" t="s">
        <v>90</v>
      </c>
      <c r="K68" s="122" t="s">
        <v>91</v>
      </c>
      <c r="L68" s="123" t="s">
        <v>92</v>
      </c>
    </row>
    <row r="69" spans="1:12" ht="20.25" customHeight="1">
      <c r="A69" s="301" t="s">
        <v>81</v>
      </c>
      <c r="B69" s="115">
        <v>124.31</v>
      </c>
      <c r="C69" s="116">
        <v>52608681</v>
      </c>
      <c r="D69" s="128">
        <f aca="true" t="shared" si="10" ref="D69:D75">+IF(B69&gt;0,C69/B69/12,"")</f>
        <v>35267.128549593755</v>
      </c>
      <c r="E69" s="917" t="s">
        <v>81</v>
      </c>
      <c r="F69" s="918"/>
      <c r="G69" s="355">
        <v>124.07</v>
      </c>
      <c r="H69" s="186">
        <v>54139056</v>
      </c>
      <c r="I69" s="128">
        <f aca="true" t="shared" si="11" ref="I69:I79">+IF(G69&gt;0,H69/G69/12,"")</f>
        <v>36363.24655436447</v>
      </c>
      <c r="J69" s="355">
        <v>125.09</v>
      </c>
      <c r="K69" s="186">
        <v>27686767</v>
      </c>
      <c r="L69" s="128">
        <f aca="true" t="shared" si="12" ref="L69:L75">+K69/J69/6</f>
        <v>36889.129160337885</v>
      </c>
    </row>
    <row r="70" spans="1:12" ht="20.25" customHeight="1">
      <c r="A70" s="301" t="s">
        <v>82</v>
      </c>
      <c r="B70" s="117">
        <v>4.68</v>
      </c>
      <c r="C70" s="118">
        <v>1286992</v>
      </c>
      <c r="D70" s="65">
        <f t="shared" si="10"/>
        <v>22916.52421652422</v>
      </c>
      <c r="E70" s="917" t="s">
        <v>82</v>
      </c>
      <c r="F70" s="918"/>
      <c r="G70" s="356">
        <v>4</v>
      </c>
      <c r="H70" s="46">
        <v>1298831</v>
      </c>
      <c r="I70" s="65">
        <f t="shared" si="11"/>
        <v>27058.979166666668</v>
      </c>
      <c r="J70" s="356">
        <v>4</v>
      </c>
      <c r="K70" s="46">
        <v>674011</v>
      </c>
      <c r="L70" s="65">
        <f t="shared" si="12"/>
        <v>28083.791666666668</v>
      </c>
    </row>
    <row r="71" spans="1:12" ht="20.25" customHeight="1">
      <c r="A71" s="301" t="s">
        <v>83</v>
      </c>
      <c r="B71" s="117">
        <v>7.43</v>
      </c>
      <c r="C71" s="118">
        <v>2017292</v>
      </c>
      <c r="D71" s="65">
        <f t="shared" si="10"/>
        <v>22625.527142216244</v>
      </c>
      <c r="E71" s="917" t="s">
        <v>118</v>
      </c>
      <c r="F71" s="918"/>
      <c r="G71" s="356">
        <v>403.1</v>
      </c>
      <c r="H71" s="46">
        <v>80148124</v>
      </c>
      <c r="I71" s="65">
        <f t="shared" si="11"/>
        <v>16569.115190606135</v>
      </c>
      <c r="J71" s="356">
        <v>398.23</v>
      </c>
      <c r="K71" s="46">
        <v>39650732</v>
      </c>
      <c r="L71" s="128">
        <f t="shared" si="12"/>
        <v>16594.569302496882</v>
      </c>
    </row>
    <row r="72" spans="1:12" ht="20.25" customHeight="1">
      <c r="A72" s="301" t="s">
        <v>84</v>
      </c>
      <c r="B72" s="117">
        <v>1</v>
      </c>
      <c r="C72" s="118">
        <v>124306</v>
      </c>
      <c r="D72" s="65">
        <f t="shared" si="10"/>
        <v>10358.833333333334</v>
      </c>
      <c r="E72" s="917" t="s">
        <v>117</v>
      </c>
      <c r="F72" s="918"/>
      <c r="G72" s="356">
        <v>68.57</v>
      </c>
      <c r="H72" s="46">
        <v>14472306</v>
      </c>
      <c r="I72" s="65">
        <f t="shared" si="11"/>
        <v>17588.23829663118</v>
      </c>
      <c r="J72" s="356">
        <v>65.58</v>
      </c>
      <c r="K72" s="46">
        <v>7106786</v>
      </c>
      <c r="L72" s="65">
        <f t="shared" si="12"/>
        <v>18061.365253634238</v>
      </c>
    </row>
    <row r="73" spans="1:12" ht="20.25" customHeight="1">
      <c r="A73" s="301" t="s">
        <v>85</v>
      </c>
      <c r="B73" s="117">
        <v>493.89</v>
      </c>
      <c r="C73" s="118">
        <v>100074495</v>
      </c>
      <c r="D73" s="65">
        <f t="shared" si="10"/>
        <v>16885.422361254532</v>
      </c>
      <c r="E73" s="917" t="s">
        <v>119</v>
      </c>
      <c r="F73" s="918"/>
      <c r="G73" s="356">
        <v>14.47</v>
      </c>
      <c r="H73" s="46">
        <v>2499355</v>
      </c>
      <c r="I73" s="65">
        <f t="shared" si="11"/>
        <v>14393.889656761115</v>
      </c>
      <c r="J73" s="356">
        <v>17.14</v>
      </c>
      <c r="K73" s="46">
        <v>1625915</v>
      </c>
      <c r="L73" s="128">
        <f t="shared" si="12"/>
        <v>15810.141968105796</v>
      </c>
    </row>
    <row r="74" spans="1:12" ht="20.25" customHeight="1">
      <c r="A74" s="301" t="s">
        <v>86</v>
      </c>
      <c r="B74" s="117">
        <v>2</v>
      </c>
      <c r="C74" s="118">
        <v>338499</v>
      </c>
      <c r="D74" s="65">
        <f t="shared" si="10"/>
        <v>14104.125</v>
      </c>
      <c r="E74" s="917" t="s">
        <v>120</v>
      </c>
      <c r="F74" s="918"/>
      <c r="G74" s="356">
        <v>86.54</v>
      </c>
      <c r="H74" s="46">
        <v>11215137</v>
      </c>
      <c r="I74" s="65">
        <f t="shared" si="11"/>
        <v>10799.569563207764</v>
      </c>
      <c r="J74" s="356">
        <v>94.4</v>
      </c>
      <c r="K74" s="46">
        <v>6265383</v>
      </c>
      <c r="L74" s="65">
        <f t="shared" si="12"/>
        <v>11061.763771186439</v>
      </c>
    </row>
    <row r="75" spans="1:12" ht="20.25" customHeight="1">
      <c r="A75" s="301" t="s">
        <v>87</v>
      </c>
      <c r="B75" s="117">
        <v>73.86</v>
      </c>
      <c r="C75" s="118">
        <v>9580536</v>
      </c>
      <c r="D75" s="65">
        <f t="shared" si="10"/>
        <v>10809.341998375305</v>
      </c>
      <c r="E75" s="917" t="s">
        <v>121</v>
      </c>
      <c r="F75" s="918"/>
      <c r="G75" s="356">
        <v>7.11</v>
      </c>
      <c r="H75" s="46">
        <v>1915073</v>
      </c>
      <c r="I75" s="65">
        <f t="shared" si="11"/>
        <v>22445.76887013596</v>
      </c>
      <c r="J75" s="356">
        <v>4.77</v>
      </c>
      <c r="K75" s="46">
        <v>614782</v>
      </c>
      <c r="L75" s="128">
        <f t="shared" si="12"/>
        <v>21480.852550663873</v>
      </c>
    </row>
    <row r="76" spans="1:12" ht="20.25" customHeight="1">
      <c r="A76" s="301"/>
      <c r="B76" s="117"/>
      <c r="C76" s="118"/>
      <c r="D76" s="65"/>
      <c r="E76" s="917" t="s">
        <v>122</v>
      </c>
      <c r="F76" s="918"/>
      <c r="G76" s="356">
        <v>0</v>
      </c>
      <c r="H76" s="46">
        <v>0</v>
      </c>
      <c r="I76" s="65">
        <f t="shared" si="11"/>
      </c>
      <c r="J76" s="356">
        <v>0</v>
      </c>
      <c r="K76" s="46">
        <v>0</v>
      </c>
      <c r="L76" s="65"/>
    </row>
    <row r="77" spans="1:12" ht="20.25" customHeight="1">
      <c r="A77" s="301" t="s">
        <v>88</v>
      </c>
      <c r="B77" s="117">
        <v>65.3</v>
      </c>
      <c r="C77" s="118">
        <v>11189804</v>
      </c>
      <c r="D77" s="65">
        <f>+IF(B77&gt;0,C77/B77/12,"")</f>
        <v>14279.994895354774</v>
      </c>
      <c r="E77" s="917" t="s">
        <v>88</v>
      </c>
      <c r="F77" s="918"/>
      <c r="G77" s="357">
        <v>60.42</v>
      </c>
      <c r="H77" s="45">
        <v>10358807</v>
      </c>
      <c r="I77" s="65">
        <f t="shared" si="11"/>
        <v>14287.221394681672</v>
      </c>
      <c r="J77" s="357">
        <v>60.87</v>
      </c>
      <c r="K77" s="45">
        <v>5411388</v>
      </c>
      <c r="L77" s="65">
        <f>+K77/J77/6</f>
        <v>14816.789880072285</v>
      </c>
    </row>
    <row r="78" spans="1:12" ht="28.5" customHeight="1" thickBot="1">
      <c r="A78" s="382" t="s">
        <v>89</v>
      </c>
      <c r="B78" s="117">
        <v>170.9</v>
      </c>
      <c r="C78" s="118">
        <v>19160133</v>
      </c>
      <c r="D78" s="65">
        <f>+IF(B78&gt;0,C78/B78/12,"")</f>
        <v>9342.760386190754</v>
      </c>
      <c r="E78" s="923" t="s">
        <v>123</v>
      </c>
      <c r="F78" s="782"/>
      <c r="G78" s="355">
        <v>160.03</v>
      </c>
      <c r="H78" s="186">
        <v>17706729</v>
      </c>
      <c r="I78" s="128">
        <f t="shared" si="11"/>
        <v>9220.525838905205</v>
      </c>
      <c r="J78" s="355">
        <v>155.92</v>
      </c>
      <c r="K78" s="186">
        <v>8784934</v>
      </c>
      <c r="L78" s="128">
        <f>+K78/J78/6</f>
        <v>9390.428852402942</v>
      </c>
    </row>
    <row r="79" spans="1:12" s="35" customFormat="1" ht="22.5" customHeight="1" thickBot="1">
      <c r="A79" s="302" t="s">
        <v>31</v>
      </c>
      <c r="B79" s="119">
        <f>SUM(B69:B78)</f>
        <v>943.3699999999999</v>
      </c>
      <c r="C79" s="120">
        <f>SUM(C69:C78)</f>
        <v>196380738</v>
      </c>
      <c r="D79" s="121">
        <f>+IF(B79&gt;0,C79/B79/12,"")</f>
        <v>17347.447449039086</v>
      </c>
      <c r="E79" s="924" t="s">
        <v>31</v>
      </c>
      <c r="F79" s="925"/>
      <c r="G79" s="358">
        <f>SUM(G69:G78)</f>
        <v>928.31</v>
      </c>
      <c r="H79" s="47">
        <f>SUM(H69:H78)</f>
        <v>193753418</v>
      </c>
      <c r="I79" s="121">
        <f t="shared" si="11"/>
        <v>17393.024061646076</v>
      </c>
      <c r="J79" s="358">
        <f>SUM(J69:J78)</f>
        <v>926</v>
      </c>
      <c r="K79" s="47">
        <f>SUM(K69:K78)</f>
        <v>97820698</v>
      </c>
      <c r="L79" s="121">
        <f>+K79/J79/6</f>
        <v>17606.31713462923</v>
      </c>
    </row>
    <row r="81" spans="1:12" ht="12.75" customHeight="1">
      <c r="A81" s="905" t="s">
        <v>431</v>
      </c>
      <c r="B81" s="996"/>
      <c r="C81" s="996"/>
      <c r="D81" s="996"/>
      <c r="E81" s="996"/>
      <c r="F81" s="996"/>
      <c r="G81" s="996"/>
      <c r="H81" s="996"/>
      <c r="I81" s="996"/>
      <c r="J81" s="996"/>
      <c r="K81" s="996"/>
      <c r="L81" s="997"/>
    </row>
    <row r="82" spans="1:12" ht="12.75">
      <c r="A82" s="998"/>
      <c r="B82" s="999"/>
      <c r="C82" s="999"/>
      <c r="D82" s="999"/>
      <c r="E82" s="999"/>
      <c r="F82" s="999"/>
      <c r="G82" s="999"/>
      <c r="H82" s="999"/>
      <c r="I82" s="999"/>
      <c r="J82" s="999"/>
      <c r="K82" s="999"/>
      <c r="L82" s="1000"/>
    </row>
    <row r="83" spans="1:12" ht="12.75">
      <c r="A83" s="998"/>
      <c r="B83" s="999"/>
      <c r="C83" s="999"/>
      <c r="D83" s="999"/>
      <c r="E83" s="999"/>
      <c r="F83" s="999"/>
      <c r="G83" s="999"/>
      <c r="H83" s="999"/>
      <c r="I83" s="999"/>
      <c r="J83" s="999"/>
      <c r="K83" s="999"/>
      <c r="L83" s="1000"/>
    </row>
    <row r="84" spans="1:12" ht="12.75">
      <c r="A84" s="1001"/>
      <c r="B84" s="1002"/>
      <c r="C84" s="1002"/>
      <c r="D84" s="1002"/>
      <c r="E84" s="1002"/>
      <c r="F84" s="1002"/>
      <c r="G84" s="1002"/>
      <c r="H84" s="1002"/>
      <c r="I84" s="1002"/>
      <c r="J84" s="1002"/>
      <c r="K84" s="1002"/>
      <c r="L84" s="1003"/>
    </row>
    <row r="86" ht="4.5" customHeight="1"/>
    <row r="87" spans="1:9" ht="16.5" thickBot="1">
      <c r="A87" s="25" t="s">
        <v>116</v>
      </c>
      <c r="B87" s="129"/>
      <c r="C87" s="129"/>
      <c r="D87" s="129"/>
      <c r="E87" s="129"/>
      <c r="F87" s="129"/>
      <c r="G87" s="129"/>
      <c r="H87" s="129"/>
      <c r="I87" s="129"/>
    </row>
    <row r="88" spans="1:12" ht="13.5" thickBot="1">
      <c r="A88" s="869" t="s">
        <v>94</v>
      </c>
      <c r="B88" s="785"/>
      <c r="C88" s="882" t="s">
        <v>95</v>
      </c>
      <c r="D88" s="777"/>
      <c r="E88" s="777"/>
      <c r="F88" s="777"/>
      <c r="G88" s="706"/>
      <c r="H88" s="882" t="s">
        <v>96</v>
      </c>
      <c r="I88" s="777"/>
      <c r="J88" s="777"/>
      <c r="K88" s="777"/>
      <c r="L88" s="706"/>
    </row>
    <row r="89" spans="1:12" ht="13.5" thickBot="1">
      <c r="A89" s="870"/>
      <c r="B89" s="727"/>
      <c r="C89" s="259">
        <v>2003</v>
      </c>
      <c r="D89" s="10">
        <v>2004</v>
      </c>
      <c r="E89" s="363" t="s">
        <v>97</v>
      </c>
      <c r="F89" s="10">
        <v>2005</v>
      </c>
      <c r="G89" s="260" t="s">
        <v>97</v>
      </c>
      <c r="H89" s="130">
        <v>2003</v>
      </c>
      <c r="I89" s="10">
        <v>2004</v>
      </c>
      <c r="J89" s="396" t="s">
        <v>97</v>
      </c>
      <c r="K89" s="232">
        <v>2005</v>
      </c>
      <c r="L89" s="402" t="s">
        <v>97</v>
      </c>
    </row>
    <row r="90" spans="1:12" ht="12.75">
      <c r="A90" s="880" t="s">
        <v>98</v>
      </c>
      <c r="B90" s="727"/>
      <c r="C90" s="554">
        <v>122</v>
      </c>
      <c r="D90" s="134">
        <v>122</v>
      </c>
      <c r="E90" s="552">
        <f>+D90-C90</f>
        <v>0</v>
      </c>
      <c r="F90" s="134">
        <v>122</v>
      </c>
      <c r="G90" s="550">
        <f aca="true" t="shared" si="13" ref="G90:G108">+F90-D90</f>
        <v>0</v>
      </c>
      <c r="H90" s="135">
        <v>74</v>
      </c>
      <c r="I90" s="359">
        <f>31920/44652*100</f>
        <v>71.48615963450685</v>
      </c>
      <c r="J90" s="136">
        <f>+I90-H90</f>
        <v>-2.5138403654931523</v>
      </c>
      <c r="K90" s="406">
        <v>76.8</v>
      </c>
      <c r="L90" s="403">
        <f aca="true" t="shared" si="14" ref="L90:L108">+K90-I90</f>
        <v>5.313840365493149</v>
      </c>
    </row>
    <row r="91" spans="1:12" ht="12.75">
      <c r="A91" s="880" t="s">
        <v>99</v>
      </c>
      <c r="B91" s="727"/>
      <c r="C91" s="555">
        <v>22</v>
      </c>
      <c r="D91" s="140">
        <v>22</v>
      </c>
      <c r="E91" s="553">
        <f>+D91-C91</f>
        <v>0</v>
      </c>
      <c r="F91" s="140">
        <v>22</v>
      </c>
      <c r="G91" s="550">
        <f t="shared" si="13"/>
        <v>0</v>
      </c>
      <c r="H91" s="141">
        <v>57</v>
      </c>
      <c r="I91" s="360">
        <f>0.495156482861401*100</f>
        <v>49.51564828614009</v>
      </c>
      <c r="J91" s="142">
        <f>+I91-H91</f>
        <v>-7.484351713859908</v>
      </c>
      <c r="K91" s="407">
        <v>50.7</v>
      </c>
      <c r="L91" s="403">
        <f t="shared" si="14"/>
        <v>1.1843517138599111</v>
      </c>
    </row>
    <row r="92" spans="1:12" ht="12.75">
      <c r="A92" s="880" t="s">
        <v>100</v>
      </c>
      <c r="B92" s="727"/>
      <c r="C92" s="555"/>
      <c r="D92" s="140"/>
      <c r="E92" s="553"/>
      <c r="F92" s="140"/>
      <c r="G92" s="550">
        <f t="shared" si="13"/>
        <v>0</v>
      </c>
      <c r="H92" s="141"/>
      <c r="I92" s="360"/>
      <c r="J92" s="142"/>
      <c r="K92" s="407"/>
      <c r="L92" s="403">
        <f t="shared" si="14"/>
        <v>0</v>
      </c>
    </row>
    <row r="93" spans="1:12" ht="12.75">
      <c r="A93" s="880" t="s">
        <v>101</v>
      </c>
      <c r="B93" s="727"/>
      <c r="C93" s="555">
        <v>44</v>
      </c>
      <c r="D93" s="140">
        <v>44</v>
      </c>
      <c r="E93" s="553">
        <f>+D93-C93</f>
        <v>0</v>
      </c>
      <c r="F93" s="140">
        <v>44</v>
      </c>
      <c r="G93" s="550">
        <f t="shared" si="13"/>
        <v>0</v>
      </c>
      <c r="H93" s="141">
        <v>66.2</v>
      </c>
      <c r="I93" s="360">
        <f>0.618293591654247*100</f>
        <v>61.829359165424734</v>
      </c>
      <c r="J93" s="142">
        <f>+I93-H93</f>
        <v>-4.370640834575269</v>
      </c>
      <c r="K93" s="407">
        <v>63.7</v>
      </c>
      <c r="L93" s="403">
        <f t="shared" si="14"/>
        <v>1.8706408345752692</v>
      </c>
    </row>
    <row r="94" spans="1:12" ht="12.75">
      <c r="A94" s="880" t="s">
        <v>102</v>
      </c>
      <c r="B94" s="727"/>
      <c r="C94" s="555"/>
      <c r="D94" s="140"/>
      <c r="E94" s="553"/>
      <c r="F94" s="140"/>
      <c r="G94" s="550">
        <f t="shared" si="13"/>
        <v>0</v>
      </c>
      <c r="H94" s="141"/>
      <c r="I94" s="360"/>
      <c r="J94" s="142"/>
      <c r="K94" s="407"/>
      <c r="L94" s="403">
        <f t="shared" si="14"/>
        <v>0</v>
      </c>
    </row>
    <row r="95" spans="1:12" ht="12.75">
      <c r="A95" s="880" t="s">
        <v>103</v>
      </c>
      <c r="B95" s="727"/>
      <c r="C95" s="555">
        <v>50</v>
      </c>
      <c r="D95" s="140">
        <v>50</v>
      </c>
      <c r="E95" s="553">
        <f aca="true" t="shared" si="15" ref="E95:E103">+D95-C95</f>
        <v>0</v>
      </c>
      <c r="F95" s="140">
        <v>50</v>
      </c>
      <c r="G95" s="550">
        <f t="shared" si="13"/>
        <v>0</v>
      </c>
      <c r="H95" s="141">
        <v>75.8</v>
      </c>
      <c r="I95" s="360">
        <f>0.680655737704918*100</f>
        <v>68.06557377049181</v>
      </c>
      <c r="J95" s="142">
        <f aca="true" t="shared" si="16" ref="J95:J103">+I95-H95</f>
        <v>-7.734426229508188</v>
      </c>
      <c r="K95" s="407">
        <v>83.8</v>
      </c>
      <c r="L95" s="403">
        <f t="shared" si="14"/>
        <v>15.734426229508188</v>
      </c>
    </row>
    <row r="96" spans="1:12" ht="12.75">
      <c r="A96" s="880" t="s">
        <v>104</v>
      </c>
      <c r="B96" s="727"/>
      <c r="C96" s="555">
        <v>59</v>
      </c>
      <c r="D96" s="140">
        <v>59</v>
      </c>
      <c r="E96" s="553">
        <f t="shared" si="15"/>
        <v>0</v>
      </c>
      <c r="F96" s="140">
        <v>59</v>
      </c>
      <c r="G96" s="550">
        <f t="shared" si="13"/>
        <v>0</v>
      </c>
      <c r="H96" s="141">
        <v>70.8</v>
      </c>
      <c r="I96" s="360">
        <f>0.670649254422525*100</f>
        <v>67.06492544225247</v>
      </c>
      <c r="J96" s="142">
        <f t="shared" si="16"/>
        <v>-3.7350745577475237</v>
      </c>
      <c r="K96" s="407">
        <v>57.6</v>
      </c>
      <c r="L96" s="403">
        <f t="shared" si="14"/>
        <v>-9.464925442252472</v>
      </c>
    </row>
    <row r="97" spans="1:12" ht="12.75">
      <c r="A97" s="880" t="s">
        <v>105</v>
      </c>
      <c r="B97" s="727"/>
      <c r="C97" s="555">
        <v>82</v>
      </c>
      <c r="D97" s="140">
        <v>82</v>
      </c>
      <c r="E97" s="553">
        <f t="shared" si="15"/>
        <v>0</v>
      </c>
      <c r="F97" s="140">
        <v>82</v>
      </c>
      <c r="G97" s="550">
        <f t="shared" si="13"/>
        <v>0</v>
      </c>
      <c r="H97" s="141">
        <v>82.4</v>
      </c>
      <c r="I97" s="360">
        <f>0.77995468479275*100</f>
        <v>77.99546847927495</v>
      </c>
      <c r="J97" s="142">
        <f t="shared" si="16"/>
        <v>-4.404531520725058</v>
      </c>
      <c r="K97" s="407">
        <v>81.2</v>
      </c>
      <c r="L97" s="403">
        <f t="shared" si="14"/>
        <v>3.2045315207250553</v>
      </c>
    </row>
    <row r="98" spans="1:12" ht="12.75">
      <c r="A98" s="880" t="s">
        <v>106</v>
      </c>
      <c r="B98" s="727"/>
      <c r="C98" s="555">
        <v>6</v>
      </c>
      <c r="D98" s="140">
        <v>6</v>
      </c>
      <c r="E98" s="553">
        <f t="shared" si="15"/>
        <v>0</v>
      </c>
      <c r="F98" s="140">
        <v>6</v>
      </c>
      <c r="G98" s="550">
        <f t="shared" si="13"/>
        <v>0</v>
      </c>
      <c r="H98" s="141">
        <v>77.8</v>
      </c>
      <c r="I98" s="360">
        <f>0.748178506375228*100</f>
        <v>74.81785063752277</v>
      </c>
      <c r="J98" s="142">
        <f t="shared" si="16"/>
        <v>-2.98214936247723</v>
      </c>
      <c r="K98" s="407">
        <v>73.9</v>
      </c>
      <c r="L98" s="403">
        <f t="shared" si="14"/>
        <v>-0.9178506375227613</v>
      </c>
    </row>
    <row r="99" spans="1:12" ht="12.75">
      <c r="A99" s="880" t="s">
        <v>107</v>
      </c>
      <c r="B99" s="727"/>
      <c r="C99" s="555">
        <v>27</v>
      </c>
      <c r="D99" s="140">
        <v>30</v>
      </c>
      <c r="E99" s="553">
        <f t="shared" si="15"/>
        <v>3</v>
      </c>
      <c r="F99" s="140">
        <v>30</v>
      </c>
      <c r="G99" s="550">
        <f t="shared" si="13"/>
        <v>0</v>
      </c>
      <c r="H99" s="141">
        <v>80.9</v>
      </c>
      <c r="I99" s="360">
        <f>0.792261494535788*100</f>
        <v>79.22614945357881</v>
      </c>
      <c r="J99" s="142">
        <f t="shared" si="16"/>
        <v>-1.6738505464211926</v>
      </c>
      <c r="K99" s="407">
        <v>76.5</v>
      </c>
      <c r="L99" s="403">
        <f t="shared" si="14"/>
        <v>-2.726149453578813</v>
      </c>
    </row>
    <row r="100" spans="1:12" ht="12.75">
      <c r="A100" s="880" t="s">
        <v>108</v>
      </c>
      <c r="B100" s="727"/>
      <c r="C100" s="555">
        <v>21</v>
      </c>
      <c r="D100" s="140">
        <v>21</v>
      </c>
      <c r="E100" s="553">
        <f t="shared" si="15"/>
        <v>0</v>
      </c>
      <c r="F100" s="140">
        <v>21</v>
      </c>
      <c r="G100" s="550">
        <f t="shared" si="13"/>
        <v>0</v>
      </c>
      <c r="H100" s="141">
        <v>76.7</v>
      </c>
      <c r="I100" s="360">
        <f>0.727816809784023*100</f>
        <v>72.78168097840229</v>
      </c>
      <c r="J100" s="142">
        <f t="shared" si="16"/>
        <v>-3.9183190215977106</v>
      </c>
      <c r="K100" s="407">
        <v>71.1</v>
      </c>
      <c r="L100" s="403">
        <f t="shared" si="14"/>
        <v>-1.681680978402298</v>
      </c>
    </row>
    <row r="101" spans="1:12" ht="12.75">
      <c r="A101" s="880" t="s">
        <v>109</v>
      </c>
      <c r="B101" s="727"/>
      <c r="C101" s="555">
        <v>20</v>
      </c>
      <c r="D101" s="140">
        <v>11</v>
      </c>
      <c r="E101" s="553">
        <f t="shared" si="15"/>
        <v>-9</v>
      </c>
      <c r="F101" s="140">
        <v>11</v>
      </c>
      <c r="G101" s="550">
        <f t="shared" si="13"/>
        <v>0</v>
      </c>
      <c r="H101" s="141">
        <v>69.8</v>
      </c>
      <c r="I101" s="360">
        <f>0.689665793931927*100</f>
        <v>68.96657939319267</v>
      </c>
      <c r="J101" s="142">
        <f t="shared" si="16"/>
        <v>-0.8334206068073229</v>
      </c>
      <c r="K101" s="407">
        <v>113.4</v>
      </c>
      <c r="L101" s="403">
        <f t="shared" si="14"/>
        <v>44.43342060680733</v>
      </c>
    </row>
    <row r="102" spans="1:12" ht="12.75">
      <c r="A102" s="880" t="s">
        <v>110</v>
      </c>
      <c r="B102" s="727"/>
      <c r="C102" s="555">
        <v>12</v>
      </c>
      <c r="D102" s="140">
        <v>11</v>
      </c>
      <c r="E102" s="553">
        <f t="shared" si="15"/>
        <v>-1</v>
      </c>
      <c r="F102" s="140">
        <v>11</v>
      </c>
      <c r="G102" s="550">
        <f t="shared" si="13"/>
        <v>0</v>
      </c>
      <c r="H102" s="141">
        <v>76.3</v>
      </c>
      <c r="I102" s="360">
        <f>0.70906976744186*100</f>
        <v>70.90697674418604</v>
      </c>
      <c r="J102" s="142">
        <f t="shared" si="16"/>
        <v>-5.393023255813958</v>
      </c>
      <c r="K102" s="407">
        <v>83.5</v>
      </c>
      <c r="L102" s="403">
        <f t="shared" si="14"/>
        <v>12.59302325581396</v>
      </c>
    </row>
    <row r="103" spans="1:12" ht="12.75">
      <c r="A103" s="880" t="s">
        <v>111</v>
      </c>
      <c r="B103" s="727"/>
      <c r="C103" s="555">
        <v>20</v>
      </c>
      <c r="D103" s="140">
        <v>20</v>
      </c>
      <c r="E103" s="553">
        <f t="shared" si="15"/>
        <v>0</v>
      </c>
      <c r="F103" s="140">
        <v>20</v>
      </c>
      <c r="G103" s="550">
        <f t="shared" si="13"/>
        <v>0</v>
      </c>
      <c r="H103" s="141">
        <v>70.9</v>
      </c>
      <c r="I103" s="360">
        <f>0.659836065573771*100</f>
        <v>65.98360655737704</v>
      </c>
      <c r="J103" s="142">
        <f t="shared" si="16"/>
        <v>-4.916393442622962</v>
      </c>
      <c r="K103" s="407">
        <v>68.1</v>
      </c>
      <c r="L103" s="403">
        <f t="shared" si="14"/>
        <v>2.1163934426229503</v>
      </c>
    </row>
    <row r="104" spans="1:12" ht="12.75">
      <c r="A104" s="880" t="s">
        <v>112</v>
      </c>
      <c r="B104" s="727"/>
      <c r="C104" s="555"/>
      <c r="D104" s="140"/>
      <c r="E104" s="553"/>
      <c r="F104" s="140"/>
      <c r="G104" s="550">
        <f t="shared" si="13"/>
        <v>0</v>
      </c>
      <c r="H104" s="141"/>
      <c r="I104" s="360"/>
      <c r="J104" s="142"/>
      <c r="K104" s="407"/>
      <c r="L104" s="403">
        <f t="shared" si="14"/>
        <v>0</v>
      </c>
    </row>
    <row r="105" spans="1:12" ht="12.75">
      <c r="A105" s="880" t="s">
        <v>113</v>
      </c>
      <c r="B105" s="727"/>
      <c r="C105" s="555"/>
      <c r="D105" s="140"/>
      <c r="E105" s="553"/>
      <c r="F105" s="140"/>
      <c r="G105" s="550">
        <f t="shared" si="13"/>
        <v>0</v>
      </c>
      <c r="H105" s="141"/>
      <c r="I105" s="360"/>
      <c r="J105" s="142"/>
      <c r="K105" s="407"/>
      <c r="L105" s="403">
        <f t="shared" si="14"/>
        <v>0</v>
      </c>
    </row>
    <row r="106" spans="1:12" ht="12.75">
      <c r="A106" s="880" t="s">
        <v>427</v>
      </c>
      <c r="B106" s="727"/>
      <c r="C106" s="555">
        <v>62</v>
      </c>
      <c r="D106" s="140">
        <v>62</v>
      </c>
      <c r="E106" s="553">
        <f>+D106-C106</f>
        <v>0</v>
      </c>
      <c r="F106" s="140">
        <v>62</v>
      </c>
      <c r="G106" s="550">
        <f t="shared" si="13"/>
        <v>0</v>
      </c>
      <c r="H106" s="141"/>
      <c r="I106" s="360"/>
      <c r="J106" s="142"/>
      <c r="K106" s="407"/>
      <c r="L106" s="403">
        <f t="shared" si="14"/>
        <v>0</v>
      </c>
    </row>
    <row r="107" spans="1:12" ht="13.5" thickBot="1">
      <c r="A107" s="867" t="s">
        <v>428</v>
      </c>
      <c r="B107" s="842"/>
      <c r="C107" s="556">
        <v>100</v>
      </c>
      <c r="D107" s="146">
        <v>100</v>
      </c>
      <c r="E107" s="557">
        <f>+D107-C107</f>
        <v>0</v>
      </c>
      <c r="F107" s="146">
        <v>100</v>
      </c>
      <c r="G107" s="551">
        <f t="shared" si="13"/>
        <v>0</v>
      </c>
      <c r="H107" s="147"/>
      <c r="I107" s="400"/>
      <c r="J107" s="148"/>
      <c r="K107" s="408"/>
      <c r="L107" s="404">
        <f t="shared" si="14"/>
        <v>0</v>
      </c>
    </row>
    <row r="108" spans="1:12" ht="13.5" thickBot="1">
      <c r="A108" s="868" t="s">
        <v>31</v>
      </c>
      <c r="B108" s="749"/>
      <c r="C108" s="510">
        <f>SUM(C90:C107)</f>
        <v>647</v>
      </c>
      <c r="D108" s="152">
        <f>SUM(D90:D107)</f>
        <v>640</v>
      </c>
      <c r="E108" s="558">
        <f>+D108-C108</f>
        <v>-7</v>
      </c>
      <c r="F108" s="152">
        <f>SUM(F90:F107)</f>
        <v>640</v>
      </c>
      <c r="G108" s="512">
        <f t="shared" si="13"/>
        <v>0</v>
      </c>
      <c r="H108" s="153">
        <v>74.1</v>
      </c>
      <c r="I108" s="401">
        <f>123851/176866*100</f>
        <v>70.02532991077992</v>
      </c>
      <c r="J108" s="154">
        <f>+I108-H108</f>
        <v>-4.074670089220078</v>
      </c>
      <c r="K108" s="409">
        <v>73.8</v>
      </c>
      <c r="L108" s="405">
        <f t="shared" si="14"/>
        <v>3.7746700892200806</v>
      </c>
    </row>
    <row r="110" spans="1:12" ht="12.75" customHeight="1">
      <c r="A110" s="1157" t="s">
        <v>433</v>
      </c>
      <c r="B110" s="1078"/>
      <c r="C110" s="1078"/>
      <c r="D110" s="1078"/>
      <c r="E110" s="1078"/>
      <c r="F110" s="1078"/>
      <c r="G110" s="1078"/>
      <c r="H110" s="1078"/>
      <c r="I110" s="1078"/>
      <c r="J110" s="1078"/>
      <c r="K110" s="1078"/>
      <c r="L110" s="1079"/>
    </row>
    <row r="111" spans="1:12" ht="12.75">
      <c r="A111" s="1038"/>
      <c r="B111" s="875"/>
      <c r="C111" s="875"/>
      <c r="D111" s="875"/>
      <c r="E111" s="875"/>
      <c r="F111" s="875"/>
      <c r="G111" s="875"/>
      <c r="H111" s="875"/>
      <c r="I111" s="875"/>
      <c r="J111" s="875"/>
      <c r="K111" s="875"/>
      <c r="L111" s="1080"/>
    </row>
    <row r="112" spans="1:12" ht="12.75">
      <c r="A112" s="1038"/>
      <c r="B112" s="875"/>
      <c r="C112" s="875"/>
      <c r="D112" s="875"/>
      <c r="E112" s="875"/>
      <c r="F112" s="875"/>
      <c r="G112" s="875"/>
      <c r="H112" s="875"/>
      <c r="I112" s="875"/>
      <c r="J112" s="875"/>
      <c r="K112" s="875"/>
      <c r="L112" s="1080"/>
    </row>
    <row r="113" spans="1:12" ht="12.75">
      <c r="A113" s="1040"/>
      <c r="B113" s="1041"/>
      <c r="C113" s="1041"/>
      <c r="D113" s="1041"/>
      <c r="E113" s="1041"/>
      <c r="F113" s="1041"/>
      <c r="G113" s="1041"/>
      <c r="H113" s="1041"/>
      <c r="I113" s="1041"/>
      <c r="J113" s="1041"/>
      <c r="K113" s="1041"/>
      <c r="L113" s="1081"/>
    </row>
    <row r="114" ht="9" customHeight="1"/>
    <row r="115" spans="1:12" ht="16.5" thickBot="1">
      <c r="A115" s="25" t="s">
        <v>182</v>
      </c>
      <c r="L115" s="274" t="s">
        <v>19</v>
      </c>
    </row>
    <row r="116" spans="1:12" s="245" customFormat="1" ht="21.75" customHeight="1" thickBot="1">
      <c r="A116" s="859" t="s">
        <v>192</v>
      </c>
      <c r="B116" s="860"/>
      <c r="C116" s="860"/>
      <c r="D116" s="860"/>
      <c r="E116" s="901" t="s">
        <v>173</v>
      </c>
      <c r="F116" s="902"/>
      <c r="G116" s="35"/>
      <c r="H116" s="859" t="s">
        <v>193</v>
      </c>
      <c r="I116" s="860"/>
      <c r="J116" s="860"/>
      <c r="K116" s="901" t="s">
        <v>173</v>
      </c>
      <c r="L116" s="902"/>
    </row>
    <row r="117" spans="1:12" s="245" customFormat="1" ht="18.75" customHeight="1">
      <c r="A117" s="899" t="s">
        <v>174</v>
      </c>
      <c r="B117" s="900"/>
      <c r="C117" s="900"/>
      <c r="D117" s="900"/>
      <c r="E117" s="1016">
        <v>556000</v>
      </c>
      <c r="F117" s="785"/>
      <c r="H117" s="899" t="s">
        <v>175</v>
      </c>
      <c r="I117" s="900"/>
      <c r="J117" s="900"/>
      <c r="K117" s="896">
        <f>+F156</f>
        <v>980484.9</v>
      </c>
      <c r="L117" s="828"/>
    </row>
    <row r="118" spans="1:12" s="245" customFormat="1" ht="15.75" customHeight="1">
      <c r="A118" s="892" t="s">
        <v>175</v>
      </c>
      <c r="B118" s="893"/>
      <c r="C118" s="893"/>
      <c r="D118" s="893"/>
      <c r="E118" s="1004">
        <v>9902000</v>
      </c>
      <c r="F118" s="727"/>
      <c r="H118" s="892" t="s">
        <v>176</v>
      </c>
      <c r="I118" s="893"/>
      <c r="J118" s="893"/>
      <c r="K118" s="817">
        <f>+H156</f>
        <v>0</v>
      </c>
      <c r="L118" s="904"/>
    </row>
    <row r="119" spans="1:12" s="245" customFormat="1" ht="13.5" customHeight="1">
      <c r="A119" s="892" t="s">
        <v>176</v>
      </c>
      <c r="B119" s="893"/>
      <c r="C119" s="893"/>
      <c r="D119" s="893"/>
      <c r="E119" s="1004">
        <v>405735.25</v>
      </c>
      <c r="F119" s="727"/>
      <c r="H119" s="892" t="s">
        <v>178</v>
      </c>
      <c r="I119" s="893"/>
      <c r="J119" s="893"/>
      <c r="K119" s="817">
        <v>0</v>
      </c>
      <c r="L119" s="818"/>
    </row>
    <row r="120" spans="1:12" s="245" customFormat="1" ht="15" customHeight="1">
      <c r="A120" s="892" t="s">
        <v>177</v>
      </c>
      <c r="B120" s="893"/>
      <c r="C120" s="893"/>
      <c r="D120" s="893"/>
      <c r="E120" s="1004">
        <v>0</v>
      </c>
      <c r="F120" s="727"/>
      <c r="H120" s="892" t="s">
        <v>386</v>
      </c>
      <c r="I120" s="893"/>
      <c r="J120" s="893"/>
      <c r="K120" s="817">
        <f>+I156</f>
        <v>3956265</v>
      </c>
      <c r="L120" s="818"/>
    </row>
    <row r="121" spans="1:12" s="245" customFormat="1" ht="12" customHeight="1">
      <c r="A121" s="892" t="s">
        <v>178</v>
      </c>
      <c r="B121" s="893"/>
      <c r="C121" s="893"/>
      <c r="D121" s="893"/>
      <c r="E121" s="1004">
        <v>0</v>
      </c>
      <c r="F121" s="727"/>
      <c r="H121" s="1114"/>
      <c r="I121" s="1115"/>
      <c r="J121" s="1116"/>
      <c r="K121" s="1149"/>
      <c r="L121" s="1150"/>
    </row>
    <row r="122" spans="1:12" s="245" customFormat="1" ht="13.5" customHeight="1">
      <c r="A122" s="892" t="s">
        <v>201</v>
      </c>
      <c r="B122" s="893"/>
      <c r="C122" s="893"/>
      <c r="D122" s="893"/>
      <c r="E122" s="1004">
        <v>590338</v>
      </c>
      <c r="F122" s="727"/>
      <c r="G122" s="35"/>
      <c r="H122" s="1011"/>
      <c r="I122" s="1012"/>
      <c r="J122" s="1013"/>
      <c r="K122" s="827"/>
      <c r="L122" s="828"/>
    </row>
    <row r="123" spans="1:12" ht="13.5" thickBot="1">
      <c r="A123" s="894" t="s">
        <v>179</v>
      </c>
      <c r="B123" s="895"/>
      <c r="C123" s="895"/>
      <c r="D123" s="895"/>
      <c r="E123" s="897">
        <f>SUM(E117:F122)</f>
        <v>11454073.25</v>
      </c>
      <c r="F123" s="898"/>
      <c r="G123" s="35"/>
      <c r="H123" s="894" t="s">
        <v>180</v>
      </c>
      <c r="I123" s="895"/>
      <c r="J123" s="895"/>
      <c r="K123" s="897">
        <f>SUM(K117:L122)</f>
        <v>4936749.9</v>
      </c>
      <c r="L123" s="898"/>
    </row>
    <row r="124" ht="13.5" thickBot="1"/>
    <row r="125" spans="1:12" ht="33.75">
      <c r="A125" s="829" t="s">
        <v>206</v>
      </c>
      <c r="B125" s="949"/>
      <c r="C125" s="784"/>
      <c r="D125" s="785"/>
      <c r="E125" s="429" t="s">
        <v>362</v>
      </c>
      <c r="F125" s="429" t="s">
        <v>313</v>
      </c>
      <c r="G125" s="915" t="s">
        <v>209</v>
      </c>
      <c r="H125" s="952"/>
      <c r="I125" s="416" t="s">
        <v>385</v>
      </c>
      <c r="J125" s="429" t="s">
        <v>363</v>
      </c>
      <c r="K125" s="1057" t="s">
        <v>327</v>
      </c>
      <c r="L125" s="914" t="s">
        <v>328</v>
      </c>
    </row>
    <row r="126" spans="1:12" ht="16.5" customHeight="1" thickBot="1">
      <c r="A126" s="845"/>
      <c r="B126" s="950"/>
      <c r="C126" s="846"/>
      <c r="D126" s="710"/>
      <c r="E126" s="417" t="s">
        <v>364</v>
      </c>
      <c r="F126" s="1" t="s">
        <v>212</v>
      </c>
      <c r="G126" s="91" t="s">
        <v>213</v>
      </c>
      <c r="H126" s="1" t="s">
        <v>214</v>
      </c>
      <c r="I126" s="1" t="s">
        <v>215</v>
      </c>
      <c r="J126" s="1" t="s">
        <v>216</v>
      </c>
      <c r="K126" s="712"/>
      <c r="L126" s="787"/>
    </row>
    <row r="127" spans="1:12" ht="21.75" customHeight="1">
      <c r="A127" s="933" t="s">
        <v>365</v>
      </c>
      <c r="B127" s="1144"/>
      <c r="C127" s="1144"/>
      <c r="D127" s="1145"/>
      <c r="E127" s="4"/>
      <c r="F127" s="4"/>
      <c r="G127" s="4"/>
      <c r="H127" s="4"/>
      <c r="I127" s="4">
        <f>4031+3047118.2+42017.5+16176.6+90456.5+756465.2</f>
        <v>3956265</v>
      </c>
      <c r="J127" s="4">
        <f>+E127+F127+G127+H127+I127</f>
        <v>3956265</v>
      </c>
      <c r="K127" s="460">
        <v>4600000</v>
      </c>
      <c r="L127" s="86">
        <f aca="true" t="shared" si="17" ref="L127:L132">+K127-J127</f>
        <v>643735</v>
      </c>
    </row>
    <row r="128" spans="1:12" ht="21.75" customHeight="1">
      <c r="A128" s="933" t="s">
        <v>366</v>
      </c>
      <c r="B128" s="1144"/>
      <c r="C128" s="1144"/>
      <c r="D128" s="1145"/>
      <c r="E128" s="4"/>
      <c r="F128" s="4"/>
      <c r="G128" s="4"/>
      <c r="H128" s="4"/>
      <c r="I128" s="4"/>
      <c r="J128" s="4">
        <f>SUM(E128:I128)</f>
        <v>0</v>
      </c>
      <c r="K128" s="460">
        <v>2046000</v>
      </c>
      <c r="L128" s="86">
        <f t="shared" si="17"/>
        <v>2046000</v>
      </c>
    </row>
    <row r="129" spans="1:12" ht="15" customHeight="1">
      <c r="A129" s="933" t="s">
        <v>367</v>
      </c>
      <c r="B129" s="1144"/>
      <c r="C129" s="1144"/>
      <c r="D129" s="1145"/>
      <c r="E129" s="4"/>
      <c r="F129" s="4"/>
      <c r="G129" s="4"/>
      <c r="H129" s="4"/>
      <c r="I129" s="4"/>
      <c r="J129" s="4">
        <f>SUM(E129:I129)</f>
        <v>0</v>
      </c>
      <c r="K129" s="460">
        <v>1000000</v>
      </c>
      <c r="L129" s="86">
        <f t="shared" si="17"/>
        <v>1000000</v>
      </c>
    </row>
    <row r="130" spans="1:12" ht="12.75">
      <c r="A130" s="933" t="s">
        <v>368</v>
      </c>
      <c r="B130" s="1144"/>
      <c r="C130" s="1144"/>
      <c r="D130" s="1145"/>
      <c r="E130" s="4"/>
      <c r="F130" s="4"/>
      <c r="G130" s="4"/>
      <c r="H130" s="4"/>
      <c r="I130" s="4"/>
      <c r="J130" s="4">
        <f>SUM(E130:I130)</f>
        <v>0</v>
      </c>
      <c r="K130" s="460">
        <v>2400000</v>
      </c>
      <c r="L130" s="86">
        <f t="shared" si="17"/>
        <v>2400000</v>
      </c>
    </row>
    <row r="131" spans="1:12" ht="12.75">
      <c r="A131" s="933" t="s">
        <v>369</v>
      </c>
      <c r="B131" s="1144"/>
      <c r="C131" s="1144"/>
      <c r="D131" s="1145"/>
      <c r="E131" s="4"/>
      <c r="F131" s="4"/>
      <c r="G131" s="4"/>
      <c r="H131" s="4"/>
      <c r="I131" s="4"/>
      <c r="J131" s="4">
        <f>SUM(F131:I131)</f>
        <v>0</v>
      </c>
      <c r="K131" s="460">
        <v>200000</v>
      </c>
      <c r="L131" s="86">
        <f t="shared" si="17"/>
        <v>200000</v>
      </c>
    </row>
    <row r="132" spans="1:12" ht="13.5" thickBot="1">
      <c r="A132" s="939" t="s">
        <v>370</v>
      </c>
      <c r="B132" s="1146"/>
      <c r="C132" s="1146"/>
      <c r="D132" s="1147"/>
      <c r="E132" s="4"/>
      <c r="F132" s="4"/>
      <c r="G132" s="4"/>
      <c r="H132" s="4"/>
      <c r="I132" s="4"/>
      <c r="J132" s="4">
        <f>SUM(F132:I132)</f>
        <v>0</v>
      </c>
      <c r="K132" s="460">
        <v>0</v>
      </c>
      <c r="L132" s="86">
        <f t="shared" si="17"/>
        <v>0</v>
      </c>
    </row>
    <row r="133" spans="1:12" ht="13.5" thickBot="1">
      <c r="A133" s="1148" t="s">
        <v>339</v>
      </c>
      <c r="B133" s="777"/>
      <c r="C133" s="777"/>
      <c r="D133" s="706"/>
      <c r="E133" s="47">
        <f>SUM(E127:E132)</f>
        <v>0</v>
      </c>
      <c r="F133" s="47">
        <f>SUM(F127:F132)</f>
        <v>0</v>
      </c>
      <c r="G133" s="47">
        <f>SUM(G127:G132)</f>
        <v>0</v>
      </c>
      <c r="H133" s="47">
        <f>SUM(H127:H132)</f>
        <v>0</v>
      </c>
      <c r="I133" s="47">
        <f>+I127+I128+I129+I130+I131+I132</f>
        <v>3956265</v>
      </c>
      <c r="J133" s="47">
        <f>+J127+J128+J129+J130+J131+J132</f>
        <v>3956265</v>
      </c>
      <c r="K133" s="455">
        <f>SUM(K127:K132)</f>
        <v>10246000</v>
      </c>
      <c r="L133" s="121">
        <f>SUM(L127:L132)</f>
        <v>6289735</v>
      </c>
    </row>
    <row r="134" spans="5:10" ht="5.25" customHeight="1" thickBot="1">
      <c r="E134" s="300"/>
      <c r="F134" s="300"/>
      <c r="G134" s="300"/>
      <c r="H134" s="300"/>
      <c r="I134" s="300"/>
      <c r="J134" s="300"/>
    </row>
    <row r="135" spans="1:12" ht="36" customHeight="1">
      <c r="A135" s="829" t="s">
        <v>222</v>
      </c>
      <c r="B135" s="949"/>
      <c r="C135" s="784"/>
      <c r="D135" s="785"/>
      <c r="E135" s="429" t="s">
        <v>207</v>
      </c>
      <c r="F135" s="429" t="s">
        <v>313</v>
      </c>
      <c r="G135" s="915" t="s">
        <v>209</v>
      </c>
      <c r="H135" s="952"/>
      <c r="I135" s="416" t="s">
        <v>385</v>
      </c>
      <c r="J135" s="429" t="s">
        <v>224</v>
      </c>
      <c r="K135" s="1057" t="s">
        <v>327</v>
      </c>
      <c r="L135" s="914" t="s">
        <v>328</v>
      </c>
    </row>
    <row r="136" spans="1:12" ht="19.5" customHeight="1" thickBot="1">
      <c r="A136" s="845" t="s">
        <v>225</v>
      </c>
      <c r="B136" s="950"/>
      <c r="C136" s="846"/>
      <c r="D136" s="710"/>
      <c r="E136" s="417" t="s">
        <v>239</v>
      </c>
      <c r="F136" s="1" t="s">
        <v>212</v>
      </c>
      <c r="G136" s="478" t="s">
        <v>226</v>
      </c>
      <c r="H136" s="1" t="s">
        <v>214</v>
      </c>
      <c r="I136" s="1" t="s">
        <v>215</v>
      </c>
      <c r="J136" s="1" t="s">
        <v>216</v>
      </c>
      <c r="K136" s="712"/>
      <c r="L136" s="787"/>
    </row>
    <row r="137" spans="1:12" ht="21" customHeight="1">
      <c r="A137" s="933" t="s">
        <v>371</v>
      </c>
      <c r="B137" s="1144"/>
      <c r="C137" s="1144"/>
      <c r="D137" s="1145"/>
      <c r="E137" s="4"/>
      <c r="F137" s="4">
        <v>464000</v>
      </c>
      <c r="G137" s="4"/>
      <c r="H137" s="4"/>
      <c r="I137" s="4"/>
      <c r="J137" s="4">
        <f>+E137+F137+G137+H137+I137</f>
        <v>464000</v>
      </c>
      <c r="K137" s="460">
        <v>464000</v>
      </c>
      <c r="L137" s="86">
        <f aca="true" t="shared" si="18" ref="L137:L153">+K137-J137</f>
        <v>0</v>
      </c>
    </row>
    <row r="138" spans="1:12" ht="12.75">
      <c r="A138" s="933" t="s">
        <v>372</v>
      </c>
      <c r="B138" s="1144"/>
      <c r="C138" s="1144"/>
      <c r="D138" s="1145"/>
      <c r="E138" s="80"/>
      <c r="F138" s="2"/>
      <c r="G138" s="2"/>
      <c r="H138" s="2"/>
      <c r="I138" s="2"/>
      <c r="J138" s="2">
        <f>SUM(E138:I138)</f>
        <v>0</v>
      </c>
      <c r="K138" s="460">
        <v>0</v>
      </c>
      <c r="L138" s="86">
        <f t="shared" si="18"/>
        <v>0</v>
      </c>
    </row>
    <row r="139" spans="1:12" ht="12.75">
      <c r="A139" s="933" t="s">
        <v>373</v>
      </c>
      <c r="B139" s="1144"/>
      <c r="C139" s="1144"/>
      <c r="D139" s="1145"/>
      <c r="E139" s="80"/>
      <c r="F139" s="2">
        <v>109470.9</v>
      </c>
      <c r="G139" s="2"/>
      <c r="H139" s="2"/>
      <c r="I139" s="2"/>
      <c r="J139" s="2">
        <f>+E139+F139+G139+H139+I139</f>
        <v>109470.9</v>
      </c>
      <c r="K139" s="460">
        <v>110000</v>
      </c>
      <c r="L139" s="86">
        <f t="shared" si="18"/>
        <v>529.1000000000058</v>
      </c>
    </row>
    <row r="140" spans="1:12" ht="12.75">
      <c r="A140" s="933" t="s">
        <v>374</v>
      </c>
      <c r="B140" s="1144"/>
      <c r="C140" s="1144"/>
      <c r="D140" s="1145"/>
      <c r="E140" s="80"/>
      <c r="F140" s="2">
        <v>243164</v>
      </c>
      <c r="G140" s="2"/>
      <c r="H140" s="2"/>
      <c r="I140" s="2"/>
      <c r="J140" s="2">
        <f>+E140+F140+G140+H140+I140</f>
        <v>243164</v>
      </c>
      <c r="K140" s="460">
        <v>250000</v>
      </c>
      <c r="L140" s="86">
        <f t="shared" si="18"/>
        <v>6836</v>
      </c>
    </row>
    <row r="141" spans="1:12" ht="12.75">
      <c r="A141" s="933" t="s">
        <v>375</v>
      </c>
      <c r="B141" s="1144"/>
      <c r="C141" s="1144"/>
      <c r="D141" s="1145"/>
      <c r="E141" s="80"/>
      <c r="F141" s="2">
        <v>74000</v>
      </c>
      <c r="G141" s="2"/>
      <c r="H141" s="2"/>
      <c r="I141" s="2"/>
      <c r="J141" s="2">
        <f>+E141+F141+G141+H141+I141</f>
        <v>74000</v>
      </c>
      <c r="K141" s="460">
        <v>75000</v>
      </c>
      <c r="L141" s="86">
        <f t="shared" si="18"/>
        <v>1000</v>
      </c>
    </row>
    <row r="142" spans="1:12" ht="12.75">
      <c r="A142" s="933" t="s">
        <v>376</v>
      </c>
      <c r="B142" s="1144"/>
      <c r="C142" s="1144"/>
      <c r="D142" s="1145"/>
      <c r="E142" s="80"/>
      <c r="F142" s="2"/>
      <c r="G142" s="2"/>
      <c r="H142" s="2"/>
      <c r="I142" s="2"/>
      <c r="J142" s="2">
        <f aca="true" t="shared" si="19" ref="J142:J153">SUM(E142:I142)</f>
        <v>0</v>
      </c>
      <c r="K142" s="460">
        <v>450000</v>
      </c>
      <c r="L142" s="86">
        <f t="shared" si="18"/>
        <v>450000</v>
      </c>
    </row>
    <row r="143" spans="1:12" ht="12.75">
      <c r="A143" s="933" t="s">
        <v>377</v>
      </c>
      <c r="B143" s="1144"/>
      <c r="C143" s="1144"/>
      <c r="D143" s="1145"/>
      <c r="E143" s="80"/>
      <c r="F143" s="2"/>
      <c r="G143" s="2"/>
      <c r="H143" s="2"/>
      <c r="I143" s="2"/>
      <c r="J143" s="2">
        <f t="shared" si="19"/>
        <v>0</v>
      </c>
      <c r="K143" s="460">
        <v>200000</v>
      </c>
      <c r="L143" s="86">
        <f t="shared" si="18"/>
        <v>200000</v>
      </c>
    </row>
    <row r="144" spans="1:12" ht="12.75">
      <c r="A144" s="933" t="s">
        <v>378</v>
      </c>
      <c r="B144" s="1144"/>
      <c r="C144" s="1144"/>
      <c r="D144" s="1145"/>
      <c r="E144" s="80"/>
      <c r="F144" s="2">
        <f>83049+6801</f>
        <v>89850</v>
      </c>
      <c r="G144" s="2"/>
      <c r="H144" s="2"/>
      <c r="I144" s="2"/>
      <c r="J144" s="2">
        <f t="shared" si="19"/>
        <v>89850</v>
      </c>
      <c r="K144" s="460">
        <v>800000</v>
      </c>
      <c r="L144" s="86">
        <f t="shared" si="18"/>
        <v>710150</v>
      </c>
    </row>
    <row r="145" spans="1:12" ht="12.75">
      <c r="A145" s="933" t="s">
        <v>379</v>
      </c>
      <c r="B145" s="1144"/>
      <c r="C145" s="1144"/>
      <c r="D145" s="1145"/>
      <c r="E145" s="80"/>
      <c r="F145" s="2"/>
      <c r="G145" s="2"/>
      <c r="H145" s="2"/>
      <c r="I145" s="2"/>
      <c r="J145" s="2">
        <f t="shared" si="19"/>
        <v>0</v>
      </c>
      <c r="K145" s="460">
        <v>800000</v>
      </c>
      <c r="L145" s="86">
        <f t="shared" si="18"/>
        <v>800000</v>
      </c>
    </row>
    <row r="146" spans="1:12" ht="12.75">
      <c r="A146" s="933" t="s">
        <v>380</v>
      </c>
      <c r="B146" s="1144"/>
      <c r="C146" s="1144"/>
      <c r="D146" s="1145"/>
      <c r="E146" s="80"/>
      <c r="F146" s="2"/>
      <c r="G146" s="2"/>
      <c r="H146" s="2"/>
      <c r="I146" s="2"/>
      <c r="J146" s="2">
        <f t="shared" si="19"/>
        <v>0</v>
      </c>
      <c r="K146" s="460">
        <v>1000000</v>
      </c>
      <c r="L146" s="86">
        <f t="shared" si="18"/>
        <v>1000000</v>
      </c>
    </row>
    <row r="147" spans="1:12" ht="12.75">
      <c r="A147" s="933" t="s">
        <v>367</v>
      </c>
      <c r="B147" s="1144"/>
      <c r="C147" s="1144"/>
      <c r="D147" s="1145"/>
      <c r="E147" s="80"/>
      <c r="F147" s="2"/>
      <c r="G147" s="2"/>
      <c r="H147" s="2"/>
      <c r="I147" s="2"/>
      <c r="J147" s="2">
        <f t="shared" si="19"/>
        <v>0</v>
      </c>
      <c r="K147" s="460">
        <v>100000</v>
      </c>
      <c r="L147" s="86">
        <f t="shared" si="18"/>
        <v>100000</v>
      </c>
    </row>
    <row r="148" spans="1:12" ht="12.75">
      <c r="A148" s="933" t="s">
        <v>368</v>
      </c>
      <c r="B148" s="1144"/>
      <c r="C148" s="1144"/>
      <c r="D148" s="1145"/>
      <c r="E148" s="80"/>
      <c r="F148" s="2"/>
      <c r="G148" s="2"/>
      <c r="H148" s="2"/>
      <c r="I148" s="2"/>
      <c r="J148" s="2">
        <f t="shared" si="19"/>
        <v>0</v>
      </c>
      <c r="K148" s="460">
        <v>600000</v>
      </c>
      <c r="L148" s="86">
        <f t="shared" si="18"/>
        <v>600000</v>
      </c>
    </row>
    <row r="149" spans="1:12" ht="12.75">
      <c r="A149" s="933" t="s">
        <v>369</v>
      </c>
      <c r="B149" s="1144"/>
      <c r="C149" s="1144"/>
      <c r="D149" s="1145"/>
      <c r="E149" s="80"/>
      <c r="F149" s="2"/>
      <c r="G149" s="2"/>
      <c r="H149" s="2"/>
      <c r="I149" s="2"/>
      <c r="J149" s="2">
        <f t="shared" si="19"/>
        <v>0</v>
      </c>
      <c r="K149" s="460">
        <v>1100000</v>
      </c>
      <c r="L149" s="86">
        <f t="shared" si="18"/>
        <v>1100000</v>
      </c>
    </row>
    <row r="150" spans="1:12" ht="12.75">
      <c r="A150" s="933" t="s">
        <v>381</v>
      </c>
      <c r="B150" s="1144"/>
      <c r="C150" s="1144"/>
      <c r="D150" s="1145"/>
      <c r="E150" s="80"/>
      <c r="F150" s="2"/>
      <c r="G150" s="2"/>
      <c r="H150" s="2"/>
      <c r="I150" s="2"/>
      <c r="J150" s="2">
        <f t="shared" si="19"/>
        <v>0</v>
      </c>
      <c r="K150" s="460">
        <v>4300000</v>
      </c>
      <c r="L150" s="86">
        <f t="shared" si="18"/>
        <v>4300000</v>
      </c>
    </row>
    <row r="151" spans="1:12" ht="20.25" customHeight="1">
      <c r="A151" s="933" t="s">
        <v>382</v>
      </c>
      <c r="B151" s="1144"/>
      <c r="C151" s="1144"/>
      <c r="D151" s="1145"/>
      <c r="E151" s="4"/>
      <c r="F151" s="4"/>
      <c r="G151" s="4"/>
      <c r="H151" s="4"/>
      <c r="I151" s="4"/>
      <c r="J151" s="4">
        <f t="shared" si="19"/>
        <v>0</v>
      </c>
      <c r="K151" s="460">
        <v>7000000</v>
      </c>
      <c r="L151" s="86">
        <f t="shared" si="18"/>
        <v>7000000</v>
      </c>
    </row>
    <row r="152" spans="1:12" ht="12.75">
      <c r="A152" s="933" t="s">
        <v>383</v>
      </c>
      <c r="B152" s="1144"/>
      <c r="C152" s="1144"/>
      <c r="D152" s="1145"/>
      <c r="E152" s="80"/>
      <c r="F152" s="2"/>
      <c r="G152" s="2"/>
      <c r="H152" s="2"/>
      <c r="I152" s="2"/>
      <c r="J152" s="2">
        <f t="shared" si="19"/>
        <v>0</v>
      </c>
      <c r="K152" s="460">
        <v>3000000</v>
      </c>
      <c r="L152" s="86">
        <f t="shared" si="18"/>
        <v>3000000</v>
      </c>
    </row>
    <row r="153" spans="1:12" ht="13.5" thickBot="1">
      <c r="A153" s="933" t="s">
        <v>384</v>
      </c>
      <c r="B153" s="1144"/>
      <c r="C153" s="1144"/>
      <c r="D153" s="1145"/>
      <c r="E153" s="80"/>
      <c r="F153" s="2"/>
      <c r="G153" s="2"/>
      <c r="H153" s="2"/>
      <c r="I153" s="2"/>
      <c r="J153" s="2">
        <f t="shared" si="19"/>
        <v>0</v>
      </c>
      <c r="K153" s="460">
        <v>2640000</v>
      </c>
      <c r="L153" s="86">
        <f t="shared" si="18"/>
        <v>2640000</v>
      </c>
    </row>
    <row r="154" spans="1:12" ht="13.5" thickBot="1">
      <c r="A154" s="1148" t="s">
        <v>325</v>
      </c>
      <c r="B154" s="777"/>
      <c r="C154" s="777"/>
      <c r="D154" s="706"/>
      <c r="E154" s="466">
        <f>SUM(E137:E153)</f>
        <v>0</v>
      </c>
      <c r="F154" s="47">
        <f>+F137+F138+F139+F140+F141+F142+F143+F144+F145+F146+F147+F148+F149+F150+F151+F152+F153</f>
        <v>980484.9</v>
      </c>
      <c r="G154" s="47">
        <f>SUM(G137:G153)</f>
        <v>0</v>
      </c>
      <c r="H154" s="47">
        <f>SUM(H137:H153)</f>
        <v>0</v>
      </c>
      <c r="I154" s="47">
        <f>SUM(I137:I153)</f>
        <v>0</v>
      </c>
      <c r="J154" s="47">
        <f>SUM(J139:J153,J137:J138)</f>
        <v>980484.9</v>
      </c>
      <c r="K154" s="455">
        <f>SUM(K137:K153)</f>
        <v>22889000</v>
      </c>
      <c r="L154" s="121">
        <f>SUM(L137:L153)</f>
        <v>21908515.1</v>
      </c>
    </row>
    <row r="155" spans="1:12" ht="4.5" customHeight="1" thickBot="1">
      <c r="A155" s="257"/>
      <c r="E155" s="493"/>
      <c r="F155" s="493"/>
      <c r="G155" s="493"/>
      <c r="H155" s="493"/>
      <c r="I155" s="493"/>
      <c r="J155" s="493"/>
      <c r="K155" s="462"/>
      <c r="L155" s="462"/>
    </row>
    <row r="156" spans="1:12" ht="13.5" thickBot="1">
      <c r="A156" s="1148" t="s">
        <v>238</v>
      </c>
      <c r="B156" s="777"/>
      <c r="C156" s="777"/>
      <c r="D156" s="706"/>
      <c r="E156" s="47">
        <f aca="true" t="shared" si="20" ref="E156:L156">+E154+E133</f>
        <v>0</v>
      </c>
      <c r="F156" s="466">
        <f t="shared" si="20"/>
        <v>980484.9</v>
      </c>
      <c r="G156" s="47">
        <f t="shared" si="20"/>
        <v>0</v>
      </c>
      <c r="H156" s="466">
        <f t="shared" si="20"/>
        <v>0</v>
      </c>
      <c r="I156" s="47">
        <f t="shared" si="20"/>
        <v>3956265</v>
      </c>
      <c r="J156" s="466">
        <f t="shared" si="20"/>
        <v>4936749.9</v>
      </c>
      <c r="K156" s="455">
        <f t="shared" si="20"/>
        <v>33135000</v>
      </c>
      <c r="L156" s="121">
        <f t="shared" si="20"/>
        <v>28198250.1</v>
      </c>
    </row>
    <row r="159" spans="1:11" ht="16.5" thickBot="1">
      <c r="A159" s="25" t="s">
        <v>181</v>
      </c>
      <c r="K159" s="274" t="s">
        <v>194</v>
      </c>
    </row>
    <row r="160" spans="1:11" ht="12.75">
      <c r="A160" s="829" t="s">
        <v>124</v>
      </c>
      <c r="B160" s="784"/>
      <c r="C160" s="785"/>
      <c r="D160" s="217" t="s">
        <v>17</v>
      </c>
      <c r="E160" s="218"/>
      <c r="F160" s="200"/>
      <c r="G160" s="199" t="s">
        <v>18</v>
      </c>
      <c r="H160" s="218"/>
      <c r="I160" s="200"/>
      <c r="J160" s="829" t="s">
        <v>166</v>
      </c>
      <c r="K160" s="830"/>
    </row>
    <row r="161" spans="1:11" ht="12.75" customHeight="1">
      <c r="A161" s="844"/>
      <c r="B161" s="779"/>
      <c r="C161" s="727"/>
      <c r="D161" s="793" t="s">
        <v>125</v>
      </c>
      <c r="E161" s="850" t="s">
        <v>126</v>
      </c>
      <c r="F161" s="853" t="s">
        <v>31</v>
      </c>
      <c r="G161" s="793" t="s">
        <v>125</v>
      </c>
      <c r="H161" s="850" t="s">
        <v>126</v>
      </c>
      <c r="I161" s="853" t="s">
        <v>31</v>
      </c>
      <c r="J161" s="831"/>
      <c r="K161" s="832"/>
    </row>
    <row r="162" spans="1:11" ht="12.75" customHeight="1">
      <c r="A162" s="844"/>
      <c r="B162" s="779"/>
      <c r="C162" s="727"/>
      <c r="D162" s="866"/>
      <c r="E162" s="851" t="s">
        <v>127</v>
      </c>
      <c r="F162" s="854"/>
      <c r="G162" s="866"/>
      <c r="H162" s="851" t="s">
        <v>127</v>
      </c>
      <c r="I162" s="854"/>
      <c r="J162" s="833"/>
      <c r="K162" s="727"/>
    </row>
    <row r="163" spans="1:11" ht="13.5" thickBot="1">
      <c r="A163" s="845"/>
      <c r="B163" s="846"/>
      <c r="C163" s="710"/>
      <c r="D163" s="712"/>
      <c r="E163" s="852" t="s">
        <v>127</v>
      </c>
      <c r="F163" s="789"/>
      <c r="G163" s="712"/>
      <c r="H163" s="852" t="s">
        <v>127</v>
      </c>
      <c r="I163" s="789"/>
      <c r="J163" s="202" t="s">
        <v>97</v>
      </c>
      <c r="K163" s="203" t="s">
        <v>167</v>
      </c>
    </row>
    <row r="164" spans="1:11" ht="12.75">
      <c r="A164" s="847" t="s">
        <v>128</v>
      </c>
      <c r="B164" s="848"/>
      <c r="C164" s="849"/>
      <c r="D164" s="220">
        <v>452652</v>
      </c>
      <c r="E164" s="192">
        <v>1000</v>
      </c>
      <c r="F164" s="474">
        <f>SUM(D164:E164)</f>
        <v>453652</v>
      </c>
      <c r="G164" s="215">
        <v>229063</v>
      </c>
      <c r="H164" s="219">
        <v>481</v>
      </c>
      <c r="I164" s="276">
        <f aca="true" t="shared" si="21" ref="I164:I174">SUM(G164:H164)</f>
        <v>229544</v>
      </c>
      <c r="J164" s="205">
        <f>+I164-F164</f>
        <v>-224108</v>
      </c>
      <c r="K164" s="207">
        <f aca="true" t="shared" si="22" ref="K164:K175">+I164/F164</f>
        <v>0.5059913766499431</v>
      </c>
    </row>
    <row r="165" spans="1:11" ht="12.75" customHeight="1">
      <c r="A165" s="797" t="s">
        <v>129</v>
      </c>
      <c r="B165" s="779"/>
      <c r="C165" s="727"/>
      <c r="D165" s="213"/>
      <c r="E165" s="191"/>
      <c r="F165" s="201"/>
      <c r="G165" s="213">
        <v>225286</v>
      </c>
      <c r="H165" s="191"/>
      <c r="I165" s="201">
        <f t="shared" si="21"/>
        <v>225286</v>
      </c>
      <c r="J165" s="205"/>
      <c r="K165" s="207"/>
    </row>
    <row r="166" spans="1:11" ht="12.75" customHeight="1">
      <c r="A166" s="797" t="s">
        <v>130</v>
      </c>
      <c r="B166" s="779"/>
      <c r="C166" s="727"/>
      <c r="D166" s="213"/>
      <c r="E166" s="191"/>
      <c r="F166" s="201"/>
      <c r="G166" s="213">
        <v>3777</v>
      </c>
      <c r="H166" s="191">
        <v>481</v>
      </c>
      <c r="I166" s="195">
        <f t="shared" si="21"/>
        <v>4258</v>
      </c>
      <c r="J166" s="205"/>
      <c r="K166" s="207"/>
    </row>
    <row r="167" spans="1:11" ht="12.75" customHeight="1">
      <c r="A167" s="797" t="s">
        <v>131</v>
      </c>
      <c r="B167" s="779"/>
      <c r="C167" s="727"/>
      <c r="D167" s="220">
        <v>47300</v>
      </c>
      <c r="E167" s="192">
        <v>1700</v>
      </c>
      <c r="F167" s="474">
        <f>SUM(D167:E167)</f>
        <v>49000</v>
      </c>
      <c r="G167" s="213">
        <v>23086</v>
      </c>
      <c r="H167" s="191">
        <v>1251</v>
      </c>
      <c r="I167" s="201">
        <f t="shared" si="21"/>
        <v>24337</v>
      </c>
      <c r="J167" s="205">
        <f>+I167-F167</f>
        <v>-24663</v>
      </c>
      <c r="K167" s="207">
        <f t="shared" si="22"/>
        <v>0.4966734693877551</v>
      </c>
    </row>
    <row r="168" spans="1:11" ht="12.75" customHeight="1">
      <c r="A168" s="797" t="s">
        <v>132</v>
      </c>
      <c r="B168" s="779"/>
      <c r="C168" s="727"/>
      <c r="D168" s="220"/>
      <c r="E168" s="192"/>
      <c r="F168" s="226"/>
      <c r="G168" s="220">
        <v>21816</v>
      </c>
      <c r="H168" s="192">
        <v>1251</v>
      </c>
      <c r="I168" s="201">
        <f t="shared" si="21"/>
        <v>23067</v>
      </c>
      <c r="J168" s="205"/>
      <c r="K168" s="207"/>
    </row>
    <row r="169" spans="1:11" ht="12.75" customHeight="1">
      <c r="A169" s="797" t="s">
        <v>133</v>
      </c>
      <c r="B169" s="779"/>
      <c r="C169" s="727"/>
      <c r="D169" s="220">
        <v>13000</v>
      </c>
      <c r="E169" s="192"/>
      <c r="F169" s="474">
        <f aca="true" t="shared" si="23" ref="F169:F174">SUM(D169:E169)</f>
        <v>13000</v>
      </c>
      <c r="G169" s="213">
        <v>5771</v>
      </c>
      <c r="H169" s="191"/>
      <c r="I169" s="201">
        <f t="shared" si="21"/>
        <v>5771</v>
      </c>
      <c r="J169" s="205">
        <f aca="true" t="shared" si="24" ref="J169:J175">+I169-F169</f>
        <v>-7229</v>
      </c>
      <c r="K169" s="207">
        <f t="shared" si="22"/>
        <v>0.4439230769230769</v>
      </c>
    </row>
    <row r="170" spans="1:11" ht="12.75" customHeight="1">
      <c r="A170" s="797" t="s">
        <v>134</v>
      </c>
      <c r="B170" s="779"/>
      <c r="C170" s="727"/>
      <c r="D170" s="220">
        <v>1800</v>
      </c>
      <c r="E170" s="192">
        <v>300</v>
      </c>
      <c r="F170" s="474">
        <f t="shared" si="23"/>
        <v>2100</v>
      </c>
      <c r="G170" s="213">
        <v>1117</v>
      </c>
      <c r="H170" s="191">
        <v>134</v>
      </c>
      <c r="I170" s="201">
        <f t="shared" si="21"/>
        <v>1251</v>
      </c>
      <c r="J170" s="205">
        <f t="shared" si="24"/>
        <v>-849</v>
      </c>
      <c r="K170" s="207">
        <f t="shared" si="22"/>
        <v>0.5957142857142858</v>
      </c>
    </row>
    <row r="171" spans="1:11" ht="12.75" customHeight="1">
      <c r="A171" s="797" t="s">
        <v>135</v>
      </c>
      <c r="B171" s="779"/>
      <c r="C171" s="727"/>
      <c r="D171" s="220"/>
      <c r="E171" s="192"/>
      <c r="F171" s="474">
        <f t="shared" si="23"/>
        <v>0</v>
      </c>
      <c r="G171" s="213"/>
      <c r="H171" s="191"/>
      <c r="I171" s="201">
        <f t="shared" si="21"/>
        <v>0</v>
      </c>
      <c r="J171" s="205">
        <f t="shared" si="24"/>
        <v>0</v>
      </c>
      <c r="K171" s="207"/>
    </row>
    <row r="172" spans="1:11" ht="12.75" customHeight="1">
      <c r="A172" s="797" t="s">
        <v>136</v>
      </c>
      <c r="B172" s="779"/>
      <c r="C172" s="727"/>
      <c r="D172" s="220">
        <v>4460</v>
      </c>
      <c r="E172" s="192">
        <v>40</v>
      </c>
      <c r="F172" s="474">
        <f t="shared" si="23"/>
        <v>4500</v>
      </c>
      <c r="G172" s="213">
        <v>2063</v>
      </c>
      <c r="H172" s="191">
        <v>7</v>
      </c>
      <c r="I172" s="201">
        <f t="shared" si="21"/>
        <v>2070</v>
      </c>
      <c r="J172" s="205">
        <f t="shared" si="24"/>
        <v>-2430</v>
      </c>
      <c r="K172" s="207">
        <f t="shared" si="22"/>
        <v>0.46</v>
      </c>
    </row>
    <row r="173" spans="1:11" ht="12.75" customHeight="1">
      <c r="A173" s="797" t="s">
        <v>137</v>
      </c>
      <c r="B173" s="779"/>
      <c r="C173" s="727"/>
      <c r="D173" s="220"/>
      <c r="E173" s="192"/>
      <c r="F173" s="474">
        <f t="shared" si="23"/>
        <v>0</v>
      </c>
      <c r="G173" s="213"/>
      <c r="H173" s="191"/>
      <c r="I173" s="201">
        <f t="shared" si="21"/>
        <v>0</v>
      </c>
      <c r="J173" s="205">
        <f t="shared" si="24"/>
        <v>0</v>
      </c>
      <c r="K173" s="207"/>
    </row>
    <row r="174" spans="1:11" ht="12.75" customHeight="1" thickBot="1">
      <c r="A174" s="840" t="s">
        <v>138</v>
      </c>
      <c r="B174" s="841"/>
      <c r="C174" s="842"/>
      <c r="D174" s="216">
        <v>21300</v>
      </c>
      <c r="E174" s="418"/>
      <c r="F174" s="474">
        <f t="shared" si="23"/>
        <v>21300</v>
      </c>
      <c r="G174" s="216">
        <v>11454</v>
      </c>
      <c r="H174" s="221"/>
      <c r="I174" s="227">
        <f t="shared" si="21"/>
        <v>11454</v>
      </c>
      <c r="J174" s="205">
        <f t="shared" si="24"/>
        <v>-9846</v>
      </c>
      <c r="K174" s="207">
        <f t="shared" si="22"/>
        <v>0.5377464788732395</v>
      </c>
    </row>
    <row r="175" spans="1:11" ht="13.5" customHeight="1" thickBot="1">
      <c r="A175" s="800" t="s">
        <v>24</v>
      </c>
      <c r="B175" s="801"/>
      <c r="C175" s="802"/>
      <c r="D175" s="222">
        <f aca="true" t="shared" si="25" ref="D175:I175">SUM(D164+D167+D169+D170+D172+D174)</f>
        <v>540512</v>
      </c>
      <c r="E175" s="193">
        <f t="shared" si="25"/>
        <v>3040</v>
      </c>
      <c r="F175" s="225">
        <f t="shared" si="25"/>
        <v>543552</v>
      </c>
      <c r="G175" s="222">
        <f t="shared" si="25"/>
        <v>272554</v>
      </c>
      <c r="H175" s="193">
        <f t="shared" si="25"/>
        <v>1873</v>
      </c>
      <c r="I175" s="225">
        <f t="shared" si="25"/>
        <v>274427</v>
      </c>
      <c r="J175" s="206">
        <f t="shared" si="24"/>
        <v>-269125</v>
      </c>
      <c r="K175" s="208">
        <f t="shared" si="22"/>
        <v>0.5048771782644531</v>
      </c>
    </row>
    <row r="176" ht="13.5" customHeight="1" thickBot="1"/>
    <row r="177" spans="1:11" ht="12.75" customHeight="1">
      <c r="A177" s="843" t="s">
        <v>139</v>
      </c>
      <c r="B177" s="784"/>
      <c r="C177" s="785"/>
      <c r="D177" s="423">
        <v>130047</v>
      </c>
      <c r="E177" s="424">
        <v>470</v>
      </c>
      <c r="F177" s="454">
        <f aca="true" t="shared" si="26" ref="F177:F204">SUM(D177:E177)</f>
        <v>130517</v>
      </c>
      <c r="G177" s="215">
        <v>65498</v>
      </c>
      <c r="H177" s="219">
        <v>224</v>
      </c>
      <c r="I177" s="194">
        <f aca="true" t="shared" si="27" ref="I177:I204">SUM(G177:H177)</f>
        <v>65722</v>
      </c>
      <c r="J177" s="209">
        <f aca="true" t="shared" si="28" ref="J177:J205">+I177-F177</f>
        <v>-64795</v>
      </c>
      <c r="K177" s="373">
        <f aca="true" t="shared" si="29" ref="K177:K205">+I177/F177</f>
        <v>0.5035512615214877</v>
      </c>
    </row>
    <row r="178" spans="1:11" ht="12.75" customHeight="1">
      <c r="A178" s="797" t="s">
        <v>169</v>
      </c>
      <c r="B178" s="779"/>
      <c r="C178" s="727"/>
      <c r="D178" s="223">
        <v>5000</v>
      </c>
      <c r="E178" s="190"/>
      <c r="F178" s="422">
        <f t="shared" si="26"/>
        <v>5000</v>
      </c>
      <c r="G178" s="214">
        <v>1824</v>
      </c>
      <c r="H178" s="204"/>
      <c r="I178" s="195">
        <f t="shared" si="27"/>
        <v>1824</v>
      </c>
      <c r="J178" s="205">
        <f t="shared" si="28"/>
        <v>-3176</v>
      </c>
      <c r="K178" s="207">
        <f t="shared" si="29"/>
        <v>0.3648</v>
      </c>
    </row>
    <row r="179" spans="1:11" ht="12.75">
      <c r="A179" s="797" t="s">
        <v>140</v>
      </c>
      <c r="B179" s="779"/>
      <c r="C179" s="727"/>
      <c r="D179" s="223"/>
      <c r="E179" s="190"/>
      <c r="F179" s="422">
        <f t="shared" si="26"/>
        <v>0</v>
      </c>
      <c r="G179" s="223">
        <v>14691</v>
      </c>
      <c r="H179" s="190"/>
      <c r="I179" s="195">
        <f t="shared" si="27"/>
        <v>14691</v>
      </c>
      <c r="J179" s="205">
        <f t="shared" si="28"/>
        <v>14691</v>
      </c>
      <c r="K179" s="207"/>
    </row>
    <row r="180" spans="1:11" ht="12.75" customHeight="1">
      <c r="A180" s="797" t="s">
        <v>141</v>
      </c>
      <c r="B180" s="779"/>
      <c r="C180" s="727"/>
      <c r="D180" s="223"/>
      <c r="E180" s="190"/>
      <c r="F180" s="422">
        <f t="shared" si="26"/>
        <v>0</v>
      </c>
      <c r="G180" s="223">
        <v>4538</v>
      </c>
      <c r="H180" s="190"/>
      <c r="I180" s="195">
        <f t="shared" si="27"/>
        <v>4538</v>
      </c>
      <c r="J180" s="205">
        <f t="shared" si="28"/>
        <v>4538</v>
      </c>
      <c r="K180" s="207"/>
    </row>
    <row r="181" spans="1:11" ht="12.75" customHeight="1">
      <c r="A181" s="797" t="s">
        <v>142</v>
      </c>
      <c r="B181" s="779"/>
      <c r="C181" s="727"/>
      <c r="D181" s="223"/>
      <c r="E181" s="190"/>
      <c r="F181" s="422">
        <f t="shared" si="26"/>
        <v>0</v>
      </c>
      <c r="G181" s="223">
        <v>32385</v>
      </c>
      <c r="H181" s="190"/>
      <c r="I181" s="195">
        <f t="shared" si="27"/>
        <v>32385</v>
      </c>
      <c r="J181" s="205">
        <f t="shared" si="28"/>
        <v>32385</v>
      </c>
      <c r="K181" s="207"/>
    </row>
    <row r="182" spans="1:11" ht="12.75" customHeight="1">
      <c r="A182" s="797" t="s">
        <v>143</v>
      </c>
      <c r="B182" s="779"/>
      <c r="C182" s="727"/>
      <c r="D182" s="223"/>
      <c r="E182" s="190"/>
      <c r="F182" s="422">
        <f t="shared" si="26"/>
        <v>0</v>
      </c>
      <c r="G182" s="223">
        <v>6446</v>
      </c>
      <c r="H182" s="190">
        <v>222</v>
      </c>
      <c r="I182" s="195">
        <f t="shared" si="27"/>
        <v>6668</v>
      </c>
      <c r="J182" s="205">
        <f t="shared" si="28"/>
        <v>6668</v>
      </c>
      <c r="K182" s="207"/>
    </row>
    <row r="183" spans="1:11" ht="12.75">
      <c r="A183" s="797" t="s">
        <v>144</v>
      </c>
      <c r="B183" s="779"/>
      <c r="C183" s="727"/>
      <c r="D183" s="223"/>
      <c r="E183" s="190"/>
      <c r="F183" s="422">
        <f t="shared" si="26"/>
        <v>0</v>
      </c>
      <c r="G183" s="223">
        <v>1094</v>
      </c>
      <c r="H183" s="190"/>
      <c r="I183" s="195">
        <f t="shared" si="27"/>
        <v>1094</v>
      </c>
      <c r="J183" s="205">
        <f t="shared" si="28"/>
        <v>1094</v>
      </c>
      <c r="K183" s="207"/>
    </row>
    <row r="184" spans="1:11" ht="12.75">
      <c r="A184" s="797" t="s">
        <v>145</v>
      </c>
      <c r="B184" s="779"/>
      <c r="C184" s="727"/>
      <c r="D184" s="214"/>
      <c r="E184" s="204"/>
      <c r="F184" s="422">
        <f t="shared" si="26"/>
        <v>0</v>
      </c>
      <c r="G184" s="214">
        <v>4520</v>
      </c>
      <c r="H184" s="204">
        <v>2</v>
      </c>
      <c r="I184" s="195">
        <f t="shared" si="27"/>
        <v>4522</v>
      </c>
      <c r="J184" s="205">
        <f t="shared" si="28"/>
        <v>4522</v>
      </c>
      <c r="K184" s="207"/>
    </row>
    <row r="185" spans="1:11" ht="12.75" customHeight="1">
      <c r="A185" s="797" t="s">
        <v>146</v>
      </c>
      <c r="B185" s="779"/>
      <c r="C185" s="727"/>
      <c r="D185" s="420">
        <v>5695</v>
      </c>
      <c r="E185" s="192">
        <v>5</v>
      </c>
      <c r="F185" s="422">
        <f t="shared" si="26"/>
        <v>5700</v>
      </c>
      <c r="G185" s="1151">
        <v>10450</v>
      </c>
      <c r="H185" s="1153">
        <v>2</v>
      </c>
      <c r="I185" s="1155">
        <f t="shared" si="27"/>
        <v>10452</v>
      </c>
      <c r="J185" s="205">
        <f t="shared" si="28"/>
        <v>4752</v>
      </c>
      <c r="K185" s="207">
        <f t="shared" si="29"/>
        <v>1.8336842105263158</v>
      </c>
    </row>
    <row r="186" spans="1:11" ht="12.75" customHeight="1">
      <c r="A186" s="797" t="s">
        <v>147</v>
      </c>
      <c r="B186" s="779"/>
      <c r="C186" s="727"/>
      <c r="D186" s="220">
        <v>13402</v>
      </c>
      <c r="E186" s="192">
        <v>98</v>
      </c>
      <c r="F186" s="422">
        <f t="shared" si="26"/>
        <v>13500</v>
      </c>
      <c r="G186" s="1152"/>
      <c r="H186" s="1154"/>
      <c r="I186" s="1156">
        <f t="shared" si="27"/>
        <v>0</v>
      </c>
      <c r="J186" s="205">
        <f t="shared" si="28"/>
        <v>-13500</v>
      </c>
      <c r="K186" s="207">
        <f t="shared" si="29"/>
        <v>0</v>
      </c>
    </row>
    <row r="187" spans="1:11" ht="12.75" customHeight="1">
      <c r="A187" s="797" t="s">
        <v>148</v>
      </c>
      <c r="B187" s="779"/>
      <c r="C187" s="727"/>
      <c r="D187" s="220">
        <v>39650</v>
      </c>
      <c r="E187" s="192">
        <v>1450</v>
      </c>
      <c r="F187" s="422">
        <f t="shared" si="26"/>
        <v>41100</v>
      </c>
      <c r="G187" s="213">
        <v>19785</v>
      </c>
      <c r="H187" s="191">
        <v>1039</v>
      </c>
      <c r="I187" s="195">
        <f t="shared" si="27"/>
        <v>20824</v>
      </c>
      <c r="J187" s="205">
        <f t="shared" si="28"/>
        <v>-20276</v>
      </c>
      <c r="K187" s="207">
        <f t="shared" si="29"/>
        <v>0.5066666666666667</v>
      </c>
    </row>
    <row r="188" spans="1:11" ht="12.75" customHeight="1">
      <c r="A188" s="797" t="s">
        <v>149</v>
      </c>
      <c r="B188" s="779"/>
      <c r="C188" s="727"/>
      <c r="D188" s="220">
        <f>57752+4300</f>
        <v>62052</v>
      </c>
      <c r="E188" s="192">
        <v>48</v>
      </c>
      <c r="F188" s="422">
        <f t="shared" si="26"/>
        <v>62100</v>
      </c>
      <c r="G188" s="213">
        <f>+G189+G190+414+22</f>
        <v>33700</v>
      </c>
      <c r="H188" s="191">
        <v>4</v>
      </c>
      <c r="I188" s="195">
        <f t="shared" si="27"/>
        <v>33704</v>
      </c>
      <c r="J188" s="205">
        <f t="shared" si="28"/>
        <v>-28396</v>
      </c>
      <c r="K188" s="207">
        <f t="shared" si="29"/>
        <v>0.5427375201288245</v>
      </c>
    </row>
    <row r="189" spans="1:11" ht="12.75" customHeight="1">
      <c r="A189" s="797" t="s">
        <v>150</v>
      </c>
      <c r="B189" s="779"/>
      <c r="C189" s="727"/>
      <c r="D189" s="213">
        <v>5748</v>
      </c>
      <c r="E189" s="192">
        <v>2</v>
      </c>
      <c r="F189" s="422">
        <f t="shared" si="26"/>
        <v>5750</v>
      </c>
      <c r="G189" s="213">
        <v>4621</v>
      </c>
      <c r="H189" s="191">
        <v>1</v>
      </c>
      <c r="I189" s="195">
        <f t="shared" si="27"/>
        <v>4622</v>
      </c>
      <c r="J189" s="205">
        <f t="shared" si="28"/>
        <v>-1128</v>
      </c>
      <c r="K189" s="207">
        <f t="shared" si="29"/>
        <v>0.8038260869565217</v>
      </c>
    </row>
    <row r="190" spans="1:11" ht="12.75" customHeight="1">
      <c r="A190" s="797" t="s">
        <v>151</v>
      </c>
      <c r="B190" s="779"/>
      <c r="C190" s="727"/>
      <c r="D190" s="213">
        <f>50962+4300</f>
        <v>55262</v>
      </c>
      <c r="E190" s="192">
        <v>38</v>
      </c>
      <c r="F190" s="422">
        <f t="shared" si="26"/>
        <v>55300</v>
      </c>
      <c r="G190" s="213">
        <v>28643</v>
      </c>
      <c r="H190" s="191"/>
      <c r="I190" s="195">
        <f t="shared" si="27"/>
        <v>28643</v>
      </c>
      <c r="J190" s="205">
        <f t="shared" si="28"/>
        <v>-26657</v>
      </c>
      <c r="K190" s="207">
        <f t="shared" si="29"/>
        <v>0.5179566003616637</v>
      </c>
    </row>
    <row r="191" spans="1:11" ht="12.75" customHeight="1">
      <c r="A191" s="797" t="s">
        <v>152</v>
      </c>
      <c r="B191" s="779"/>
      <c r="C191" s="727"/>
      <c r="D191" s="213"/>
      <c r="E191" s="191"/>
      <c r="F191" s="422">
        <f t="shared" si="26"/>
        <v>0</v>
      </c>
      <c r="G191" s="213">
        <v>1146</v>
      </c>
      <c r="H191" s="191"/>
      <c r="I191" s="195">
        <f t="shared" si="27"/>
        <v>1146</v>
      </c>
      <c r="J191" s="205">
        <f t="shared" si="28"/>
        <v>1146</v>
      </c>
      <c r="K191" s="207"/>
    </row>
    <row r="192" spans="1:11" ht="12.75" customHeight="1">
      <c r="A192" s="797" t="s">
        <v>153</v>
      </c>
      <c r="B192" s="779"/>
      <c r="C192" s="727"/>
      <c r="D192" s="213"/>
      <c r="E192" s="191"/>
      <c r="F192" s="422">
        <f t="shared" si="26"/>
        <v>0</v>
      </c>
      <c r="G192" s="213">
        <v>41</v>
      </c>
      <c r="H192" s="191"/>
      <c r="I192" s="195">
        <f t="shared" si="27"/>
        <v>41</v>
      </c>
      <c r="J192" s="205">
        <f t="shared" si="28"/>
        <v>41</v>
      </c>
      <c r="K192" s="207"/>
    </row>
    <row r="193" spans="1:11" ht="12.75" customHeight="1">
      <c r="A193" s="797" t="s">
        <v>154</v>
      </c>
      <c r="B193" s="779"/>
      <c r="C193" s="727"/>
      <c r="D193" s="213"/>
      <c r="E193" s="191"/>
      <c r="F193" s="422">
        <f t="shared" si="26"/>
        <v>0</v>
      </c>
      <c r="G193" s="213">
        <v>18310</v>
      </c>
      <c r="H193" s="191">
        <v>3</v>
      </c>
      <c r="I193" s="195">
        <f t="shared" si="27"/>
        <v>18313</v>
      </c>
      <c r="J193" s="205">
        <f t="shared" si="28"/>
        <v>18313</v>
      </c>
      <c r="K193" s="207"/>
    </row>
    <row r="194" spans="1:11" ht="12.75" customHeight="1">
      <c r="A194" s="797" t="s">
        <v>155</v>
      </c>
      <c r="B194" s="779"/>
      <c r="C194" s="727"/>
      <c r="D194" s="213"/>
      <c r="E194" s="191"/>
      <c r="F194" s="422">
        <f t="shared" si="26"/>
        <v>0</v>
      </c>
      <c r="G194" s="213">
        <v>9146</v>
      </c>
      <c r="H194" s="191"/>
      <c r="I194" s="195">
        <f t="shared" si="27"/>
        <v>9146</v>
      </c>
      <c r="J194" s="205">
        <f t="shared" si="28"/>
        <v>9146</v>
      </c>
      <c r="K194" s="207"/>
    </row>
    <row r="195" spans="1:11" ht="12.75" customHeight="1">
      <c r="A195" s="797" t="s">
        <v>156</v>
      </c>
      <c r="B195" s="779"/>
      <c r="C195" s="727"/>
      <c r="D195" s="420">
        <v>281412</v>
      </c>
      <c r="E195" s="192">
        <v>123</v>
      </c>
      <c r="F195" s="422">
        <f t="shared" si="26"/>
        <v>281535</v>
      </c>
      <c r="G195" s="213">
        <v>134910</v>
      </c>
      <c r="H195" s="191">
        <v>12</v>
      </c>
      <c r="I195" s="195">
        <f t="shared" si="27"/>
        <v>134922</v>
      </c>
      <c r="J195" s="205">
        <f t="shared" si="28"/>
        <v>-146613</v>
      </c>
      <c r="K195" s="207">
        <f t="shared" si="29"/>
        <v>0.4792370397996697</v>
      </c>
    </row>
    <row r="196" spans="1:11" ht="12.75" customHeight="1">
      <c r="A196" s="797" t="s">
        <v>157</v>
      </c>
      <c r="B196" s="779"/>
      <c r="C196" s="727"/>
      <c r="D196" s="453">
        <f>205340+100</f>
        <v>205440</v>
      </c>
      <c r="E196" s="191">
        <v>90</v>
      </c>
      <c r="F196" s="422">
        <f t="shared" si="26"/>
        <v>205530</v>
      </c>
      <c r="G196" s="213">
        <v>98502</v>
      </c>
      <c r="H196" s="191">
        <v>9</v>
      </c>
      <c r="I196" s="195">
        <f t="shared" si="27"/>
        <v>98511</v>
      </c>
      <c r="J196" s="205">
        <f t="shared" si="28"/>
        <v>-107019</v>
      </c>
      <c r="K196" s="207">
        <f t="shared" si="29"/>
        <v>0.4793022916362575</v>
      </c>
    </row>
    <row r="197" spans="1:11" ht="12.75" customHeight="1">
      <c r="A197" s="797" t="s">
        <v>158</v>
      </c>
      <c r="B197" s="779"/>
      <c r="C197" s="727"/>
      <c r="D197" s="420">
        <v>204190</v>
      </c>
      <c r="E197" s="192">
        <v>90</v>
      </c>
      <c r="F197" s="422">
        <f t="shared" si="26"/>
        <v>204280</v>
      </c>
      <c r="G197" s="213">
        <v>97812</v>
      </c>
      <c r="H197" s="191">
        <v>9</v>
      </c>
      <c r="I197" s="195">
        <f t="shared" si="27"/>
        <v>97821</v>
      </c>
      <c r="J197" s="205">
        <f t="shared" si="28"/>
        <v>-106459</v>
      </c>
      <c r="K197" s="207">
        <f t="shared" si="29"/>
        <v>0.47885745055805756</v>
      </c>
    </row>
    <row r="198" spans="1:11" ht="12.75" customHeight="1">
      <c r="A198" s="797" t="s">
        <v>159</v>
      </c>
      <c r="B198" s="779"/>
      <c r="C198" s="727"/>
      <c r="D198" s="420">
        <v>1250</v>
      </c>
      <c r="E198" s="192"/>
      <c r="F198" s="422">
        <f t="shared" si="26"/>
        <v>1250</v>
      </c>
      <c r="G198" s="213">
        <v>690</v>
      </c>
      <c r="H198" s="191"/>
      <c r="I198" s="195">
        <f t="shared" si="27"/>
        <v>690</v>
      </c>
      <c r="J198" s="205">
        <f t="shared" si="28"/>
        <v>-560</v>
      </c>
      <c r="K198" s="207">
        <f t="shared" si="29"/>
        <v>0.552</v>
      </c>
    </row>
    <row r="199" spans="1:11" ht="12.75" customHeight="1">
      <c r="A199" s="797" t="s">
        <v>160</v>
      </c>
      <c r="B199" s="779"/>
      <c r="C199" s="727"/>
      <c r="D199" s="420">
        <v>75972</v>
      </c>
      <c r="E199" s="192">
        <v>33</v>
      </c>
      <c r="F199" s="422">
        <f t="shared" si="26"/>
        <v>76005</v>
      </c>
      <c r="G199" s="213">
        <v>36408</v>
      </c>
      <c r="H199" s="191">
        <v>3</v>
      </c>
      <c r="I199" s="195">
        <f t="shared" si="27"/>
        <v>36411</v>
      </c>
      <c r="J199" s="205">
        <f t="shared" si="28"/>
        <v>-39594</v>
      </c>
      <c r="K199" s="207">
        <f t="shared" si="29"/>
        <v>0.47906058811920266</v>
      </c>
    </row>
    <row r="200" spans="1:11" ht="12.75" customHeight="1">
      <c r="A200" s="797" t="s">
        <v>161</v>
      </c>
      <c r="B200" s="779"/>
      <c r="C200" s="727"/>
      <c r="D200" s="220"/>
      <c r="E200" s="192"/>
      <c r="F200" s="422">
        <f t="shared" si="26"/>
        <v>0</v>
      </c>
      <c r="G200" s="213">
        <v>0</v>
      </c>
      <c r="H200" s="191"/>
      <c r="I200" s="195">
        <f t="shared" si="27"/>
        <v>0</v>
      </c>
      <c r="J200" s="205">
        <f t="shared" si="28"/>
        <v>0</v>
      </c>
      <c r="K200" s="207"/>
    </row>
    <row r="201" spans="1:11" ht="12.75" customHeight="1">
      <c r="A201" s="797" t="s">
        <v>162</v>
      </c>
      <c r="B201" s="779"/>
      <c r="C201" s="727"/>
      <c r="D201" s="220">
        <v>2330</v>
      </c>
      <c r="E201" s="192">
        <v>70</v>
      </c>
      <c r="F201" s="422">
        <f t="shared" si="26"/>
        <v>2400</v>
      </c>
      <c r="G201" s="213">
        <v>1228</v>
      </c>
      <c r="H201" s="191"/>
      <c r="I201" s="195">
        <f t="shared" si="27"/>
        <v>1228</v>
      </c>
      <c r="J201" s="205">
        <f t="shared" si="28"/>
        <v>-1172</v>
      </c>
      <c r="K201" s="207">
        <f t="shared" si="29"/>
        <v>0.5116666666666667</v>
      </c>
    </row>
    <row r="202" spans="1:11" ht="12.75" customHeight="1">
      <c r="A202" s="797" t="s">
        <v>163</v>
      </c>
      <c r="B202" s="779"/>
      <c r="C202" s="727"/>
      <c r="D202" s="213">
        <f>11000-4300</f>
        <v>6700</v>
      </c>
      <c r="E202" s="192"/>
      <c r="F202" s="422">
        <f t="shared" si="26"/>
        <v>6700</v>
      </c>
      <c r="G202" s="213">
        <f>1707+1050</f>
        <v>2757</v>
      </c>
      <c r="H202" s="191">
        <v>2</v>
      </c>
      <c r="I202" s="195">
        <f t="shared" si="27"/>
        <v>2759</v>
      </c>
      <c r="J202" s="205">
        <f t="shared" si="28"/>
        <v>-3941</v>
      </c>
      <c r="K202" s="207">
        <f t="shared" si="29"/>
        <v>0.4117910447761194</v>
      </c>
    </row>
    <row r="203" spans="1:11" ht="12.75" customHeight="1">
      <c r="A203" s="797" t="s">
        <v>164</v>
      </c>
      <c r="B203" s="779"/>
      <c r="C203" s="727"/>
      <c r="D203" s="213">
        <f>6500-4300</f>
        <v>2200</v>
      </c>
      <c r="E203" s="192"/>
      <c r="F203" s="422">
        <f t="shared" si="26"/>
        <v>2200</v>
      </c>
      <c r="G203" s="213">
        <v>1050</v>
      </c>
      <c r="H203" s="191"/>
      <c r="I203" s="195">
        <f t="shared" si="27"/>
        <v>1050</v>
      </c>
      <c r="J203" s="205">
        <f t="shared" si="28"/>
        <v>-1150</v>
      </c>
      <c r="K203" s="207">
        <f t="shared" si="29"/>
        <v>0.4772727272727273</v>
      </c>
    </row>
    <row r="204" spans="1:11" ht="12.75" customHeight="1" thickBot="1">
      <c r="A204" s="790" t="s">
        <v>165</v>
      </c>
      <c r="B204" s="791"/>
      <c r="C204" s="792"/>
      <c r="D204" s="426"/>
      <c r="E204" s="427"/>
      <c r="F204" s="494">
        <f t="shared" si="26"/>
        <v>0</v>
      </c>
      <c r="G204" s="216">
        <v>0</v>
      </c>
      <c r="H204" s="221"/>
      <c r="I204" s="195">
        <f t="shared" si="27"/>
        <v>0</v>
      </c>
      <c r="J204" s="374">
        <f t="shared" si="28"/>
        <v>0</v>
      </c>
      <c r="K204" s="228"/>
    </row>
    <row r="205" spans="1:11" ht="13.5" customHeight="1" thickBot="1">
      <c r="A205" s="800" t="s">
        <v>23</v>
      </c>
      <c r="B205" s="801"/>
      <c r="C205" s="802"/>
      <c r="D205" s="224">
        <f aca="true" t="shared" si="30" ref="D205:I205">SUM(D177+D185+D186+D187+D188+D195+D200+D201+D202+D204)</f>
        <v>541288</v>
      </c>
      <c r="E205" s="197">
        <f t="shared" si="30"/>
        <v>2264</v>
      </c>
      <c r="F205" s="198">
        <f t="shared" si="30"/>
        <v>543552</v>
      </c>
      <c r="G205" s="224">
        <f t="shared" si="30"/>
        <v>268328</v>
      </c>
      <c r="H205" s="197">
        <f t="shared" si="30"/>
        <v>1283</v>
      </c>
      <c r="I205" s="198">
        <f t="shared" si="30"/>
        <v>269611</v>
      </c>
      <c r="J205" s="210">
        <f t="shared" si="28"/>
        <v>-273941</v>
      </c>
      <c r="K205" s="211">
        <f t="shared" si="29"/>
        <v>0.4960169404215236</v>
      </c>
    </row>
    <row r="206" spans="1:11" s="35" customFormat="1" ht="13.5" thickBot="1">
      <c r="A206" s="800" t="s">
        <v>435</v>
      </c>
      <c r="B206" s="968"/>
      <c r="C206" s="969"/>
      <c r="D206" s="224">
        <f aca="true" t="shared" si="31" ref="D206:I206">+D175-D205</f>
        <v>-776</v>
      </c>
      <c r="E206" s="197">
        <f t="shared" si="31"/>
        <v>776</v>
      </c>
      <c r="F206" s="198">
        <f t="shared" si="31"/>
        <v>0</v>
      </c>
      <c r="G206" s="224">
        <f t="shared" si="31"/>
        <v>4226</v>
      </c>
      <c r="H206" s="197">
        <f t="shared" si="31"/>
        <v>590</v>
      </c>
      <c r="I206" s="198">
        <f t="shared" si="31"/>
        <v>4816</v>
      </c>
      <c r="J206"/>
      <c r="K206"/>
    </row>
    <row r="207" ht="13.5" customHeight="1" thickBot="1"/>
    <row r="208" spans="1:9" ht="15.75" customHeight="1" thickBot="1">
      <c r="A208" s="776" t="s">
        <v>41</v>
      </c>
      <c r="B208" s="777"/>
      <c r="C208" s="777"/>
      <c r="D208" s="803">
        <f>+F175-F205</f>
        <v>0</v>
      </c>
      <c r="E208" s="804"/>
      <c r="F208" s="805"/>
      <c r="G208" s="803">
        <f>+I175-I205</f>
        <v>4816</v>
      </c>
      <c r="H208" s="804"/>
      <c r="I208" s="805"/>
    </row>
    <row r="209" spans="1:9" ht="13.5" customHeight="1">
      <c r="A209" s="834" t="s">
        <v>422</v>
      </c>
      <c r="B209" s="835"/>
      <c r="C209" s="835"/>
      <c r="D209" s="835"/>
      <c r="E209" s="835"/>
      <c r="F209" s="714"/>
      <c r="G209" s="836">
        <v>-18899</v>
      </c>
      <c r="H209" s="1014"/>
      <c r="I209" s="1015"/>
    </row>
    <row r="210" spans="1:9" ht="12.75" customHeight="1" thickBot="1">
      <c r="A210" s="798" t="s">
        <v>168</v>
      </c>
      <c r="B210" s="799"/>
      <c r="C210" s="799"/>
      <c r="D210" s="799"/>
      <c r="E210" s="799"/>
      <c r="F210" s="704"/>
      <c r="G210" s="788">
        <f>+G208+G209</f>
        <v>-14083</v>
      </c>
      <c r="H210" s="720"/>
      <c r="I210" s="789"/>
    </row>
    <row r="212" spans="1:12" ht="12.75" customHeight="1">
      <c r="A212" s="905" t="s">
        <v>432</v>
      </c>
      <c r="B212" s="980"/>
      <c r="C212" s="980"/>
      <c r="D212" s="980"/>
      <c r="E212" s="980"/>
      <c r="F212" s="980"/>
      <c r="G212" s="980"/>
      <c r="H212" s="980"/>
      <c r="I212" s="980"/>
      <c r="J212" s="980"/>
      <c r="K212" s="980"/>
      <c r="L212" s="1031"/>
    </row>
    <row r="213" spans="1:12" ht="12.75">
      <c r="A213" s="982"/>
      <c r="B213" s="983"/>
      <c r="C213" s="983"/>
      <c r="D213" s="983"/>
      <c r="E213" s="983"/>
      <c r="F213" s="983"/>
      <c r="G213" s="983"/>
      <c r="H213" s="983"/>
      <c r="I213" s="983"/>
      <c r="J213" s="983"/>
      <c r="K213" s="983"/>
      <c r="L213" s="1032"/>
    </row>
    <row r="214" spans="1:12" ht="12.75">
      <c r="A214" s="982"/>
      <c r="B214" s="983"/>
      <c r="C214" s="983"/>
      <c r="D214" s="983"/>
      <c r="E214" s="983"/>
      <c r="F214" s="983"/>
      <c r="G214" s="983"/>
      <c r="H214" s="983"/>
      <c r="I214" s="983"/>
      <c r="J214" s="983"/>
      <c r="K214" s="983"/>
      <c r="L214" s="1032"/>
    </row>
    <row r="215" spans="1:12" ht="48" customHeight="1">
      <c r="A215" s="985"/>
      <c r="B215" s="986"/>
      <c r="C215" s="986"/>
      <c r="D215" s="986"/>
      <c r="E215" s="986"/>
      <c r="F215" s="986"/>
      <c r="G215" s="986"/>
      <c r="H215" s="986"/>
      <c r="I215" s="986"/>
      <c r="J215" s="986"/>
      <c r="K215" s="986"/>
      <c r="L215" s="1033"/>
    </row>
    <row r="218" s="560" customFormat="1" ht="15.75">
      <c r="A218" s="549" t="s">
        <v>20</v>
      </c>
    </row>
  </sheetData>
  <mergeCells count="193">
    <mergeCell ref="J5:K5"/>
    <mergeCell ref="L5:L6"/>
    <mergeCell ref="K118:L118"/>
    <mergeCell ref="K119:L119"/>
    <mergeCell ref="H118:J118"/>
    <mergeCell ref="H119:J119"/>
    <mergeCell ref="A20:L23"/>
    <mergeCell ref="E44:E45"/>
    <mergeCell ref="F44:K44"/>
    <mergeCell ref="A44:A45"/>
    <mergeCell ref="A4:A6"/>
    <mergeCell ref="B4:C4"/>
    <mergeCell ref="D4:G4"/>
    <mergeCell ref="B5:B6"/>
    <mergeCell ref="C5:C6"/>
    <mergeCell ref="D5:E5"/>
    <mergeCell ref="F5:G5"/>
    <mergeCell ref="A116:D116"/>
    <mergeCell ref="A117:D117"/>
    <mergeCell ref="A90:B90"/>
    <mergeCell ref="A91:B91"/>
    <mergeCell ref="A92:B92"/>
    <mergeCell ref="A93:B93"/>
    <mergeCell ref="A99:B99"/>
    <mergeCell ref="A100:B100"/>
    <mergeCell ref="A101:B101"/>
    <mergeCell ref="A94:B94"/>
    <mergeCell ref="H116:J116"/>
    <mergeCell ref="H117:J117"/>
    <mergeCell ref="K116:L116"/>
    <mergeCell ref="K117:L117"/>
    <mergeCell ref="A118:D118"/>
    <mergeCell ref="A119:D119"/>
    <mergeCell ref="A1:K1"/>
    <mergeCell ref="A122:D122"/>
    <mergeCell ref="E116:F116"/>
    <mergeCell ref="E117:F117"/>
    <mergeCell ref="E118:F118"/>
    <mergeCell ref="E119:F119"/>
    <mergeCell ref="E120:F120"/>
    <mergeCell ref="E121:F121"/>
    <mergeCell ref="E26:E27"/>
    <mergeCell ref="A26:A27"/>
    <mergeCell ref="B26:B27"/>
    <mergeCell ref="A61:L63"/>
    <mergeCell ref="C26:C27"/>
    <mergeCell ref="D26:D27"/>
    <mergeCell ref="F26:K26"/>
    <mergeCell ref="D44:D45"/>
    <mergeCell ref="B44:B45"/>
    <mergeCell ref="A95:B95"/>
    <mergeCell ref="A96:B96"/>
    <mergeCell ref="A97:B97"/>
    <mergeCell ref="A171:C171"/>
    <mergeCell ref="A168:C168"/>
    <mergeCell ref="A169:C169"/>
    <mergeCell ref="A170:C170"/>
    <mergeCell ref="A120:D120"/>
    <mergeCell ref="A121:D121"/>
    <mergeCell ref="A123:D123"/>
    <mergeCell ref="A106:B106"/>
    <mergeCell ref="A107:B107"/>
    <mergeCell ref="A108:B108"/>
    <mergeCell ref="A110:L113"/>
    <mergeCell ref="A81:L84"/>
    <mergeCell ref="A88:B89"/>
    <mergeCell ref="C88:G88"/>
    <mergeCell ref="H88:L88"/>
    <mergeCell ref="E77:F77"/>
    <mergeCell ref="E78:F78"/>
    <mergeCell ref="A165:C165"/>
    <mergeCell ref="A166:C166"/>
    <mergeCell ref="E79:F79"/>
    <mergeCell ref="A102:B102"/>
    <mergeCell ref="A103:B103"/>
    <mergeCell ref="A104:B104"/>
    <mergeCell ref="A105:B105"/>
    <mergeCell ref="A98:B98"/>
    <mergeCell ref="A180:C180"/>
    <mergeCell ref="A181:C181"/>
    <mergeCell ref="A173:C173"/>
    <mergeCell ref="A174:C174"/>
    <mergeCell ref="A175:C175"/>
    <mergeCell ref="A178:C178"/>
    <mergeCell ref="A179:C179"/>
    <mergeCell ref="A187:C187"/>
    <mergeCell ref="A188:C188"/>
    <mergeCell ref="A189:C189"/>
    <mergeCell ref="A182:C182"/>
    <mergeCell ref="A183:C183"/>
    <mergeCell ref="A184:C184"/>
    <mergeCell ref="A185:C185"/>
    <mergeCell ref="A186:C186"/>
    <mergeCell ref="A190:C190"/>
    <mergeCell ref="A191:C191"/>
    <mergeCell ref="A192:C192"/>
    <mergeCell ref="A193:C193"/>
    <mergeCell ref="A200:C200"/>
    <mergeCell ref="A194:C194"/>
    <mergeCell ref="A195:C195"/>
    <mergeCell ref="A196:C196"/>
    <mergeCell ref="A197:C197"/>
    <mergeCell ref="A198:C198"/>
    <mergeCell ref="A199:C199"/>
    <mergeCell ref="A212:L215"/>
    <mergeCell ref="A210:F210"/>
    <mergeCell ref="G210:I210"/>
    <mergeCell ref="A205:C205"/>
    <mergeCell ref="G209:I209"/>
    <mergeCell ref="G208:I208"/>
    <mergeCell ref="A209:F209"/>
    <mergeCell ref="A206:C206"/>
    <mergeCell ref="E123:F123"/>
    <mergeCell ref="H123:J123"/>
    <mergeCell ref="K123:L123"/>
    <mergeCell ref="A160:C163"/>
    <mergeCell ref="J160:K162"/>
    <mergeCell ref="D161:D163"/>
    <mergeCell ref="E161:E163"/>
    <mergeCell ref="F161:F163"/>
    <mergeCell ref="G161:G163"/>
    <mergeCell ref="H161:H163"/>
    <mergeCell ref="I161:I163"/>
    <mergeCell ref="A208:C208"/>
    <mergeCell ref="D208:F208"/>
    <mergeCell ref="A201:C201"/>
    <mergeCell ref="A202:C202"/>
    <mergeCell ref="A203:C203"/>
    <mergeCell ref="A204:C204"/>
    <mergeCell ref="G185:G186"/>
    <mergeCell ref="H185:H186"/>
    <mergeCell ref="I185:I186"/>
    <mergeCell ref="H4:L4"/>
    <mergeCell ref="A67:A68"/>
    <mergeCell ref="E67:F68"/>
    <mergeCell ref="J67:L67"/>
    <mergeCell ref="G67:I67"/>
    <mergeCell ref="B67:D67"/>
    <mergeCell ref="C44:C45"/>
    <mergeCell ref="L26:L27"/>
    <mergeCell ref="L44:L45"/>
    <mergeCell ref="H5:I5"/>
    <mergeCell ref="E69:F69"/>
    <mergeCell ref="E70:F70"/>
    <mergeCell ref="E71:F71"/>
    <mergeCell ref="G125:H125"/>
    <mergeCell ref="E122:F122"/>
    <mergeCell ref="E72:F72"/>
    <mergeCell ref="E73:F73"/>
    <mergeCell ref="E74:F74"/>
    <mergeCell ref="E75:F75"/>
    <mergeCell ref="E76:F76"/>
    <mergeCell ref="L135:L136"/>
    <mergeCell ref="G135:H135"/>
    <mergeCell ref="K125:K126"/>
    <mergeCell ref="L125:L126"/>
    <mergeCell ref="A140:D140"/>
    <mergeCell ref="K135:K136"/>
    <mergeCell ref="A135:D136"/>
    <mergeCell ref="A137:D137"/>
    <mergeCell ref="A138:D138"/>
    <mergeCell ref="A139:D139"/>
    <mergeCell ref="A143:D143"/>
    <mergeCell ref="A144:D144"/>
    <mergeCell ref="A141:D141"/>
    <mergeCell ref="A142:D142"/>
    <mergeCell ref="A151:D151"/>
    <mergeCell ref="A152:D152"/>
    <mergeCell ref="A164:C164"/>
    <mergeCell ref="A177:C177"/>
    <mergeCell ref="A156:D156"/>
    <mergeCell ref="A153:D153"/>
    <mergeCell ref="A154:D154"/>
    <mergeCell ref="A172:C172"/>
    <mergeCell ref="A167:C167"/>
    <mergeCell ref="H120:J120"/>
    <mergeCell ref="K120:L120"/>
    <mergeCell ref="H121:J122"/>
    <mergeCell ref="K121:L122"/>
    <mergeCell ref="A149:D149"/>
    <mergeCell ref="A150:D150"/>
    <mergeCell ref="A147:D147"/>
    <mergeCell ref="A130:D130"/>
    <mergeCell ref="A131:D131"/>
    <mergeCell ref="A132:D132"/>
    <mergeCell ref="A133:D133"/>
    <mergeCell ref="A148:D148"/>
    <mergeCell ref="A145:D145"/>
    <mergeCell ref="A146:D146"/>
    <mergeCell ref="A125:D126"/>
    <mergeCell ref="A127:D127"/>
    <mergeCell ref="A128:D128"/>
    <mergeCell ref="A129:D129"/>
  </mergeCells>
  <printOptions horizontalCentered="1"/>
  <pageMargins left="0.2" right="0.1968503937007874" top="0.3937007874015748" bottom="0.3" header="0.2362204724409449" footer="0.19"/>
  <pageSetup horizontalDpi="600" verticalDpi="600" orientation="portrait" paperSize="9" scale="80" r:id="rId3"/>
  <headerFooter alignWithMargins="0">
    <oddFooter>&amp;C&amp;8&amp;P / 25</oddFooter>
  </headerFooter>
  <rowBreaks count="1" manualBreakCount="1">
    <brk id="217" max="255" man="1"/>
  </rowBreaks>
  <legacyDrawing r:id="rId2"/>
  <oleObjects>
    <oleObject progId="Word.Document.8" shapeId="1599505" r:id="rId1"/>
  </oleObjects>
</worksheet>
</file>

<file path=xl/worksheets/sheet9.xml><?xml version="1.0" encoding="utf-8"?>
<worksheet xmlns="http://schemas.openxmlformats.org/spreadsheetml/2006/main" xmlns:r="http://schemas.openxmlformats.org/officeDocument/2006/relationships">
  <dimension ref="A1:P72"/>
  <sheetViews>
    <sheetView workbookViewId="0" topLeftCell="A64">
      <selection activeCell="E21" sqref="E21"/>
    </sheetView>
  </sheetViews>
  <sheetFormatPr defaultColWidth="9.00390625" defaultRowHeight="12.75"/>
  <cols>
    <col min="1" max="1" width="28.125" style="257" customWidth="1"/>
    <col min="2" max="7" width="9.75390625" style="431" customWidth="1"/>
    <col min="8" max="8" width="9.25390625" style="431" customWidth="1"/>
    <col min="9" max="9" width="8.875" style="257" customWidth="1"/>
    <col min="10" max="12" width="9.125" style="257" customWidth="1"/>
    <col min="13" max="14" width="9.25390625" style="257" bestFit="1" customWidth="1"/>
    <col min="15" max="16" width="9.125" style="257" customWidth="1"/>
  </cols>
  <sheetData>
    <row r="1" spans="1:8" ht="16.5" thickBot="1">
      <c r="A1" s="563"/>
      <c r="B1" s="564"/>
      <c r="C1" s="564"/>
      <c r="D1" s="564"/>
      <c r="E1" s="564"/>
      <c r="F1" s="564"/>
      <c r="G1" s="564"/>
      <c r="H1" s="564"/>
    </row>
    <row r="2" spans="1:14" ht="18" customHeight="1" thickBot="1">
      <c r="A2" s="1178" t="s">
        <v>498</v>
      </c>
      <c r="B2" s="1163" t="s">
        <v>436</v>
      </c>
      <c r="C2" s="777"/>
      <c r="D2" s="777"/>
      <c r="E2" s="777"/>
      <c r="F2" s="777"/>
      <c r="G2" s="777"/>
      <c r="H2" s="777"/>
      <c r="I2" s="777"/>
      <c r="J2" s="706"/>
      <c r="K2"/>
      <c r="L2"/>
      <c r="M2"/>
      <c r="N2"/>
    </row>
    <row r="3" spans="1:16" ht="13.5" customHeight="1" thickBot="1">
      <c r="A3" s="1179"/>
      <c r="B3" s="218" t="s">
        <v>437</v>
      </c>
      <c r="C3" s="199"/>
      <c r="D3" s="200"/>
      <c r="E3" s="218" t="s">
        <v>438</v>
      </c>
      <c r="F3" s="199"/>
      <c r="G3" s="200"/>
      <c r="H3" s="1171" t="s">
        <v>500</v>
      </c>
      <c r="I3" s="1172"/>
      <c r="J3" s="706"/>
      <c r="K3"/>
      <c r="L3"/>
      <c r="M3"/>
      <c r="N3"/>
      <c r="O3"/>
      <c r="P3"/>
    </row>
    <row r="4" spans="1:16" ht="12.75" customHeight="1">
      <c r="A4" s="1179"/>
      <c r="B4" s="565" t="s">
        <v>439</v>
      </c>
      <c r="C4" s="566" t="s">
        <v>440</v>
      </c>
      <c r="D4" s="567" t="s">
        <v>31</v>
      </c>
      <c r="E4" s="565" t="s">
        <v>439</v>
      </c>
      <c r="F4" s="566" t="s">
        <v>441</v>
      </c>
      <c r="G4" s="567" t="s">
        <v>31</v>
      </c>
      <c r="H4" s="666" t="s">
        <v>442</v>
      </c>
      <c r="I4" s="569" t="s">
        <v>443</v>
      </c>
      <c r="J4" s="568" t="s">
        <v>31</v>
      </c>
      <c r="K4"/>
      <c r="L4"/>
      <c r="M4"/>
      <c r="N4"/>
      <c r="O4"/>
      <c r="P4"/>
    </row>
    <row r="5" spans="1:16" ht="13.5" customHeight="1" thickBot="1">
      <c r="A5" s="1180"/>
      <c r="B5" s="570" t="s">
        <v>127</v>
      </c>
      <c r="C5" s="571" t="s">
        <v>127</v>
      </c>
      <c r="D5" s="572"/>
      <c r="E5" s="573" t="s">
        <v>127</v>
      </c>
      <c r="F5" s="574" t="s">
        <v>127</v>
      </c>
      <c r="G5" s="575"/>
      <c r="H5" s="667" t="s">
        <v>444</v>
      </c>
      <c r="I5" s="574" t="s">
        <v>444</v>
      </c>
      <c r="J5" s="575" t="s">
        <v>444</v>
      </c>
      <c r="K5"/>
      <c r="L5"/>
      <c r="M5"/>
      <c r="N5"/>
      <c r="O5"/>
      <c r="P5"/>
    </row>
    <row r="6" spans="1:16" ht="13.5" customHeight="1">
      <c r="A6" s="576" t="s">
        <v>361</v>
      </c>
      <c r="B6" s="223"/>
      <c r="C6" s="190"/>
      <c r="D6" s="196"/>
      <c r="E6" s="223"/>
      <c r="F6" s="190"/>
      <c r="G6" s="196"/>
      <c r="H6" s="668">
        <f>+IF(B6&lt;&gt;0,E6/B6,"")</f>
      </c>
      <c r="I6" s="578">
        <f>+IF(C6&lt;&gt;0,F6/C6,"")</f>
      </c>
      <c r="J6" s="577">
        <f>+IF(D6&lt;&gt;0,G6/D6,"")</f>
      </c>
      <c r="K6"/>
      <c r="L6"/>
      <c r="M6"/>
      <c r="N6"/>
      <c r="O6"/>
      <c r="P6"/>
    </row>
    <row r="7" spans="1:16" ht="13.5" customHeight="1">
      <c r="A7" s="579" t="s">
        <v>128</v>
      </c>
      <c r="B7" s="220"/>
      <c r="C7" s="192"/>
      <c r="D7" s="226"/>
      <c r="E7" s="220"/>
      <c r="F7" s="192"/>
      <c r="G7" s="196">
        <f aca="true" t="shared" si="0" ref="G7:G14">SUM(E7:F7)</f>
        <v>0</v>
      </c>
      <c r="H7" s="668">
        <f aca="true" t="shared" si="1" ref="H7:H33">+IF(E7&lt;&gt;0,E7/B7,"")</f>
      </c>
      <c r="I7" s="578">
        <f aca="true" t="shared" si="2" ref="I7:I19">+IF(C7&lt;&gt;0,F7/(B7+C7),"")</f>
      </c>
      <c r="J7" s="577">
        <f aca="true" t="shared" si="3" ref="J7:J33">+IF(D7&lt;&gt;0,G7/D7,"")</f>
      </c>
      <c r="K7"/>
      <c r="L7"/>
      <c r="M7"/>
      <c r="N7"/>
      <c r="O7"/>
      <c r="P7"/>
    </row>
    <row r="8" spans="1:16" ht="13.5" customHeight="1">
      <c r="A8" s="579" t="s">
        <v>131</v>
      </c>
      <c r="B8" s="220"/>
      <c r="C8" s="192"/>
      <c r="D8" s="226"/>
      <c r="E8" s="220"/>
      <c r="F8" s="192"/>
      <c r="G8" s="196">
        <f t="shared" si="0"/>
        <v>0</v>
      </c>
      <c r="H8" s="668">
        <f t="shared" si="1"/>
      </c>
      <c r="I8" s="578">
        <f t="shared" si="2"/>
      </c>
      <c r="J8" s="577">
        <f t="shared" si="3"/>
      </c>
      <c r="K8"/>
      <c r="L8"/>
      <c r="M8"/>
      <c r="N8"/>
      <c r="O8"/>
      <c r="P8"/>
    </row>
    <row r="9" spans="1:16" ht="13.5" customHeight="1">
      <c r="A9" s="579" t="s">
        <v>133</v>
      </c>
      <c r="B9" s="220"/>
      <c r="C9" s="192"/>
      <c r="D9" s="226"/>
      <c r="E9" s="220"/>
      <c r="F9" s="192"/>
      <c r="G9" s="196">
        <f t="shared" si="0"/>
        <v>0</v>
      </c>
      <c r="H9" s="668">
        <f t="shared" si="1"/>
      </c>
      <c r="I9" s="578">
        <f t="shared" si="2"/>
      </c>
      <c r="J9" s="577">
        <f t="shared" si="3"/>
      </c>
      <c r="K9"/>
      <c r="L9"/>
      <c r="M9"/>
      <c r="N9"/>
      <c r="O9"/>
      <c r="P9"/>
    </row>
    <row r="10" spans="1:16" ht="13.5" customHeight="1">
      <c r="A10" s="579" t="s">
        <v>134</v>
      </c>
      <c r="B10" s="220">
        <v>250</v>
      </c>
      <c r="C10" s="192"/>
      <c r="D10" s="226">
        <f>SUM(B10:C10)</f>
        <v>250</v>
      </c>
      <c r="E10" s="220">
        <v>127.17</v>
      </c>
      <c r="F10" s="192"/>
      <c r="G10" s="196">
        <f t="shared" si="0"/>
        <v>127.17</v>
      </c>
      <c r="H10" s="668">
        <f t="shared" si="1"/>
        <v>0.50868</v>
      </c>
      <c r="I10" s="578">
        <f t="shared" si="2"/>
      </c>
      <c r="J10" s="577">
        <f t="shared" si="3"/>
        <v>0.50868</v>
      </c>
      <c r="K10"/>
      <c r="L10"/>
      <c r="M10"/>
      <c r="N10"/>
      <c r="O10"/>
      <c r="P10"/>
    </row>
    <row r="11" spans="1:16" ht="13.5" customHeight="1">
      <c r="A11" s="580" t="s">
        <v>445</v>
      </c>
      <c r="B11" s="220">
        <v>0</v>
      </c>
      <c r="C11" s="192"/>
      <c r="D11" s="226">
        <f>SUM(B11:C11)</f>
        <v>0</v>
      </c>
      <c r="E11" s="220"/>
      <c r="F11" s="192"/>
      <c r="G11" s="196">
        <f t="shared" si="0"/>
        <v>0</v>
      </c>
      <c r="H11" s="668">
        <f t="shared" si="1"/>
      </c>
      <c r="I11" s="578">
        <f t="shared" si="2"/>
      </c>
      <c r="J11" s="577">
        <f t="shared" si="3"/>
      </c>
      <c r="K11"/>
      <c r="L11"/>
      <c r="M11"/>
      <c r="N11"/>
      <c r="O11"/>
      <c r="P11"/>
    </row>
    <row r="12" spans="1:16" ht="13.5" customHeight="1">
      <c r="A12" s="580" t="s">
        <v>136</v>
      </c>
      <c r="B12" s="220">
        <v>0</v>
      </c>
      <c r="C12" s="192"/>
      <c r="D12" s="226">
        <f>SUM(B12:C12)</f>
        <v>0</v>
      </c>
      <c r="E12" s="220"/>
      <c r="F12" s="192"/>
      <c r="G12" s="196">
        <f t="shared" si="0"/>
        <v>0</v>
      </c>
      <c r="H12" s="668">
        <f t="shared" si="1"/>
      </c>
      <c r="I12" s="578">
        <f t="shared" si="2"/>
      </c>
      <c r="J12" s="577">
        <f t="shared" si="3"/>
      </c>
      <c r="K12"/>
      <c r="L12"/>
      <c r="M12"/>
      <c r="N12"/>
      <c r="O12"/>
      <c r="P12"/>
    </row>
    <row r="13" spans="1:16" ht="18.75" customHeight="1">
      <c r="A13" s="580" t="s">
        <v>446</v>
      </c>
      <c r="B13" s="220">
        <v>0</v>
      </c>
      <c r="C13" s="192"/>
      <c r="D13" s="226">
        <f>SUM(B13:C13)</f>
        <v>0</v>
      </c>
      <c r="E13" s="220"/>
      <c r="F13" s="192"/>
      <c r="G13" s="196">
        <f t="shared" si="0"/>
        <v>0</v>
      </c>
      <c r="H13" s="668">
        <f t="shared" si="1"/>
      </c>
      <c r="I13" s="578">
        <f t="shared" si="2"/>
      </c>
      <c r="J13" s="577">
        <f t="shared" si="3"/>
      </c>
      <c r="K13"/>
      <c r="L13"/>
      <c r="M13"/>
      <c r="N13"/>
      <c r="O13"/>
      <c r="P13"/>
    </row>
    <row r="14" spans="1:16" ht="13.5" customHeight="1" thickBot="1">
      <c r="A14" s="581" t="s">
        <v>138</v>
      </c>
      <c r="B14" s="216">
        <v>12230</v>
      </c>
      <c r="C14" s="418"/>
      <c r="D14" s="226">
        <f>SUM(B14:C14)</f>
        <v>12230</v>
      </c>
      <c r="E14" s="216">
        <v>6114</v>
      </c>
      <c r="F14" s="418"/>
      <c r="G14" s="196">
        <f t="shared" si="0"/>
        <v>6114</v>
      </c>
      <c r="H14" s="669">
        <f t="shared" si="1"/>
        <v>0.4999182338511856</v>
      </c>
      <c r="I14" s="583">
        <f t="shared" si="2"/>
      </c>
      <c r="J14" s="582">
        <f t="shared" si="3"/>
        <v>0.4999182338511856</v>
      </c>
      <c r="K14"/>
      <c r="L14"/>
      <c r="M14"/>
      <c r="N14"/>
      <c r="O14"/>
      <c r="P14"/>
    </row>
    <row r="15" spans="1:16" ht="13.5" customHeight="1" thickBot="1">
      <c r="A15" s="584" t="s">
        <v>24</v>
      </c>
      <c r="B15" s="222">
        <f>SUM(B6+B7+B8+B9+B10+B12+B14)</f>
        <v>12480</v>
      </c>
      <c r="C15" s="197"/>
      <c r="D15" s="198">
        <f>SUM(D6+D7+D8+D9+D10+D12+D14)</f>
        <v>12480</v>
      </c>
      <c r="E15" s="224">
        <f>SUM(E6+E7+E8+E9+E10+E12+E14)</f>
        <v>6241.17</v>
      </c>
      <c r="F15" s="193">
        <f>SUM(F6+F7+F8+F9+F10+F12+F14)</f>
        <v>0</v>
      </c>
      <c r="G15" s="225">
        <f>SUM(G6+G7+G8+G9+G10+G12+G14)</f>
        <v>6241.17</v>
      </c>
      <c r="H15" s="670">
        <f t="shared" si="1"/>
        <v>0.50009375</v>
      </c>
      <c r="I15" s="586">
        <f t="shared" si="2"/>
      </c>
      <c r="J15" s="585">
        <f t="shared" si="3"/>
        <v>0.50009375</v>
      </c>
      <c r="K15"/>
      <c r="L15"/>
      <c r="M15"/>
      <c r="N15"/>
      <c r="O15"/>
      <c r="P15"/>
    </row>
    <row r="16" spans="1:16" ht="13.5" customHeight="1">
      <c r="A16" s="587" t="s">
        <v>139</v>
      </c>
      <c r="B16" s="223">
        <v>1311</v>
      </c>
      <c r="C16" s="190"/>
      <c r="D16" s="226">
        <f aca="true" t="shared" si="4" ref="D16:D32">SUM(B16:C16)</f>
        <v>1311</v>
      </c>
      <c r="E16" s="223">
        <v>510.51</v>
      </c>
      <c r="F16" s="190"/>
      <c r="G16" s="196">
        <f aca="true" t="shared" si="5" ref="G16:G32">SUM(E16:F16)</f>
        <v>510.51</v>
      </c>
      <c r="H16" s="668">
        <f t="shared" si="1"/>
        <v>0.3894050343249428</v>
      </c>
      <c r="I16" s="578">
        <f t="shared" si="2"/>
      </c>
      <c r="J16" s="577">
        <f t="shared" si="3"/>
        <v>0.3894050343249428</v>
      </c>
      <c r="K16"/>
      <c r="L16"/>
      <c r="M16"/>
      <c r="N16"/>
      <c r="O16"/>
      <c r="P16"/>
    </row>
    <row r="17" spans="1:16" ht="13.5" customHeight="1">
      <c r="A17" s="579" t="s">
        <v>146</v>
      </c>
      <c r="B17" s="223">
        <v>450</v>
      </c>
      <c r="C17" s="190"/>
      <c r="D17" s="226">
        <f t="shared" si="4"/>
        <v>450</v>
      </c>
      <c r="E17" s="420">
        <v>169.68</v>
      </c>
      <c r="F17" s="192"/>
      <c r="G17" s="196">
        <f t="shared" si="5"/>
        <v>169.68</v>
      </c>
      <c r="H17" s="668">
        <f t="shared" si="1"/>
        <v>0.37706666666666666</v>
      </c>
      <c r="I17" s="578">
        <f t="shared" si="2"/>
      </c>
      <c r="J17" s="577">
        <f t="shared" si="3"/>
        <v>0.37706666666666666</v>
      </c>
      <c r="K17"/>
      <c r="L17"/>
      <c r="M17"/>
      <c r="N17"/>
      <c r="O17"/>
      <c r="P17"/>
    </row>
    <row r="18" spans="1:16" ht="13.5" customHeight="1">
      <c r="A18" s="580" t="s">
        <v>147</v>
      </c>
      <c r="B18" s="220">
        <v>0</v>
      </c>
      <c r="C18" s="192"/>
      <c r="D18" s="226">
        <f t="shared" si="4"/>
        <v>0</v>
      </c>
      <c r="E18" s="220">
        <v>0</v>
      </c>
      <c r="F18" s="192"/>
      <c r="G18" s="196">
        <f t="shared" si="5"/>
        <v>0</v>
      </c>
      <c r="H18" s="668">
        <f t="shared" si="1"/>
      </c>
      <c r="I18" s="578">
        <f t="shared" si="2"/>
      </c>
      <c r="J18" s="577">
        <f t="shared" si="3"/>
      </c>
      <c r="K18"/>
      <c r="L18"/>
      <c r="M18"/>
      <c r="N18"/>
      <c r="O18"/>
      <c r="P18"/>
    </row>
    <row r="19" spans="1:16" ht="13.5" customHeight="1">
      <c r="A19" s="579" t="s">
        <v>148</v>
      </c>
      <c r="B19" s="220">
        <v>0</v>
      </c>
      <c r="C19" s="192"/>
      <c r="D19" s="226">
        <f t="shared" si="4"/>
        <v>0</v>
      </c>
      <c r="E19" s="220">
        <v>0</v>
      </c>
      <c r="F19" s="192"/>
      <c r="G19" s="196">
        <f t="shared" si="5"/>
        <v>0</v>
      </c>
      <c r="H19" s="668">
        <f t="shared" si="1"/>
      </c>
      <c r="I19" s="578">
        <f t="shared" si="2"/>
      </c>
      <c r="J19" s="577">
        <f t="shared" si="3"/>
      </c>
      <c r="K19"/>
      <c r="L19"/>
      <c r="M19"/>
      <c r="N19"/>
      <c r="O19"/>
      <c r="P19"/>
    </row>
    <row r="20" spans="1:16" ht="13.5" customHeight="1">
      <c r="A20" s="579" t="s">
        <v>149</v>
      </c>
      <c r="B20" s="220">
        <v>639</v>
      </c>
      <c r="C20" s="192"/>
      <c r="D20" s="226">
        <f t="shared" si="4"/>
        <v>639</v>
      </c>
      <c r="E20" s="220">
        <v>284.42</v>
      </c>
      <c r="F20" s="192"/>
      <c r="G20" s="196">
        <f t="shared" si="5"/>
        <v>284.42</v>
      </c>
      <c r="H20" s="668">
        <f t="shared" si="1"/>
        <v>0.44510172143974963</v>
      </c>
      <c r="I20" s="578"/>
      <c r="J20" s="577">
        <f t="shared" si="3"/>
        <v>0.44510172143974963</v>
      </c>
      <c r="K20"/>
      <c r="L20"/>
      <c r="M20"/>
      <c r="N20"/>
      <c r="O20"/>
      <c r="P20"/>
    </row>
    <row r="21" spans="1:16" ht="13.5" customHeight="1">
      <c r="A21" s="580" t="s">
        <v>447</v>
      </c>
      <c r="B21" s="213">
        <v>104</v>
      </c>
      <c r="C21" s="192"/>
      <c r="D21" s="226">
        <f t="shared" si="4"/>
        <v>104</v>
      </c>
      <c r="E21" s="213">
        <v>16.73</v>
      </c>
      <c r="F21" s="192"/>
      <c r="G21" s="196">
        <f t="shared" si="5"/>
        <v>16.73</v>
      </c>
      <c r="H21" s="668">
        <f t="shared" si="1"/>
        <v>0.16086538461538463</v>
      </c>
      <c r="I21" s="578">
        <f aca="true" t="shared" si="6" ref="I21:I33">+IF(C20&lt;&gt;0,F21/(B20+C20),"")</f>
      </c>
      <c r="J21" s="577">
        <f t="shared" si="3"/>
        <v>0.16086538461538463</v>
      </c>
      <c r="K21"/>
      <c r="L21"/>
      <c r="M21"/>
      <c r="N21"/>
      <c r="O21"/>
      <c r="P21"/>
    </row>
    <row r="22" spans="1:16" ht="13.5" customHeight="1">
      <c r="A22" s="579" t="s">
        <v>448</v>
      </c>
      <c r="B22" s="213">
        <v>525</v>
      </c>
      <c r="C22" s="192"/>
      <c r="D22" s="226">
        <f t="shared" si="4"/>
        <v>525</v>
      </c>
      <c r="E22" s="213">
        <v>259.87</v>
      </c>
      <c r="F22" s="192"/>
      <c r="G22" s="196">
        <f t="shared" si="5"/>
        <v>259.87</v>
      </c>
      <c r="H22" s="668">
        <f t="shared" si="1"/>
        <v>0.4949904761904762</v>
      </c>
      <c r="I22" s="578">
        <f t="shared" si="6"/>
      </c>
      <c r="J22" s="577">
        <f t="shared" si="3"/>
        <v>0.4949904761904762</v>
      </c>
      <c r="K22"/>
      <c r="L22"/>
      <c r="M22"/>
      <c r="N22"/>
      <c r="O22"/>
      <c r="P22"/>
    </row>
    <row r="23" spans="1:16" ht="13.5" customHeight="1">
      <c r="A23" s="588" t="s">
        <v>156</v>
      </c>
      <c r="B23" s="220">
        <v>9825</v>
      </c>
      <c r="C23" s="192"/>
      <c r="D23" s="226">
        <f t="shared" si="4"/>
        <v>9825</v>
      </c>
      <c r="E23" s="420">
        <v>4881.81</v>
      </c>
      <c r="F23" s="192"/>
      <c r="G23" s="196">
        <f t="shared" si="5"/>
        <v>4881.81</v>
      </c>
      <c r="H23" s="668">
        <f t="shared" si="1"/>
        <v>0.4968763358778626</v>
      </c>
      <c r="I23" s="578">
        <f t="shared" si="6"/>
      </c>
      <c r="J23" s="577">
        <f t="shared" si="3"/>
        <v>0.4968763358778626</v>
      </c>
      <c r="K23"/>
      <c r="L23"/>
      <c r="M23"/>
      <c r="N23"/>
      <c r="O23"/>
      <c r="P23"/>
    </row>
    <row r="24" spans="1:16" ht="13.5" customHeight="1">
      <c r="A24" s="580" t="s">
        <v>449</v>
      </c>
      <c r="B24" s="213">
        <v>7140</v>
      </c>
      <c r="C24" s="191"/>
      <c r="D24" s="226">
        <f t="shared" si="4"/>
        <v>7140</v>
      </c>
      <c r="E24" s="453">
        <v>3554.69</v>
      </c>
      <c r="F24" s="191"/>
      <c r="G24" s="196">
        <f t="shared" si="5"/>
        <v>3554.69</v>
      </c>
      <c r="H24" s="668">
        <f t="shared" si="1"/>
        <v>0.49785574229691876</v>
      </c>
      <c r="I24" s="578">
        <f t="shared" si="6"/>
      </c>
      <c r="J24" s="577">
        <f t="shared" si="3"/>
        <v>0.49785574229691876</v>
      </c>
      <c r="K24"/>
      <c r="L24"/>
      <c r="M24"/>
      <c r="N24"/>
      <c r="O24"/>
      <c r="P24"/>
    </row>
    <row r="25" spans="1:16" ht="13.5" customHeight="1">
      <c r="A25" s="588" t="s">
        <v>450</v>
      </c>
      <c r="B25" s="220">
        <v>7110</v>
      </c>
      <c r="C25" s="192"/>
      <c r="D25" s="226">
        <f t="shared" si="4"/>
        <v>7110</v>
      </c>
      <c r="E25" s="420">
        <v>3549.688</v>
      </c>
      <c r="F25" s="192"/>
      <c r="G25" s="196">
        <f t="shared" si="5"/>
        <v>3549.688</v>
      </c>
      <c r="H25" s="668">
        <f t="shared" si="1"/>
        <v>0.4992528832630099</v>
      </c>
      <c r="I25" s="578">
        <f t="shared" si="6"/>
      </c>
      <c r="J25" s="577">
        <f t="shared" si="3"/>
        <v>0.4992528832630099</v>
      </c>
      <c r="K25"/>
      <c r="L25"/>
      <c r="M25"/>
      <c r="N25"/>
      <c r="O25"/>
      <c r="P25"/>
    </row>
    <row r="26" spans="1:16" ht="13.5" customHeight="1">
      <c r="A26" s="580" t="s">
        <v>451</v>
      </c>
      <c r="B26" s="220">
        <v>30</v>
      </c>
      <c r="C26" s="192"/>
      <c r="D26" s="226">
        <f t="shared" si="4"/>
        <v>30</v>
      </c>
      <c r="E26" s="420">
        <v>5</v>
      </c>
      <c r="F26" s="192"/>
      <c r="G26" s="196">
        <f t="shared" si="5"/>
        <v>5</v>
      </c>
      <c r="H26" s="668">
        <f t="shared" si="1"/>
        <v>0.16666666666666666</v>
      </c>
      <c r="I26" s="578">
        <f t="shared" si="6"/>
      </c>
      <c r="J26" s="577">
        <f t="shared" si="3"/>
        <v>0.16666666666666666</v>
      </c>
      <c r="K26"/>
      <c r="L26"/>
      <c r="M26"/>
      <c r="N26"/>
      <c r="O26"/>
      <c r="P26"/>
    </row>
    <row r="27" spans="1:16" ht="13.5" customHeight="1">
      <c r="A27" s="580" t="s">
        <v>452</v>
      </c>
      <c r="B27" s="220">
        <v>2685</v>
      </c>
      <c r="C27" s="192"/>
      <c r="D27" s="226">
        <f t="shared" si="4"/>
        <v>2685</v>
      </c>
      <c r="E27" s="420">
        <v>1372.12</v>
      </c>
      <c r="F27" s="192"/>
      <c r="G27" s="196">
        <f t="shared" si="5"/>
        <v>1372.12</v>
      </c>
      <c r="H27" s="668">
        <f t="shared" si="1"/>
        <v>0.5110316573556797</v>
      </c>
      <c r="I27" s="578">
        <f t="shared" si="6"/>
      </c>
      <c r="J27" s="577">
        <f t="shared" si="3"/>
        <v>0.5110316573556797</v>
      </c>
      <c r="K27"/>
      <c r="L27"/>
      <c r="M27"/>
      <c r="N27"/>
      <c r="O27"/>
      <c r="P27"/>
    </row>
    <row r="28" spans="1:16" ht="13.5" customHeight="1">
      <c r="A28" s="588" t="s">
        <v>161</v>
      </c>
      <c r="B28" s="220">
        <v>0</v>
      </c>
      <c r="C28" s="192"/>
      <c r="D28" s="226">
        <f t="shared" si="4"/>
        <v>0</v>
      </c>
      <c r="E28" s="220">
        <v>1.1</v>
      </c>
      <c r="F28" s="192"/>
      <c r="G28" s="196">
        <f t="shared" si="5"/>
        <v>1.1</v>
      </c>
      <c r="H28" s="668"/>
      <c r="I28" s="578">
        <f t="shared" si="6"/>
      </c>
      <c r="J28" s="577">
        <f t="shared" si="3"/>
      </c>
      <c r="K28"/>
      <c r="L28"/>
      <c r="M28"/>
      <c r="N28"/>
      <c r="O28"/>
      <c r="P28"/>
    </row>
    <row r="29" spans="1:16" ht="13.5" customHeight="1">
      <c r="A29" s="588" t="s">
        <v>162</v>
      </c>
      <c r="B29" s="220">
        <v>95</v>
      </c>
      <c r="C29" s="192"/>
      <c r="D29" s="226">
        <f t="shared" si="4"/>
        <v>95</v>
      </c>
      <c r="E29" s="220">
        <v>44.54</v>
      </c>
      <c r="F29" s="192"/>
      <c r="G29" s="196">
        <f t="shared" si="5"/>
        <v>44.54</v>
      </c>
      <c r="H29" s="668">
        <f t="shared" si="1"/>
        <v>0.4688421052631579</v>
      </c>
      <c r="I29" s="578">
        <f t="shared" si="6"/>
      </c>
      <c r="J29" s="577">
        <f t="shared" si="3"/>
        <v>0.4688421052631579</v>
      </c>
      <c r="K29"/>
      <c r="L29"/>
      <c r="M29"/>
      <c r="N29"/>
      <c r="O29"/>
      <c r="P29"/>
    </row>
    <row r="30" spans="1:16" ht="13.5" customHeight="1">
      <c r="A30" s="580" t="s">
        <v>163</v>
      </c>
      <c r="B30" s="213">
        <v>160</v>
      </c>
      <c r="C30" s="192"/>
      <c r="D30" s="226">
        <f t="shared" si="4"/>
        <v>160</v>
      </c>
      <c r="E30" s="213">
        <v>81.51</v>
      </c>
      <c r="F30" s="192"/>
      <c r="G30" s="196">
        <f t="shared" si="5"/>
        <v>81.51</v>
      </c>
      <c r="H30" s="668">
        <f t="shared" si="1"/>
        <v>0.5094375</v>
      </c>
      <c r="I30" s="578">
        <f t="shared" si="6"/>
      </c>
      <c r="J30" s="577">
        <f t="shared" si="3"/>
        <v>0.5094375</v>
      </c>
      <c r="K30"/>
      <c r="L30"/>
      <c r="M30"/>
      <c r="N30"/>
      <c r="O30"/>
      <c r="P30"/>
    </row>
    <row r="31" spans="1:16" ht="20.25" customHeight="1">
      <c r="A31" s="580" t="s">
        <v>453</v>
      </c>
      <c r="B31" s="213">
        <v>160</v>
      </c>
      <c r="C31" s="192"/>
      <c r="D31" s="226">
        <f t="shared" si="4"/>
        <v>160</v>
      </c>
      <c r="E31" s="213">
        <v>81.51</v>
      </c>
      <c r="F31" s="192"/>
      <c r="G31" s="196">
        <f t="shared" si="5"/>
        <v>81.51</v>
      </c>
      <c r="H31" s="668">
        <f t="shared" si="1"/>
        <v>0.5094375</v>
      </c>
      <c r="I31" s="578">
        <f t="shared" si="6"/>
      </c>
      <c r="J31" s="577">
        <f t="shared" si="3"/>
        <v>0.5094375</v>
      </c>
      <c r="K31"/>
      <c r="L31"/>
      <c r="M31"/>
      <c r="N31"/>
      <c r="O31"/>
      <c r="P31"/>
    </row>
    <row r="32" spans="1:16" ht="13.5" customHeight="1" thickBot="1">
      <c r="A32" s="589" t="s">
        <v>165</v>
      </c>
      <c r="B32" s="419"/>
      <c r="C32" s="418"/>
      <c r="D32" s="590">
        <f t="shared" si="4"/>
        <v>0</v>
      </c>
      <c r="E32" s="419">
        <v>0</v>
      </c>
      <c r="F32" s="418"/>
      <c r="G32" s="196">
        <f t="shared" si="5"/>
        <v>0</v>
      </c>
      <c r="H32" s="669">
        <f t="shared" si="1"/>
      </c>
      <c r="I32" s="583">
        <f t="shared" si="6"/>
      </c>
      <c r="J32" s="582">
        <f t="shared" si="3"/>
      </c>
      <c r="K32"/>
      <c r="L32"/>
      <c r="M32"/>
      <c r="N32"/>
      <c r="O32"/>
      <c r="P32"/>
    </row>
    <row r="33" spans="1:16" ht="13.5" customHeight="1" thickBot="1">
      <c r="A33" s="584" t="s">
        <v>23</v>
      </c>
      <c r="B33" s="222">
        <f aca="true" t="shared" si="7" ref="B33:G33">SUM(B16+B17+B18+B19+B20+B23+B28+B29+B30+B32)</f>
        <v>12480</v>
      </c>
      <c r="C33" s="193">
        <f t="shared" si="7"/>
        <v>0</v>
      </c>
      <c r="D33" s="664">
        <f t="shared" si="7"/>
        <v>12480</v>
      </c>
      <c r="E33" s="224">
        <f t="shared" si="7"/>
        <v>5973.570000000001</v>
      </c>
      <c r="F33" s="193">
        <f t="shared" si="7"/>
        <v>0</v>
      </c>
      <c r="G33" s="225">
        <f t="shared" si="7"/>
        <v>5973.570000000001</v>
      </c>
      <c r="H33" s="671">
        <f t="shared" si="1"/>
        <v>0.47865144230769235</v>
      </c>
      <c r="I33" s="665">
        <f t="shared" si="6"/>
      </c>
      <c r="J33" s="585">
        <f t="shared" si="3"/>
        <v>0.47865144230769235</v>
      </c>
      <c r="K33"/>
      <c r="L33"/>
      <c r="M33"/>
      <c r="N33"/>
      <c r="O33"/>
      <c r="P33"/>
    </row>
    <row r="34" spans="1:16" ht="13.5" customHeight="1" thickBot="1">
      <c r="A34" s="584" t="s">
        <v>41</v>
      </c>
      <c r="B34" s="1166">
        <f>+D33-D15</f>
        <v>0</v>
      </c>
      <c r="C34" s="1167"/>
      <c r="D34" s="1168"/>
      <c r="E34" s="803">
        <f>+G15-G33</f>
        <v>267.59999999999945</v>
      </c>
      <c r="F34" s="804"/>
      <c r="G34" s="805"/>
      <c r="H34"/>
      <c r="I34"/>
      <c r="J34"/>
      <c r="K34"/>
      <c r="L34"/>
      <c r="M34"/>
      <c r="N34"/>
      <c r="O34"/>
      <c r="P34"/>
    </row>
    <row r="35" spans="2:8" ht="0.75" customHeight="1" thickBot="1">
      <c r="B35" s="788">
        <f>+D15-D33</f>
        <v>0</v>
      </c>
      <c r="C35" s="1164"/>
      <c r="D35" s="1165">
        <v>0</v>
      </c>
      <c r="E35" s="257"/>
      <c r="F35" s="257"/>
      <c r="G35" s="257"/>
      <c r="H35" s="257"/>
    </row>
    <row r="36" spans="1:16" ht="5.25" customHeight="1">
      <c r="A36"/>
      <c r="B36"/>
      <c r="C36"/>
      <c r="D36"/>
      <c r="E36"/>
      <c r="F36"/>
      <c r="G36"/>
      <c r="H36"/>
      <c r="I36"/>
      <c r="J36"/>
      <c r="K36"/>
      <c r="L36"/>
      <c r="M36"/>
      <c r="N36"/>
      <c r="O36"/>
      <c r="P36"/>
    </row>
    <row r="37" ht="2.25" customHeight="1" thickBot="1"/>
    <row r="38" spans="1:16" ht="36" customHeight="1">
      <c r="A38" s="1161" t="s">
        <v>454</v>
      </c>
      <c r="B38" s="766" t="s">
        <v>455</v>
      </c>
      <c r="C38" s="1158" t="s">
        <v>456</v>
      </c>
      <c r="D38" s="1159"/>
      <c r="E38" s="1159"/>
      <c r="F38" s="1160"/>
      <c r="G38" s="734" t="s">
        <v>457</v>
      </c>
      <c r="H38"/>
      <c r="I38"/>
      <c r="J38"/>
      <c r="K38"/>
      <c r="L38"/>
      <c r="M38"/>
      <c r="N38"/>
      <c r="O38"/>
      <c r="P38"/>
    </row>
    <row r="39" spans="1:16" ht="18.75" thickBot="1">
      <c r="A39" s="1162"/>
      <c r="B39" s="735"/>
      <c r="C39" s="591" t="s">
        <v>458</v>
      </c>
      <c r="D39" s="459" t="s">
        <v>459</v>
      </c>
      <c r="E39" s="459" t="s">
        <v>460</v>
      </c>
      <c r="F39" s="592" t="s">
        <v>461</v>
      </c>
      <c r="G39" s="735"/>
      <c r="H39"/>
      <c r="I39"/>
      <c r="J39"/>
      <c r="K39"/>
      <c r="L39"/>
      <c r="M39"/>
      <c r="N39"/>
      <c r="O39"/>
      <c r="P39"/>
    </row>
    <row r="40" spans="1:16" ht="12.75">
      <c r="A40" s="593" t="s">
        <v>462</v>
      </c>
      <c r="B40" s="594">
        <v>1280.14</v>
      </c>
      <c r="C40" s="595" t="s">
        <v>463</v>
      </c>
      <c r="D40" s="596" t="s">
        <v>463</v>
      </c>
      <c r="E40" s="596" t="s">
        <v>463</v>
      </c>
      <c r="F40" s="597" t="s">
        <v>463</v>
      </c>
      <c r="G40" s="598" t="s">
        <v>463</v>
      </c>
      <c r="H40"/>
      <c r="I40"/>
      <c r="J40"/>
      <c r="K40"/>
      <c r="L40"/>
      <c r="M40"/>
      <c r="N40"/>
      <c r="O40"/>
      <c r="P40"/>
    </row>
    <row r="41" spans="1:16" ht="12.75">
      <c r="A41" s="599" t="s">
        <v>464</v>
      </c>
      <c r="B41" s="415">
        <v>0</v>
      </c>
      <c r="C41" s="600">
        <v>111</v>
      </c>
      <c r="D41" s="601">
        <v>0</v>
      </c>
      <c r="E41" s="601">
        <v>0</v>
      </c>
      <c r="F41" s="602">
        <f>+C41+D41-E41</f>
        <v>111</v>
      </c>
      <c r="G41" s="415">
        <v>111.46</v>
      </c>
      <c r="H41"/>
      <c r="I41"/>
      <c r="J41"/>
      <c r="K41"/>
      <c r="L41"/>
      <c r="M41"/>
      <c r="N41"/>
      <c r="O41"/>
      <c r="P41"/>
    </row>
    <row r="42" spans="1:16" ht="12.75">
      <c r="A42" s="599" t="s">
        <v>465</v>
      </c>
      <c r="B42" s="415">
        <v>0</v>
      </c>
      <c r="C42" s="600">
        <v>290.86</v>
      </c>
      <c r="D42" s="601">
        <v>0</v>
      </c>
      <c r="E42" s="601">
        <v>0</v>
      </c>
      <c r="F42" s="602">
        <f>+C42+D42-E42</f>
        <v>290.86</v>
      </c>
      <c r="G42" s="415">
        <v>290.86</v>
      </c>
      <c r="H42"/>
      <c r="I42"/>
      <c r="J42"/>
      <c r="K42"/>
      <c r="L42"/>
      <c r="M42"/>
      <c r="N42"/>
      <c r="O42"/>
      <c r="P42"/>
    </row>
    <row r="43" spans="1:16" ht="12.75">
      <c r="A43" s="599" t="s">
        <v>466</v>
      </c>
      <c r="B43" s="415">
        <f>+B40-B41-B42</f>
        <v>1280.14</v>
      </c>
      <c r="C43" s="595" t="s">
        <v>463</v>
      </c>
      <c r="D43" s="596" t="s">
        <v>463</v>
      </c>
      <c r="E43" s="596" t="s">
        <v>463</v>
      </c>
      <c r="F43" s="597" t="s">
        <v>463</v>
      </c>
      <c r="G43" s="598" t="s">
        <v>463</v>
      </c>
      <c r="H43"/>
      <c r="I43"/>
      <c r="J43"/>
      <c r="K43"/>
      <c r="L43"/>
      <c r="M43"/>
      <c r="N43"/>
      <c r="O43"/>
      <c r="P43"/>
    </row>
    <row r="44" spans="1:16" ht="12.75">
      <c r="A44" s="599" t="s">
        <v>467</v>
      </c>
      <c r="B44" s="415">
        <v>0</v>
      </c>
      <c r="C44" s="603">
        <v>327</v>
      </c>
      <c r="D44" s="604">
        <v>160</v>
      </c>
      <c r="E44" s="604">
        <v>236</v>
      </c>
      <c r="F44" s="602">
        <f>+C44+D44-E44</f>
        <v>251</v>
      </c>
      <c r="G44" s="605">
        <v>327.39</v>
      </c>
      <c r="H44"/>
      <c r="I44"/>
      <c r="J44"/>
      <c r="K44"/>
      <c r="L44"/>
      <c r="M44"/>
      <c r="N44"/>
      <c r="O44"/>
      <c r="P44"/>
    </row>
    <row r="45" spans="1:16" ht="13.5" thickBot="1">
      <c r="A45" s="606" t="s">
        <v>468</v>
      </c>
      <c r="B45" s="113">
        <v>262.89</v>
      </c>
      <c r="C45" s="607">
        <v>267</v>
      </c>
      <c r="D45" s="608">
        <v>145</v>
      </c>
      <c r="E45" s="608">
        <v>175</v>
      </c>
      <c r="F45" s="609">
        <f>+C45+D45-E45</f>
        <v>237</v>
      </c>
      <c r="G45" s="113">
        <v>245.47</v>
      </c>
      <c r="H45"/>
      <c r="I45"/>
      <c r="J45"/>
      <c r="K45"/>
      <c r="L45"/>
      <c r="M45"/>
      <c r="N45"/>
      <c r="O45"/>
      <c r="P45"/>
    </row>
    <row r="46" ht="12.75" customHeight="1" thickBot="1"/>
    <row r="47" spans="1:16" ht="15.75" customHeight="1">
      <c r="A47" s="1173" t="s">
        <v>492</v>
      </c>
      <c r="B47" s="1175" t="s">
        <v>31</v>
      </c>
      <c r="C47" s="1175" t="s">
        <v>469</v>
      </c>
      <c r="D47" s="1177"/>
      <c r="E47" s="1177"/>
      <c r="F47" s="1177"/>
      <c r="G47" s="1177"/>
      <c r="H47" s="708"/>
      <c r="I47"/>
      <c r="J47"/>
      <c r="K47"/>
      <c r="L47"/>
      <c r="M47"/>
      <c r="N47"/>
      <c r="O47"/>
      <c r="P47"/>
    </row>
    <row r="48" spans="1:16" ht="12.75">
      <c r="A48" s="1174"/>
      <c r="B48" s="1176"/>
      <c r="C48" s="610" t="s">
        <v>63</v>
      </c>
      <c r="D48" s="611" t="s">
        <v>470</v>
      </c>
      <c r="E48" s="611" t="s">
        <v>471</v>
      </c>
      <c r="F48" s="611" t="s">
        <v>472</v>
      </c>
      <c r="G48" s="612" t="s">
        <v>473</v>
      </c>
      <c r="H48" s="613" t="s">
        <v>392</v>
      </c>
      <c r="I48"/>
      <c r="J48"/>
      <c r="K48"/>
      <c r="L48"/>
      <c r="M48"/>
      <c r="N48"/>
      <c r="O48"/>
      <c r="P48"/>
    </row>
    <row r="49" spans="1:16" ht="12.75">
      <c r="A49" s="614" t="s">
        <v>474</v>
      </c>
      <c r="B49" s="615">
        <v>8</v>
      </c>
      <c r="C49" s="601">
        <v>0</v>
      </c>
      <c r="D49" s="601">
        <v>0</v>
      </c>
      <c r="E49" s="601">
        <v>0</v>
      </c>
      <c r="F49" s="601">
        <v>0</v>
      </c>
      <c r="G49" s="615">
        <v>0</v>
      </c>
      <c r="H49" s="602">
        <f>SUM(C49:G49)</f>
        <v>0</v>
      </c>
      <c r="I49"/>
      <c r="J49"/>
      <c r="K49"/>
      <c r="L49"/>
      <c r="M49"/>
      <c r="N49"/>
      <c r="O49"/>
      <c r="P49"/>
    </row>
    <row r="50" spans="1:16" ht="13.5" thickBot="1">
      <c r="A50" s="616" t="s">
        <v>475</v>
      </c>
      <c r="B50" s="617">
        <v>7.74</v>
      </c>
      <c r="C50" s="618">
        <v>0</v>
      </c>
      <c r="D50" s="618">
        <v>0</v>
      </c>
      <c r="E50" s="618">
        <v>0</v>
      </c>
      <c r="F50" s="618">
        <v>0</v>
      </c>
      <c r="G50" s="617">
        <v>0</v>
      </c>
      <c r="H50" s="619">
        <f>SUM(C50:G50)</f>
        <v>0</v>
      </c>
      <c r="I50"/>
      <c r="J50"/>
      <c r="K50"/>
      <c r="L50"/>
      <c r="M50"/>
      <c r="N50"/>
      <c r="O50"/>
      <c r="P50"/>
    </row>
    <row r="51" spans="1:16" ht="13.5" thickBot="1">
      <c r="A51" s="620" t="s">
        <v>476</v>
      </c>
      <c r="B51" s="303">
        <v>0</v>
      </c>
      <c r="C51" s="303">
        <f aca="true" t="shared" si="8" ref="C51:H51">+C50-C49</f>
        <v>0</v>
      </c>
      <c r="D51" s="303">
        <f t="shared" si="8"/>
        <v>0</v>
      </c>
      <c r="E51" s="303">
        <f t="shared" si="8"/>
        <v>0</v>
      </c>
      <c r="F51" s="303">
        <f t="shared" si="8"/>
        <v>0</v>
      </c>
      <c r="G51" s="303">
        <f t="shared" si="8"/>
        <v>0</v>
      </c>
      <c r="H51" s="273">
        <f t="shared" si="8"/>
        <v>0</v>
      </c>
      <c r="I51"/>
      <c r="J51"/>
      <c r="K51"/>
      <c r="L51"/>
      <c r="M51"/>
      <c r="N51"/>
      <c r="O51"/>
      <c r="P51"/>
    </row>
    <row r="52" spans="1:16" ht="12.75">
      <c r="A52" s="621" t="s">
        <v>477</v>
      </c>
      <c r="B52" s="622">
        <v>0</v>
      </c>
      <c r="C52" s="623">
        <v>0</v>
      </c>
      <c r="D52" s="623">
        <v>0</v>
      </c>
      <c r="E52" s="623">
        <v>0</v>
      </c>
      <c r="F52" s="623">
        <v>0</v>
      </c>
      <c r="G52" s="622">
        <v>0</v>
      </c>
      <c r="H52" s="624">
        <f>SUM(C52:G52)</f>
        <v>0</v>
      </c>
      <c r="I52"/>
      <c r="J52"/>
      <c r="K52"/>
      <c r="L52"/>
      <c r="M52"/>
      <c r="N52"/>
      <c r="O52"/>
      <c r="P52"/>
    </row>
    <row r="53" spans="1:16" ht="13.5" thickBot="1">
      <c r="A53" s="625" t="s">
        <v>478</v>
      </c>
      <c r="B53" s="626">
        <v>0</v>
      </c>
      <c r="C53" s="608">
        <v>0</v>
      </c>
      <c r="D53" s="608">
        <v>0</v>
      </c>
      <c r="E53" s="608">
        <v>0</v>
      </c>
      <c r="F53" s="608">
        <v>0</v>
      </c>
      <c r="G53" s="626">
        <v>0</v>
      </c>
      <c r="H53" s="609">
        <f>SUM(C53:G53)</f>
        <v>0</v>
      </c>
      <c r="I53"/>
      <c r="J53"/>
      <c r="K53"/>
      <c r="L53"/>
      <c r="M53"/>
      <c r="N53"/>
      <c r="O53"/>
      <c r="P53"/>
    </row>
    <row r="54" spans="1:16" ht="13.5" thickBot="1">
      <c r="A54" s="620" t="s">
        <v>476</v>
      </c>
      <c r="B54" s="303">
        <f aca="true" t="shared" si="9" ref="B54:H54">+B53-B52</f>
        <v>0</v>
      </c>
      <c r="C54" s="303">
        <f t="shared" si="9"/>
        <v>0</v>
      </c>
      <c r="D54" s="303">
        <f t="shared" si="9"/>
        <v>0</v>
      </c>
      <c r="E54" s="303">
        <f t="shared" si="9"/>
        <v>0</v>
      </c>
      <c r="F54" s="303">
        <f t="shared" si="9"/>
        <v>0</v>
      </c>
      <c r="G54" s="303">
        <f t="shared" si="9"/>
        <v>0</v>
      </c>
      <c r="H54" s="273">
        <f t="shared" si="9"/>
        <v>0</v>
      </c>
      <c r="I54"/>
      <c r="J54"/>
      <c r="K54"/>
      <c r="L54"/>
      <c r="M54"/>
      <c r="N54"/>
      <c r="O54"/>
      <c r="P54"/>
    </row>
    <row r="55" spans="1:16" ht="4.5" customHeight="1">
      <c r="A55" s="258"/>
      <c r="B55" s="114"/>
      <c r="C55" s="114"/>
      <c r="D55" s="114"/>
      <c r="E55" s="114"/>
      <c r="F55" s="114"/>
      <c r="G55" s="114"/>
      <c r="H55" s="114"/>
      <c r="I55"/>
      <c r="J55"/>
      <c r="K55"/>
      <c r="L55"/>
      <c r="M55"/>
      <c r="N55"/>
      <c r="O55"/>
      <c r="P55"/>
    </row>
    <row r="56" spans="1:16" ht="13.5" thickBot="1">
      <c r="A56"/>
      <c r="I56"/>
      <c r="J56"/>
      <c r="K56"/>
      <c r="L56"/>
      <c r="M56"/>
      <c r="N56"/>
      <c r="O56"/>
      <c r="P56"/>
    </row>
    <row r="57" spans="1:16" ht="13.5" thickBot="1">
      <c r="A57" s="1169" t="s">
        <v>479</v>
      </c>
      <c r="B57" s="1171" t="s">
        <v>480</v>
      </c>
      <c r="C57" s="1172"/>
      <c r="D57" s="1172"/>
      <c r="E57" s="1172"/>
      <c r="F57" s="1172"/>
      <c r="G57" s="777"/>
      <c r="H57" s="706"/>
      <c r="I57"/>
      <c r="J57"/>
      <c r="K57"/>
      <c r="L57"/>
      <c r="M57"/>
      <c r="N57"/>
      <c r="O57"/>
      <c r="P57"/>
    </row>
    <row r="58" spans="1:16" ht="36.75" thickBot="1">
      <c r="A58" s="1170"/>
      <c r="B58" s="676" t="s">
        <v>494</v>
      </c>
      <c r="C58" s="672" t="s">
        <v>481</v>
      </c>
      <c r="D58" s="672" t="s">
        <v>493</v>
      </c>
      <c r="E58" s="672" t="s">
        <v>499</v>
      </c>
      <c r="F58" s="672" t="s">
        <v>88</v>
      </c>
      <c r="G58" s="673" t="s">
        <v>482</v>
      </c>
      <c r="H58" s="674" t="s">
        <v>392</v>
      </c>
      <c r="I58"/>
      <c r="J58"/>
      <c r="K58"/>
      <c r="L58"/>
      <c r="M58"/>
      <c r="N58"/>
      <c r="O58"/>
      <c r="P58"/>
    </row>
    <row r="59" spans="1:16" ht="13.5" thickBot="1">
      <c r="A59" s="693" t="s">
        <v>483</v>
      </c>
      <c r="B59" s="700">
        <v>34206</v>
      </c>
      <c r="C59" s="695">
        <v>2375601</v>
      </c>
      <c r="D59" s="696"/>
      <c r="E59" s="694"/>
      <c r="F59" s="694">
        <v>421940</v>
      </c>
      <c r="G59" s="695">
        <v>490569</v>
      </c>
      <c r="H59" s="697">
        <f>SUM(B59:G59)</f>
        <v>3322316</v>
      </c>
      <c r="I59"/>
      <c r="J59"/>
      <c r="K59"/>
      <c r="L59"/>
      <c r="M59"/>
      <c r="N59"/>
      <c r="O59"/>
      <c r="P59"/>
    </row>
    <row r="60" spans="1:16" ht="13.5" thickTop="1">
      <c r="A60" s="631" t="s">
        <v>484</v>
      </c>
      <c r="B60" s="644">
        <v>0.3</v>
      </c>
      <c r="C60" s="633">
        <v>27.28</v>
      </c>
      <c r="D60" s="634"/>
      <c r="E60" s="632"/>
      <c r="F60" s="632">
        <v>3.25</v>
      </c>
      <c r="G60" s="633">
        <v>8</v>
      </c>
      <c r="H60" s="635">
        <f>SUM(B60:G60)</f>
        <v>38.83</v>
      </c>
      <c r="I60"/>
      <c r="J60"/>
      <c r="K60"/>
      <c r="L60"/>
      <c r="M60"/>
      <c r="N60"/>
      <c r="O60"/>
      <c r="P60"/>
    </row>
    <row r="61" spans="1:16" ht="13.5" thickBot="1">
      <c r="A61" s="636" t="s">
        <v>485</v>
      </c>
      <c r="B61" s="645">
        <v>0.5</v>
      </c>
      <c r="C61" s="638">
        <v>28</v>
      </c>
      <c r="D61" s="639"/>
      <c r="E61" s="637"/>
      <c r="F61" s="637">
        <v>3.25</v>
      </c>
      <c r="G61" s="638">
        <v>8</v>
      </c>
      <c r="H61" s="640">
        <f>SUM(B61:G61)</f>
        <v>39.75</v>
      </c>
      <c r="I61"/>
      <c r="J61"/>
      <c r="K61"/>
      <c r="L61"/>
      <c r="M61"/>
      <c r="N61"/>
      <c r="O61"/>
      <c r="P61"/>
    </row>
    <row r="62" spans="1:16" ht="13.5" thickBot="1">
      <c r="A62" s="641" t="s">
        <v>486</v>
      </c>
      <c r="B62" s="656">
        <f>+B59/B60/6</f>
        <v>19003.333333333332</v>
      </c>
      <c r="C62" s="646">
        <f>+C59/C60/6</f>
        <v>14513.691348973605</v>
      </c>
      <c r="D62" s="646">
        <v>0</v>
      </c>
      <c r="E62" s="657">
        <v>0</v>
      </c>
      <c r="F62" s="646">
        <f>+F59/F60/6</f>
        <v>21637.94871794872</v>
      </c>
      <c r="G62" s="698">
        <f>+G59/G60/6</f>
        <v>10220.1875</v>
      </c>
      <c r="H62" s="642">
        <f>+H59/H60/6</f>
        <v>14260.09099493519</v>
      </c>
      <c r="I62"/>
      <c r="J62"/>
      <c r="K62"/>
      <c r="L62"/>
      <c r="M62"/>
      <c r="N62"/>
      <c r="O62"/>
      <c r="P62"/>
    </row>
    <row r="63" spans="1:16" ht="13.5" thickBot="1">
      <c r="A63"/>
      <c r="I63"/>
      <c r="J63"/>
      <c r="K63"/>
      <c r="L63"/>
      <c r="M63"/>
      <c r="N63"/>
      <c r="O63"/>
      <c r="P63"/>
    </row>
    <row r="64" spans="1:16" ht="13.5" thickBot="1">
      <c r="A64" s="1169" t="s">
        <v>479</v>
      </c>
      <c r="B64" s="1171" t="s">
        <v>487</v>
      </c>
      <c r="C64" s="1172"/>
      <c r="D64" s="1172"/>
      <c r="E64" s="1172"/>
      <c r="F64" s="1172"/>
      <c r="G64" s="777"/>
      <c r="H64" s="706"/>
      <c r="I64"/>
      <c r="J64"/>
      <c r="K64"/>
      <c r="L64"/>
      <c r="M64"/>
      <c r="N64"/>
      <c r="O64"/>
      <c r="P64"/>
    </row>
    <row r="65" spans="1:16" ht="36.75" thickBot="1">
      <c r="A65" s="1170"/>
      <c r="B65" s="676" t="s">
        <v>494</v>
      </c>
      <c r="C65" s="672" t="s">
        <v>481</v>
      </c>
      <c r="D65" s="672" t="s">
        <v>493</v>
      </c>
      <c r="E65" s="672" t="s">
        <v>499</v>
      </c>
      <c r="F65" s="672" t="s">
        <v>88</v>
      </c>
      <c r="G65" s="673" t="s">
        <v>482</v>
      </c>
      <c r="H65" s="674" t="s">
        <v>392</v>
      </c>
      <c r="I65"/>
      <c r="J65"/>
      <c r="K65"/>
      <c r="L65"/>
      <c r="M65"/>
      <c r="N65"/>
      <c r="O65"/>
      <c r="P65"/>
    </row>
    <row r="66" spans="1:16" ht="13.5" thickBot="1">
      <c r="A66" s="627" t="s">
        <v>483</v>
      </c>
      <c r="B66" s="643">
        <v>66657</v>
      </c>
      <c r="C66" s="628">
        <v>2316952</v>
      </c>
      <c r="D66" s="628">
        <v>102404</v>
      </c>
      <c r="E66" s="629">
        <v>171814</v>
      </c>
      <c r="F66" s="628">
        <v>414702</v>
      </c>
      <c r="G66" s="629">
        <v>477159</v>
      </c>
      <c r="H66" s="630">
        <f>SUM(B66:G66)</f>
        <v>3549688</v>
      </c>
      <c r="I66"/>
      <c r="J66"/>
      <c r="K66"/>
      <c r="L66"/>
      <c r="M66"/>
      <c r="N66"/>
      <c r="O66"/>
      <c r="P66"/>
    </row>
    <row r="67" spans="1:16" ht="13.5" thickTop="1">
      <c r="A67" s="631" t="s">
        <v>484</v>
      </c>
      <c r="B67" s="644">
        <v>0.5</v>
      </c>
      <c r="C67" s="632">
        <v>23.66</v>
      </c>
      <c r="D67" s="632">
        <v>1</v>
      </c>
      <c r="E67" s="633">
        <v>2</v>
      </c>
      <c r="F67" s="632">
        <v>3.25</v>
      </c>
      <c r="G67" s="633">
        <v>8</v>
      </c>
      <c r="H67" s="635">
        <f>SUM(B67:G67)</f>
        <v>38.41</v>
      </c>
      <c r="I67"/>
      <c r="J67"/>
      <c r="K67"/>
      <c r="L67"/>
      <c r="M67"/>
      <c r="N67"/>
      <c r="O67"/>
      <c r="P67"/>
    </row>
    <row r="68" spans="1:16" ht="13.5" thickBot="1">
      <c r="A68" s="636" t="s">
        <v>485</v>
      </c>
      <c r="B68" s="645">
        <v>0.5</v>
      </c>
      <c r="C68" s="637">
        <v>24</v>
      </c>
      <c r="D68" s="637">
        <v>1</v>
      </c>
      <c r="E68" s="638">
        <v>2</v>
      </c>
      <c r="F68" s="637">
        <v>3.25</v>
      </c>
      <c r="G68" s="638">
        <v>8</v>
      </c>
      <c r="H68" s="640">
        <f>SUM(B68:G68)</f>
        <v>38.75</v>
      </c>
      <c r="I68"/>
      <c r="J68"/>
      <c r="K68"/>
      <c r="L68"/>
      <c r="M68"/>
      <c r="N68"/>
      <c r="O68"/>
      <c r="P68"/>
    </row>
    <row r="69" spans="1:16" ht="13.5" thickBot="1">
      <c r="A69" s="641" t="s">
        <v>486</v>
      </c>
      <c r="B69" s="659">
        <f aca="true" t="shared" si="10" ref="B69:H69">+B66/B67/6</f>
        <v>22219</v>
      </c>
      <c r="C69" s="646">
        <f t="shared" si="10"/>
        <v>16321.160890391659</v>
      </c>
      <c r="D69" s="646">
        <f t="shared" si="10"/>
        <v>17067.333333333332</v>
      </c>
      <c r="E69" s="646">
        <f t="shared" si="10"/>
        <v>14317.833333333334</v>
      </c>
      <c r="F69" s="646">
        <f t="shared" si="10"/>
        <v>21266.76923076923</v>
      </c>
      <c r="G69" s="646">
        <f t="shared" si="10"/>
        <v>9940.8125</v>
      </c>
      <c r="H69" s="689">
        <f t="shared" si="10"/>
        <v>15402.620845265992</v>
      </c>
      <c r="I69"/>
      <c r="J69"/>
      <c r="K69"/>
      <c r="L69"/>
      <c r="M69"/>
      <c r="N69"/>
      <c r="O69"/>
      <c r="P69"/>
    </row>
    <row r="70" spans="1:16" ht="8.25" customHeight="1" thickBot="1">
      <c r="A70"/>
      <c r="I70"/>
      <c r="J70"/>
      <c r="K70"/>
      <c r="L70"/>
      <c r="M70"/>
      <c r="N70"/>
      <c r="O70"/>
      <c r="P70"/>
    </row>
    <row r="71" spans="1:16" ht="18.75" thickBot="1">
      <c r="A71" s="647" t="s">
        <v>488</v>
      </c>
      <c r="B71" s="436">
        <f aca="true" t="shared" si="11" ref="B71:H71">+B67-B60</f>
        <v>0.2</v>
      </c>
      <c r="C71" s="436">
        <f t="shared" si="11"/>
        <v>-3.620000000000001</v>
      </c>
      <c r="D71" s="436">
        <f t="shared" si="11"/>
        <v>1</v>
      </c>
      <c r="E71" s="436">
        <f t="shared" si="11"/>
        <v>2</v>
      </c>
      <c r="F71" s="436">
        <f t="shared" si="11"/>
        <v>0</v>
      </c>
      <c r="G71" s="436">
        <f t="shared" si="11"/>
        <v>0</v>
      </c>
      <c r="H71" s="660">
        <f t="shared" si="11"/>
        <v>-0.4200000000000017</v>
      </c>
      <c r="I71"/>
      <c r="J71"/>
      <c r="K71"/>
      <c r="L71"/>
      <c r="M71"/>
      <c r="N71"/>
      <c r="O71"/>
      <c r="P71"/>
    </row>
    <row r="72" spans="1:8" s="462" customFormat="1" ht="18" customHeight="1" thickBot="1">
      <c r="A72" s="647" t="s">
        <v>489</v>
      </c>
      <c r="B72" s="648">
        <f aca="true" t="shared" si="12" ref="B72:H72">+B69-B62</f>
        <v>3215.666666666668</v>
      </c>
      <c r="C72" s="648">
        <f t="shared" si="12"/>
        <v>1807.4695414180533</v>
      </c>
      <c r="D72" s="648">
        <f t="shared" si="12"/>
        <v>17067.333333333332</v>
      </c>
      <c r="E72" s="648">
        <f t="shared" si="12"/>
        <v>14317.833333333334</v>
      </c>
      <c r="F72" s="648">
        <f t="shared" si="12"/>
        <v>-371.1794871794882</v>
      </c>
      <c r="G72" s="648">
        <f t="shared" si="12"/>
        <v>-279.375</v>
      </c>
      <c r="H72" s="699">
        <f t="shared" si="12"/>
        <v>1142.5298503308022</v>
      </c>
    </row>
    <row r="73" ht="9.75" customHeight="1"/>
  </sheetData>
  <mergeCells count="17">
    <mergeCell ref="A64:A65"/>
    <mergeCell ref="B64:H64"/>
    <mergeCell ref="H3:J3"/>
    <mergeCell ref="E34:G34"/>
    <mergeCell ref="A47:A48"/>
    <mergeCell ref="B47:B48"/>
    <mergeCell ref="C47:H47"/>
    <mergeCell ref="A57:A58"/>
    <mergeCell ref="B57:H57"/>
    <mergeCell ref="A2:A5"/>
    <mergeCell ref="C38:F38"/>
    <mergeCell ref="A38:A39"/>
    <mergeCell ref="B38:B39"/>
    <mergeCell ref="B2:J2"/>
    <mergeCell ref="B35:D35"/>
    <mergeCell ref="G38:G39"/>
    <mergeCell ref="B34:D34"/>
  </mergeCells>
  <printOptions horizontalCentered="1"/>
  <pageMargins left="0.2362204724409449" right="0.2755905511811024" top="0.34" bottom="0.31" header="0.27" footer="0.16"/>
  <pageSetup horizontalDpi="600" verticalDpi="600" orientation="portrait" paperSize="9" scale="80" r:id="rId1"/>
  <headerFooter alignWithMargins="0">
    <oddFooter>&amp;C&amp;8&amp;P / 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Buřič</dc:creator>
  <cp:keywords/>
  <dc:description/>
  <cp:lastModifiedBy>schallnerova</cp:lastModifiedBy>
  <cp:lastPrinted>2005-08-25T12:57:40Z</cp:lastPrinted>
  <dcterms:created xsi:type="dcterms:W3CDTF">2004-10-24T11:36:53Z</dcterms:created>
  <dcterms:modified xsi:type="dcterms:W3CDTF">2005-08-25T12:58:31Z</dcterms:modified>
  <cp:category/>
  <cp:version/>
  <cp:contentType/>
  <cp:contentStatus/>
</cp:coreProperties>
</file>