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3"/>
  </bookViews>
  <sheets>
    <sheet name="RK-15-2005-51,  př. 1 -1a " sheetId="1" r:id="rId1"/>
    <sheet name="př. 1b " sheetId="2" r:id="rId2"/>
    <sheet name="př. 1c " sheetId="3" r:id="rId3"/>
    <sheet name="př. 1d" sheetId="4" r:id="rId4"/>
    <sheet name="př. 1e " sheetId="5" r:id="rId5"/>
    <sheet name="př. 1f" sheetId="6" r:id="rId6"/>
    <sheet name="př. 1g" sheetId="7" r:id="rId7"/>
  </sheets>
  <definedNames/>
  <calcPr fullCalcOnLoad="1"/>
</workbook>
</file>

<file path=xl/sharedStrings.xml><?xml version="1.0" encoding="utf-8"?>
<sst xmlns="http://schemas.openxmlformats.org/spreadsheetml/2006/main" count="1834" uniqueCount="461">
  <si>
    <t>počet stran: 2</t>
  </si>
  <si>
    <t>Finanční plán</t>
  </si>
  <si>
    <t>Nemocnice Havlíčkův Brod</t>
  </si>
  <si>
    <t>Skutečnost rok 2003</t>
  </si>
  <si>
    <t>Skutečnost rok 2004</t>
  </si>
  <si>
    <t>Rozdíl 2004 - 2003</t>
  </si>
  <si>
    <t>Návrh na rok 2005</t>
  </si>
  <si>
    <t>Rozdíl 2005 - 2004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</si>
  <si>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</si>
  <si>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</si>
  <si>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</si>
  <si>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</si>
  <si>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</si>
  <si>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</si>
  <si>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</si>
  <si>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</si>
  <si>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</si>
  <si>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</si>
  <si>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</si>
  <si>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</si>
  <si>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</si>
  <si>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</si>
  <si>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</si>
  <si>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</si>
  <si>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</si>
  <si>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</si>
  <si>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</si>
  <si>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</si>
  <si>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</si>
  <si>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</si>
  <si>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</si>
  <si>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</si>
  <si>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</si>
  <si>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</si>
  <si>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</si>
  <si>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</si>
  <si>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</si>
  <si>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</si>
  <si>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</si>
  <si>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</si>
  <si>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</si>
  <si>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</si>
  <si>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</si>
  <si>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</si>
  <si>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</si>
  <si>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</si>
  <si>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</si>
  <si>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Návrh příspěvku nebo dotace na provoz a investiční dotace pro rok 2005 (v porovnání s rokem 2004)</t>
  </si>
  <si>
    <t>Vyčíslení nájemného</t>
  </si>
  <si>
    <t>Typ dotace</t>
  </si>
  <si>
    <t>Dotace na investice</t>
  </si>
  <si>
    <t>Rok</t>
  </si>
  <si>
    <t>celkem</t>
  </si>
  <si>
    <t>movitý majetek</t>
  </si>
  <si>
    <t>nemovitý majetek</t>
  </si>
  <si>
    <t>v %</t>
  </si>
  <si>
    <t>rozdíl</t>
  </si>
  <si>
    <t>Státní dotace</t>
  </si>
  <si>
    <t>celkem investice</t>
  </si>
  <si>
    <t xml:space="preserve">investice -movitý </t>
  </si>
  <si>
    <t xml:space="preserve">investice -nemovitý </t>
  </si>
  <si>
    <t>provozní dotace</t>
  </si>
  <si>
    <t>Jiné</t>
  </si>
  <si>
    <t>dotace z kapitálových výdajů - schváleno usnesením 0076/01/2005/ZK</t>
  </si>
  <si>
    <t xml:space="preserve">Dotace celkem </t>
  </si>
  <si>
    <t>Převedené prostředky z roku 2004</t>
  </si>
  <si>
    <t>dotace ze smluv o nájmu movitého a nemovitého majetku</t>
  </si>
  <si>
    <t xml:space="preserve">dotace z příkazních smluv </t>
  </si>
  <si>
    <t xml:space="preserve">celkem </t>
  </si>
  <si>
    <t xml:space="preserve"> vlastní zdroje organizace</t>
  </si>
  <si>
    <t>UZ 00051</t>
  </si>
  <si>
    <t>UZ 00052</t>
  </si>
  <si>
    <t>UZ 00055</t>
  </si>
  <si>
    <t>UZ 00000</t>
  </si>
  <si>
    <t xml:space="preserve">položka 6351 </t>
  </si>
  <si>
    <t>Přestavba centrálních operačních sálů</t>
  </si>
  <si>
    <t>Přestavba společných laboratoří</t>
  </si>
  <si>
    <t>Počítačová síť, optické kabely</t>
  </si>
  <si>
    <t>Přestavba skladů</t>
  </si>
  <si>
    <t>CELKEM stavební investice - nemovitý majetek</t>
  </si>
  <si>
    <t>dotace "Stravovací provoz"</t>
  </si>
  <si>
    <t>celkem cena</t>
  </si>
  <si>
    <t>Strojní investice</t>
  </si>
  <si>
    <t>00052</t>
  </si>
  <si>
    <t>CT - doplatek z roku 2004</t>
  </si>
  <si>
    <t>Celotělový denzitometr</t>
  </si>
  <si>
    <t>Anesteziologickoresuscitační komplex</t>
  </si>
  <si>
    <t>Přístroj EEG</t>
  </si>
  <si>
    <t>Biochemický analyzátor včetně vybavení</t>
  </si>
  <si>
    <t>Gynekologický ultrazvuk s dopplerem + kardiotokograf</t>
  </si>
  <si>
    <t>Vybavení COS</t>
  </si>
  <si>
    <t>Rozšíření NIS</t>
  </si>
  <si>
    <t>Vybavení centrálních JIP, ARO</t>
  </si>
  <si>
    <t>Vybavení rekonstruovaných prostor rehabilitačního centra a lůžek následné péče</t>
  </si>
  <si>
    <t>CELKEM strojní investice - movitý majetek</t>
  </si>
  <si>
    <t>CELKEM INVESTICE</t>
  </si>
  <si>
    <t xml:space="preserve">     Opravy nemovitého majetku</t>
  </si>
  <si>
    <t>Náklady v tis. Kč</t>
  </si>
  <si>
    <t xml:space="preserve">            Opravy movitého majetku</t>
  </si>
  <si>
    <t>Oprava budovy kotelny</t>
  </si>
  <si>
    <t>Diagnostická zdravotnická technika</t>
  </si>
  <si>
    <t>Stavební opravy v budově G</t>
  </si>
  <si>
    <t>Akutní zdravotnická technika</t>
  </si>
  <si>
    <t>Střecha transfúzní oddělení</t>
  </si>
  <si>
    <t>Laboratorní přístroje</t>
  </si>
  <si>
    <t>Oprava omítky v suterénu onkologie</t>
  </si>
  <si>
    <t>Opravy dopravních prostředků</t>
  </si>
  <si>
    <t>Opravy vodovodních instalací</t>
  </si>
  <si>
    <t>Vybavení operačních sálů a sterilizace</t>
  </si>
  <si>
    <t>Opravy el. instalací</t>
  </si>
  <si>
    <t>Ostatní zdravotnické přístroje</t>
  </si>
  <si>
    <t>Opravy střech a oplechování</t>
  </si>
  <si>
    <t>Výpočetní technika</t>
  </si>
  <si>
    <t>Ostatní stavební opravy</t>
  </si>
  <si>
    <t>Ostatní technika</t>
  </si>
  <si>
    <t>Oprava vozovek a chodníků</t>
  </si>
  <si>
    <t>Malířské a natěračské práce</t>
  </si>
  <si>
    <t>Opravy vytápění v pav. M</t>
  </si>
  <si>
    <t xml:space="preserve">Celkem </t>
  </si>
  <si>
    <t>Pořizovací cena majetku</t>
  </si>
  <si>
    <t>Oprávky k 1.1.2004</t>
  </si>
  <si>
    <t>Odpisový plán na rok 2004</t>
  </si>
  <si>
    <t>Zůstatková cena k 31.12.2004</t>
  </si>
  <si>
    <t>z toho odpisová skupina:</t>
  </si>
  <si>
    <t>Peněžní fondy v tis. Kč</t>
  </si>
  <si>
    <t>Zůstatek účtu k 1.1.2004</t>
  </si>
  <si>
    <t>Účetní stav 2004</t>
  </si>
  <si>
    <t>Zůstatek účtu k 31.12.2004</t>
  </si>
  <si>
    <t>Deficit (-) BÚ</t>
  </si>
  <si>
    <t>Plán tvorby a čerpání fondů 2005</t>
  </si>
  <si>
    <t>Stav k 1.1.2004</t>
  </si>
  <si>
    <t>Tvorba</t>
  </si>
  <si>
    <t>Čerpání</t>
  </si>
  <si>
    <t>Stav k 31.12.2004</t>
  </si>
  <si>
    <t>Stav k 1.1.2005</t>
  </si>
  <si>
    <t>Stav k 31.12.2005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</si>
  <si>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</si>
  <si>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</si>
  <si>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</si>
  <si>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</si>
  <si>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</si>
  <si>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Investiční fond</t>
  </si>
  <si>
    <t>Běžný účet FKSP</t>
  </si>
  <si>
    <t>INVESTIĆNÍ FOND</t>
  </si>
  <si>
    <t>REZERVNÍ FOND</t>
  </si>
  <si>
    <t>Počátečný stav</t>
  </si>
  <si>
    <t>Počáteční stav</t>
  </si>
  <si>
    <t xml:space="preserve">    odpisy</t>
  </si>
  <si>
    <t xml:space="preserve">   příděl ze zlepšeného hosp. výsledku</t>
  </si>
  <si>
    <t xml:space="preserve">    investiční dotace od zřizovatele</t>
  </si>
  <si>
    <t xml:space="preserve">   dary</t>
  </si>
  <si>
    <t xml:space="preserve">    investiční dotace ze SR</t>
  </si>
  <si>
    <t xml:space="preserve">   převod z rezervního fondu</t>
  </si>
  <si>
    <t xml:space="preserve">  k dalšímu rozvoji činnosti</t>
  </si>
  <si>
    <t xml:space="preserve">   investiční výdaje na movitý</t>
  </si>
  <si>
    <t xml:space="preserve">  k úhradě ztráty za předch. léta</t>
  </si>
  <si>
    <t xml:space="preserve">   investiční výdaje na nemovitý</t>
  </si>
  <si>
    <t>převod do investičního fondu</t>
  </si>
  <si>
    <t>Zůstatek</t>
  </si>
  <si>
    <t>II. Doplňující údaje z výsledků hospodaření za rok 2004</t>
  </si>
  <si>
    <t>stav k 31.12.2004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</si>
  <si>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</si>
  <si>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</si>
  <si>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</si>
  <si>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</si>
  <si>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</si>
  <si>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</si>
  <si>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</si>
  <si>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Krátkodobé závazky</t>
  </si>
  <si>
    <t>Oddělení</t>
  </si>
  <si>
    <t xml:space="preserve">Lůžka </t>
  </si>
  <si>
    <t>Obložnost</t>
  </si>
  <si>
    <t>interní</t>
  </si>
  <si>
    <t>infekční</t>
  </si>
  <si>
    <t>TRN</t>
  </si>
  <si>
    <t>neurologické</t>
  </si>
  <si>
    <t>psychiatrie</t>
  </si>
  <si>
    <t>pediatrie</t>
  </si>
  <si>
    <t>gynekologie</t>
  </si>
  <si>
    <t>chirurgické</t>
  </si>
  <si>
    <t xml:space="preserve">ARO </t>
  </si>
  <si>
    <t>ortopedické</t>
  </si>
  <si>
    <t>urologické</t>
  </si>
  <si>
    <t>ORL</t>
  </si>
  <si>
    <t>oftalmologie</t>
  </si>
  <si>
    <t>kožní</t>
  </si>
  <si>
    <t>radioterapeutické</t>
  </si>
  <si>
    <t>rehabilitační</t>
  </si>
  <si>
    <t>následná péče</t>
  </si>
  <si>
    <t>centrální JIP</t>
  </si>
  <si>
    <t>Rozbor mzdových nákladů podle kategorií</t>
  </si>
  <si>
    <t>k 31.12.2003</t>
  </si>
  <si>
    <t>k 31.12.2004</t>
  </si>
  <si>
    <t>Rozdíl</t>
  </si>
  <si>
    <t>Průměrný přepočtený počet</t>
  </si>
  <si>
    <t>mzdové náklady</t>
  </si>
  <si>
    <t>Průměrná mzda</t>
  </si>
  <si>
    <t>Lékaři</t>
  </si>
  <si>
    <t>Farmaceuti</t>
  </si>
  <si>
    <t>Jiní VŠ</t>
  </si>
  <si>
    <t>všeobecné sestry, porodní asistentky</t>
  </si>
  <si>
    <t>Jiní SŠ</t>
  </si>
  <si>
    <t>ostatní zdrav.pracovníci nelékaři s odbornou způsobilostí</t>
  </si>
  <si>
    <t>SZP</t>
  </si>
  <si>
    <t>zdrav.pracovníci nelékaři s odb. a special. způsobilostí</t>
  </si>
  <si>
    <t>NZP</t>
  </si>
  <si>
    <t>zdrav.pracovníci nelékaři pod odborn. dohledem nebo přímým vedením</t>
  </si>
  <si>
    <t>PZT</t>
  </si>
  <si>
    <t>jiní odborní pracovníci nelékaři s odbornou způsobilostí</t>
  </si>
  <si>
    <t>pedagogičtí pracovníci</t>
  </si>
  <si>
    <t/>
  </si>
  <si>
    <t>THP</t>
  </si>
  <si>
    <t>Dělníci a provozní pracovníci</t>
  </si>
  <si>
    <t>dělníci a provozní pracovníci</t>
  </si>
  <si>
    <t>III. Závazné ukazatele</t>
  </si>
  <si>
    <t>Závazné ukazatele pro rok 2005</t>
  </si>
  <si>
    <t>Příspěvek na provoz</t>
  </si>
  <si>
    <t>Limit prostředků na platy</t>
  </si>
  <si>
    <t>Nemocnice Jihlava</t>
  </si>
  <si>
    <t>Prostředky z investičního fondu</t>
  </si>
  <si>
    <t>Název akce</t>
  </si>
  <si>
    <t>faktura</t>
  </si>
  <si>
    <t>Instalace nového kotle</t>
  </si>
  <si>
    <t>Projekt vybudování JIP</t>
  </si>
  <si>
    <t>Projekt změna projektové dokumentace rekonstrukce infekčního pavilonu + ONM</t>
  </si>
  <si>
    <t>Projekt magnetická rezonance</t>
  </si>
  <si>
    <t>Projekt výtah (diag.pavilon+ozařovny) - studie využití diagnostického pavilonu</t>
  </si>
  <si>
    <t>Rekonstrukce výměníkové stanice kuchyně</t>
  </si>
  <si>
    <t>Porodní sál(nadstandart) - stavba+projekt.dokumentace+vybavení</t>
  </si>
  <si>
    <t>Plastická chyrurgie (stavba+vybavení)</t>
  </si>
  <si>
    <t>VZT-rekonstrukce filtračních systémů</t>
  </si>
  <si>
    <t>Unistav - dostavba NN</t>
  </si>
  <si>
    <t>50066/02</t>
  </si>
  <si>
    <t>Ekon - TZ infekčního pavilonu</t>
  </si>
  <si>
    <t>50073/02</t>
  </si>
  <si>
    <t>Penta - TZ infekčního pavilonu</t>
  </si>
  <si>
    <t>50027/03</t>
  </si>
  <si>
    <t>Penta - TZ diagnostického pavilonu HTO</t>
  </si>
  <si>
    <t>50007/03</t>
  </si>
  <si>
    <t>Penta - TZ interního pavilonu bronchoskopie</t>
  </si>
  <si>
    <t>50048/03</t>
  </si>
  <si>
    <t>Pozemní stavby - TZ diagnostického pavilonu</t>
  </si>
  <si>
    <t>50002/03</t>
  </si>
  <si>
    <t>50019/03</t>
  </si>
  <si>
    <t>Pozemní stavby - Tzpříjem B (cytoskopie)</t>
  </si>
  <si>
    <t>50028/03</t>
  </si>
  <si>
    <t>Dialyzační monitor</t>
  </si>
  <si>
    <t>Endokamera na urologickom oddělení</t>
  </si>
  <si>
    <t>Ultrazvukový přístroj</t>
  </si>
  <si>
    <t>Resususcitační lůžko s příslušenstvím pro ARO</t>
  </si>
  <si>
    <t>Artroskop + shaver</t>
  </si>
  <si>
    <t>Mrazící box pro kostní banku</t>
  </si>
  <si>
    <t>Bronchoskop</t>
  </si>
  <si>
    <t>Kardiotokograf</t>
  </si>
  <si>
    <t>Výměna vybavení centrální kuchyně</t>
  </si>
  <si>
    <t>Interní oddělení - JIP, jednotka UPS</t>
  </si>
  <si>
    <t>Kopírka</t>
  </si>
  <si>
    <t>zvedák pro imobilní pacienty</t>
  </si>
  <si>
    <t>Fibroskop</t>
  </si>
  <si>
    <t>Anemat mini - narkotizační přístroj</t>
  </si>
  <si>
    <t>Infuzní pumpa</t>
  </si>
  <si>
    <t>Injekční dávkovač</t>
  </si>
  <si>
    <t>EMG</t>
  </si>
  <si>
    <t>Fototerapeutická kabina</t>
  </si>
  <si>
    <t>Ureterorenoskop</t>
  </si>
  <si>
    <t>Laparoskopické instrumentárium</t>
  </si>
  <si>
    <t>Digitalizace Fomei</t>
  </si>
  <si>
    <t>Esophagoskop</t>
  </si>
  <si>
    <t>Siemens - splátky RDG</t>
  </si>
  <si>
    <t>12532/02</t>
  </si>
  <si>
    <t>Sodat - splátky software pro VS</t>
  </si>
  <si>
    <t>50045/03</t>
  </si>
  <si>
    <t>Unistav - monitory ARO</t>
  </si>
  <si>
    <t>50036/03</t>
  </si>
  <si>
    <t>Hoyer - sensor</t>
  </si>
  <si>
    <t>50059/03</t>
  </si>
  <si>
    <t>Hypokramed - CO2 Endoflator</t>
  </si>
  <si>
    <t>50057/01</t>
  </si>
  <si>
    <t>Olympus - endoskopie kamera VISERA</t>
  </si>
  <si>
    <t>50016/04</t>
  </si>
  <si>
    <t>Tiši Zdenk - TZ interního pavilonu</t>
  </si>
  <si>
    <t>50020/04</t>
  </si>
  <si>
    <t>Hospimed - optický přístroj (oční)</t>
  </si>
  <si>
    <t>50021/04</t>
  </si>
  <si>
    <t>Rezerva</t>
  </si>
  <si>
    <t>Oprava CT (rentgenka)</t>
  </si>
  <si>
    <t>Rezerva na nutné hvarijní stavy nemovitého majetku</t>
  </si>
  <si>
    <t>Smluvní servis zdravotnických přístrojů</t>
  </si>
  <si>
    <t>Oprava podlah laboratoří biochemie OKBMI</t>
  </si>
  <si>
    <t>Rezerva na nutné hvarijní stavy movitého majetku</t>
  </si>
  <si>
    <t>Oprava rozvodu medicinálních plynů OKBMI</t>
  </si>
  <si>
    <t>Oprava vozovek v areálu</t>
  </si>
  <si>
    <t>Oprava lapolu OLVS</t>
  </si>
  <si>
    <t>Oprava izolací podlah ODN</t>
  </si>
  <si>
    <t>Oprava izolací vstupního schodiště OLVS</t>
  </si>
  <si>
    <t xml:space="preserve">   opravy a údržba nemovitého majetku</t>
  </si>
  <si>
    <t>Závazky</t>
  </si>
  <si>
    <t>Nemocnice Pelhřimov</t>
  </si>
  <si>
    <t>/v tis. Kč/</t>
  </si>
  <si>
    <t xml:space="preserve">Doplňková </t>
  </si>
  <si>
    <t>Jiné (úřad práce)</t>
  </si>
  <si>
    <t>splátky úvěrů</t>
  </si>
  <si>
    <t>projekt rekonstrukce hlavní budovy</t>
  </si>
  <si>
    <t>stavební úpravy pro CT</t>
  </si>
  <si>
    <t>Spirální CT</t>
  </si>
  <si>
    <t>Sanitní vozidlo</t>
  </si>
  <si>
    <t>Technologie stravovacího provozu</t>
  </si>
  <si>
    <t>Obnova zdravotní techniky</t>
  </si>
  <si>
    <t>Oprávky k 1.1.2005</t>
  </si>
  <si>
    <t>Odpisový plán na rok 2005</t>
  </si>
  <si>
    <t>Zůstat. cena k 31.12.2005</t>
  </si>
  <si>
    <t xml:space="preserve">   opravy a údžba nemovitého majetku</t>
  </si>
  <si>
    <t xml:space="preserve">   jiné</t>
  </si>
  <si>
    <t>Nemocnice Třebíč</t>
  </si>
  <si>
    <t>Hlavní</t>
  </si>
  <si>
    <t>Mimořádná dotace z prodeje nemovitostí</t>
  </si>
  <si>
    <t>mimořádná dotace z prodeje nemovitostí</t>
  </si>
  <si>
    <t xml:space="preserve"> vlastní zdroje </t>
  </si>
  <si>
    <t>UZ 00999</t>
  </si>
  <si>
    <t>PD stravovací provoz</t>
  </si>
  <si>
    <t>Pozemstav pozastávka UNP</t>
  </si>
  <si>
    <t>Pozemstav pozastávka PAO</t>
  </si>
  <si>
    <t>Pozemstav pozastávka COS</t>
  </si>
  <si>
    <t>Poplatky za soutěž - fa. GORDION</t>
  </si>
  <si>
    <t>Rezerva havárie stavební a strojní</t>
  </si>
  <si>
    <t>z příjmů z prodeje movitého majetku</t>
  </si>
  <si>
    <t>Stravovací systém</t>
  </si>
  <si>
    <t>RDG - Chirurgie</t>
  </si>
  <si>
    <t>Kolek k RDG chirurgie</t>
  </si>
  <si>
    <t>RDG - LDN repas</t>
  </si>
  <si>
    <t>Kolek k LDN repas</t>
  </si>
  <si>
    <t>Hematologie - koagulometr Sysmex CA-540</t>
  </si>
  <si>
    <t>Frankovací stroj</t>
  </si>
  <si>
    <t>Rezerva na havárie strojní</t>
  </si>
  <si>
    <t>Opravy nad rámec běžné údržby</t>
  </si>
  <si>
    <t xml:space="preserve">Předpokládané náklady </t>
  </si>
  <si>
    <t>Chirurgie lůžka - havárie výměna stoupaček ZTI</t>
  </si>
  <si>
    <t>Výměna filtračních vložek čisté prostory</t>
  </si>
  <si>
    <t>Malování - oddělení</t>
  </si>
  <si>
    <t>Opravy v administrativní budově</t>
  </si>
  <si>
    <t>Oprava na gynekologii II.</t>
  </si>
  <si>
    <t>Opravy v topných kanálech</t>
  </si>
  <si>
    <t>Opravy střech - nátěry</t>
  </si>
  <si>
    <t>Rezerva na nepředvídatelné události</t>
  </si>
  <si>
    <t>Zůstatková cena k 31.12.2005</t>
  </si>
  <si>
    <t>Plán tvorby a čerpání fondů 2004</t>
  </si>
  <si>
    <t>převod do IF</t>
  </si>
  <si>
    <t>Lůžkový fond</t>
  </si>
  <si>
    <t>Lidské zdroje</t>
  </si>
  <si>
    <r>
      <t xml:space="preserve">Rekonstrukce stravovacího provozu </t>
    </r>
    <r>
      <rPr>
        <b/>
        <sz val="7"/>
        <color indexed="12"/>
        <rFont val="Arial CE"/>
        <family val="2"/>
      </rPr>
      <t xml:space="preserve">- </t>
    </r>
    <r>
      <rPr>
        <b/>
        <sz val="7"/>
        <rFont val="Arial CE"/>
        <family val="2"/>
      </rPr>
      <t>stavba + koridory *)</t>
    </r>
  </si>
  <si>
    <r>
      <t>Rekonstrukce stravovacího provozu -</t>
    </r>
    <r>
      <rPr>
        <b/>
        <sz val="8"/>
        <rFont val="Arial CE"/>
        <family val="2"/>
      </rPr>
      <t xml:space="preserve"> </t>
    </r>
    <r>
      <rPr>
        <b/>
        <sz val="7"/>
        <rFont val="Arial CE"/>
        <family val="2"/>
      </rPr>
      <t>technologie *)</t>
    </r>
  </si>
  <si>
    <t>Nemocnice Nové Město na Moravě</t>
  </si>
  <si>
    <t xml:space="preserve">Dotace ze SR </t>
  </si>
  <si>
    <t>celkem  (bez dotace ze SR)</t>
  </si>
  <si>
    <t>ISPROFIN</t>
  </si>
  <si>
    <t>Tabletovací systém výdeje stravy a objednávkový systém zaměstnanců - dokončení</t>
  </si>
  <si>
    <t>dokončení projektové dokumentace "Rekonstrukce a přístavba int.pavilonu" do vydání stavebního povolení</t>
  </si>
  <si>
    <t>stavební úpravy horního podlaží neurologie</t>
  </si>
  <si>
    <t>Lékárna - výdejna léků</t>
  </si>
  <si>
    <t>RTG pracoviště Buchtův kopec</t>
  </si>
  <si>
    <t>REKO gynekologie včetně přístrojového vybavení</t>
  </si>
  <si>
    <t>dofinancování přístrojového vybavení z roku 2004 - videodueendoskop</t>
  </si>
  <si>
    <t>Skiaskopicko-skiagrafický komplet s C ramenem</t>
  </si>
  <si>
    <t>spirometrický systém</t>
  </si>
  <si>
    <t>defibrilátor</t>
  </si>
  <si>
    <t>přenosné EKG</t>
  </si>
  <si>
    <t>sonda gamakamery</t>
  </si>
  <si>
    <t>server</t>
  </si>
  <si>
    <t>obměna zastaralé výpočetní techniky</t>
  </si>
  <si>
    <t>převozové vozidlo</t>
  </si>
  <si>
    <t>dialyzační přístroje</t>
  </si>
  <si>
    <t>Rezerva na nepředvídané havárie</t>
  </si>
  <si>
    <t>Zůstat. cena k 31.12.2004</t>
  </si>
  <si>
    <t>TRN Buchtův kopec a léčebna (TRN 100 lůžek, následná péče 62 lůžek)</t>
  </si>
  <si>
    <t>počet stran: 3</t>
  </si>
  <si>
    <t>opravy střech</t>
  </si>
  <si>
    <t>opravy stavební</t>
  </si>
  <si>
    <t>malby, nátěry</t>
  </si>
  <si>
    <t>opravy podlah</t>
  </si>
  <si>
    <t>el. Instalace</t>
  </si>
  <si>
    <t>opravy ÚT</t>
  </si>
  <si>
    <t>oprava vodovodů</t>
  </si>
  <si>
    <t>opravy bytů</t>
  </si>
  <si>
    <t>rezerva</t>
  </si>
  <si>
    <t>nezdravotní technika</t>
  </si>
  <si>
    <t>zdravotní technika</t>
  </si>
  <si>
    <t>dopravní prostředky</t>
  </si>
  <si>
    <t>*účet 691 je vyšší o 6.166 tis. Kč - jde o dotace od MÚ na provoz LSPP</t>
  </si>
  <si>
    <t>Plán oprav - nemocnice plánuje pro rok 2005 pouze běžnou údržbu</t>
  </si>
  <si>
    <t>Příspěvek na sociální sestru, knihovnu a živelní pojištění UZ 00000</t>
  </si>
  <si>
    <t>Z nájemného ze smluv o nájmu movitého a nemovitého majetku UZ 00051</t>
  </si>
  <si>
    <t>Z příkazních smluv UZ 00052</t>
  </si>
  <si>
    <t>Z příjmů z prodeje movitého majetku UZ 00055</t>
  </si>
  <si>
    <t>I. Návrh finančního plánu, investičního plánu, odpisového plánu</t>
  </si>
  <si>
    <t>počet stran: 1</t>
  </si>
  <si>
    <t>Dětský domov Kamenice nad Lipou</t>
  </si>
  <si>
    <t>Skutečnost za rok 2003</t>
  </si>
  <si>
    <t>Skutečnost za rok 2004</t>
  </si>
  <si>
    <t>Návrhna rok 2005</t>
  </si>
  <si>
    <t>Plán čerpání investičního fondu 2005 - vlastní zdroje</t>
  </si>
  <si>
    <t>v tis.Kč</t>
  </si>
  <si>
    <t>splácení půjčky SFŽP</t>
  </si>
  <si>
    <t>odvod do rozpočtu zřizovatele</t>
  </si>
  <si>
    <t>Vlastní zdroje celkem</t>
  </si>
  <si>
    <t>Plán čerpání investičního fondu 2005 - ze zdrojů zřizovatele - schváleno usnesením zastupitelstva č. 0076/01/2005/ZK</t>
  </si>
  <si>
    <t>v tis. Kč</t>
  </si>
  <si>
    <t xml:space="preserve">automobil pro převoz dětí </t>
  </si>
  <si>
    <t>plynový sporák kuchyň</t>
  </si>
  <si>
    <t>Celkem ze zdrojů zřizovatele</t>
  </si>
  <si>
    <t xml:space="preserve">          investiční fond</t>
  </si>
  <si>
    <t>Pohledávky (včetně ostatních pohledávkových účtů)</t>
  </si>
  <si>
    <t>Závazky včetně dlouhodobých</t>
  </si>
  <si>
    <t>Rozbor mzdových nákladů v Kč</t>
  </si>
  <si>
    <t>PZP</t>
  </si>
  <si>
    <t>dělníci</t>
  </si>
  <si>
    <t>mzdy celkem</t>
  </si>
  <si>
    <t>průměrný přepočtený počet</t>
  </si>
  <si>
    <t>průměrný plat zaměstnanců</t>
  </si>
  <si>
    <t>ostatní zdrav. prac. nelékaři s odb. způsob.</t>
  </si>
  <si>
    <t>všeobecné sestry</t>
  </si>
  <si>
    <t>jiní odborní prac. nelékaři</t>
  </si>
  <si>
    <t>zdrav. prac. nelék. pod odbor. dohledem</t>
  </si>
  <si>
    <t>Kapacita</t>
  </si>
  <si>
    <t>III. Závazné ukazatele pro rok 2005</t>
  </si>
  <si>
    <t>Dětské centrum Jihlava</t>
  </si>
  <si>
    <t>Skutečnost na rok 2004</t>
  </si>
  <si>
    <t>Plán čerpání investičního fondu 2005 - z vlastních zdrojů</t>
  </si>
  <si>
    <t>automatická pračka</t>
  </si>
  <si>
    <t>rehabilitační stůl</t>
  </si>
  <si>
    <t>lékaři</t>
  </si>
  <si>
    <t>jiní SŠ</t>
  </si>
  <si>
    <t>Psycholog</t>
  </si>
  <si>
    <t>soc.+dietní</t>
  </si>
  <si>
    <t>THP + ředitel</t>
  </si>
  <si>
    <t>Podíl typů dotace na  nájemném</t>
  </si>
  <si>
    <t>Příspěvek na sociální sestru, knihovnu a živelní pojištění        UZ 00000</t>
  </si>
  <si>
    <t>Z příkazních smluv      UZ 00052</t>
  </si>
  <si>
    <r>
      <t xml:space="preserve">Z nájemného ze smluv o nájmu movitého a nemovitého majetku                   </t>
    </r>
    <r>
      <rPr>
        <b/>
        <sz val="9"/>
        <rFont val="Times New Roman"/>
        <family val="1"/>
      </rPr>
      <t>UZ 00051</t>
    </r>
  </si>
  <si>
    <t>Z příjmů z prodeje movitého majetku   UZ 00055</t>
  </si>
  <si>
    <t>Příspěvek resp. dotace na provoz - položka 5331</t>
  </si>
  <si>
    <t>Dotace na investice - položka 6351</t>
  </si>
  <si>
    <t>"Stravovací provoz" UZ 00999</t>
  </si>
  <si>
    <t>CELKEM nemovitý majetek</t>
  </si>
  <si>
    <t>CELKEM movitý majetek</t>
  </si>
  <si>
    <t>Plán oprav  dlouhodobého majetku  na rok 2005</t>
  </si>
  <si>
    <t>Plán oprav  dlouhodobého majetku na rok 2005</t>
  </si>
  <si>
    <t>CELKEM investice- movitý majetek</t>
  </si>
  <si>
    <t>CELKEM investice -nemovitý majetek</t>
  </si>
  <si>
    <t>Jiné (stará nemocnice)</t>
  </si>
  <si>
    <t>Nemovitý majetek § 3522, položka 6351 v Kč</t>
  </si>
  <si>
    <t>Movitý majetek § 3522, položka 6351 v Kč</t>
  </si>
  <si>
    <t>CELKEM investice- nemovitý majetek</t>
  </si>
  <si>
    <t>Zdrojový most ARO</t>
  </si>
  <si>
    <t>Součástí nemocnice je léčebna dlouhodobě nemocných v Moravských Budějovicích - 100 lůžek. Do 31.12.2004 byla součástí nemocnoce psychiatrie Jemnice</t>
  </si>
  <si>
    <t>RK-15-2005-51, př. 1g</t>
  </si>
  <si>
    <t>RK-15-2005-51, př. 1f</t>
  </si>
  <si>
    <t>RK-15-2005-51, př. 1e</t>
  </si>
  <si>
    <t>RK-15-2005-51, př. 1c</t>
  </si>
  <si>
    <t>RK-15-2005-51, př. 1b</t>
  </si>
  <si>
    <t>RK-15-2005-51, př. 1a</t>
  </si>
  <si>
    <t>RK-15-2005-51, př. 1d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</si>
</sst>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color indexed="12"/>
      <name val="Arial CE"/>
      <family val="2"/>
    </font>
    <font>
      <b/>
      <sz val="10"/>
      <name val="Times New Roman"/>
      <family val="1"/>
    </font>
    <font>
      <b/>
      <sz val="8"/>
      <name val="Times New Roman CE"/>
      <family val="1"/>
    </font>
    <font>
      <b/>
      <sz val="7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 quotePrefix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7" fillId="3" borderId="20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7" fillId="3" borderId="26" xfId="0" applyNumberFormat="1" applyFont="1" applyFill="1" applyBorder="1" applyAlignment="1">
      <alignment vertical="center" wrapText="1"/>
    </xf>
    <xf numFmtId="10" fontId="7" fillId="3" borderId="29" xfId="0" applyNumberFormat="1" applyFont="1" applyFill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10" fontId="7" fillId="3" borderId="31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vertical="center" wrapText="1"/>
    </xf>
    <xf numFmtId="10" fontId="7" fillId="3" borderId="12" xfId="0" applyNumberFormat="1" applyFont="1" applyFill="1" applyBorder="1" applyAlignment="1">
      <alignment vertical="center" wrapText="1"/>
    </xf>
    <xf numFmtId="10" fontId="7" fillId="3" borderId="10" xfId="0" applyNumberFormat="1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left" vertical="center" wrapText="1"/>
    </xf>
    <xf numFmtId="3" fontId="7" fillId="2" borderId="33" xfId="0" applyNumberFormat="1" applyFont="1" applyFill="1" applyBorder="1" applyAlignment="1">
      <alignment vertical="center" wrapText="1"/>
    </xf>
    <xf numFmtId="3" fontId="7" fillId="2" borderId="34" xfId="0" applyNumberFormat="1" applyFont="1" applyFill="1" applyBorder="1" applyAlignment="1">
      <alignment vertical="center" wrapText="1"/>
    </xf>
    <xf numFmtId="3" fontId="7" fillId="2" borderId="35" xfId="0" applyNumberFormat="1" applyFont="1" applyFill="1" applyBorder="1" applyAlignment="1">
      <alignment vertical="center" wrapText="1"/>
    </xf>
    <xf numFmtId="3" fontId="7" fillId="3" borderId="33" xfId="0" applyNumberFormat="1" applyFont="1" applyFill="1" applyBorder="1" applyAlignment="1">
      <alignment vertical="center" wrapText="1"/>
    </xf>
    <xf numFmtId="10" fontId="7" fillId="3" borderId="34" xfId="0" applyNumberFormat="1" applyFont="1" applyFill="1" applyBorder="1" applyAlignment="1">
      <alignment vertical="center" wrapText="1"/>
    </xf>
    <xf numFmtId="3" fontId="7" fillId="2" borderId="36" xfId="0" applyNumberFormat="1" applyFont="1" applyFill="1" applyBorder="1" applyAlignment="1">
      <alignment vertical="center" wrapText="1"/>
    </xf>
    <xf numFmtId="10" fontId="7" fillId="3" borderId="35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0" fontId="7" fillId="3" borderId="23" xfId="0" applyNumberFormat="1" applyFont="1" applyFill="1" applyBorder="1" applyAlignment="1">
      <alignment vertical="center" wrapText="1"/>
    </xf>
    <xf numFmtId="10" fontId="7" fillId="3" borderId="25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7" fillId="3" borderId="37" xfId="0" applyNumberFormat="1" applyFont="1" applyFill="1" applyBorder="1" applyAlignment="1">
      <alignment vertical="center" wrapText="1"/>
    </xf>
    <xf numFmtId="10" fontId="7" fillId="3" borderId="18" xfId="0" applyNumberFormat="1" applyFont="1" applyFill="1" applyBorder="1" applyAlignment="1">
      <alignment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9" xfId="0" applyFont="1" applyFill="1" applyBorder="1" applyAlignment="1" quotePrefix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30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11" fillId="0" borderId="43" xfId="0" applyFont="1" applyBorder="1" applyAlignment="1">
      <alignment vertical="center" wrapText="1"/>
    </xf>
    <xf numFmtId="3" fontId="7" fillId="0" borderId="44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10" fontId="2" fillId="0" borderId="25" xfId="0" applyNumberFormat="1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10" fontId="2" fillId="0" borderId="31" xfId="0" applyNumberFormat="1" applyFont="1" applyBorder="1" applyAlignment="1">
      <alignment vertical="center"/>
    </xf>
    <xf numFmtId="0" fontId="7" fillId="0" borderId="46" xfId="0" applyFont="1" applyBorder="1" applyAlignment="1">
      <alignment horizontal="left" vertical="center"/>
    </xf>
    <xf numFmtId="3" fontId="7" fillId="0" borderId="15" xfId="0" applyNumberFormat="1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0" fontId="7" fillId="0" borderId="24" xfId="0" applyNumberFormat="1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0" fontId="7" fillId="0" borderId="46" xfId="0" applyNumberFormat="1" applyFont="1" applyBorder="1" applyAlignment="1">
      <alignment horizontal="center" vertical="center"/>
    </xf>
    <xf numFmtId="10" fontId="7" fillId="0" borderId="39" xfId="0" applyNumberFormat="1" applyFont="1" applyBorder="1" applyAlignment="1">
      <alignment horizontal="center" vertical="center"/>
    </xf>
    <xf numFmtId="10" fontId="7" fillId="0" borderId="49" xfId="0" applyNumberFormat="1" applyFont="1" applyBorder="1" applyAlignment="1">
      <alignment horizontal="center" vertical="center"/>
    </xf>
    <xf numFmtId="10" fontId="7" fillId="0" borderId="50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51" xfId="0" applyFont="1" applyFill="1" applyBorder="1" applyAlignment="1">
      <alignment vertical="center" wrapText="1"/>
    </xf>
    <xf numFmtId="3" fontId="7" fillId="2" borderId="52" xfId="0" applyNumberFormat="1" applyFont="1" applyFill="1" applyBorder="1" applyAlignment="1">
      <alignment vertical="center" wrapText="1"/>
    </xf>
    <xf numFmtId="3" fontId="7" fillId="2" borderId="53" xfId="0" applyNumberFormat="1" applyFont="1" applyFill="1" applyBorder="1" applyAlignment="1">
      <alignment vertical="center" wrapText="1"/>
    </xf>
    <xf numFmtId="3" fontId="2" fillId="2" borderId="53" xfId="0" applyNumberFormat="1" applyFont="1" applyFill="1" applyBorder="1" applyAlignment="1">
      <alignment vertical="center" wrapText="1"/>
    </xf>
    <xf numFmtId="10" fontId="2" fillId="2" borderId="35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7" fillId="2" borderId="36" xfId="0" applyNumberFormat="1" applyFont="1" applyFill="1" applyBorder="1" applyAlignment="1">
      <alignment vertical="center"/>
    </xf>
    <xf numFmtId="3" fontId="7" fillId="2" borderId="53" xfId="0" applyNumberFormat="1" applyFont="1" applyFill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3" fontId="7" fillId="2" borderId="3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39" xfId="20" applyFont="1" applyFill="1" applyBorder="1" applyAlignment="1">
      <alignment horizontal="center" vertical="center"/>
      <protection/>
    </xf>
    <xf numFmtId="3" fontId="7" fillId="0" borderId="14" xfId="20" applyNumberFormat="1" applyFont="1" applyBorder="1" applyAlignment="1">
      <alignment horizontal="center" vertical="center"/>
      <protection/>
    </xf>
    <xf numFmtId="3" fontId="7" fillId="0" borderId="15" xfId="20" applyNumberFormat="1" applyFont="1" applyBorder="1" applyAlignment="1">
      <alignment horizontal="right" vertical="center"/>
      <protection/>
    </xf>
    <xf numFmtId="3" fontId="7" fillId="0" borderId="17" xfId="20" applyNumberFormat="1" applyFont="1" applyBorder="1" applyAlignment="1">
      <alignment horizontal="right" vertical="center"/>
      <protection/>
    </xf>
    <xf numFmtId="3" fontId="7" fillId="0" borderId="16" xfId="20" applyNumberFormat="1" applyFont="1" applyBorder="1" applyAlignment="1">
      <alignment horizontal="right" vertical="center"/>
      <protection/>
    </xf>
    <xf numFmtId="0" fontId="9" fillId="2" borderId="1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6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center"/>
    </xf>
    <xf numFmtId="3" fontId="7" fillId="0" borderId="55" xfId="0" applyNumberFormat="1" applyFont="1" applyBorder="1" applyAlignment="1" quotePrefix="1">
      <alignment horizontal="center"/>
    </xf>
    <xf numFmtId="3" fontId="7" fillId="0" borderId="31" xfId="0" applyNumberFormat="1" applyFont="1" applyBorder="1" applyAlignment="1" quotePrefix="1">
      <alignment horizontal="center"/>
    </xf>
    <xf numFmtId="3" fontId="7" fillId="0" borderId="48" xfId="0" applyNumberFormat="1" applyFont="1" applyBorder="1" applyAlignment="1">
      <alignment/>
    </xf>
    <xf numFmtId="3" fontId="7" fillId="0" borderId="56" xfId="0" applyNumberFormat="1" applyFont="1" applyBorder="1" applyAlignment="1" quotePrefix="1">
      <alignment horizontal="center"/>
    </xf>
    <xf numFmtId="3" fontId="7" fillId="0" borderId="21" xfId="0" applyNumberFormat="1" applyFont="1" applyBorder="1" applyAlignment="1" quotePrefix="1">
      <alignment horizontal="center"/>
    </xf>
    <xf numFmtId="3" fontId="7" fillId="0" borderId="25" xfId="0" applyNumberFormat="1" applyFont="1" applyBorder="1" applyAlignment="1" quotePrefix="1">
      <alignment horizontal="center"/>
    </xf>
    <xf numFmtId="0" fontId="7" fillId="0" borderId="45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2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right"/>
    </xf>
    <xf numFmtId="0" fontId="7" fillId="0" borderId="50" xfId="0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5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2" borderId="39" xfId="0" applyFont="1" applyFill="1" applyBorder="1" applyAlignment="1">
      <alignment horizontal="center"/>
    </xf>
    <xf numFmtId="3" fontId="7" fillId="2" borderId="39" xfId="0" applyNumberFormat="1" applyFont="1" applyFill="1" applyBorder="1" applyAlignment="1">
      <alignment horizontal="center"/>
    </xf>
    <xf numFmtId="3" fontId="7" fillId="2" borderId="49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 horizontal="center"/>
    </xf>
    <xf numFmtId="0" fontId="7" fillId="0" borderId="3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 quotePrefix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 quotePrefix="1">
      <alignment horizontal="center" vertical="center"/>
    </xf>
    <xf numFmtId="0" fontId="12" fillId="0" borderId="24" xfId="0" applyFont="1" applyBorder="1" applyAlignment="1">
      <alignment horizontal="justify" vertical="center"/>
    </xf>
    <xf numFmtId="0" fontId="12" fillId="0" borderId="44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3" xfId="0" applyNumberFormat="1" applyFont="1" applyBorder="1" applyAlignment="1">
      <alignment horizontal="right" vertical="center"/>
    </xf>
    <xf numFmtId="169" fontId="7" fillId="0" borderId="25" xfId="0" applyNumberFormat="1" applyFont="1" applyBorder="1" applyAlignment="1">
      <alignment vertical="center"/>
    </xf>
    <xf numFmtId="164" fontId="12" fillId="0" borderId="25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justify" vertical="center"/>
    </xf>
    <xf numFmtId="0" fontId="12" fillId="0" borderId="4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64" fontId="12" fillId="0" borderId="26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9" fontId="7" fillId="0" borderId="31" xfId="0" applyNumberFormat="1" applyFont="1" applyBorder="1" applyAlignment="1">
      <alignment vertical="center"/>
    </xf>
    <xf numFmtId="0" fontId="12" fillId="0" borderId="13" xfId="0" applyFont="1" applyBorder="1" applyAlignment="1">
      <alignment horizontal="justify" vertical="center"/>
    </xf>
    <xf numFmtId="0" fontId="12" fillId="0" borderId="47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vertical="center"/>
    </xf>
    <xf numFmtId="0" fontId="12" fillId="2" borderId="36" xfId="0" applyFont="1" applyFill="1" applyBorder="1" applyAlignment="1">
      <alignment horizontal="justify" vertical="center"/>
    </xf>
    <xf numFmtId="0" fontId="7" fillId="2" borderId="52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right" vertical="center" wrapText="1"/>
    </xf>
    <xf numFmtId="164" fontId="12" fillId="2" borderId="33" xfId="0" applyNumberFormat="1" applyFont="1" applyFill="1" applyBorder="1" applyAlignment="1">
      <alignment horizontal="right" vertical="center"/>
    </xf>
    <xf numFmtId="164" fontId="12" fillId="2" borderId="34" xfId="0" applyNumberFormat="1" applyFont="1" applyFill="1" applyBorder="1" applyAlignment="1">
      <alignment horizontal="right" vertical="center"/>
    </xf>
    <xf numFmtId="169" fontId="7" fillId="2" borderId="35" xfId="0" applyNumberFormat="1" applyFont="1" applyFill="1" applyBorder="1" applyAlignment="1">
      <alignment horizontal="right" vertical="center" wrapText="1"/>
    </xf>
    <xf numFmtId="164" fontId="12" fillId="2" borderId="35" xfId="0" applyNumberFormat="1" applyFont="1" applyFill="1" applyBorder="1" applyAlignment="1">
      <alignment horizontal="right" vertical="center"/>
    </xf>
    <xf numFmtId="0" fontId="9" fillId="2" borderId="46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2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2" fontId="7" fillId="0" borderId="55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2" fontId="7" fillId="2" borderId="33" xfId="0" applyNumberFormat="1" applyFont="1" applyFill="1" applyBorder="1" applyAlignment="1">
      <alignment vertical="center"/>
    </xf>
    <xf numFmtId="2" fontId="7" fillId="2" borderId="37" xfId="0" applyNumberFormat="1" applyFont="1" applyFill="1" applyBorder="1" applyAlignment="1">
      <alignment vertical="center"/>
    </xf>
    <xf numFmtId="3" fontId="7" fillId="2" borderId="51" xfId="0" applyNumberFormat="1" applyFont="1" applyFill="1" applyBorder="1" applyAlignment="1">
      <alignment vertical="center"/>
    </xf>
    <xf numFmtId="3" fontId="2" fillId="0" borderId="63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2" fillId="0" borderId="41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64" xfId="0" applyNumberFormat="1" applyFont="1" applyBorder="1" applyAlignment="1">
      <alignment vertical="center" wrapText="1"/>
    </xf>
    <xf numFmtId="3" fontId="2" fillId="0" borderId="47" xfId="0" applyNumberFormat="1" applyFont="1" applyFill="1" applyBorder="1" applyAlignment="1">
      <alignment vertical="center" wrapText="1"/>
    </xf>
    <xf numFmtId="3" fontId="7" fillId="2" borderId="37" xfId="0" applyNumberFormat="1" applyFont="1" applyFill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7" fillId="3" borderId="14" xfId="0" applyNumberFormat="1" applyFont="1" applyFill="1" applyBorder="1" applyAlignment="1">
      <alignment vertical="center" wrapText="1"/>
    </xf>
    <xf numFmtId="10" fontId="7" fillId="3" borderId="16" xfId="0" applyNumberFormat="1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2" fontId="10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7" fillId="0" borderId="31" xfId="0" applyNumberFormat="1" applyFont="1" applyBorder="1" applyAlignment="1">
      <alignment horizontal="right"/>
    </xf>
    <xf numFmtId="0" fontId="5" fillId="0" borderId="6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2" borderId="35" xfId="0" applyNumberFormat="1" applyFont="1" applyFill="1" applyBorder="1" applyAlignment="1">
      <alignment/>
    </xf>
    <xf numFmtId="0" fontId="7" fillId="2" borderId="49" xfId="20" applyFont="1" applyFill="1" applyBorder="1" applyAlignment="1">
      <alignment horizontal="center" vertical="center"/>
      <protection/>
    </xf>
    <xf numFmtId="3" fontId="7" fillId="0" borderId="14" xfId="20" applyNumberFormat="1" applyFont="1" applyBorder="1" applyAlignment="1">
      <alignment horizontal="right" vertical="center"/>
      <protection/>
    </xf>
    <xf numFmtId="3" fontId="7" fillId="0" borderId="54" xfId="20" applyNumberFormat="1" applyFont="1" applyBorder="1" applyAlignment="1">
      <alignment horizontal="right" vertical="center"/>
      <protection/>
    </xf>
    <xf numFmtId="3" fontId="7" fillId="0" borderId="18" xfId="20" applyNumberFormat="1" applyFont="1" applyBorder="1" applyAlignment="1">
      <alignment horizontal="right" vertical="center"/>
      <protection/>
    </xf>
    <xf numFmtId="0" fontId="9" fillId="2" borderId="15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/>
    </xf>
    <xf numFmtId="3" fontId="7" fillId="0" borderId="30" xfId="0" applyNumberFormat="1" applyFont="1" applyBorder="1" applyAlignment="1" quotePrefix="1">
      <alignment horizontal="center"/>
    </xf>
    <xf numFmtId="0" fontId="9" fillId="0" borderId="45" xfId="0" applyFont="1" applyBorder="1" applyAlignment="1">
      <alignment/>
    </xf>
    <xf numFmtId="3" fontId="7" fillId="0" borderId="27" xfId="0" applyNumberFormat="1" applyFont="1" applyBorder="1" applyAlignment="1" quotePrefix="1">
      <alignment horizontal="right"/>
    </xf>
    <xf numFmtId="0" fontId="9" fillId="0" borderId="5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3" fontId="7" fillId="0" borderId="9" xfId="0" applyNumberFormat="1" applyFont="1" applyBorder="1" applyAlignment="1">
      <alignment/>
    </xf>
    <xf numFmtId="0" fontId="7" fillId="2" borderId="9" xfId="0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64" fontId="12" fillId="0" borderId="3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12" fillId="0" borderId="58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0" fontId="7" fillId="2" borderId="36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164" fontId="7" fillId="2" borderId="35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9" fillId="2" borderId="53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68" xfId="0" applyFont="1" applyFill="1" applyBorder="1" applyAlignment="1" quotePrefix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74" xfId="0" applyFont="1" applyBorder="1" applyAlignment="1">
      <alignment horizontal="left" vertical="center" wrapText="1"/>
    </xf>
    <xf numFmtId="3" fontId="2" fillId="3" borderId="20" xfId="0" applyNumberFormat="1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0" fontId="2" fillId="0" borderId="75" xfId="0" applyFont="1" applyBorder="1" applyAlignment="1">
      <alignment horizontal="left" vertical="center" wrapText="1"/>
    </xf>
    <xf numFmtId="3" fontId="2" fillId="3" borderId="26" xfId="0" applyNumberFormat="1" applyFont="1" applyFill="1" applyBorder="1" applyAlignment="1">
      <alignment vertical="center" wrapText="1"/>
    </xf>
    <xf numFmtId="10" fontId="2" fillId="3" borderId="31" xfId="0" applyNumberFormat="1" applyFont="1" applyFill="1" applyBorder="1" applyAlignment="1">
      <alignment vertical="center" wrapText="1"/>
    </xf>
    <xf numFmtId="0" fontId="10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7" fillId="2" borderId="77" xfId="0" applyFont="1" applyFill="1" applyBorder="1" applyAlignment="1">
      <alignment horizontal="left" vertical="center" wrapText="1"/>
    </xf>
    <xf numFmtId="3" fontId="7" fillId="2" borderId="78" xfId="0" applyNumberFormat="1" applyFont="1" applyFill="1" applyBorder="1" applyAlignment="1">
      <alignment vertical="center" wrapText="1"/>
    </xf>
    <xf numFmtId="3" fontId="7" fillId="2" borderId="79" xfId="0" applyNumberFormat="1" applyFont="1" applyFill="1" applyBorder="1" applyAlignment="1">
      <alignment vertical="center" wrapText="1"/>
    </xf>
    <xf numFmtId="3" fontId="7" fillId="3" borderId="78" xfId="0" applyNumberFormat="1" applyFont="1" applyFill="1" applyBorder="1" applyAlignment="1">
      <alignment vertical="center" wrapText="1"/>
    </xf>
    <xf numFmtId="10" fontId="2" fillId="3" borderId="80" xfId="0" applyNumberFormat="1" applyFont="1" applyFill="1" applyBorder="1" applyAlignment="1">
      <alignment vertical="center" wrapText="1"/>
    </xf>
    <xf numFmtId="3" fontId="7" fillId="2" borderId="81" xfId="0" applyNumberFormat="1" applyFont="1" applyFill="1" applyBorder="1" applyAlignment="1">
      <alignment vertical="center" wrapText="1"/>
    </xf>
    <xf numFmtId="10" fontId="2" fillId="3" borderId="82" xfId="0" applyNumberFormat="1" applyFont="1" applyFill="1" applyBorder="1" applyAlignment="1">
      <alignment vertical="center" wrapText="1"/>
    </xf>
    <xf numFmtId="0" fontId="2" fillId="0" borderId="83" xfId="0" applyFont="1" applyBorder="1" applyAlignment="1">
      <alignment horizontal="left" vertical="center" wrapText="1"/>
    </xf>
    <xf numFmtId="3" fontId="2" fillId="0" borderId="84" xfId="0" applyNumberFormat="1" applyFont="1" applyBorder="1" applyAlignment="1">
      <alignment vertical="center" wrapText="1"/>
    </xf>
    <xf numFmtId="3" fontId="2" fillId="0" borderId="85" xfId="0" applyNumberFormat="1" applyFont="1" applyBorder="1" applyAlignment="1">
      <alignment vertical="center" wrapText="1"/>
    </xf>
    <xf numFmtId="3" fontId="2" fillId="0" borderId="86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3" borderId="84" xfId="0" applyNumberFormat="1" applyFont="1" applyFill="1" applyBorder="1" applyAlignment="1">
      <alignment vertical="center" wrapText="1"/>
    </xf>
    <xf numFmtId="10" fontId="2" fillId="3" borderId="87" xfId="0" applyNumberFormat="1" applyFont="1" applyFill="1" applyBorder="1" applyAlignment="1">
      <alignment vertical="center" wrapText="1"/>
    </xf>
    <xf numFmtId="3" fontId="2" fillId="0" borderId="88" xfId="0" applyNumberFormat="1" applyFont="1" applyBorder="1" applyAlignment="1">
      <alignment vertical="center" wrapText="1"/>
    </xf>
    <xf numFmtId="10" fontId="2" fillId="3" borderId="89" xfId="0" applyNumberFormat="1" applyFont="1" applyFill="1" applyBorder="1" applyAlignment="1">
      <alignment vertical="center" wrapText="1"/>
    </xf>
    <xf numFmtId="3" fontId="2" fillId="3" borderId="24" xfId="0" applyNumberFormat="1" applyFont="1" applyFill="1" applyBorder="1" applyAlignment="1">
      <alignment vertical="center" wrapText="1"/>
    </xf>
    <xf numFmtId="10" fontId="2" fillId="3" borderId="90" xfId="0" applyNumberFormat="1" applyFont="1" applyFill="1" applyBorder="1" applyAlignment="1">
      <alignment vertical="center" wrapText="1"/>
    </xf>
    <xf numFmtId="3" fontId="2" fillId="3" borderId="30" xfId="0" applyNumberFormat="1" applyFont="1" applyFill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3" fontId="2" fillId="3" borderId="13" xfId="0" applyNumberFormat="1" applyFont="1" applyFill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0" fontId="2" fillId="3" borderId="91" xfId="0" applyNumberFormat="1" applyFont="1" applyFill="1" applyBorder="1" applyAlignment="1">
      <alignment vertical="center" wrapText="1"/>
    </xf>
    <xf numFmtId="3" fontId="7" fillId="2" borderId="92" xfId="0" applyNumberFormat="1" applyFont="1" applyFill="1" applyBorder="1" applyAlignment="1">
      <alignment vertical="center" wrapText="1"/>
    </xf>
    <xf numFmtId="3" fontId="7" fillId="3" borderId="92" xfId="0" applyNumberFormat="1" applyFont="1" applyFill="1" applyBorder="1" applyAlignment="1">
      <alignment vertical="center" wrapText="1"/>
    </xf>
    <xf numFmtId="3" fontId="7" fillId="2" borderId="93" xfId="0" applyNumberFormat="1" applyFont="1" applyFill="1" applyBorder="1" applyAlignment="1">
      <alignment vertical="center" wrapText="1"/>
    </xf>
    <xf numFmtId="0" fontId="7" fillId="2" borderId="94" xfId="0" applyFont="1" applyFill="1" applyBorder="1" applyAlignment="1">
      <alignment horizontal="left" vertical="center" wrapText="1"/>
    </xf>
    <xf numFmtId="10" fontId="9" fillId="2" borderId="35" xfId="0" applyNumberFormat="1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vertical="center" wrapText="1"/>
    </xf>
    <xf numFmtId="3" fontId="7" fillId="0" borderId="0" xfId="20" applyNumberFormat="1" applyFont="1" applyBorder="1" applyAlignment="1">
      <alignment horizontal="center" vertical="center"/>
      <protection/>
    </xf>
    <xf numFmtId="3" fontId="7" fillId="0" borderId="0" xfId="20" applyNumberFormat="1" applyFont="1" applyBorder="1" applyAlignment="1">
      <alignment horizontal="right" vertical="center"/>
      <protection/>
    </xf>
    <xf numFmtId="0" fontId="5" fillId="2" borderId="36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2" borderId="16" xfId="0" applyFont="1" applyFill="1" applyBorder="1" applyAlignment="1" quotePrefix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0" fillId="2" borderId="68" xfId="0" applyFont="1" applyFill="1" applyBorder="1" applyAlignment="1" quotePrefix="1">
      <alignment horizontal="center"/>
    </xf>
    <xf numFmtId="0" fontId="10" fillId="2" borderId="95" xfId="0" applyFont="1" applyFill="1" applyBorder="1" applyAlignment="1">
      <alignment horizontal="center"/>
    </xf>
    <xf numFmtId="0" fontId="2" fillId="0" borderId="48" xfId="0" applyFont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3" fontId="7" fillId="0" borderId="31" xfId="0" applyNumberFormat="1" applyFont="1" applyFill="1" applyBorder="1" applyAlignment="1">
      <alignment vertical="center" wrapText="1"/>
    </xf>
    <xf numFmtId="0" fontId="2" fillId="0" borderId="62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 wrapText="1"/>
    </xf>
    <xf numFmtId="10" fontId="2" fillId="3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2" borderId="51" xfId="0" applyFont="1" applyFill="1" applyBorder="1" applyAlignment="1">
      <alignment horizontal="left" vertical="center" wrapText="1"/>
    </xf>
    <xf numFmtId="3" fontId="7" fillId="2" borderId="96" xfId="0" applyNumberFormat="1" applyFont="1" applyFill="1" applyBorder="1" applyAlignment="1">
      <alignment vertical="center" wrapText="1"/>
    </xf>
    <xf numFmtId="3" fontId="2" fillId="3" borderId="33" xfId="0" applyNumberFormat="1" applyFont="1" applyFill="1" applyBorder="1" applyAlignment="1">
      <alignment vertical="center" wrapText="1"/>
    </xf>
    <xf numFmtId="10" fontId="2" fillId="3" borderId="35" xfId="0" applyNumberFormat="1" applyFont="1" applyFill="1" applyBorder="1" applyAlignment="1">
      <alignment vertical="center" wrapText="1"/>
    </xf>
    <xf numFmtId="10" fontId="2" fillId="3" borderId="25" xfId="0" applyNumberFormat="1" applyFont="1" applyFill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2" fillId="0" borderId="45" xfId="0" applyFont="1" applyBorder="1" applyAlignment="1">
      <alignment vertical="center" wrapText="1"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6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39" xfId="0" applyFont="1" applyBorder="1" applyAlignment="1">
      <alignment/>
    </xf>
    <xf numFmtId="0" fontId="10" fillId="0" borderId="3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7" fillId="2" borderId="5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2" borderId="39" xfId="20" applyFont="1" applyFill="1" applyBorder="1" applyAlignment="1">
      <alignment horizontal="center" vertical="center"/>
      <protection/>
    </xf>
    <xf numFmtId="0" fontId="9" fillId="2" borderId="49" xfId="20" applyFont="1" applyFill="1" applyBorder="1" applyAlignment="1">
      <alignment horizontal="center" vertical="center"/>
      <protection/>
    </xf>
    <xf numFmtId="3" fontId="7" fillId="0" borderId="19" xfId="20" applyNumberFormat="1" applyFont="1" applyBorder="1" applyAlignment="1">
      <alignment horizontal="center" vertical="center"/>
      <protection/>
    </xf>
    <xf numFmtId="3" fontId="7" fillId="0" borderId="27" xfId="0" applyNumberFormat="1" applyFont="1" applyBorder="1" applyAlignment="1" quotePrefix="1">
      <alignment horizontal="center"/>
    </xf>
    <xf numFmtId="3" fontId="7" fillId="0" borderId="30" xfId="0" applyNumberFormat="1" applyFont="1" applyBorder="1" applyAlignment="1" quotePrefix="1">
      <alignment horizontal="right"/>
    </xf>
    <xf numFmtId="0" fontId="7" fillId="2" borderId="4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3" fontId="7" fillId="0" borderId="41" xfId="0" applyNumberFormat="1" applyFont="1" applyFill="1" applyBorder="1" applyAlignment="1">
      <alignment vertical="center"/>
    </xf>
    <xf numFmtId="0" fontId="7" fillId="0" borderId="14" xfId="0" applyFont="1" applyBorder="1" applyAlignment="1">
      <alignment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164" fontId="7" fillId="0" borderId="26" xfId="0" applyNumberFormat="1" applyFont="1" applyBorder="1" applyAlignment="1">
      <alignment vertical="center"/>
    </xf>
    <xf numFmtId="164" fontId="7" fillId="0" borderId="29" xfId="0" applyNumberFormat="1" applyFont="1" applyBorder="1" applyAlignment="1">
      <alignment vertical="center"/>
    </xf>
    <xf numFmtId="164" fontId="7" fillId="0" borderId="31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2" borderId="33" xfId="0" applyNumberFormat="1" applyFont="1" applyFill="1" applyBorder="1" applyAlignment="1">
      <alignment vertical="center"/>
    </xf>
    <xf numFmtId="164" fontId="7" fillId="2" borderId="34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" fontId="9" fillId="0" borderId="6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48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10" fontId="2" fillId="3" borderId="40" xfId="0" applyNumberFormat="1" applyFont="1" applyFill="1" applyBorder="1" applyAlignment="1">
      <alignment vertical="center" wrapText="1"/>
    </xf>
    <xf numFmtId="10" fontId="2" fillId="3" borderId="16" xfId="0" applyNumberFormat="1" applyFont="1" applyFill="1" applyBorder="1" applyAlignment="1">
      <alignment vertical="center" wrapText="1"/>
    </xf>
    <xf numFmtId="0" fontId="9" fillId="0" borderId="97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30" xfId="0" applyNumberFormat="1" applyFont="1" applyFill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3" fontId="9" fillId="3" borderId="33" xfId="0" applyNumberFormat="1" applyFont="1" applyFill="1" applyBorder="1" applyAlignment="1">
      <alignment vertical="center" wrapText="1"/>
    </xf>
    <xf numFmtId="10" fontId="9" fillId="3" borderId="35" xfId="0" applyNumberFormat="1" applyFont="1" applyFill="1" applyBorder="1" applyAlignment="1">
      <alignment vertical="center" wrapText="1"/>
    </xf>
    <xf numFmtId="3" fontId="10" fillId="3" borderId="33" xfId="0" applyNumberFormat="1" applyFont="1" applyFill="1" applyBorder="1" applyAlignment="1">
      <alignment vertical="center" wrapText="1"/>
    </xf>
    <xf numFmtId="10" fontId="10" fillId="3" borderId="3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3" fontId="10" fillId="4" borderId="6" xfId="21" applyFont="1" applyFill="1" applyBorder="1" applyAlignment="1">
      <alignment horizontal="left" vertical="center" wrapText="1"/>
      <protection/>
    </xf>
    <xf numFmtId="3" fontId="10" fillId="0" borderId="21" xfId="21" applyFont="1" applyBorder="1" applyAlignment="1">
      <alignment horizontal="left" vertical="center" wrapText="1"/>
      <protection/>
    </xf>
    <xf numFmtId="3" fontId="10" fillId="4" borderId="21" xfId="21" applyFont="1" applyFill="1" applyBorder="1" applyAlignment="1">
      <alignment horizontal="left" vertical="center" wrapText="1"/>
      <protection/>
    </xf>
    <xf numFmtId="3" fontId="10" fillId="0" borderId="1" xfId="21" applyFont="1" applyBorder="1" applyAlignment="1">
      <alignment horizontal="left" vertical="center" wrapText="1"/>
      <protection/>
    </xf>
    <xf numFmtId="0" fontId="7" fillId="2" borderId="5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 vertical="center" wrapText="1"/>
    </xf>
    <xf numFmtId="169" fontId="7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7" fillId="2" borderId="5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169" fontId="15" fillId="2" borderId="35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7" fillId="0" borderId="31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2" fillId="2" borderId="95" xfId="0" applyFont="1" applyFill="1" applyBorder="1" applyAlignment="1">
      <alignment horizontal="center"/>
    </xf>
    <xf numFmtId="0" fontId="2" fillId="2" borderId="70" xfId="0" applyFont="1" applyFill="1" applyBorder="1" applyAlignment="1" quotePrefix="1">
      <alignment horizontal="center"/>
    </xf>
    <xf numFmtId="0" fontId="0" fillId="0" borderId="0" xfId="0" applyAlignment="1">
      <alignment/>
    </xf>
    <xf numFmtId="3" fontId="7" fillId="0" borderId="31" xfId="0" applyNumberFormat="1" applyFont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3" fontId="7" fillId="0" borderId="4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9" fillId="2" borderId="53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9" fillId="2" borderId="51" xfId="0" applyNumberFormat="1" applyFont="1" applyFill="1" applyBorder="1" applyAlignment="1">
      <alignment horizontal="center" vertical="center"/>
    </xf>
    <xf numFmtId="3" fontId="2" fillId="0" borderId="98" xfId="0" applyNumberFormat="1" applyFont="1" applyFill="1" applyBorder="1" applyAlignment="1">
      <alignment vertical="center" wrapText="1"/>
    </xf>
    <xf numFmtId="3" fontId="2" fillId="4" borderId="99" xfId="0" applyNumberFormat="1" applyFont="1" applyFill="1" applyBorder="1" applyAlignment="1">
      <alignment vertical="center"/>
    </xf>
    <xf numFmtId="3" fontId="2" fillId="4" borderId="100" xfId="0" applyNumberFormat="1" applyFont="1" applyFill="1" applyBorder="1" applyAlignment="1">
      <alignment vertical="center"/>
    </xf>
    <xf numFmtId="3" fontId="2" fillId="4" borderId="101" xfId="0" applyNumberFormat="1" applyFont="1" applyFill="1" applyBorder="1" applyAlignment="1">
      <alignment vertical="center"/>
    </xf>
    <xf numFmtId="3" fontId="2" fillId="0" borderId="102" xfId="0" applyNumberFormat="1" applyFont="1" applyBorder="1" applyAlignment="1">
      <alignment vertical="center"/>
    </xf>
    <xf numFmtId="4" fontId="2" fillId="4" borderId="30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29" xfId="0" applyNumberFormat="1" applyFont="1" applyFill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3" fontId="2" fillId="2" borderId="33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horizontal="right" vertical="center"/>
    </xf>
    <xf numFmtId="3" fontId="2" fillId="2" borderId="53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/>
    </xf>
    <xf numFmtId="3" fontId="2" fillId="2" borderId="51" xfId="0" applyNumberFormat="1" applyFont="1" applyFill="1" applyBorder="1" applyAlignment="1">
      <alignment horizontal="right" vertical="center"/>
    </xf>
    <xf numFmtId="3" fontId="9" fillId="2" borderId="53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3" fontId="9" fillId="2" borderId="5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vertical="center" wrapText="1"/>
    </xf>
    <xf numFmtId="0" fontId="0" fillId="0" borderId="0" xfId="0" applyAlignment="1">
      <alignment wrapText="1"/>
    </xf>
    <xf numFmtId="3" fontId="2" fillId="2" borderId="34" xfId="0" applyNumberFormat="1" applyFont="1" applyFill="1" applyBorder="1" applyAlignment="1">
      <alignment horizontal="right" vertical="center"/>
    </xf>
    <xf numFmtId="3" fontId="7" fillId="0" borderId="61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7" fillId="3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7" fillId="0" borderId="25" xfId="0" applyNumberFormat="1" applyFont="1" applyBorder="1" applyAlignment="1">
      <alignment horizontal="right"/>
    </xf>
    <xf numFmtId="3" fontId="9" fillId="2" borderId="33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10" fillId="4" borderId="99" xfId="0" applyNumberFormat="1" applyFont="1" applyFill="1" applyBorder="1" applyAlignment="1">
      <alignment vertical="center"/>
    </xf>
    <xf numFmtId="3" fontId="7" fillId="4" borderId="100" xfId="0" applyNumberFormat="1" applyFont="1" applyFill="1" applyBorder="1" applyAlignment="1">
      <alignment vertical="center"/>
    </xf>
    <xf numFmtId="3" fontId="7" fillId="4" borderId="101" xfId="0" applyNumberFormat="1" applyFont="1" applyFill="1" applyBorder="1" applyAlignment="1">
      <alignment vertical="center"/>
    </xf>
    <xf numFmtId="3" fontId="7" fillId="0" borderId="102" xfId="0" applyNumberFormat="1" applyFont="1" applyBorder="1" applyAlignment="1">
      <alignment vertical="center"/>
    </xf>
    <xf numFmtId="4" fontId="10" fillId="0" borderId="3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vertical="center"/>
    </xf>
    <xf numFmtId="4" fontId="7" fillId="0" borderId="45" xfId="0" applyNumberFormat="1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right" vertical="center"/>
    </xf>
    <xf numFmtId="3" fontId="7" fillId="2" borderId="34" xfId="0" applyNumberFormat="1" applyFont="1" applyFill="1" applyBorder="1" applyAlignment="1">
      <alignment horizontal="right" vertical="center"/>
    </xf>
    <xf numFmtId="3" fontId="7" fillId="2" borderId="51" xfId="0" applyNumberFormat="1" applyFont="1" applyFill="1" applyBorder="1" applyAlignment="1">
      <alignment horizontal="right" vertical="center"/>
    </xf>
    <xf numFmtId="3" fontId="7" fillId="4" borderId="99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3" fontId="7" fillId="2" borderId="33" xfId="0" applyNumberFormat="1" applyFont="1" applyFill="1" applyBorder="1" applyAlignment="1">
      <alignment horizontal="right" vertical="center"/>
    </xf>
    <xf numFmtId="3" fontId="7" fillId="0" borderId="61" xfId="0" applyNumberFormat="1" applyFont="1" applyBorder="1" applyAlignment="1">
      <alignment vertical="center"/>
    </xf>
    <xf numFmtId="0" fontId="12" fillId="0" borderId="26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12" fillId="2" borderId="33" xfId="0" applyFont="1" applyFill="1" applyBorder="1" applyAlignment="1">
      <alignment horizontal="justify" vertical="center"/>
    </xf>
    <xf numFmtId="0" fontId="12" fillId="0" borderId="2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justify" vertical="center"/>
    </xf>
    <xf numFmtId="0" fontId="7" fillId="0" borderId="4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" fontId="7" fillId="0" borderId="6" xfId="0" applyNumberFormat="1" applyFont="1" applyBorder="1" applyAlignment="1" quotePrefix="1">
      <alignment horizontal="center"/>
    </xf>
    <xf numFmtId="3" fontId="7" fillId="0" borderId="20" xfId="0" applyNumberFormat="1" applyFont="1" applyBorder="1" applyAlignment="1" quotePrefix="1">
      <alignment horizontal="center"/>
    </xf>
    <xf numFmtId="0" fontId="7" fillId="2" borderId="36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46" xfId="0" applyFont="1" applyBorder="1" applyAlignment="1">
      <alignment wrapText="1"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7" fillId="0" borderId="24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7" fillId="2" borderId="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40" xfId="0" applyFont="1" applyBorder="1" applyAlignment="1">
      <alignment/>
    </xf>
    <xf numFmtId="0" fontId="7" fillId="2" borderId="43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5" fillId="2" borderId="46" xfId="0" applyFont="1" applyFill="1" applyBorder="1" applyAlignment="1">
      <alignment horizontal="center" vertical="center" wrapText="1"/>
    </xf>
    <xf numFmtId="4" fontId="7" fillId="2" borderId="36" xfId="0" applyNumberFormat="1" applyFont="1" applyFill="1" applyBorder="1" applyAlignment="1">
      <alignment vertical="center"/>
    </xf>
    <xf numFmtId="0" fontId="7" fillId="0" borderId="35" xfId="0" applyFont="1" applyBorder="1" applyAlignment="1">
      <alignment/>
    </xf>
    <xf numFmtId="3" fontId="7" fillId="0" borderId="24" xfId="21" applyFont="1" applyBorder="1" applyAlignment="1">
      <alignment horizontal="left" vertical="center" wrapText="1"/>
      <protection/>
    </xf>
    <xf numFmtId="0" fontId="7" fillId="0" borderId="25" xfId="0" applyFont="1" applyBorder="1" applyAlignment="1">
      <alignment/>
    </xf>
    <xf numFmtId="0" fontId="2" fillId="0" borderId="96" xfId="0" applyFont="1" applyBorder="1" applyAlignment="1">
      <alignment/>
    </xf>
    <xf numFmtId="3" fontId="7" fillId="0" borderId="30" xfId="21" applyFont="1" applyBorder="1" applyAlignment="1">
      <alignment horizontal="left" vertical="center" wrapText="1"/>
      <protection/>
    </xf>
    <xf numFmtId="0" fontId="7" fillId="0" borderId="31" xfId="0" applyFont="1" applyBorder="1" applyAlignment="1">
      <alignment/>
    </xf>
    <xf numFmtId="3" fontId="7" fillId="0" borderId="13" xfId="2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7" fillId="0" borderId="59" xfId="0" applyFont="1" applyBorder="1" applyAlignment="1">
      <alignment/>
    </xf>
    <xf numFmtId="0" fontId="7" fillId="2" borderId="36" xfId="0" applyFont="1" applyFill="1" applyBorder="1" applyAlignment="1">
      <alignment/>
    </xf>
    <xf numFmtId="0" fontId="0" fillId="0" borderId="53" xfId="0" applyBorder="1" applyAlignment="1">
      <alignment/>
    </xf>
    <xf numFmtId="0" fontId="7" fillId="0" borderId="20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44" xfId="0" applyFont="1" applyBorder="1" applyAlignment="1">
      <alignment/>
    </xf>
    <xf numFmtId="4" fontId="7" fillId="2" borderId="33" xfId="0" applyNumberFormat="1" applyFont="1" applyFill="1" applyBorder="1" applyAlignment="1">
      <alignment vertical="center"/>
    </xf>
    <xf numFmtId="0" fontId="7" fillId="0" borderId="55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8" xfId="0" applyFont="1" applyBorder="1" applyAlignment="1">
      <alignment/>
    </xf>
    <xf numFmtId="0" fontId="7" fillId="2" borderId="34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5" fillId="2" borderId="104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 wrapText="1"/>
    </xf>
    <xf numFmtId="0" fontId="0" fillId="0" borderId="103" xfId="0" applyBorder="1" applyAlignment="1">
      <alignment wrapText="1"/>
    </xf>
    <xf numFmtId="0" fontId="7" fillId="0" borderId="29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105" xfId="0" applyFont="1" applyBorder="1" applyAlignment="1">
      <alignment vertical="center" wrapText="1"/>
    </xf>
    <xf numFmtId="0" fontId="0" fillId="0" borderId="60" xfId="0" applyBorder="1" applyAlignment="1">
      <alignment/>
    </xf>
    <xf numFmtId="3" fontId="7" fillId="0" borderId="21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5" fillId="2" borderId="10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3" fontId="7" fillId="2" borderId="10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0" fillId="0" borderId="108" xfId="0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0" fillId="0" borderId="103" xfId="0" applyBorder="1" applyAlignment="1">
      <alignment/>
    </xf>
    <xf numFmtId="0" fontId="9" fillId="2" borderId="4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56" xfId="0" applyBorder="1" applyAlignment="1">
      <alignment/>
    </xf>
    <xf numFmtId="3" fontId="7" fillId="0" borderId="44" xfId="0" applyNumberFormat="1" applyFont="1" applyBorder="1" applyAlignment="1">
      <alignment vertical="center"/>
    </xf>
    <xf numFmtId="3" fontId="7" fillId="2" borderId="53" xfId="0" applyNumberFormat="1" applyFont="1" applyFill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35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 quotePrefix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6" xfId="0" applyBorder="1" applyAlignment="1">
      <alignment/>
    </xf>
    <xf numFmtId="169" fontId="5" fillId="0" borderId="29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2" borderId="109" xfId="20" applyFont="1" applyFill="1" applyBorder="1" applyAlignment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2" borderId="28" xfId="20" applyFont="1" applyFill="1" applyBorder="1" applyAlignment="1">
      <alignment horizontal="center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5" xfId="20" applyFont="1" applyFill="1" applyBorder="1" applyAlignment="1">
      <alignment horizontal="center" vertical="center"/>
      <protection/>
    </xf>
    <xf numFmtId="0" fontId="7" fillId="2" borderId="11" xfId="2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7" fillId="2" borderId="110" xfId="20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9" fontId="5" fillId="0" borderId="7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9" xfId="20" applyFont="1" applyFill="1" applyBorder="1" applyAlignment="1">
      <alignment horizontal="center" vertical="center"/>
      <protection/>
    </xf>
    <xf numFmtId="0" fontId="7" fillId="2" borderId="55" xfId="20" applyFont="1" applyFill="1" applyBorder="1" applyAlignment="1">
      <alignment horizontal="center" vertical="center"/>
      <protection/>
    </xf>
    <xf numFmtId="0" fontId="7" fillId="2" borderId="41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96" xfId="0" applyBorder="1" applyAlignment="1">
      <alignment vertical="center"/>
    </xf>
    <xf numFmtId="3" fontId="7" fillId="2" borderId="33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6" xfId="0" applyBorder="1" applyAlignment="1">
      <alignment vertical="center"/>
    </xf>
    <xf numFmtId="3" fontId="7" fillId="2" borderId="26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6" fillId="2" borderId="110" xfId="0" applyFont="1" applyFill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7" fillId="2" borderId="6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22" xfId="0" applyBorder="1" applyAlignment="1">
      <alignment/>
    </xf>
    <xf numFmtId="0" fontId="5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169" fontId="5" fillId="0" borderId="18" xfId="0" applyNumberFormat="1" applyFont="1" applyBorder="1" applyAlignment="1">
      <alignment vertical="center"/>
    </xf>
    <xf numFmtId="169" fontId="5" fillId="0" borderId="111" xfId="0" applyNumberFormat="1" applyFont="1" applyBorder="1" applyAlignment="1">
      <alignment vertical="center"/>
    </xf>
    <xf numFmtId="0" fontId="7" fillId="2" borderId="43" xfId="0" applyFont="1" applyFill="1" applyBorder="1" applyAlignment="1">
      <alignment horizontal="center" vertical="center" wrapText="1"/>
    </xf>
    <xf numFmtId="0" fontId="0" fillId="0" borderId="10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12" fillId="0" borderId="30" xfId="0" applyFont="1" applyBorder="1" applyAlignment="1">
      <alignment horizontal="justify" vertical="center"/>
    </xf>
    <xf numFmtId="0" fontId="0" fillId="0" borderId="31" xfId="0" applyBorder="1" applyAlignment="1">
      <alignment/>
    </xf>
    <xf numFmtId="0" fontId="9" fillId="2" borderId="1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5" fillId="2" borderId="105" xfId="0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3" fontId="7" fillId="2" borderId="37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5" fillId="2" borderId="33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/>
    </xf>
    <xf numFmtId="0" fontId="0" fillId="0" borderId="25" xfId="0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46" xfId="0" applyBorder="1" applyAlignment="1">
      <alignment horizontal="left" vertical="center"/>
    </xf>
    <xf numFmtId="0" fontId="0" fillId="0" borderId="40" xfId="0" applyBorder="1" applyAlignment="1">
      <alignment/>
    </xf>
    <xf numFmtId="0" fontId="12" fillId="0" borderId="13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2" fillId="2" borderId="36" xfId="0" applyFont="1" applyFill="1" applyBorder="1" applyAlignment="1">
      <alignment horizontal="justify" vertical="center"/>
    </xf>
    <xf numFmtId="0" fontId="0" fillId="0" borderId="35" xfId="0" applyBorder="1" applyAlignment="1">
      <alignment/>
    </xf>
    <xf numFmtId="0" fontId="7" fillId="0" borderId="13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5" fillId="0" borderId="55" xfId="0" applyFont="1" applyBorder="1" applyAlignment="1">
      <alignment/>
    </xf>
    <xf numFmtId="3" fontId="7" fillId="2" borderId="4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" fontId="7" fillId="2" borderId="110" xfId="0" applyNumberFormat="1" applyFont="1" applyFill="1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63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33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52" xfId="0" applyBorder="1" applyAlignment="1">
      <alignment/>
    </xf>
    <xf numFmtId="0" fontId="0" fillId="0" borderId="107" xfId="0" applyBorder="1" applyAlignment="1">
      <alignment/>
    </xf>
    <xf numFmtId="0" fontId="0" fillId="0" borderId="17" xfId="0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7" fillId="2" borderId="28" xfId="20" applyFont="1" applyFill="1" applyBorder="1" applyAlignment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" borderId="112" xfId="0" applyFont="1" applyFill="1" applyBorder="1" applyAlignment="1">
      <alignment horizontal="center" vertical="center"/>
    </xf>
    <xf numFmtId="0" fontId="0" fillId="2" borderId="113" xfId="0" applyFont="1" applyFill="1" applyBorder="1" applyAlignment="1">
      <alignment horizontal="center" vertical="center"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6" fillId="2" borderId="115" xfId="0" applyFont="1" applyFill="1" applyBorder="1" applyAlignment="1">
      <alignment horizontal="center" vertical="center"/>
    </xf>
    <xf numFmtId="0" fontId="8" fillId="0" borderId="116" xfId="0" applyFont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7" fillId="2" borderId="10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3" fontId="5" fillId="0" borderId="18" xfId="0" applyNumberFormat="1" applyFont="1" applyBorder="1" applyAlignment="1">
      <alignment vertical="center"/>
    </xf>
    <xf numFmtId="3" fontId="5" fillId="0" borderId="111" xfId="0" applyNumberFormat="1" applyFont="1" applyBorder="1" applyAlignment="1">
      <alignment vertical="center"/>
    </xf>
    <xf numFmtId="0" fontId="9" fillId="0" borderId="105" xfId="0" applyFont="1" applyBorder="1" applyAlignment="1">
      <alignment vertical="center" wrapText="1"/>
    </xf>
    <xf numFmtId="0" fontId="10" fillId="0" borderId="60" xfId="0" applyFont="1" applyBorder="1" applyAlignment="1">
      <alignment/>
    </xf>
    <xf numFmtId="0" fontId="0" fillId="0" borderId="103" xfId="0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2" fillId="0" borderId="1" xfId="0" applyFont="1" applyBorder="1" applyAlignment="1">
      <alignment/>
    </xf>
    <xf numFmtId="0" fontId="12" fillId="0" borderId="33" xfId="0" applyFont="1" applyBorder="1" applyAlignment="1">
      <alignment horizontal="justify" vertical="center"/>
    </xf>
    <xf numFmtId="0" fontId="5" fillId="2" borderId="11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5" xfId="0" applyBorder="1" applyAlignment="1">
      <alignment/>
    </xf>
    <xf numFmtId="3" fontId="7" fillId="2" borderId="53" xfId="0" applyNumberFormat="1" applyFont="1" applyFill="1" applyBorder="1" applyAlignment="1">
      <alignment vertical="center" wrapText="1"/>
    </xf>
    <xf numFmtId="3" fontId="7" fillId="2" borderId="35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" fillId="0" borderId="9" xfId="0" applyFont="1" applyBorder="1" applyAlignment="1">
      <alignment/>
    </xf>
    <xf numFmtId="0" fontId="7" fillId="2" borderId="3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/>
    </xf>
    <xf numFmtId="0" fontId="0" fillId="0" borderId="52" xfId="0" applyBorder="1" applyAlignment="1">
      <alignment horizontal="left"/>
    </xf>
    <xf numFmtId="0" fontId="7" fillId="0" borderId="24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5" fillId="2" borderId="11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3" fontId="7" fillId="2" borderId="10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7" fillId="2" borderId="107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8" fillId="0" borderId="118" xfId="0" applyFont="1" applyBorder="1" applyAlignment="1">
      <alignment vertical="center"/>
    </xf>
    <xf numFmtId="0" fontId="8" fillId="0" borderId="119" xfId="0" applyFont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96" xfId="0" applyFont="1" applyBorder="1" applyAlignment="1">
      <alignment/>
    </xf>
    <xf numFmtId="0" fontId="9" fillId="2" borderId="109" xfId="20" applyFont="1" applyFill="1" applyBorder="1" applyAlignment="1">
      <alignment horizontal="center" vertical="center" wrapText="1"/>
      <protection/>
    </xf>
    <xf numFmtId="0" fontId="10" fillId="0" borderId="6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1" xfId="20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9" fillId="2" borderId="29" xfId="20" applyFont="1" applyFill="1" applyBorder="1" applyAlignment="1">
      <alignment horizontal="center" vertical="center"/>
      <protection/>
    </xf>
    <xf numFmtId="0" fontId="10" fillId="0" borderId="55" xfId="0" applyFont="1" applyBorder="1" applyAlignment="1">
      <alignment horizontal="center"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7" fillId="2" borderId="11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4" fillId="0" borderId="33" xfId="0" applyFont="1" applyFill="1" applyBorder="1" applyAlignment="1">
      <alignment horizontal="justify" vertical="center"/>
    </xf>
    <xf numFmtId="0" fontId="0" fillId="0" borderId="37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9" fillId="0" borderId="6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6" fillId="0" borderId="118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3" fontId="7" fillId="2" borderId="20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0" fillId="2" borderId="33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3" fontId="7" fillId="0" borderId="32" xfId="0" applyNumberFormat="1" applyFont="1" applyBorder="1" applyAlignment="1">
      <alignment horizontal="left"/>
    </xf>
    <xf numFmtId="3" fontId="7" fillId="0" borderId="38" xfId="0" applyNumberFormat="1" applyFont="1" applyBorder="1" applyAlignment="1">
      <alignment horizontal="left"/>
    </xf>
    <xf numFmtId="3" fontId="7" fillId="0" borderId="59" xfId="0" applyNumberFormat="1" applyFont="1" applyBorder="1" applyAlignment="1">
      <alignment horizontal="left"/>
    </xf>
    <xf numFmtId="3" fontId="17" fillId="2" borderId="110" xfId="0" applyNumberFormat="1" applyFont="1" applyFill="1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3" fontId="7" fillId="0" borderId="26" xfId="0" applyNumberFormat="1" applyFont="1" applyBorder="1" applyAlignment="1">
      <alignment horizontal="left"/>
    </xf>
    <xf numFmtId="3" fontId="7" fillId="0" borderId="55" xfId="0" applyNumberFormat="1" applyFont="1" applyBorder="1" applyAlignment="1">
      <alignment horizontal="left"/>
    </xf>
    <xf numFmtId="3" fontId="7" fillId="0" borderId="41" xfId="0" applyNumberFormat="1" applyFont="1" applyBorder="1" applyAlignment="1">
      <alignment horizontal="left"/>
    </xf>
    <xf numFmtId="0" fontId="5" fillId="2" borderId="24" xfId="0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horizontal="center" vertical="center"/>
    </xf>
    <xf numFmtId="0" fontId="9" fillId="2" borderId="103" xfId="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/>
      <protection/>
    </xf>
    <xf numFmtId="0" fontId="7" fillId="2" borderId="15" xfId="20" applyFont="1" applyFill="1" applyBorder="1" applyAlignment="1">
      <alignment horizontal="center" vertical="center"/>
      <protection/>
    </xf>
    <xf numFmtId="0" fontId="7" fillId="2" borderId="60" xfId="20" applyFont="1" applyFill="1" applyBorder="1" applyAlignment="1">
      <alignment horizontal="center" vertical="center" wrapText="1"/>
      <protection/>
    </xf>
    <xf numFmtId="0" fontId="7" fillId="2" borderId="15" xfId="20" applyFont="1" applyFill="1" applyBorder="1" applyAlignment="1">
      <alignment horizontal="center" vertical="center" wrapText="1"/>
      <protection/>
    </xf>
    <xf numFmtId="0" fontId="17" fillId="2" borderId="43" xfId="0" applyFont="1" applyFill="1" applyBorder="1" applyAlignment="1">
      <alignment horizontal="center" vertical="center" wrapText="1"/>
    </xf>
    <xf numFmtId="0" fontId="18" fillId="2" borderId="10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0" fillId="0" borderId="121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left"/>
    </xf>
    <xf numFmtId="3" fontId="7" fillId="0" borderId="65" xfId="0" applyNumberFormat="1" applyFont="1" applyBorder="1" applyAlignment="1">
      <alignment horizontal="left"/>
    </xf>
    <xf numFmtId="3" fontId="7" fillId="2" borderId="2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1" fontId="7" fillId="0" borderId="66" xfId="0" applyNumberFormat="1" applyFont="1" applyBorder="1" applyAlignment="1">
      <alignment horizontal="left" vertical="center"/>
    </xf>
    <xf numFmtId="0" fontId="0" fillId="0" borderId="122" xfId="0" applyBorder="1" applyAlignment="1">
      <alignment horizontal="left" vertical="center"/>
    </xf>
    <xf numFmtId="1" fontId="7" fillId="0" borderId="26" xfId="0" applyNumberFormat="1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" fontId="7" fillId="0" borderId="14" xfId="0" applyNumberFormat="1" applyFont="1" applyBorder="1" applyAlignment="1">
      <alignment horizontal="left" vertical="center"/>
    </xf>
    <xf numFmtId="0" fontId="9" fillId="2" borderId="61" xfId="20" applyFont="1" applyFill="1" applyBorder="1" applyAlignment="1">
      <alignment horizontal="center" vertical="center" wrapText="1"/>
      <protection/>
    </xf>
    <xf numFmtId="0" fontId="9" fillId="2" borderId="16" xfId="20" applyFont="1" applyFill="1" applyBorder="1" applyAlignment="1">
      <alignment horizontal="center" vertical="center" wrapText="1"/>
      <protection/>
    </xf>
    <xf numFmtId="3" fontId="7" fillId="2" borderId="96" xfId="0" applyNumberFormat="1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/>
    </xf>
    <xf numFmtId="3" fontId="7" fillId="2" borderId="37" xfId="0" applyNumberFormat="1" applyFont="1" applyFill="1" applyBorder="1" applyAlignment="1">
      <alignment horizontal="left" vertical="center"/>
    </xf>
    <xf numFmtId="3" fontId="7" fillId="2" borderId="52" xfId="0" applyNumberFormat="1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horizontal="left" vertical="center"/>
    </xf>
    <xf numFmtId="3" fontId="7" fillId="0" borderId="55" xfId="0" applyNumberFormat="1" applyFont="1" applyBorder="1" applyAlignment="1">
      <alignment horizontal="left" vertical="center"/>
    </xf>
    <xf numFmtId="3" fontId="7" fillId="0" borderId="41" xfId="0" applyNumberFormat="1" applyFont="1" applyBorder="1" applyAlignment="1">
      <alignment horizontal="left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/>
    </xf>
    <xf numFmtId="3" fontId="7" fillId="0" borderId="54" xfId="0" applyNumberFormat="1" applyFont="1" applyBorder="1" applyAlignment="1">
      <alignment horizontal="left" vertical="center"/>
    </xf>
    <xf numFmtId="1" fontId="7" fillId="0" borderId="14" xfId="0" applyNumberFormat="1" applyFont="1" applyBorder="1" applyAlignment="1">
      <alignment horizontal="left"/>
    </xf>
    <xf numFmtId="0" fontId="0" fillId="0" borderId="54" xfId="0" applyBorder="1" applyAlignment="1">
      <alignment horizontal="left"/>
    </xf>
    <xf numFmtId="3" fontId="17" fillId="2" borderId="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123" xfId="0" applyFont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0" fontId="2" fillId="0" borderId="39" xfId="0" applyFont="1" applyBorder="1" applyAlignment="1">
      <alignment wrapText="1"/>
    </xf>
    <xf numFmtId="1" fontId="7" fillId="0" borderId="66" xfId="0" applyNumberFormat="1" applyFont="1" applyBorder="1" applyAlignment="1">
      <alignment horizontal="left"/>
    </xf>
    <xf numFmtId="0" fontId="0" fillId="0" borderId="122" xfId="0" applyBorder="1" applyAlignment="1">
      <alignment horizontal="left"/>
    </xf>
    <xf numFmtId="1" fontId="7" fillId="0" borderId="26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7"/>
  <sheetViews>
    <sheetView workbookViewId="0" topLeftCell="C1">
      <selection activeCell="F2" sqref="F2"/>
    </sheetView>
  </sheetViews>
  <sheetFormatPr defaultColWidth="9.00390625" defaultRowHeight="12.75"/>
  <cols>
    <col min="1" max="1" width="29.75390625" style="1" customWidth="1"/>
    <col min="2" max="2" width="11.375" style="2" customWidth="1"/>
    <col min="3" max="7" width="9.75390625" style="2" customWidth="1"/>
    <col min="8" max="8" width="9.00390625" style="2" customWidth="1"/>
    <col min="9" max="9" width="8.875" style="1" customWidth="1"/>
    <col min="10" max="10" width="9.375" style="1" customWidth="1"/>
    <col min="11" max="16" width="9.125" style="1" customWidth="1"/>
  </cols>
  <sheetData>
    <row r="1" spans="12:14" ht="15.75">
      <c r="L1" s="3" t="s">
        <v>459</v>
      </c>
      <c r="N1" s="4"/>
    </row>
    <row r="2" spans="1:14" ht="16.5" thickBot="1">
      <c r="A2" s="434" t="s">
        <v>393</v>
      </c>
      <c r="B2" s="6"/>
      <c r="C2" s="6"/>
      <c r="D2" s="6"/>
      <c r="E2" s="6"/>
      <c r="F2" s="6"/>
      <c r="G2" s="6"/>
      <c r="H2" s="6"/>
      <c r="L2" s="3" t="s">
        <v>0</v>
      </c>
      <c r="N2" s="4"/>
    </row>
    <row r="3" spans="1:14" ht="24" customHeight="1" thickBot="1">
      <c r="A3" s="793" t="s">
        <v>1</v>
      </c>
      <c r="B3" s="796" t="s">
        <v>2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1"/>
    </row>
    <row r="4" spans="1:34" ht="10.5" customHeight="1">
      <c r="A4" s="794"/>
      <c r="B4" s="7" t="s">
        <v>3</v>
      </c>
      <c r="C4" s="8"/>
      <c r="D4" s="9"/>
      <c r="E4" s="10" t="s">
        <v>4</v>
      </c>
      <c r="F4" s="8"/>
      <c r="G4" s="9"/>
      <c r="H4" s="778" t="s">
        <v>5</v>
      </c>
      <c r="I4" s="779"/>
      <c r="J4" s="8" t="s">
        <v>6</v>
      </c>
      <c r="K4" s="11"/>
      <c r="L4" s="12"/>
      <c r="M4" s="778" t="s">
        <v>7</v>
      </c>
      <c r="N4" s="77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6" ht="13.5" customHeight="1">
      <c r="A5" s="794"/>
      <c r="B5" s="13" t="s">
        <v>8</v>
      </c>
      <c r="C5" s="14" t="s">
        <v>9</v>
      </c>
      <c r="D5" s="15" t="s">
        <v>10</v>
      </c>
      <c r="E5" s="16" t="s">
        <v>8</v>
      </c>
      <c r="F5" s="14" t="s">
        <v>9</v>
      </c>
      <c r="G5" s="15" t="s">
        <v>10</v>
      </c>
      <c r="H5" s="17" t="s">
        <v>10</v>
      </c>
      <c r="I5" s="17" t="s">
        <v>11</v>
      </c>
      <c r="J5" s="18" t="s">
        <v>8</v>
      </c>
      <c r="K5" s="14" t="s">
        <v>9</v>
      </c>
      <c r="L5" s="15" t="s">
        <v>10</v>
      </c>
      <c r="M5" s="17" t="s">
        <v>10</v>
      </c>
      <c r="N5" s="15" t="s">
        <v>11</v>
      </c>
      <c r="O5"/>
      <c r="P5"/>
    </row>
    <row r="6" spans="1:16" ht="12" customHeight="1" thickBot="1">
      <c r="A6" s="795"/>
      <c r="B6" s="19" t="s">
        <v>12</v>
      </c>
      <c r="C6" s="20" t="s">
        <v>12</v>
      </c>
      <c r="D6" s="21"/>
      <c r="E6" s="22" t="s">
        <v>12</v>
      </c>
      <c r="F6" s="20" t="s">
        <v>12</v>
      </c>
      <c r="G6" s="21"/>
      <c r="H6" s="23" t="s">
        <v>13</v>
      </c>
      <c r="I6" s="24" t="s">
        <v>14</v>
      </c>
      <c r="J6" s="25" t="s">
        <v>12</v>
      </c>
      <c r="K6" s="20" t="s">
        <v>12</v>
      </c>
      <c r="L6" s="21"/>
      <c r="M6" s="23" t="s">
        <v>13</v>
      </c>
      <c r="N6" s="21" t="s">
        <v>14</v>
      </c>
      <c r="O6"/>
      <c r="P6"/>
    </row>
    <row r="7" spans="1:14" ht="13.5" customHeight="1" thickBot="1" thickTop="1">
      <c r="A7" s="26" t="s">
        <v>15</v>
      </c>
      <c r="B7" s="27"/>
      <c r="C7" s="28"/>
      <c r="D7" s="29"/>
      <c r="E7" s="27"/>
      <c r="F7" s="28"/>
      <c r="G7" s="29"/>
      <c r="H7" s="30"/>
      <c r="I7" s="31"/>
      <c r="J7" s="32"/>
      <c r="K7" s="28"/>
      <c r="L7" s="33"/>
      <c r="M7" s="30"/>
      <c r="N7" s="34"/>
    </row>
    <row r="8" spans="1:14" ht="13.5" customHeight="1">
      <c r="A8" s="35" t="s">
        <v>16</v>
      </c>
      <c r="B8" s="36">
        <v>416563</v>
      </c>
      <c r="C8" s="37">
        <v>774</v>
      </c>
      <c r="D8" s="38">
        <f aca="true" t="shared" si="0" ref="D8:D15">SUM(B8:C8)</f>
        <v>417337</v>
      </c>
      <c r="E8" s="39">
        <v>453712.05</v>
      </c>
      <c r="F8" s="40">
        <v>485.99</v>
      </c>
      <c r="G8" s="41">
        <f aca="true" t="shared" si="1" ref="G8:G15">SUM(E8:F8)</f>
        <v>454198.04</v>
      </c>
      <c r="H8" s="42">
        <f aca="true" t="shared" si="2" ref="H8:H35">+G8-D8</f>
        <v>36861.03999999998</v>
      </c>
      <c r="I8" s="43">
        <f aca="true" t="shared" si="3" ref="I8:I13">+G8/D8</f>
        <v>1.0883243997057532</v>
      </c>
      <c r="J8" s="44">
        <v>461650</v>
      </c>
      <c r="K8" s="37">
        <v>450</v>
      </c>
      <c r="L8" s="45">
        <f aca="true" t="shared" si="4" ref="L8:L15">SUM(J8:K8)</f>
        <v>462100</v>
      </c>
      <c r="M8" s="42">
        <f aca="true" t="shared" si="5" ref="M8:M35">+L8-G8</f>
        <v>7901.960000000021</v>
      </c>
      <c r="N8" s="46">
        <f>+L8/G8</f>
        <v>1.017397609201484</v>
      </c>
    </row>
    <row r="9" spans="1:14" ht="13.5" customHeight="1">
      <c r="A9" s="35" t="s">
        <v>17</v>
      </c>
      <c r="B9" s="36">
        <v>0</v>
      </c>
      <c r="C9" s="37">
        <v>55674</v>
      </c>
      <c r="D9" s="38">
        <f t="shared" si="0"/>
        <v>55674</v>
      </c>
      <c r="E9" s="47">
        <v>0</v>
      </c>
      <c r="F9" s="48">
        <v>58834.4</v>
      </c>
      <c r="G9" s="49">
        <f t="shared" si="1"/>
        <v>58834.4</v>
      </c>
      <c r="H9" s="42">
        <f t="shared" si="2"/>
        <v>3160.4000000000015</v>
      </c>
      <c r="I9" s="43">
        <f t="shared" si="3"/>
        <v>1.056766174515932</v>
      </c>
      <c r="J9" s="44">
        <v>0</v>
      </c>
      <c r="K9" s="37">
        <v>55600</v>
      </c>
      <c r="L9" s="45">
        <f t="shared" si="4"/>
        <v>55600</v>
      </c>
      <c r="M9" s="42">
        <f t="shared" si="5"/>
        <v>-3234.4000000000015</v>
      </c>
      <c r="N9" s="46">
        <f>+L9/G9</f>
        <v>0.9450253593135989</v>
      </c>
    </row>
    <row r="10" spans="1:14" ht="13.5" customHeight="1">
      <c r="A10" s="35" t="s">
        <v>18</v>
      </c>
      <c r="B10" s="36">
        <v>12166</v>
      </c>
      <c r="C10" s="37">
        <v>0</v>
      </c>
      <c r="D10" s="38">
        <f t="shared" si="0"/>
        <v>12166</v>
      </c>
      <c r="E10" s="47">
        <v>10233.57</v>
      </c>
      <c r="F10" s="48"/>
      <c r="G10" s="49">
        <f t="shared" si="1"/>
        <v>10233.57</v>
      </c>
      <c r="H10" s="42">
        <f t="shared" si="2"/>
        <v>-1932.4300000000003</v>
      </c>
      <c r="I10" s="43">
        <f t="shared" si="3"/>
        <v>0.8411614335032056</v>
      </c>
      <c r="J10" s="44">
        <v>11000</v>
      </c>
      <c r="K10" s="37">
        <v>0</v>
      </c>
      <c r="L10" s="45">
        <f t="shared" si="4"/>
        <v>11000</v>
      </c>
      <c r="M10" s="42">
        <f t="shared" si="5"/>
        <v>766.4300000000003</v>
      </c>
      <c r="N10" s="46">
        <f>+L10/G10</f>
        <v>1.074893707669953</v>
      </c>
    </row>
    <row r="11" spans="1:14" ht="13.5" customHeight="1">
      <c r="A11" s="35" t="s">
        <v>19</v>
      </c>
      <c r="B11" s="36">
        <v>2001</v>
      </c>
      <c r="C11" s="37">
        <v>184</v>
      </c>
      <c r="D11" s="38">
        <f t="shared" si="0"/>
        <v>2185</v>
      </c>
      <c r="E11" s="47">
        <f>768.57+22.42+734.19+2557.37</f>
        <v>4082.55</v>
      </c>
      <c r="F11" s="48">
        <v>59.96</v>
      </c>
      <c r="G11" s="49">
        <f t="shared" si="1"/>
        <v>4142.51</v>
      </c>
      <c r="H11" s="42">
        <f t="shared" si="2"/>
        <v>1957.5100000000002</v>
      </c>
      <c r="I11" s="43">
        <f t="shared" si="3"/>
        <v>1.8958855835240276</v>
      </c>
      <c r="J11" s="44">
        <v>4500</v>
      </c>
      <c r="K11" s="37">
        <v>60</v>
      </c>
      <c r="L11" s="45">
        <f t="shared" si="4"/>
        <v>4560</v>
      </c>
      <c r="M11" s="42">
        <f t="shared" si="5"/>
        <v>417.4899999999998</v>
      </c>
      <c r="N11" s="46">
        <f>+L11/G11</f>
        <v>1.1007818931034565</v>
      </c>
    </row>
    <row r="12" spans="1:14" ht="13.5" customHeight="1">
      <c r="A12" s="50" t="s">
        <v>20</v>
      </c>
      <c r="B12" s="36">
        <v>0</v>
      </c>
      <c r="C12" s="37">
        <v>0</v>
      </c>
      <c r="D12" s="38">
        <f t="shared" si="0"/>
        <v>0</v>
      </c>
      <c r="E12" s="47">
        <v>734.19</v>
      </c>
      <c r="F12" s="48"/>
      <c r="G12" s="49">
        <f t="shared" si="1"/>
        <v>734.19</v>
      </c>
      <c r="H12" s="42">
        <f t="shared" si="2"/>
        <v>734.19</v>
      </c>
      <c r="I12" s="43" t="e">
        <f t="shared" si="3"/>
        <v>#DIV/0!</v>
      </c>
      <c r="J12" s="44">
        <v>750</v>
      </c>
      <c r="K12" s="37">
        <v>0</v>
      </c>
      <c r="L12" s="45">
        <f t="shared" si="4"/>
        <v>750</v>
      </c>
      <c r="M12" s="42">
        <f t="shared" si="5"/>
        <v>15.809999999999945</v>
      </c>
      <c r="N12" s="46"/>
    </row>
    <row r="13" spans="1:14" ht="13.5" customHeight="1">
      <c r="A13" s="50" t="s">
        <v>21</v>
      </c>
      <c r="B13" s="36">
        <v>3681</v>
      </c>
      <c r="C13" s="37">
        <v>5</v>
      </c>
      <c r="D13" s="38">
        <f t="shared" si="0"/>
        <v>3686</v>
      </c>
      <c r="E13" s="47">
        <v>3524.99</v>
      </c>
      <c r="F13" s="48">
        <v>2.06</v>
      </c>
      <c r="G13" s="49">
        <f t="shared" si="1"/>
        <v>3527.0499999999997</v>
      </c>
      <c r="H13" s="42">
        <f t="shared" si="2"/>
        <v>-158.95000000000027</v>
      </c>
      <c r="I13" s="43">
        <f t="shared" si="3"/>
        <v>0.9568773738469886</v>
      </c>
      <c r="J13" s="44">
        <v>3600</v>
      </c>
      <c r="K13" s="37">
        <v>2</v>
      </c>
      <c r="L13" s="45">
        <f t="shared" si="4"/>
        <v>3602</v>
      </c>
      <c r="M13" s="42">
        <f t="shared" si="5"/>
        <v>74.95000000000027</v>
      </c>
      <c r="N13" s="46">
        <f>+L13/G13</f>
        <v>1.0212500531605733</v>
      </c>
    </row>
    <row r="14" spans="1:14" ht="17.25" customHeight="1">
      <c r="A14" s="50" t="s">
        <v>22</v>
      </c>
      <c r="B14" s="36">
        <v>0</v>
      </c>
      <c r="C14" s="37">
        <v>0</v>
      </c>
      <c r="D14" s="38">
        <f t="shared" si="0"/>
        <v>0</v>
      </c>
      <c r="E14" s="47"/>
      <c r="F14" s="48"/>
      <c r="G14" s="49">
        <f t="shared" si="1"/>
        <v>0</v>
      </c>
      <c r="H14" s="42">
        <f t="shared" si="2"/>
        <v>0</v>
      </c>
      <c r="I14" s="43"/>
      <c r="J14" s="44">
        <v>0</v>
      </c>
      <c r="K14" s="37">
        <v>0</v>
      </c>
      <c r="L14" s="45">
        <f t="shared" si="4"/>
        <v>0</v>
      </c>
      <c r="M14" s="42">
        <f t="shared" si="5"/>
        <v>0</v>
      </c>
      <c r="N14" s="46"/>
    </row>
    <row r="15" spans="1:14" ht="13.5" customHeight="1" thickBot="1">
      <c r="A15" s="51" t="s">
        <v>23</v>
      </c>
      <c r="B15" s="52">
        <v>25757</v>
      </c>
      <c r="C15" s="53"/>
      <c r="D15" s="38">
        <f t="shared" si="0"/>
        <v>25757</v>
      </c>
      <c r="E15" s="54">
        <v>16769.48</v>
      </c>
      <c r="F15" s="55"/>
      <c r="G15" s="56">
        <f t="shared" si="1"/>
        <v>16769.48</v>
      </c>
      <c r="H15" s="57">
        <f t="shared" si="2"/>
        <v>-8987.52</v>
      </c>
      <c r="I15" s="58">
        <f>+G15/D15</f>
        <v>0.6510649532166013</v>
      </c>
      <c r="J15" s="54">
        <v>26816</v>
      </c>
      <c r="K15" s="53">
        <v>0</v>
      </c>
      <c r="L15" s="45">
        <f t="shared" si="4"/>
        <v>26816</v>
      </c>
      <c r="M15" s="57">
        <f t="shared" si="5"/>
        <v>10046.52</v>
      </c>
      <c r="N15" s="59">
        <f>+L15/G15</f>
        <v>1.5990954996815645</v>
      </c>
    </row>
    <row r="16" spans="1:14" ht="13.5" customHeight="1" thickBot="1">
      <c r="A16" s="60" t="s">
        <v>24</v>
      </c>
      <c r="B16" s="61">
        <f aca="true" t="shared" si="6" ref="B16:G16">SUM(B7+B8+B9+B10+B11+B13+B15)</f>
        <v>460168</v>
      </c>
      <c r="C16" s="62">
        <f t="shared" si="6"/>
        <v>56637</v>
      </c>
      <c r="D16" s="63">
        <f t="shared" si="6"/>
        <v>516805</v>
      </c>
      <c r="E16" s="61">
        <f t="shared" si="6"/>
        <v>488322.63999999996</v>
      </c>
      <c r="F16" s="62">
        <f t="shared" si="6"/>
        <v>59382.409999999996</v>
      </c>
      <c r="G16" s="63">
        <f t="shared" si="6"/>
        <v>547705.05</v>
      </c>
      <c r="H16" s="64">
        <f t="shared" si="2"/>
        <v>30900.050000000047</v>
      </c>
      <c r="I16" s="65">
        <f>+G16/D16</f>
        <v>1.0597905399522065</v>
      </c>
      <c r="J16" s="66">
        <f>SUM(J7+J8+J9+J10+J11+J13+J15)</f>
        <v>507566</v>
      </c>
      <c r="K16" s="62">
        <f>SUM(K7+K8+K9+K10+K11+K13+K15)</f>
        <v>56112</v>
      </c>
      <c r="L16" s="63">
        <f>SUM(L7+L8+L9+L10+L11+L13+L15)</f>
        <v>563678</v>
      </c>
      <c r="M16" s="64">
        <f t="shared" si="5"/>
        <v>15972.949999999953</v>
      </c>
      <c r="N16" s="67">
        <f>+L16/G16</f>
        <v>1.0291634156011524</v>
      </c>
    </row>
    <row r="17" spans="1:14" ht="13.5" customHeight="1">
      <c r="A17" s="68" t="s">
        <v>25</v>
      </c>
      <c r="B17" s="27">
        <v>128713</v>
      </c>
      <c r="C17" s="28">
        <v>194</v>
      </c>
      <c r="D17" s="29">
        <f aca="true" t="shared" si="7" ref="D17:D34">SUM(B17:C17)</f>
        <v>128907</v>
      </c>
      <c r="E17" s="39">
        <v>134369.57</v>
      </c>
      <c r="F17" s="40">
        <v>188.27</v>
      </c>
      <c r="G17" s="69">
        <f aca="true" t="shared" si="8" ref="G17:G34">SUM(E17:F17)</f>
        <v>134557.84</v>
      </c>
      <c r="H17" s="30">
        <f t="shared" si="2"/>
        <v>5650.8399999999965</v>
      </c>
      <c r="I17" s="70">
        <f>+G17/D17</f>
        <v>1.0438365643448377</v>
      </c>
      <c r="J17" s="32">
        <v>135000</v>
      </c>
      <c r="K17" s="28">
        <v>160</v>
      </c>
      <c r="L17" s="33">
        <f aca="true" t="shared" si="9" ref="L17:L34">SUM(J17:K17)</f>
        <v>135160</v>
      </c>
      <c r="M17" s="30">
        <f t="shared" si="5"/>
        <v>602.1600000000035</v>
      </c>
      <c r="N17" s="71">
        <f>+L17/G17</f>
        <v>1.0044751015622724</v>
      </c>
    </row>
    <row r="18" spans="1:14" ht="18.75" customHeight="1">
      <c r="A18" s="50" t="s">
        <v>26</v>
      </c>
      <c r="B18" s="27">
        <v>1351</v>
      </c>
      <c r="C18" s="28"/>
      <c r="D18" s="29">
        <f t="shared" si="7"/>
        <v>1351</v>
      </c>
      <c r="E18" s="72">
        <v>3053</v>
      </c>
      <c r="F18" s="73">
        <v>0</v>
      </c>
      <c r="G18" s="74">
        <f t="shared" si="8"/>
        <v>3053</v>
      </c>
      <c r="H18" s="42">
        <f t="shared" si="2"/>
        <v>1702</v>
      </c>
      <c r="I18" s="43">
        <f>+G18/D18</f>
        <v>2.25980754996299</v>
      </c>
      <c r="J18" s="32">
        <v>3500</v>
      </c>
      <c r="K18" s="28"/>
      <c r="L18" s="33">
        <f t="shared" si="9"/>
        <v>3500</v>
      </c>
      <c r="M18" s="42">
        <f t="shared" si="5"/>
        <v>447</v>
      </c>
      <c r="N18" s="46">
        <f>+L18/G18</f>
        <v>1.1464133639043563</v>
      </c>
    </row>
    <row r="19" spans="1:14" ht="13.5" customHeight="1">
      <c r="A19" s="35" t="s">
        <v>27</v>
      </c>
      <c r="B19" s="36">
        <v>16032</v>
      </c>
      <c r="C19" s="37">
        <v>597</v>
      </c>
      <c r="D19" s="29">
        <f t="shared" si="7"/>
        <v>16629</v>
      </c>
      <c r="E19" s="47">
        <v>16345.97</v>
      </c>
      <c r="F19" s="48">
        <v>272.8</v>
      </c>
      <c r="G19" s="74">
        <f t="shared" si="8"/>
        <v>16618.77</v>
      </c>
      <c r="H19" s="42">
        <f t="shared" si="2"/>
        <v>-10.229999999999563</v>
      </c>
      <c r="I19" s="43">
        <f>+G19/D19</f>
        <v>0.9993848096698539</v>
      </c>
      <c r="J19" s="44">
        <v>16500</v>
      </c>
      <c r="K19" s="37">
        <v>300</v>
      </c>
      <c r="L19" s="33">
        <f t="shared" si="9"/>
        <v>16800</v>
      </c>
      <c r="M19" s="42">
        <f t="shared" si="5"/>
        <v>181.22999999999956</v>
      </c>
      <c r="N19" s="46">
        <f>+L19/G19</f>
        <v>1.0109051391890014</v>
      </c>
    </row>
    <row r="20" spans="1:14" ht="13.5" customHeight="1">
      <c r="A20" s="50" t="s">
        <v>28</v>
      </c>
      <c r="B20" s="36">
        <v>0</v>
      </c>
      <c r="C20" s="37">
        <v>0</v>
      </c>
      <c r="D20" s="29">
        <f t="shared" si="7"/>
        <v>0</v>
      </c>
      <c r="E20" s="47"/>
      <c r="F20" s="48"/>
      <c r="G20" s="74">
        <f t="shared" si="8"/>
        <v>0</v>
      </c>
      <c r="H20" s="42">
        <f t="shared" si="2"/>
        <v>0</v>
      </c>
      <c r="I20" s="43"/>
      <c r="J20" s="44">
        <v>0</v>
      </c>
      <c r="K20" s="37">
        <v>0</v>
      </c>
      <c r="L20" s="33">
        <f t="shared" si="9"/>
        <v>0</v>
      </c>
      <c r="M20" s="42">
        <f t="shared" si="5"/>
        <v>0</v>
      </c>
      <c r="N20" s="46"/>
    </row>
    <row r="21" spans="1:14" ht="13.5" customHeight="1">
      <c r="A21" s="35" t="s">
        <v>29</v>
      </c>
      <c r="B21" s="36">
        <v>5</v>
      </c>
      <c r="C21" s="37">
        <v>46473</v>
      </c>
      <c r="D21" s="29">
        <f t="shared" si="7"/>
        <v>46478</v>
      </c>
      <c r="E21" s="47"/>
      <c r="F21" s="48">
        <v>49137.96</v>
      </c>
      <c r="G21" s="74">
        <f t="shared" si="8"/>
        <v>49137.96</v>
      </c>
      <c r="H21" s="42">
        <f t="shared" si="2"/>
        <v>2659.959999999999</v>
      </c>
      <c r="I21" s="43">
        <f aca="true" t="shared" si="10" ref="I21:I35">+G21/D21</f>
        <v>1.0572305176642713</v>
      </c>
      <c r="J21" s="44"/>
      <c r="K21" s="37">
        <v>45600</v>
      </c>
      <c r="L21" s="33">
        <f t="shared" si="9"/>
        <v>45600</v>
      </c>
      <c r="M21" s="42">
        <f t="shared" si="5"/>
        <v>-3537.959999999999</v>
      </c>
      <c r="N21" s="46">
        <f aca="true" t="shared" si="11" ref="N21:N26">+L21/G21</f>
        <v>0.9279994529687435</v>
      </c>
    </row>
    <row r="22" spans="1:14" ht="13.5" customHeight="1">
      <c r="A22" s="35" t="s">
        <v>30</v>
      </c>
      <c r="B22" s="44">
        <v>45463</v>
      </c>
      <c r="C22" s="37">
        <v>994</v>
      </c>
      <c r="D22" s="29">
        <f t="shared" si="7"/>
        <v>46457</v>
      </c>
      <c r="E22" s="47">
        <f>11672.01+306.48+5.58+31229.83</f>
        <v>43213.9</v>
      </c>
      <c r="F22" s="48">
        <v>2865.77</v>
      </c>
      <c r="G22" s="74">
        <f t="shared" si="8"/>
        <v>46079.67</v>
      </c>
      <c r="H22" s="42">
        <f t="shared" si="2"/>
        <v>-377.33000000000175</v>
      </c>
      <c r="I22" s="43">
        <f t="shared" si="10"/>
        <v>0.9918778655530921</v>
      </c>
      <c r="J22" s="44">
        <v>48700</v>
      </c>
      <c r="K22" s="37">
        <v>2800</v>
      </c>
      <c r="L22" s="33">
        <f t="shared" si="9"/>
        <v>51500</v>
      </c>
      <c r="M22" s="42">
        <f t="shared" si="5"/>
        <v>5420.330000000002</v>
      </c>
      <c r="N22" s="46">
        <f t="shared" si="11"/>
        <v>1.1176295316351008</v>
      </c>
    </row>
    <row r="23" spans="1:14" ht="13.5" customHeight="1">
      <c r="A23" s="50" t="s">
        <v>31</v>
      </c>
      <c r="B23" s="36">
        <v>10086</v>
      </c>
      <c r="C23" s="37">
        <v>14</v>
      </c>
      <c r="D23" s="29">
        <f t="shared" si="7"/>
        <v>10100</v>
      </c>
      <c r="E23" s="47">
        <v>11672.01</v>
      </c>
      <c r="F23" s="48"/>
      <c r="G23" s="74">
        <f t="shared" si="8"/>
        <v>11672.01</v>
      </c>
      <c r="H23" s="42">
        <f t="shared" si="2"/>
        <v>1572.0100000000002</v>
      </c>
      <c r="I23" s="43">
        <f t="shared" si="10"/>
        <v>1.1556445544554457</v>
      </c>
      <c r="J23" s="47">
        <v>10840</v>
      </c>
      <c r="K23" s="37">
        <v>0</v>
      </c>
      <c r="L23" s="33">
        <f t="shared" si="9"/>
        <v>10840</v>
      </c>
      <c r="M23" s="42">
        <f t="shared" si="5"/>
        <v>-832.0100000000002</v>
      </c>
      <c r="N23" s="46">
        <f t="shared" si="11"/>
        <v>0.9287175045257843</v>
      </c>
    </row>
    <row r="24" spans="1:14" ht="13.5" customHeight="1">
      <c r="A24" s="35" t="s">
        <v>32</v>
      </c>
      <c r="B24" s="36">
        <v>34870</v>
      </c>
      <c r="C24" s="37">
        <v>959</v>
      </c>
      <c r="D24" s="29">
        <f t="shared" si="7"/>
        <v>35829</v>
      </c>
      <c r="E24" s="47">
        <v>31229.83</v>
      </c>
      <c r="F24" s="48"/>
      <c r="G24" s="74">
        <f t="shared" si="8"/>
        <v>31229.83</v>
      </c>
      <c r="H24" s="42">
        <f t="shared" si="2"/>
        <v>-4599.169999999998</v>
      </c>
      <c r="I24" s="43">
        <f t="shared" si="10"/>
        <v>0.871635546624243</v>
      </c>
      <c r="J24" s="47">
        <v>37600</v>
      </c>
      <c r="K24" s="37">
        <v>2800</v>
      </c>
      <c r="L24" s="33">
        <f t="shared" si="9"/>
        <v>40400</v>
      </c>
      <c r="M24" s="42">
        <f t="shared" si="5"/>
        <v>9170.169999999998</v>
      </c>
      <c r="N24" s="46">
        <f t="shared" si="11"/>
        <v>1.2936349637510034</v>
      </c>
    </row>
    <row r="25" spans="1:14" ht="13.5" customHeight="1">
      <c r="A25" s="75" t="s">
        <v>33</v>
      </c>
      <c r="B25" s="44">
        <v>314562</v>
      </c>
      <c r="C25" s="37">
        <v>2893</v>
      </c>
      <c r="D25" s="29">
        <f t="shared" si="7"/>
        <v>317455</v>
      </c>
      <c r="E25" s="47">
        <f>207448.59+72092.82+3893.82+471.34</f>
        <v>283906.57000000007</v>
      </c>
      <c r="F25" s="48">
        <f>1947.73+673.33+35.78</f>
        <v>2656.84</v>
      </c>
      <c r="G25" s="74">
        <f t="shared" si="8"/>
        <v>286563.4100000001</v>
      </c>
      <c r="H25" s="42">
        <f t="shared" si="2"/>
        <v>-30891.58999999991</v>
      </c>
      <c r="I25" s="43">
        <f t="shared" si="10"/>
        <v>0.9026898615551814</v>
      </c>
      <c r="J25" s="44">
        <v>303031</v>
      </c>
      <c r="K25" s="37">
        <v>2802</v>
      </c>
      <c r="L25" s="33">
        <f t="shared" si="9"/>
        <v>305833</v>
      </c>
      <c r="M25" s="42">
        <f t="shared" si="5"/>
        <v>19269.58999999991</v>
      </c>
      <c r="N25" s="46">
        <f t="shared" si="11"/>
        <v>1.0672437210319345</v>
      </c>
    </row>
    <row r="26" spans="1:14" ht="13.5" customHeight="1">
      <c r="A26" s="50" t="s">
        <v>34</v>
      </c>
      <c r="B26" s="36">
        <v>229119</v>
      </c>
      <c r="C26" s="37">
        <v>2153</v>
      </c>
      <c r="D26" s="29">
        <f t="shared" si="7"/>
        <v>231272</v>
      </c>
      <c r="E26" s="47">
        <v>207448.59</v>
      </c>
      <c r="F26" s="48">
        <v>1947.73</v>
      </c>
      <c r="G26" s="74">
        <f t="shared" si="8"/>
        <v>209396.32</v>
      </c>
      <c r="H26" s="42">
        <f t="shared" si="2"/>
        <v>-21875.679999999993</v>
      </c>
      <c r="I26" s="43">
        <f t="shared" si="10"/>
        <v>0.9054114635580616</v>
      </c>
      <c r="J26" s="47">
        <v>221387</v>
      </c>
      <c r="K26" s="48">
        <v>2045</v>
      </c>
      <c r="L26" s="33">
        <f t="shared" si="9"/>
        <v>223432</v>
      </c>
      <c r="M26" s="42">
        <f t="shared" si="5"/>
        <v>14035.679999999993</v>
      </c>
      <c r="N26" s="46">
        <f t="shared" si="11"/>
        <v>1.0670292582028185</v>
      </c>
    </row>
    <row r="27" spans="1:14" ht="13.5" customHeight="1">
      <c r="A27" s="75" t="s">
        <v>35</v>
      </c>
      <c r="B27" s="36">
        <v>224219</v>
      </c>
      <c r="C27" s="37">
        <v>2153</v>
      </c>
      <c r="D27" s="29">
        <f t="shared" si="7"/>
        <v>226372</v>
      </c>
      <c r="E27" s="36"/>
      <c r="F27" s="37"/>
      <c r="G27" s="29">
        <f t="shared" si="8"/>
        <v>0</v>
      </c>
      <c r="H27" s="42">
        <f t="shared" si="2"/>
        <v>-226372</v>
      </c>
      <c r="I27" s="43">
        <f t="shared" si="10"/>
        <v>0</v>
      </c>
      <c r="J27" s="44">
        <v>207787</v>
      </c>
      <c r="K27" s="37">
        <v>2045</v>
      </c>
      <c r="L27" s="33">
        <f t="shared" si="9"/>
        <v>209832</v>
      </c>
      <c r="M27" s="42">
        <f t="shared" si="5"/>
        <v>209832</v>
      </c>
      <c r="N27" s="46"/>
    </row>
    <row r="28" spans="1:14" ht="13.5" customHeight="1">
      <c r="A28" s="50" t="s">
        <v>36</v>
      </c>
      <c r="B28" s="36">
        <v>4900</v>
      </c>
      <c r="C28" s="37"/>
      <c r="D28" s="29">
        <f t="shared" si="7"/>
        <v>4900</v>
      </c>
      <c r="E28" s="36"/>
      <c r="F28" s="37"/>
      <c r="G28" s="29">
        <f t="shared" si="8"/>
        <v>0</v>
      </c>
      <c r="H28" s="42">
        <f t="shared" si="2"/>
        <v>-4900</v>
      </c>
      <c r="I28" s="43">
        <f t="shared" si="10"/>
        <v>0</v>
      </c>
      <c r="J28" s="44">
        <v>13600</v>
      </c>
      <c r="K28" s="37">
        <v>0</v>
      </c>
      <c r="L28" s="33">
        <f t="shared" si="9"/>
        <v>13600</v>
      </c>
      <c r="M28" s="42">
        <f t="shared" si="5"/>
        <v>13600</v>
      </c>
      <c r="N28" s="46"/>
    </row>
    <row r="29" spans="1:14" ht="13.5" customHeight="1">
      <c r="A29" s="50" t="s">
        <v>37</v>
      </c>
      <c r="B29" s="36">
        <v>85443</v>
      </c>
      <c r="C29" s="37">
        <v>740</v>
      </c>
      <c r="D29" s="29">
        <f t="shared" si="7"/>
        <v>86183</v>
      </c>
      <c r="E29" s="47">
        <f>72092.82+3893.82+471.34</f>
        <v>76457.98000000001</v>
      </c>
      <c r="F29" s="48">
        <f>673.33+35.78</f>
        <v>709.11</v>
      </c>
      <c r="G29" s="29">
        <f t="shared" si="8"/>
        <v>77167.09000000001</v>
      </c>
      <c r="H29" s="42">
        <f t="shared" si="2"/>
        <v>-9015.909999999989</v>
      </c>
      <c r="I29" s="43">
        <f t="shared" si="10"/>
        <v>0.8953864451225881</v>
      </c>
      <c r="J29" s="44">
        <v>81644</v>
      </c>
      <c r="K29" s="37">
        <v>757</v>
      </c>
      <c r="L29" s="33">
        <f t="shared" si="9"/>
        <v>82401</v>
      </c>
      <c r="M29" s="42">
        <f t="shared" si="5"/>
        <v>5233.909999999989</v>
      </c>
      <c r="N29" s="46">
        <f aca="true" t="shared" si="12" ref="N29:N35">+L29/G29</f>
        <v>1.06782567542718</v>
      </c>
    </row>
    <row r="30" spans="1:14" ht="13.5" customHeight="1">
      <c r="A30" s="75" t="s">
        <v>38</v>
      </c>
      <c r="B30" s="36">
        <v>46</v>
      </c>
      <c r="C30" s="37">
        <v>0</v>
      </c>
      <c r="D30" s="29">
        <f t="shared" si="7"/>
        <v>46</v>
      </c>
      <c r="E30" s="47">
        <v>7.14</v>
      </c>
      <c r="F30" s="48"/>
      <c r="G30" s="29">
        <f t="shared" si="8"/>
        <v>7.14</v>
      </c>
      <c r="H30" s="42">
        <f t="shared" si="2"/>
        <v>-38.86</v>
      </c>
      <c r="I30" s="43">
        <f t="shared" si="10"/>
        <v>0.1552173913043478</v>
      </c>
      <c r="J30" s="44">
        <v>7</v>
      </c>
      <c r="K30" s="37">
        <v>0</v>
      </c>
      <c r="L30" s="33">
        <f t="shared" si="9"/>
        <v>7</v>
      </c>
      <c r="M30" s="42">
        <f t="shared" si="5"/>
        <v>-0.13999999999999968</v>
      </c>
      <c r="N30" s="46">
        <f t="shared" si="12"/>
        <v>0.9803921568627452</v>
      </c>
    </row>
    <row r="31" spans="1:14" ht="13.5" customHeight="1">
      <c r="A31" s="75" t="s">
        <v>39</v>
      </c>
      <c r="B31" s="36">
        <v>1616</v>
      </c>
      <c r="C31" s="37">
        <v>1542</v>
      </c>
      <c r="D31" s="29">
        <f t="shared" si="7"/>
        <v>3158</v>
      </c>
      <c r="E31" s="47">
        <f>1488.54+32.92+1.76+1.25+2462.66+29.92</f>
        <v>4017.05</v>
      </c>
      <c r="F31" s="48">
        <f>155.18+3.32</f>
        <v>158.5</v>
      </c>
      <c r="G31" s="29">
        <f t="shared" si="8"/>
        <v>4175.55</v>
      </c>
      <c r="H31" s="42">
        <f t="shared" si="2"/>
        <v>1017.5500000000002</v>
      </c>
      <c r="I31" s="43">
        <f t="shared" si="10"/>
        <v>1.322213426219126</v>
      </c>
      <c r="J31" s="44">
        <v>4050</v>
      </c>
      <c r="K31" s="37">
        <v>150</v>
      </c>
      <c r="L31" s="33">
        <f t="shared" si="9"/>
        <v>4200</v>
      </c>
      <c r="M31" s="42">
        <f t="shared" si="5"/>
        <v>24.449999999999818</v>
      </c>
      <c r="N31" s="46">
        <f t="shared" si="12"/>
        <v>1.005855516039803</v>
      </c>
    </row>
    <row r="32" spans="1:14" ht="13.5" customHeight="1">
      <c r="A32" s="50" t="s">
        <v>40</v>
      </c>
      <c r="B32" s="36">
        <v>7600</v>
      </c>
      <c r="C32" s="37">
        <v>5</v>
      </c>
      <c r="D32" s="29">
        <f t="shared" si="7"/>
        <v>7605</v>
      </c>
      <c r="E32" s="47">
        <f>6712.75+3585.22</f>
        <v>10297.97</v>
      </c>
      <c r="F32" s="48">
        <v>8.32</v>
      </c>
      <c r="G32" s="29">
        <f t="shared" si="8"/>
        <v>10306.289999999999</v>
      </c>
      <c r="H32" s="42">
        <f t="shared" si="2"/>
        <v>2701.289999999999</v>
      </c>
      <c r="I32" s="43">
        <f t="shared" si="10"/>
        <v>1.3551992110453648</v>
      </c>
      <c r="J32" s="47">
        <v>3728</v>
      </c>
      <c r="K32" s="37">
        <v>0</v>
      </c>
      <c r="L32" s="33">
        <f t="shared" si="9"/>
        <v>3728</v>
      </c>
      <c r="M32" s="42">
        <f t="shared" si="5"/>
        <v>-6578.289999999999</v>
      </c>
      <c r="N32" s="46">
        <f t="shared" si="12"/>
        <v>0.36172085202337606</v>
      </c>
    </row>
    <row r="33" spans="1:14" ht="17.25" customHeight="1">
      <c r="A33" s="50" t="s">
        <v>41</v>
      </c>
      <c r="B33" s="36">
        <v>2844</v>
      </c>
      <c r="C33" s="37">
        <v>0</v>
      </c>
      <c r="D33" s="29">
        <f t="shared" si="7"/>
        <v>2844</v>
      </c>
      <c r="E33" s="47">
        <v>6712.75</v>
      </c>
      <c r="F33" s="48"/>
      <c r="G33" s="29">
        <f t="shared" si="8"/>
        <v>6712.75</v>
      </c>
      <c r="H33" s="42">
        <f t="shared" si="2"/>
        <v>3868.75</v>
      </c>
      <c r="I33" s="43">
        <f t="shared" si="10"/>
        <v>2.360319971870605</v>
      </c>
      <c r="J33" s="47">
        <v>3728</v>
      </c>
      <c r="K33" s="37">
        <v>0</v>
      </c>
      <c r="L33" s="33">
        <f t="shared" si="9"/>
        <v>3728</v>
      </c>
      <c r="M33" s="42">
        <f t="shared" si="5"/>
        <v>-2984.75</v>
      </c>
      <c r="N33" s="46">
        <f t="shared" si="12"/>
        <v>0.5553610666269413</v>
      </c>
    </row>
    <row r="34" spans="1:14" ht="13.5" customHeight="1" thickBot="1">
      <c r="A34" s="76" t="s">
        <v>42</v>
      </c>
      <c r="B34" s="52">
        <v>0</v>
      </c>
      <c r="C34" s="53">
        <v>855</v>
      </c>
      <c r="D34" s="29">
        <f t="shared" si="7"/>
        <v>855</v>
      </c>
      <c r="E34" s="54">
        <v>749.76</v>
      </c>
      <c r="F34" s="55"/>
      <c r="G34" s="29">
        <f t="shared" si="8"/>
        <v>749.76</v>
      </c>
      <c r="H34" s="57">
        <f t="shared" si="2"/>
        <v>-105.24000000000001</v>
      </c>
      <c r="I34" s="58">
        <f t="shared" si="10"/>
        <v>0.8769122807017544</v>
      </c>
      <c r="J34" s="77">
        <v>0</v>
      </c>
      <c r="K34" s="53">
        <v>850</v>
      </c>
      <c r="L34" s="33">
        <f t="shared" si="9"/>
        <v>850</v>
      </c>
      <c r="M34" s="57">
        <f t="shared" si="5"/>
        <v>100.24000000000001</v>
      </c>
      <c r="N34" s="59">
        <f t="shared" si="12"/>
        <v>1.1336961160904824</v>
      </c>
    </row>
    <row r="35" spans="1:14" ht="13.5" customHeight="1" thickBot="1">
      <c r="A35" s="60" t="s">
        <v>43</v>
      </c>
      <c r="B35" s="61">
        <f>SUM(B17+B19+B20+B21+B22+B25+B30+B31+B32+B34)</f>
        <v>514037</v>
      </c>
      <c r="C35" s="62">
        <f>SUM(C17+C19+C20+C21+C22+C25+C30+C31+C32+C34)</f>
        <v>53553</v>
      </c>
      <c r="D35" s="63">
        <v>567589</v>
      </c>
      <c r="E35" s="61">
        <f>SUM(E17+E19+E20+E21+E22+E25+E30+E31+E32+E34)</f>
        <v>492907.93000000005</v>
      </c>
      <c r="F35" s="62">
        <f>SUM(F17+F19+F20+F21+F22+F25+F30+F31+F32+F34)</f>
        <v>55288.46</v>
      </c>
      <c r="G35" s="63">
        <f>SUM(G17+G19+G20+G21+G22+G25+G30+G31+G32+G34)</f>
        <v>548196.3900000002</v>
      </c>
      <c r="H35" s="64">
        <f t="shared" si="2"/>
        <v>-19392.609999999753</v>
      </c>
      <c r="I35" s="65">
        <f t="shared" si="10"/>
        <v>0.9658333582927087</v>
      </c>
      <c r="J35" s="66">
        <f>SUM(J17+J19+J20+J21+J22+J25+J30+J31+J32+J34)</f>
        <v>511016</v>
      </c>
      <c r="K35" s="62">
        <f>SUM(K17+K19+K20+K21+K22+K25+K30+K31+K32+K34)</f>
        <v>52662</v>
      </c>
      <c r="L35" s="63">
        <f>SUM(L17+L19+L20+L21+L22+L25+L30+L31+L32+L34)</f>
        <v>563678</v>
      </c>
      <c r="M35" s="64">
        <f t="shared" si="5"/>
        <v>15481.609999999753</v>
      </c>
      <c r="N35" s="67">
        <f t="shared" si="12"/>
        <v>1.0282409922473217</v>
      </c>
    </row>
    <row r="36" spans="1:14" ht="13.5" customHeight="1" thickBot="1">
      <c r="A36" s="60" t="s">
        <v>44</v>
      </c>
      <c r="B36" s="782">
        <f>+D16-D35</f>
        <v>-50784</v>
      </c>
      <c r="C36" s="783"/>
      <c r="D36" s="784">
        <v>-50784</v>
      </c>
      <c r="E36" s="782">
        <f>+G16-G35</f>
        <v>-491.34000000020023</v>
      </c>
      <c r="F36" s="783"/>
      <c r="G36" s="784">
        <v>-50784</v>
      </c>
      <c r="H36" s="78">
        <f>+E36-B36</f>
        <v>50292.6599999998</v>
      </c>
      <c r="I36" s="79"/>
      <c r="J36" s="782">
        <f>+L16-L35</f>
        <v>0</v>
      </c>
      <c r="K36" s="783"/>
      <c r="L36" s="783">
        <v>0</v>
      </c>
      <c r="M36" s="64"/>
      <c r="N36" s="67"/>
    </row>
    <row r="37" spans="1:16" ht="20.25" customHeight="1" thickBot="1">
      <c r="A37" s="80" t="s">
        <v>45</v>
      </c>
      <c r="B37" s="782">
        <v>-285584.43</v>
      </c>
      <c r="C37" s="783"/>
      <c r="D37" s="784"/>
      <c r="E37" s="787">
        <v>-325173.09</v>
      </c>
      <c r="F37" s="788"/>
      <c r="G37" s="789"/>
      <c r="H37"/>
      <c r="I37"/>
      <c r="J37"/>
      <c r="K37"/>
      <c r="L37"/>
      <c r="M37"/>
      <c r="N37"/>
      <c r="O37"/>
      <c r="P37"/>
    </row>
    <row r="38" spans="1:16" ht="19.5" customHeight="1" thickBot="1">
      <c r="A38" s="81" t="s">
        <v>46</v>
      </c>
      <c r="B38" s="790">
        <f>+B37+B36</f>
        <v>-336368.43</v>
      </c>
      <c r="C38" s="791"/>
      <c r="D38" s="791"/>
      <c r="E38" s="782">
        <f>+E36+E37</f>
        <v>-325664.4300000002</v>
      </c>
      <c r="F38" s="783"/>
      <c r="G38" s="784"/>
      <c r="H38"/>
      <c r="I38" s="82"/>
      <c r="J38"/>
      <c r="K38"/>
      <c r="L38"/>
      <c r="M38"/>
      <c r="N38"/>
      <c r="O38"/>
      <c r="P38"/>
    </row>
    <row r="39" spans="2:8" ht="13.5" thickBot="1">
      <c r="B39" s="1"/>
      <c r="C39" s="1"/>
      <c r="D39" s="83"/>
      <c r="E39" s="1"/>
      <c r="F39" s="1"/>
      <c r="G39" s="1"/>
      <c r="H39" s="1"/>
    </row>
    <row r="40" spans="1:34" s="85" customFormat="1" ht="17.25" customHeight="1" thickBot="1">
      <c r="A40" s="748" t="s">
        <v>47</v>
      </c>
      <c r="B40" s="780"/>
      <c r="C40" s="780"/>
      <c r="D40" s="780"/>
      <c r="E40" s="780"/>
      <c r="F40" s="780"/>
      <c r="G40" s="780"/>
      <c r="H40" s="780"/>
      <c r="I40" s="781"/>
      <c r="J40" s="84"/>
      <c r="K40" s="716" t="s">
        <v>48</v>
      </c>
      <c r="L40" s="785"/>
      <c r="M40" s="785"/>
      <c r="N40" s="7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0" s="85" customFormat="1" ht="18" customHeight="1">
      <c r="A41" s="797" t="s">
        <v>49</v>
      </c>
      <c r="B41" s="799" t="s">
        <v>439</v>
      </c>
      <c r="C41" s="799"/>
      <c r="D41" s="799"/>
      <c r="E41" s="800"/>
      <c r="F41" s="801" t="s">
        <v>440</v>
      </c>
      <c r="G41" s="799"/>
      <c r="H41" s="799"/>
      <c r="I41" s="800"/>
      <c r="K41" s="87" t="s">
        <v>51</v>
      </c>
      <c r="L41" s="88" t="s">
        <v>52</v>
      </c>
      <c r="M41" s="89" t="s">
        <v>53</v>
      </c>
      <c r="N41" s="90" t="s">
        <v>54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20.25" customHeight="1" thickBot="1">
      <c r="A42" s="798"/>
      <c r="B42" s="91">
        <v>2004</v>
      </c>
      <c r="C42" s="92">
        <v>2005</v>
      </c>
      <c r="D42" s="93" t="s">
        <v>13</v>
      </c>
      <c r="E42" s="94" t="s">
        <v>55</v>
      </c>
      <c r="F42" s="95">
        <v>2004</v>
      </c>
      <c r="G42" s="92">
        <v>2005</v>
      </c>
      <c r="H42" s="93" t="s">
        <v>13</v>
      </c>
      <c r="I42" s="94" t="s">
        <v>55</v>
      </c>
      <c r="J42" s="96"/>
      <c r="K42" s="97">
        <v>2004</v>
      </c>
      <c r="L42" s="98">
        <f>+F44+B44</f>
        <v>28100000</v>
      </c>
      <c r="M42" s="99">
        <v>20500000</v>
      </c>
      <c r="N42" s="100">
        <v>7600000</v>
      </c>
      <c r="O4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85" customFormat="1" ht="23.25" customHeight="1">
      <c r="A43" s="101" t="s">
        <v>435</v>
      </c>
      <c r="B43" s="102">
        <v>1627000</v>
      </c>
      <c r="C43" s="103">
        <v>1469000</v>
      </c>
      <c r="D43" s="73">
        <f aca="true" t="shared" si="13" ref="D43:D51">+C43-B43</f>
        <v>-158000</v>
      </c>
      <c r="E43" s="104">
        <f>+C43/B43</f>
        <v>0.9028887523048555</v>
      </c>
      <c r="F43" s="105"/>
      <c r="G43" s="106"/>
      <c r="H43" s="73">
        <f aca="true" t="shared" si="14" ref="H43:H51">+G43-F43</f>
        <v>0</v>
      </c>
      <c r="I43" s="104"/>
      <c r="K43" s="97">
        <v>2005</v>
      </c>
      <c r="L43" s="106">
        <f>+G44+C44</f>
        <v>34600000</v>
      </c>
      <c r="M43" s="106">
        <v>26400000</v>
      </c>
      <c r="N43" s="107">
        <v>8200000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s="85" customFormat="1" ht="23.25" customHeight="1" thickBot="1">
      <c r="A44" s="558" t="s">
        <v>437</v>
      </c>
      <c r="B44" s="109">
        <v>13159000</v>
      </c>
      <c r="C44" s="103">
        <f>34600000-G44</f>
        <v>25100000</v>
      </c>
      <c r="D44" s="110">
        <f t="shared" si="13"/>
        <v>11941000</v>
      </c>
      <c r="E44" s="104">
        <f>+C44/B44</f>
        <v>1.907439775058895</v>
      </c>
      <c r="F44" s="105">
        <v>14941000</v>
      </c>
      <c r="G44" s="106">
        <v>9500000</v>
      </c>
      <c r="H44" s="110">
        <f t="shared" si="14"/>
        <v>-5441000</v>
      </c>
      <c r="I44" s="111">
        <f>+G44/F44</f>
        <v>0.6358342815072618</v>
      </c>
      <c r="K44" s="112" t="s">
        <v>56</v>
      </c>
      <c r="L44" s="113">
        <f>+L43-L42</f>
        <v>6500000</v>
      </c>
      <c r="M44" s="114">
        <f>+M43-M42</f>
        <v>5900000</v>
      </c>
      <c r="N44" s="115">
        <f>+N43-N42</f>
        <v>600000</v>
      </c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s="85" customFormat="1" ht="23.25" customHeight="1">
      <c r="A45" s="108" t="s">
        <v>436</v>
      </c>
      <c r="B45" s="109">
        <v>201935.4</v>
      </c>
      <c r="C45" s="103">
        <v>105000</v>
      </c>
      <c r="D45" s="37">
        <f t="shared" si="13"/>
        <v>-96935.4</v>
      </c>
      <c r="E45" s="111"/>
      <c r="F45" s="105">
        <v>244663.6</v>
      </c>
      <c r="G45" s="106"/>
      <c r="H45" s="37">
        <f t="shared" si="14"/>
        <v>-244663.6</v>
      </c>
      <c r="I45" s="111">
        <f>+G45/F45</f>
        <v>0</v>
      </c>
      <c r="J45"/>
      <c r="K45" s="802" t="s">
        <v>434</v>
      </c>
      <c r="L45" s="803"/>
      <c r="M45" s="803"/>
      <c r="N45" s="804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4" s="85" customFormat="1" ht="23.25" customHeight="1">
      <c r="A46" s="108" t="s">
        <v>438</v>
      </c>
      <c r="B46" s="109">
        <v>108545.5</v>
      </c>
      <c r="C46" s="103">
        <v>141535</v>
      </c>
      <c r="D46" s="37">
        <f t="shared" si="13"/>
        <v>32989.5</v>
      </c>
      <c r="E46" s="111"/>
      <c r="F46" s="105"/>
      <c r="G46" s="106"/>
      <c r="H46" s="37">
        <f t="shared" si="14"/>
        <v>0</v>
      </c>
      <c r="I46" s="111"/>
      <c r="J46"/>
      <c r="K46" s="805">
        <v>2004</v>
      </c>
      <c r="L46" s="806"/>
      <c r="M46" s="806"/>
      <c r="N46" s="807"/>
      <c r="O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1:34" s="85" customFormat="1" ht="23.25" customHeight="1">
      <c r="A47" s="108" t="s">
        <v>57</v>
      </c>
      <c r="B47" s="116">
        <v>1650000</v>
      </c>
      <c r="C47" s="103"/>
      <c r="D47" s="37">
        <f t="shared" si="13"/>
        <v>-1650000</v>
      </c>
      <c r="E47" s="111"/>
      <c r="F47" s="117">
        <v>18409999.99</v>
      </c>
      <c r="G47" s="118"/>
      <c r="H47" s="37">
        <f t="shared" si="14"/>
        <v>-18409999.99</v>
      </c>
      <c r="I47" s="111"/>
      <c r="J47"/>
      <c r="K47" s="119" t="s">
        <v>58</v>
      </c>
      <c r="L47" s="120" t="s">
        <v>59</v>
      </c>
      <c r="M47" s="121" t="s">
        <v>60</v>
      </c>
      <c r="N47" s="122" t="s">
        <v>61</v>
      </c>
      <c r="O47" s="86"/>
      <c r="P47"/>
      <c r="Q47"/>
      <c r="R47"/>
      <c r="S47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1:34" s="85" customFormat="1" ht="23.25" customHeight="1" thickBot="1">
      <c r="A48" s="108" t="s">
        <v>62</v>
      </c>
      <c r="B48" s="109">
        <v>23000</v>
      </c>
      <c r="C48" s="103"/>
      <c r="D48" s="37">
        <f t="shared" si="13"/>
        <v>-23000</v>
      </c>
      <c r="E48" s="111"/>
      <c r="F48" s="105"/>
      <c r="G48" s="106"/>
      <c r="H48" s="37">
        <f t="shared" si="14"/>
        <v>0</v>
      </c>
      <c r="I48" s="111"/>
      <c r="J48"/>
      <c r="K48" s="123">
        <f>+F44/L42</f>
        <v>0.5317081850533808</v>
      </c>
      <c r="L48" s="124">
        <f>(23977466-1995000-16415000-136-244663)/L42</f>
        <v>0.18941875444839856</v>
      </c>
      <c r="M48" s="125">
        <f>9619233/L42</f>
        <v>0.3423214590747331</v>
      </c>
      <c r="N48" s="126">
        <f>+B44/L42</f>
        <v>0.4682918149466192</v>
      </c>
      <c r="O48" s="86"/>
      <c r="P48"/>
      <c r="Q48"/>
      <c r="R48"/>
      <c r="S48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1:34" s="85" customFormat="1" ht="23.25" customHeight="1">
      <c r="A49" s="127" t="s">
        <v>63</v>
      </c>
      <c r="B49" s="109"/>
      <c r="C49" s="103"/>
      <c r="D49" s="37">
        <f t="shared" si="13"/>
        <v>0</v>
      </c>
      <c r="E49" s="111"/>
      <c r="F49" s="105"/>
      <c r="G49" s="106">
        <v>18471000</v>
      </c>
      <c r="H49" s="37">
        <f t="shared" si="14"/>
        <v>18471000</v>
      </c>
      <c r="I49" s="111"/>
      <c r="J49"/>
      <c r="K49" s="767">
        <v>2005</v>
      </c>
      <c r="L49" s="768"/>
      <c r="M49" s="768"/>
      <c r="N49" s="769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1:34" s="85" customFormat="1" ht="20.25" customHeight="1" thickBot="1">
      <c r="A50" s="128"/>
      <c r="B50" s="109"/>
      <c r="C50" s="103"/>
      <c r="D50" s="37">
        <f t="shared" si="13"/>
        <v>0</v>
      </c>
      <c r="E50" s="111"/>
      <c r="F50" s="105"/>
      <c r="G50" s="129"/>
      <c r="H50" s="37">
        <f t="shared" si="14"/>
        <v>0</v>
      </c>
      <c r="I50" s="111"/>
      <c r="J50"/>
      <c r="K50" s="119" t="s">
        <v>52</v>
      </c>
      <c r="L50" s="120" t="s">
        <v>59</v>
      </c>
      <c r="M50" s="121" t="s">
        <v>60</v>
      </c>
      <c r="N50" s="122" t="s">
        <v>61</v>
      </c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s="85" customFormat="1" ht="18.75" customHeight="1" thickBot="1">
      <c r="A51" s="130" t="s">
        <v>64</v>
      </c>
      <c r="B51" s="131">
        <f>SUM(B43:B50)</f>
        <v>16769480.9</v>
      </c>
      <c r="C51" s="132">
        <f>SUM(C43:C50)</f>
        <v>26815535</v>
      </c>
      <c r="D51" s="133">
        <f t="shared" si="13"/>
        <v>10046054.1</v>
      </c>
      <c r="E51" s="134">
        <f>+C51/B51</f>
        <v>1.5990676849156373</v>
      </c>
      <c r="F51" s="66">
        <f>SUM(F43:F50)</f>
        <v>33595663.589999996</v>
      </c>
      <c r="G51" s="132">
        <f>SUM(G43:G50)</f>
        <v>27971000</v>
      </c>
      <c r="H51" s="133">
        <f t="shared" si="14"/>
        <v>-5624663.589999996</v>
      </c>
      <c r="I51" s="134">
        <f>+G51/F51</f>
        <v>0.8325776904232897</v>
      </c>
      <c r="K51" s="123">
        <f>+G44/L43</f>
        <v>0.2745664739884393</v>
      </c>
      <c r="L51" s="124">
        <f>+E74/L43</f>
        <v>0.16184971098265896</v>
      </c>
      <c r="M51" s="125">
        <f>+E60/L43</f>
        <v>0.11271676300578035</v>
      </c>
      <c r="N51" s="126">
        <f>+C44/L43</f>
        <v>0.7254335260115607</v>
      </c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1:16" ht="2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3.5" thickBot="1">
      <c r="A53"/>
      <c r="B53"/>
      <c r="C53"/>
      <c r="D53"/>
      <c r="E53"/>
      <c r="F53" s="135"/>
      <c r="G53"/>
      <c r="H53"/>
      <c r="I53"/>
      <c r="J53"/>
      <c r="K53"/>
      <c r="L53"/>
      <c r="M53"/>
      <c r="N53"/>
      <c r="O53"/>
      <c r="P53"/>
    </row>
    <row r="54" spans="1:22" ht="33" customHeight="1">
      <c r="A54" s="661" t="s">
        <v>449</v>
      </c>
      <c r="B54" s="662"/>
      <c r="C54" s="772" t="s">
        <v>65</v>
      </c>
      <c r="D54" s="772"/>
      <c r="E54" s="772" t="s">
        <v>66</v>
      </c>
      <c r="F54" s="730"/>
      <c r="G54" s="730" t="s">
        <v>67</v>
      </c>
      <c r="H54" s="731"/>
      <c r="I54" s="776"/>
      <c r="J54" s="777"/>
      <c r="K54" s="730" t="s">
        <v>63</v>
      </c>
      <c r="L54" s="731"/>
      <c r="M54" s="732" t="s">
        <v>68</v>
      </c>
      <c r="N54" s="733"/>
      <c r="Q54" s="1"/>
      <c r="R54" s="1"/>
      <c r="S54" s="1"/>
      <c r="T54" s="1"/>
      <c r="U54" s="1"/>
      <c r="V54" s="1"/>
    </row>
    <row r="55" spans="1:22" ht="26.25" customHeight="1" thickBot="1">
      <c r="A55" s="663"/>
      <c r="B55" s="656"/>
      <c r="C55" s="808" t="s">
        <v>69</v>
      </c>
      <c r="D55" s="735"/>
      <c r="E55" s="735" t="s">
        <v>70</v>
      </c>
      <c r="F55" s="736"/>
      <c r="G55" s="792" t="s">
        <v>71</v>
      </c>
      <c r="H55" s="792"/>
      <c r="I55" s="735" t="s">
        <v>72</v>
      </c>
      <c r="J55" s="735"/>
      <c r="K55" s="735" t="s">
        <v>73</v>
      </c>
      <c r="L55" s="736"/>
      <c r="M55" s="737" t="s">
        <v>74</v>
      </c>
      <c r="N55" s="738"/>
      <c r="Q55" s="1"/>
      <c r="R55" s="1"/>
      <c r="S55" s="1"/>
      <c r="T55" s="1"/>
      <c r="U55" s="1"/>
      <c r="V55" s="1"/>
    </row>
    <row r="56" spans="1:14" s="141" customFormat="1" ht="20.25" customHeight="1">
      <c r="A56" s="666" t="s">
        <v>75</v>
      </c>
      <c r="B56" s="667"/>
      <c r="C56" s="706"/>
      <c r="D56" s="706"/>
      <c r="E56" s="706">
        <v>1800000</v>
      </c>
      <c r="F56" s="706"/>
      <c r="G56" s="706"/>
      <c r="H56" s="706"/>
      <c r="I56" s="706"/>
      <c r="J56" s="706"/>
      <c r="K56" s="706"/>
      <c r="L56" s="707"/>
      <c r="M56" s="708">
        <f>SUM(C56:K56)</f>
        <v>1800000</v>
      </c>
      <c r="N56" s="709"/>
    </row>
    <row r="57" spans="1:14" s="141" customFormat="1" ht="14.25" customHeight="1">
      <c r="A57" s="666" t="s">
        <v>76</v>
      </c>
      <c r="B57" s="667"/>
      <c r="C57" s="765"/>
      <c r="D57" s="765"/>
      <c r="E57" s="765">
        <v>1500000</v>
      </c>
      <c r="F57" s="765"/>
      <c r="G57" s="765"/>
      <c r="H57" s="765"/>
      <c r="I57" s="765"/>
      <c r="J57" s="765"/>
      <c r="K57" s="765"/>
      <c r="L57" s="766"/>
      <c r="M57" s="746">
        <f>SUM(C57:K57)</f>
        <v>1500000</v>
      </c>
      <c r="N57" s="747"/>
    </row>
    <row r="58" spans="1:14" s="141" customFormat="1" ht="14.25" customHeight="1">
      <c r="A58" s="666" t="s">
        <v>77</v>
      </c>
      <c r="B58" s="667"/>
      <c r="C58" s="765"/>
      <c r="D58" s="765"/>
      <c r="E58" s="765">
        <v>500000</v>
      </c>
      <c r="F58" s="765"/>
      <c r="G58" s="765"/>
      <c r="H58" s="765"/>
      <c r="I58" s="765"/>
      <c r="J58" s="765"/>
      <c r="K58" s="765"/>
      <c r="L58" s="766"/>
      <c r="M58" s="746">
        <f>SUM(C58:K58)</f>
        <v>500000</v>
      </c>
      <c r="N58" s="747"/>
    </row>
    <row r="59" spans="1:14" s="141" customFormat="1" ht="14.25" customHeight="1" thickBot="1">
      <c r="A59" s="666" t="s">
        <v>78</v>
      </c>
      <c r="B59" s="667"/>
      <c r="C59" s="765"/>
      <c r="D59" s="765"/>
      <c r="E59" s="765">
        <v>100000</v>
      </c>
      <c r="F59" s="765"/>
      <c r="G59" s="765"/>
      <c r="H59" s="765"/>
      <c r="I59" s="765"/>
      <c r="J59" s="765"/>
      <c r="K59" s="765"/>
      <c r="L59" s="766"/>
      <c r="M59" s="746">
        <f>SUM(C59:K59)</f>
        <v>100000</v>
      </c>
      <c r="N59" s="747"/>
    </row>
    <row r="60" spans="1:14" s="141" customFormat="1" ht="18.75" customHeight="1" thickBot="1">
      <c r="A60" s="664" t="s">
        <v>79</v>
      </c>
      <c r="B60" s="665"/>
      <c r="C60" s="726">
        <f>SUM(C56:C59)</f>
        <v>0</v>
      </c>
      <c r="D60" s="726"/>
      <c r="E60" s="726">
        <f>+E56+E57+E58+E59</f>
        <v>3900000</v>
      </c>
      <c r="F60" s="726"/>
      <c r="G60" s="726">
        <f>SUM(G56:G59)</f>
        <v>0</v>
      </c>
      <c r="H60" s="726"/>
      <c r="I60" s="726">
        <f>SUM(I56:I59)</f>
        <v>0</v>
      </c>
      <c r="J60" s="726"/>
      <c r="K60" s="726">
        <f>SUM(K56:K59)</f>
        <v>0</v>
      </c>
      <c r="L60" s="727"/>
      <c r="M60" s="728">
        <f>SUM(M56:M59)</f>
        <v>3900000</v>
      </c>
      <c r="N60" s="729"/>
    </row>
    <row r="61" spans="1:16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22" ht="33.75" customHeight="1">
      <c r="A62" s="661" t="s">
        <v>450</v>
      </c>
      <c r="B62" s="662"/>
      <c r="C62" s="809" t="s">
        <v>65</v>
      </c>
      <c r="D62" s="772"/>
      <c r="E62" s="772" t="s">
        <v>66</v>
      </c>
      <c r="F62" s="730"/>
      <c r="G62" s="730" t="s">
        <v>67</v>
      </c>
      <c r="H62" s="731"/>
      <c r="I62" s="776" t="s">
        <v>80</v>
      </c>
      <c r="J62" s="777"/>
      <c r="K62" s="730" t="s">
        <v>63</v>
      </c>
      <c r="L62" s="731"/>
      <c r="M62" s="732" t="s">
        <v>81</v>
      </c>
      <c r="N62" s="733"/>
      <c r="Q62" s="1"/>
      <c r="R62" s="1"/>
      <c r="S62" s="1"/>
      <c r="T62" s="1"/>
      <c r="U62" s="1"/>
      <c r="V62" s="1"/>
    </row>
    <row r="63" spans="1:22" ht="26.25" customHeight="1" thickBot="1">
      <c r="A63" s="663" t="s">
        <v>82</v>
      </c>
      <c r="B63" s="656"/>
      <c r="C63" s="808" t="s">
        <v>69</v>
      </c>
      <c r="D63" s="735"/>
      <c r="E63" s="735" t="s">
        <v>70</v>
      </c>
      <c r="F63" s="736"/>
      <c r="G63" s="734" t="s">
        <v>83</v>
      </c>
      <c r="H63" s="735"/>
      <c r="I63" s="735" t="s">
        <v>72</v>
      </c>
      <c r="J63" s="735"/>
      <c r="K63" s="735" t="s">
        <v>73</v>
      </c>
      <c r="L63" s="736"/>
      <c r="M63" s="737" t="s">
        <v>74</v>
      </c>
      <c r="N63" s="738"/>
      <c r="Q63" s="1"/>
      <c r="R63" s="1"/>
      <c r="S63" s="1"/>
      <c r="T63" s="1"/>
      <c r="U63" s="1"/>
      <c r="V63" s="1"/>
    </row>
    <row r="64" spans="1:14" s="141" customFormat="1" ht="16.5" customHeight="1">
      <c r="A64" s="666" t="s">
        <v>84</v>
      </c>
      <c r="B64" s="667"/>
      <c r="C64" s="725"/>
      <c r="D64" s="706"/>
      <c r="E64" s="706"/>
      <c r="F64" s="706"/>
      <c r="G64" s="706"/>
      <c r="H64" s="706"/>
      <c r="I64" s="706"/>
      <c r="J64" s="706"/>
      <c r="K64" s="706">
        <v>6800000</v>
      </c>
      <c r="L64" s="707">
        <v>6800</v>
      </c>
      <c r="M64" s="708">
        <f>+C64+E64+G64+I64+K64</f>
        <v>6800000</v>
      </c>
      <c r="N64" s="709"/>
    </row>
    <row r="65" spans="1:14" s="141" customFormat="1" ht="14.25" customHeight="1">
      <c r="A65" s="669" t="s">
        <v>85</v>
      </c>
      <c r="B65" s="670"/>
      <c r="C65" s="725"/>
      <c r="D65" s="706"/>
      <c r="E65" s="706">
        <v>2400000</v>
      </c>
      <c r="F65" s="706"/>
      <c r="G65" s="706"/>
      <c r="H65" s="706"/>
      <c r="I65" s="706"/>
      <c r="J65" s="706"/>
      <c r="K65" s="706">
        <v>0</v>
      </c>
      <c r="L65" s="707">
        <v>0</v>
      </c>
      <c r="M65" s="708">
        <f>SUM(C65:L65)</f>
        <v>2400000</v>
      </c>
      <c r="N65" s="709"/>
    </row>
    <row r="66" spans="1:14" s="141" customFormat="1" ht="15.75" customHeight="1">
      <c r="A66" s="669" t="s">
        <v>86</v>
      </c>
      <c r="B66" s="670"/>
      <c r="C66" s="725"/>
      <c r="D66" s="706"/>
      <c r="E66" s="706"/>
      <c r="F66" s="706"/>
      <c r="G66" s="706"/>
      <c r="H66" s="706"/>
      <c r="I66" s="706"/>
      <c r="J66" s="706"/>
      <c r="K66" s="706">
        <v>7500000</v>
      </c>
      <c r="L66" s="707">
        <v>7500</v>
      </c>
      <c r="M66" s="708">
        <f>+C66+E66+G66+I66+K66</f>
        <v>7500000</v>
      </c>
      <c r="N66" s="709"/>
    </row>
    <row r="67" spans="1:14" s="141" customFormat="1" ht="14.25" customHeight="1">
      <c r="A67" s="669" t="s">
        <v>87</v>
      </c>
      <c r="B67" s="670"/>
      <c r="C67" s="725"/>
      <c r="D67" s="706"/>
      <c r="E67" s="706"/>
      <c r="F67" s="706"/>
      <c r="G67" s="706"/>
      <c r="H67" s="706"/>
      <c r="I67" s="706"/>
      <c r="J67" s="706"/>
      <c r="K67" s="706">
        <v>600000</v>
      </c>
      <c r="L67" s="707">
        <v>600</v>
      </c>
      <c r="M67" s="708">
        <f>+C67+E67+G67+I67+K67</f>
        <v>600000</v>
      </c>
      <c r="N67" s="709"/>
    </row>
    <row r="68" spans="1:14" s="141" customFormat="1" ht="19.5" customHeight="1">
      <c r="A68" s="669" t="s">
        <v>88</v>
      </c>
      <c r="B68" s="670"/>
      <c r="C68" s="725"/>
      <c r="D68" s="706"/>
      <c r="E68" s="706"/>
      <c r="F68" s="706"/>
      <c r="G68" s="706"/>
      <c r="H68" s="706"/>
      <c r="I68" s="706"/>
      <c r="J68" s="706"/>
      <c r="K68" s="706">
        <v>2700000</v>
      </c>
      <c r="L68" s="707">
        <v>2700</v>
      </c>
      <c r="M68" s="708">
        <f>+C68+E68+G68+I68+K68</f>
        <v>2700000</v>
      </c>
      <c r="N68" s="709"/>
    </row>
    <row r="69" spans="1:14" s="141" customFormat="1" ht="20.25" customHeight="1">
      <c r="A69" s="669" t="s">
        <v>89</v>
      </c>
      <c r="B69" s="670"/>
      <c r="C69" s="725"/>
      <c r="D69" s="706"/>
      <c r="E69" s="706"/>
      <c r="F69" s="706"/>
      <c r="G69" s="706"/>
      <c r="H69" s="706"/>
      <c r="I69" s="706"/>
      <c r="J69" s="706"/>
      <c r="K69" s="706">
        <v>871000</v>
      </c>
      <c r="L69" s="707"/>
      <c r="M69" s="708">
        <f>SUM(C69:L69)</f>
        <v>871000</v>
      </c>
      <c r="N69" s="709"/>
    </row>
    <row r="70" spans="1:14" s="141" customFormat="1" ht="16.5" customHeight="1">
      <c r="A70" s="669" t="s">
        <v>90</v>
      </c>
      <c r="B70" s="670"/>
      <c r="C70" s="725"/>
      <c r="D70" s="706"/>
      <c r="E70" s="706">
        <v>500000</v>
      </c>
      <c r="F70" s="706"/>
      <c r="G70" s="706"/>
      <c r="H70" s="706"/>
      <c r="I70" s="706"/>
      <c r="J70" s="706"/>
      <c r="K70" s="706"/>
      <c r="L70" s="707"/>
      <c r="M70" s="708">
        <f>SUM(C70:L70)</f>
        <v>500000</v>
      </c>
      <c r="N70" s="709"/>
    </row>
    <row r="71" spans="1:14" s="141" customFormat="1" ht="16.5" customHeight="1">
      <c r="A71" s="669" t="s">
        <v>91</v>
      </c>
      <c r="B71" s="670"/>
      <c r="C71" s="725"/>
      <c r="D71" s="706"/>
      <c r="E71" s="706">
        <v>600000</v>
      </c>
      <c r="F71" s="706"/>
      <c r="G71" s="706"/>
      <c r="H71" s="706"/>
      <c r="I71" s="706"/>
      <c r="J71" s="706"/>
      <c r="K71" s="706"/>
      <c r="L71" s="707"/>
      <c r="M71" s="708">
        <f>SUM(C71:L71)</f>
        <v>600000</v>
      </c>
      <c r="N71" s="709"/>
    </row>
    <row r="72" spans="1:14" s="141" customFormat="1" ht="17.25" customHeight="1">
      <c r="A72" s="671" t="s">
        <v>92</v>
      </c>
      <c r="B72" s="672"/>
      <c r="C72" s="725"/>
      <c r="D72" s="706"/>
      <c r="E72" s="706">
        <v>800000</v>
      </c>
      <c r="F72" s="706"/>
      <c r="G72" s="706"/>
      <c r="H72" s="706"/>
      <c r="I72" s="706"/>
      <c r="J72" s="706"/>
      <c r="K72" s="706"/>
      <c r="L72" s="707"/>
      <c r="M72" s="708">
        <f>SUM(C72:L72)</f>
        <v>800000</v>
      </c>
      <c r="N72" s="709"/>
    </row>
    <row r="73" spans="1:14" s="141" customFormat="1" ht="22.5" customHeight="1" thickBot="1">
      <c r="A73" s="669" t="s">
        <v>93</v>
      </c>
      <c r="B73" s="670"/>
      <c r="C73" s="725"/>
      <c r="D73" s="706"/>
      <c r="E73" s="706">
        <v>1300000</v>
      </c>
      <c r="F73" s="706"/>
      <c r="G73" s="706"/>
      <c r="H73" s="706"/>
      <c r="I73" s="706"/>
      <c r="J73" s="706"/>
      <c r="K73" s="706"/>
      <c r="L73" s="707"/>
      <c r="M73" s="708">
        <f>SUM(C73:L73)</f>
        <v>1300000</v>
      </c>
      <c r="N73" s="709"/>
    </row>
    <row r="74" spans="1:14" s="141" customFormat="1" ht="14.25" customHeight="1" thickBot="1">
      <c r="A74" s="664" t="s">
        <v>94</v>
      </c>
      <c r="B74" s="665"/>
      <c r="C74" s="810">
        <f>SUM(C64:C69)</f>
        <v>0</v>
      </c>
      <c r="D74" s="726"/>
      <c r="E74" s="726">
        <f>+E64+E65+E66+E67+E68+E69+E70+E71+E72+E73</f>
        <v>5600000</v>
      </c>
      <c r="F74" s="726"/>
      <c r="G74" s="726">
        <f>SUM(G64:G69)</f>
        <v>0</v>
      </c>
      <c r="H74" s="726"/>
      <c r="I74" s="726">
        <f>SUM(I64:I69)</f>
        <v>0</v>
      </c>
      <c r="J74" s="726"/>
      <c r="K74" s="726">
        <f>SUM(K64:K69)</f>
        <v>18471000</v>
      </c>
      <c r="L74" s="727"/>
      <c r="M74" s="728">
        <f>+M64+M65+M66+M67+M68+M69+M70+M71+M72+M73</f>
        <v>24071000</v>
      </c>
      <c r="N74" s="729"/>
    </row>
    <row r="75" s="2" customFormat="1" ht="3.75" customHeight="1" thickBot="1"/>
    <row r="76" spans="1:14" s="141" customFormat="1" ht="16.5" customHeight="1" thickBot="1">
      <c r="A76" s="679" t="s">
        <v>95</v>
      </c>
      <c r="B76" s="668"/>
      <c r="C76" s="810">
        <f>+C74+C60</f>
        <v>0</v>
      </c>
      <c r="D76" s="726"/>
      <c r="E76" s="810">
        <f>+E74+E60</f>
        <v>9500000</v>
      </c>
      <c r="F76" s="727"/>
      <c r="G76" s="726">
        <f>+G74+G60</f>
        <v>0</v>
      </c>
      <c r="H76" s="726"/>
      <c r="I76" s="810">
        <f>+I74+I60</f>
        <v>0</v>
      </c>
      <c r="J76" s="727"/>
      <c r="K76" s="726">
        <f>+K74+K60</f>
        <v>18471000</v>
      </c>
      <c r="L76" s="727"/>
      <c r="M76" s="728">
        <f>+M74+M60</f>
        <v>27971000</v>
      </c>
      <c r="N76" s="729"/>
    </row>
    <row r="77" spans="1:16" ht="6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3.75" customHeight="1" thickBo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25.5" customHeight="1" thickBot="1">
      <c r="A79" s="148" t="s">
        <v>96</v>
      </c>
      <c r="B79" s="149" t="s">
        <v>97</v>
      </c>
      <c r="C79" s="684" t="s">
        <v>98</v>
      </c>
      <c r="D79" s="685"/>
      <c r="E79" s="686"/>
      <c r="F79" s="138" t="s">
        <v>97</v>
      </c>
      <c r="G79"/>
      <c r="H79"/>
      <c r="I79"/>
      <c r="J79"/>
      <c r="K79"/>
      <c r="L79"/>
      <c r="M79"/>
      <c r="N79"/>
      <c r="O79"/>
      <c r="P79"/>
    </row>
    <row r="80" spans="1:6" s="85" customFormat="1" ht="12.75">
      <c r="A80" s="150" t="s">
        <v>99</v>
      </c>
      <c r="B80" s="151">
        <v>800</v>
      </c>
      <c r="C80" s="700" t="s">
        <v>100</v>
      </c>
      <c r="D80" s="701"/>
      <c r="E80" s="702"/>
      <c r="F80" s="152">
        <v>2660</v>
      </c>
    </row>
    <row r="81" spans="1:6" s="85" customFormat="1" ht="12.75">
      <c r="A81" s="153" t="s">
        <v>101</v>
      </c>
      <c r="B81" s="154">
        <v>150</v>
      </c>
      <c r="C81" s="691" t="s">
        <v>102</v>
      </c>
      <c r="D81" s="692"/>
      <c r="E81" s="693"/>
      <c r="F81" s="155">
        <v>580</v>
      </c>
    </row>
    <row r="82" spans="1:6" s="85" customFormat="1" ht="16.5" customHeight="1">
      <c r="A82" s="153" t="s">
        <v>103</v>
      </c>
      <c r="B82" s="154">
        <v>210</v>
      </c>
      <c r="C82" s="691" t="s">
        <v>104</v>
      </c>
      <c r="D82" s="692"/>
      <c r="E82" s="693"/>
      <c r="F82" s="155">
        <v>320</v>
      </c>
    </row>
    <row r="83" spans="1:6" s="85" customFormat="1" ht="16.5" customHeight="1">
      <c r="A83" s="153" t="s">
        <v>105</v>
      </c>
      <c r="B83" s="154">
        <v>65</v>
      </c>
      <c r="C83" s="691" t="s">
        <v>106</v>
      </c>
      <c r="D83" s="692"/>
      <c r="E83" s="693"/>
      <c r="F83" s="155">
        <v>140</v>
      </c>
    </row>
    <row r="84" spans="1:6" s="85" customFormat="1" ht="16.5" customHeight="1">
      <c r="A84" s="153" t="s">
        <v>107</v>
      </c>
      <c r="B84" s="154">
        <v>210</v>
      </c>
      <c r="C84" s="691" t="s">
        <v>108</v>
      </c>
      <c r="D84" s="692"/>
      <c r="E84" s="693"/>
      <c r="F84" s="155">
        <v>380</v>
      </c>
    </row>
    <row r="85" spans="1:6" s="85" customFormat="1" ht="16.5" customHeight="1">
      <c r="A85" s="153" t="s">
        <v>109</v>
      </c>
      <c r="B85" s="154">
        <v>410</v>
      </c>
      <c r="C85" s="691" t="s">
        <v>110</v>
      </c>
      <c r="D85" s="692"/>
      <c r="E85" s="693"/>
      <c r="F85" s="155">
        <v>1500</v>
      </c>
    </row>
    <row r="86" spans="1:6" s="85" customFormat="1" ht="16.5" customHeight="1">
      <c r="A86" s="153" t="s">
        <v>111</v>
      </c>
      <c r="B86" s="154">
        <v>120</v>
      </c>
      <c r="C86" s="691" t="s">
        <v>112</v>
      </c>
      <c r="D86" s="692"/>
      <c r="E86" s="693"/>
      <c r="F86" s="155">
        <v>1100</v>
      </c>
    </row>
    <row r="87" spans="1:6" s="85" customFormat="1" ht="16.5" customHeight="1">
      <c r="A87" s="153" t="s">
        <v>113</v>
      </c>
      <c r="B87" s="154">
        <v>430</v>
      </c>
      <c r="C87" s="691" t="s">
        <v>114</v>
      </c>
      <c r="D87" s="692"/>
      <c r="E87" s="693"/>
      <c r="F87" s="155">
        <v>740</v>
      </c>
    </row>
    <row r="88" spans="1:6" s="85" customFormat="1" ht="16.5" customHeight="1">
      <c r="A88" s="153" t="s">
        <v>115</v>
      </c>
      <c r="B88" s="154">
        <v>65</v>
      </c>
      <c r="C88" s="691"/>
      <c r="D88" s="692"/>
      <c r="E88" s="693"/>
      <c r="F88" s="156"/>
    </row>
    <row r="89" spans="1:6" s="85" customFormat="1" ht="12.75">
      <c r="A89" s="153" t="s">
        <v>116</v>
      </c>
      <c r="B89" s="154">
        <v>520</v>
      </c>
      <c r="C89" s="691"/>
      <c r="D89" s="692"/>
      <c r="E89" s="693"/>
      <c r="F89" s="155"/>
    </row>
    <row r="90" spans="1:6" s="85" customFormat="1" ht="13.5" thickBot="1">
      <c r="A90" s="157" t="s">
        <v>117</v>
      </c>
      <c r="B90" s="158">
        <v>440</v>
      </c>
      <c r="C90" s="694"/>
      <c r="D90" s="695"/>
      <c r="E90" s="696"/>
      <c r="F90" s="159"/>
    </row>
    <row r="91" spans="1:6" s="161" customFormat="1" ht="12" thickBot="1">
      <c r="A91" s="160" t="s">
        <v>118</v>
      </c>
      <c r="B91" s="143">
        <f>SUM(B80:B90)</f>
        <v>3420</v>
      </c>
      <c r="C91" s="697" t="s">
        <v>10</v>
      </c>
      <c r="D91" s="698"/>
      <c r="E91" s="699"/>
      <c r="F91" s="145">
        <f>SUM(F80:F90)</f>
        <v>7420</v>
      </c>
    </row>
    <row r="92" spans="1:16" ht="7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.5" customHeight="1" thickBo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4" s="162" customFormat="1" ht="17.25" customHeight="1">
      <c r="A94" s="762" t="s">
        <v>119</v>
      </c>
      <c r="B94" s="751" t="s">
        <v>120</v>
      </c>
      <c r="C94" s="757" t="s">
        <v>121</v>
      </c>
      <c r="D94" s="758"/>
      <c r="E94" s="758"/>
      <c r="F94" s="758"/>
      <c r="G94" s="758"/>
      <c r="H94" s="759"/>
      <c r="I94" s="754" t="s">
        <v>122</v>
      </c>
      <c r="J94" s="1"/>
      <c r="K94" s="1"/>
      <c r="L94" s="1"/>
      <c r="M94" s="1"/>
      <c r="N94" s="1"/>
    </row>
    <row r="95" spans="1:14" s="162" customFormat="1" ht="17.25" customHeight="1">
      <c r="A95" s="763"/>
      <c r="B95" s="752"/>
      <c r="C95" s="760" t="s">
        <v>52</v>
      </c>
      <c r="D95" s="773" t="s">
        <v>123</v>
      </c>
      <c r="E95" s="774"/>
      <c r="F95" s="774"/>
      <c r="G95" s="774"/>
      <c r="H95" s="775"/>
      <c r="I95" s="755"/>
      <c r="J95" s="1"/>
      <c r="K95" s="1"/>
      <c r="L95" s="1"/>
      <c r="M95" s="1"/>
      <c r="N95" s="1"/>
    </row>
    <row r="96" spans="1:14" s="162" customFormat="1" ht="11.25" customHeight="1" thickBot="1">
      <c r="A96" s="764"/>
      <c r="B96" s="753"/>
      <c r="C96" s="761"/>
      <c r="D96" s="163">
        <v>1</v>
      </c>
      <c r="E96" s="163">
        <v>2</v>
      </c>
      <c r="F96" s="163">
        <v>3</v>
      </c>
      <c r="G96" s="163">
        <v>4</v>
      </c>
      <c r="H96" s="163">
        <v>5</v>
      </c>
      <c r="I96" s="756"/>
      <c r="J96" s="86"/>
      <c r="K96" s="86"/>
      <c r="L96" s="86"/>
      <c r="M96" s="86"/>
      <c r="N96" s="86"/>
    </row>
    <row r="97" spans="1:14" s="162" customFormat="1" ht="17.25" customHeight="1" thickBot="1">
      <c r="A97" s="164">
        <v>62323</v>
      </c>
      <c r="B97" s="165">
        <v>14647</v>
      </c>
      <c r="C97" s="166">
        <f>SUM(D97:H97)</f>
        <v>3728</v>
      </c>
      <c r="D97" s="165">
        <v>1740</v>
      </c>
      <c r="E97" s="165">
        <v>1884</v>
      </c>
      <c r="F97" s="165">
        <v>0</v>
      </c>
      <c r="G97" s="165">
        <v>66</v>
      </c>
      <c r="H97" s="165">
        <v>38</v>
      </c>
      <c r="I97" s="167">
        <f>SUM(A97-B97-C97)</f>
        <v>43948</v>
      </c>
      <c r="J97" s="1"/>
      <c r="K97" s="1"/>
      <c r="L97" s="1"/>
      <c r="M97" s="1"/>
      <c r="N97" s="1"/>
    </row>
    <row r="98" ht="5.25" customHeight="1" thickBot="1"/>
    <row r="99" spans="1:16" ht="12.75" customHeight="1">
      <c r="A99" s="719" t="s">
        <v>124</v>
      </c>
      <c r="B99" s="721" t="s">
        <v>125</v>
      </c>
      <c r="C99" s="722" t="s">
        <v>126</v>
      </c>
      <c r="D99" s="723"/>
      <c r="E99" s="723"/>
      <c r="F99" s="724"/>
      <c r="G99" s="721" t="s">
        <v>127</v>
      </c>
      <c r="H99" s="817" t="s">
        <v>128</v>
      </c>
      <c r="I99" s="716" t="s">
        <v>129</v>
      </c>
      <c r="J99" s="717"/>
      <c r="K99" s="717"/>
      <c r="L99" s="718"/>
      <c r="M99"/>
      <c r="N99"/>
      <c r="O99"/>
      <c r="P99"/>
    </row>
    <row r="100" spans="1:16" ht="18.75" thickBot="1">
      <c r="A100" s="720"/>
      <c r="B100" s="720"/>
      <c r="C100" s="168" t="s">
        <v>130</v>
      </c>
      <c r="D100" s="169" t="s">
        <v>131</v>
      </c>
      <c r="E100" s="169" t="s">
        <v>132</v>
      </c>
      <c r="F100" s="170" t="s">
        <v>133</v>
      </c>
      <c r="G100" s="720"/>
      <c r="H100" s="720"/>
      <c r="I100" s="168" t="s">
        <v>134</v>
      </c>
      <c r="J100" s="169" t="s">
        <v>131</v>
      </c>
      <c r="K100" s="171" t="s">
        <v>132</v>
      </c>
      <c r="L100" s="172" t="s">
        <v>135</v>
      </c>
      <c r="M100"/>
      <c r="N100"/>
      <c r="O100"/>
      <c r="P100"/>
    </row>
    <row r="101" spans="1:16" ht="12.75">
      <c r="A101" s="173" t="s">
        <v>136</v>
      </c>
      <c r="B101" s="174">
        <v>20666.47</v>
      </c>
      <c r="C101" s="175" t="s">
        <v>137</v>
      </c>
      <c r="D101" s="176" t="s">
        <v>137</v>
      </c>
      <c r="E101" s="177" t="s">
        <v>137</v>
      </c>
      <c r="F101" s="178" t="s">
        <v>137</v>
      </c>
      <c r="G101" s="179">
        <v>26148.69</v>
      </c>
      <c r="H101" s="180" t="s">
        <v>137</v>
      </c>
      <c r="I101" s="181" t="s">
        <v>137</v>
      </c>
      <c r="J101" s="181" t="s">
        <v>137</v>
      </c>
      <c r="K101" s="181" t="s">
        <v>137</v>
      </c>
      <c r="L101" s="182" t="s">
        <v>137</v>
      </c>
      <c r="M101"/>
      <c r="N101"/>
      <c r="O101"/>
      <c r="P101"/>
    </row>
    <row r="102" spans="1:16" ht="12.75">
      <c r="A102" s="183" t="s">
        <v>138</v>
      </c>
      <c r="B102" s="184">
        <v>0</v>
      </c>
      <c r="C102" s="185">
        <v>0</v>
      </c>
      <c r="D102" s="186">
        <v>0</v>
      </c>
      <c r="E102" s="186">
        <v>0</v>
      </c>
      <c r="F102" s="187">
        <f>+C102+D102-E102</f>
        <v>0</v>
      </c>
      <c r="G102" s="188">
        <v>0</v>
      </c>
      <c r="H102" s="189">
        <f>+G102-F102</f>
        <v>0</v>
      </c>
      <c r="I102" s="186">
        <f>+F102</f>
        <v>0</v>
      </c>
      <c r="J102" s="186">
        <v>0</v>
      </c>
      <c r="K102" s="186">
        <v>0</v>
      </c>
      <c r="L102" s="187">
        <f>+I102+J102-K102</f>
        <v>0</v>
      </c>
      <c r="M102"/>
      <c r="N102"/>
      <c r="O102"/>
      <c r="P102"/>
    </row>
    <row r="103" spans="1:16" ht="12.75">
      <c r="A103" s="183" t="s">
        <v>139</v>
      </c>
      <c r="B103" s="184">
        <v>0</v>
      </c>
      <c r="C103" s="185">
        <v>3366</v>
      </c>
      <c r="D103" s="186">
        <v>2791</v>
      </c>
      <c r="E103" s="186">
        <v>3656</v>
      </c>
      <c r="F103" s="187">
        <f>+C103+D103-E103</f>
        <v>2501</v>
      </c>
      <c r="G103" s="188">
        <v>0</v>
      </c>
      <c r="H103" s="188">
        <f>+G103-F103</f>
        <v>-2501</v>
      </c>
      <c r="I103" s="186">
        <f>+F103</f>
        <v>2501</v>
      </c>
      <c r="J103" s="186">
        <v>0</v>
      </c>
      <c r="K103" s="186">
        <v>0</v>
      </c>
      <c r="L103" s="187">
        <f>+I103+J103-K103</f>
        <v>2501</v>
      </c>
      <c r="M103"/>
      <c r="N103"/>
      <c r="O103"/>
      <c r="P103"/>
    </row>
    <row r="104" spans="1:16" ht="12.75">
      <c r="A104" s="183" t="s">
        <v>140</v>
      </c>
      <c r="B104" s="184">
        <v>20624.87</v>
      </c>
      <c r="C104" s="175" t="s">
        <v>137</v>
      </c>
      <c r="D104" s="176" t="s">
        <v>137</v>
      </c>
      <c r="E104" s="177" t="s">
        <v>137</v>
      </c>
      <c r="F104" s="178" t="s">
        <v>137</v>
      </c>
      <c r="G104" s="188">
        <v>26145.98</v>
      </c>
      <c r="H104" s="190" t="s">
        <v>137</v>
      </c>
      <c r="I104" s="176" t="s">
        <v>137</v>
      </c>
      <c r="J104" s="176" t="s">
        <v>137</v>
      </c>
      <c r="K104" s="176" t="s">
        <v>137</v>
      </c>
      <c r="L104" s="182" t="s">
        <v>137</v>
      </c>
      <c r="M104"/>
      <c r="N104"/>
      <c r="O104"/>
      <c r="P104"/>
    </row>
    <row r="105" spans="1:16" ht="12.75">
      <c r="A105" s="183" t="s">
        <v>141</v>
      </c>
      <c r="B105" s="184">
        <v>41.6</v>
      </c>
      <c r="C105" s="185">
        <v>284877</v>
      </c>
      <c r="D105" s="186">
        <v>42898</v>
      </c>
      <c r="E105" s="186">
        <v>36185</v>
      </c>
      <c r="F105" s="187">
        <f>+C105+D105-E105</f>
        <v>291590</v>
      </c>
      <c r="G105" s="188">
        <v>2.71</v>
      </c>
      <c r="H105" s="189">
        <f>+G105-F105</f>
        <v>-291587.29</v>
      </c>
      <c r="I105" s="191">
        <f>+F105</f>
        <v>291590</v>
      </c>
      <c r="J105" s="191">
        <v>31699</v>
      </c>
      <c r="K105" s="191">
        <v>27971</v>
      </c>
      <c r="L105" s="187">
        <f>+I105+J105-K105</f>
        <v>295318</v>
      </c>
      <c r="M105"/>
      <c r="N105"/>
      <c r="O105"/>
      <c r="P105"/>
    </row>
    <row r="106" spans="1:16" ht="13.5" thickBot="1">
      <c r="A106" s="192" t="s">
        <v>142</v>
      </c>
      <c r="B106" s="193">
        <v>32.95</v>
      </c>
      <c r="C106" s="194">
        <v>2111</v>
      </c>
      <c r="D106" s="195">
        <v>3930</v>
      </c>
      <c r="E106" s="195">
        <v>3278</v>
      </c>
      <c r="F106" s="196">
        <f>+C106+D106-E106</f>
        <v>2763</v>
      </c>
      <c r="G106" s="197">
        <v>60.76</v>
      </c>
      <c r="H106" s="198">
        <f>+G106-F106</f>
        <v>-2702.24</v>
      </c>
      <c r="I106" s="195">
        <f>+F106</f>
        <v>2763</v>
      </c>
      <c r="J106" s="195">
        <v>4141</v>
      </c>
      <c r="K106" s="195">
        <v>5000</v>
      </c>
      <c r="L106" s="196">
        <f>+I106+J106-K106</f>
        <v>1904</v>
      </c>
      <c r="M106"/>
      <c r="N106"/>
      <c r="O106"/>
      <c r="P106"/>
    </row>
    <row r="107" ht="7.5" customHeight="1" thickBot="1"/>
    <row r="108" spans="1:9" ht="13.5" thickBot="1">
      <c r="A108" s="199" t="s">
        <v>143</v>
      </c>
      <c r="B108" s="200">
        <v>2004</v>
      </c>
      <c r="C108" s="201">
        <v>2005</v>
      </c>
      <c r="E108" s="674" t="s">
        <v>144</v>
      </c>
      <c r="F108" s="675"/>
      <c r="G108" s="675"/>
      <c r="H108" s="200">
        <v>2004</v>
      </c>
      <c r="I108" s="201">
        <v>2005</v>
      </c>
    </row>
    <row r="109" spans="1:9" ht="12.75">
      <c r="A109" s="202" t="s">
        <v>145</v>
      </c>
      <c r="B109" s="203">
        <v>284877</v>
      </c>
      <c r="C109" s="204">
        <f>+B119</f>
        <v>291590</v>
      </c>
      <c r="E109" s="676" t="s">
        <v>146</v>
      </c>
      <c r="F109" s="677"/>
      <c r="G109" s="678"/>
      <c r="H109" s="203">
        <v>3366</v>
      </c>
      <c r="I109" s="204">
        <f>+H119</f>
        <v>2501</v>
      </c>
    </row>
    <row r="110" spans="1:9" ht="12.75">
      <c r="A110" s="205" t="s">
        <v>131</v>
      </c>
      <c r="B110" s="186">
        <v>42898</v>
      </c>
      <c r="C110" s="187">
        <f>+C111+C112</f>
        <v>31699</v>
      </c>
      <c r="E110" s="703" t="s">
        <v>131</v>
      </c>
      <c r="F110" s="680"/>
      <c r="G110" s="681"/>
      <c r="H110" s="186">
        <f>+H111+H112</f>
        <v>2791</v>
      </c>
      <c r="I110" s="187">
        <f>+I111+I112</f>
        <v>0</v>
      </c>
    </row>
    <row r="111" spans="1:9" ht="12.75">
      <c r="A111" s="205" t="s">
        <v>147</v>
      </c>
      <c r="B111" s="186">
        <v>6713</v>
      </c>
      <c r="C111" s="187">
        <v>3728</v>
      </c>
      <c r="E111" s="703" t="s">
        <v>148</v>
      </c>
      <c r="F111" s="680"/>
      <c r="G111" s="681"/>
      <c r="H111" s="186"/>
      <c r="I111" s="187"/>
    </row>
    <row r="112" spans="1:9" ht="12.75">
      <c r="A112" s="205" t="s">
        <v>149</v>
      </c>
      <c r="B112" s="186">
        <v>15186</v>
      </c>
      <c r="C112" s="187">
        <v>27971</v>
      </c>
      <c r="E112" s="703" t="s">
        <v>150</v>
      </c>
      <c r="F112" s="680"/>
      <c r="G112" s="681"/>
      <c r="H112" s="186">
        <v>2791</v>
      </c>
      <c r="I112" s="187"/>
    </row>
    <row r="113" spans="1:9" ht="12.75">
      <c r="A113" s="205" t="s">
        <v>151</v>
      </c>
      <c r="B113" s="186">
        <v>18410</v>
      </c>
      <c r="C113" s="187"/>
      <c r="E113" s="703"/>
      <c r="F113" s="680"/>
      <c r="G113" s="681"/>
      <c r="H113" s="186"/>
      <c r="I113" s="187"/>
    </row>
    <row r="114" spans="1:9" ht="12.75">
      <c r="A114" s="205" t="s">
        <v>150</v>
      </c>
      <c r="B114" s="186"/>
      <c r="C114" s="187"/>
      <c r="E114" s="703"/>
      <c r="F114" s="680"/>
      <c r="G114" s="681"/>
      <c r="H114" s="186"/>
      <c r="I114" s="187"/>
    </row>
    <row r="115" spans="1:9" ht="12.75">
      <c r="A115" s="209" t="s">
        <v>152</v>
      </c>
      <c r="B115" s="186">
        <v>2589</v>
      </c>
      <c r="C115" s="187"/>
      <c r="E115" s="703" t="s">
        <v>132</v>
      </c>
      <c r="F115" s="680"/>
      <c r="G115" s="681"/>
      <c r="H115" s="186">
        <f>+H116+H117+H118</f>
        <v>3656</v>
      </c>
      <c r="I115" s="187">
        <f>+I116+I117+I118</f>
        <v>0</v>
      </c>
    </row>
    <row r="116" spans="1:9" ht="12.75">
      <c r="A116" s="205" t="s">
        <v>132</v>
      </c>
      <c r="B116" s="186">
        <f>+B117+B118</f>
        <v>36185</v>
      </c>
      <c r="C116" s="187">
        <f>+C117+C118</f>
        <v>27971</v>
      </c>
      <c r="E116" s="206" t="s">
        <v>153</v>
      </c>
      <c r="F116" s="207"/>
      <c r="G116" s="208"/>
      <c r="H116" s="186">
        <v>1067</v>
      </c>
      <c r="I116" s="187">
        <f>+I117+I118</f>
        <v>0</v>
      </c>
    </row>
    <row r="117" spans="1:9" ht="12.75">
      <c r="A117" s="205" t="s">
        <v>154</v>
      </c>
      <c r="B117" s="186">
        <v>26812</v>
      </c>
      <c r="C117" s="187">
        <v>24071</v>
      </c>
      <c r="E117" s="703" t="s">
        <v>155</v>
      </c>
      <c r="F117" s="680"/>
      <c r="G117" s="681"/>
      <c r="H117" s="186"/>
      <c r="I117" s="187"/>
    </row>
    <row r="118" spans="1:9" ht="12.75">
      <c r="A118" s="205" t="s">
        <v>156</v>
      </c>
      <c r="B118" s="186">
        <v>9373</v>
      </c>
      <c r="C118" s="187">
        <v>3900</v>
      </c>
      <c r="E118" s="703" t="s">
        <v>157</v>
      </c>
      <c r="F118" s="680"/>
      <c r="G118" s="681"/>
      <c r="H118" s="186">
        <v>2589</v>
      </c>
      <c r="I118" s="187"/>
    </row>
    <row r="119" spans="1:9" ht="13.5" thickBot="1">
      <c r="A119" s="210" t="s">
        <v>158</v>
      </c>
      <c r="B119" s="195">
        <f>+B109+B110-B116</f>
        <v>291590</v>
      </c>
      <c r="C119" s="196">
        <f>+C109+C110-C116</f>
        <v>295318</v>
      </c>
      <c r="E119" s="682" t="s">
        <v>158</v>
      </c>
      <c r="F119" s="683"/>
      <c r="G119" s="673"/>
      <c r="H119" s="195">
        <f>+H109+H110-H115</f>
        <v>2501</v>
      </c>
      <c r="I119" s="196">
        <f>+I109+I110-I115</f>
        <v>2501</v>
      </c>
    </row>
    <row r="121" spans="1:16" ht="16.5" thickBot="1">
      <c r="A121" s="211" t="s">
        <v>159</v>
      </c>
      <c r="O121"/>
      <c r="P121"/>
    </row>
    <row r="122" spans="1:16" ht="12.75">
      <c r="A122" s="710" t="s">
        <v>160</v>
      </c>
      <c r="B122" s="712" t="s">
        <v>10</v>
      </c>
      <c r="C122" s="712" t="s">
        <v>161</v>
      </c>
      <c r="D122" s="714"/>
      <c r="E122" s="714"/>
      <c r="F122" s="714"/>
      <c r="G122" s="714"/>
      <c r="H122" s="715"/>
      <c r="I122" s="212"/>
      <c r="J122"/>
      <c r="K122"/>
      <c r="L122"/>
      <c r="O122"/>
      <c r="P122"/>
    </row>
    <row r="123" spans="1:16" ht="13.5" thickBot="1">
      <c r="A123" s="711"/>
      <c r="B123" s="713"/>
      <c r="C123" s="213" t="s">
        <v>162</v>
      </c>
      <c r="D123" s="214" t="s">
        <v>163</v>
      </c>
      <c r="E123" s="214" t="s">
        <v>164</v>
      </c>
      <c r="F123" s="214" t="s">
        <v>165</v>
      </c>
      <c r="G123" s="215" t="s">
        <v>166</v>
      </c>
      <c r="H123" s="216" t="s">
        <v>52</v>
      </c>
      <c r="I123" s="212"/>
      <c r="J123"/>
      <c r="K123"/>
      <c r="L123"/>
      <c r="O123"/>
      <c r="P123"/>
    </row>
    <row r="124" spans="1:14" s="85" customFormat="1" ht="17.25" customHeight="1">
      <c r="A124" s="217" t="s">
        <v>167</v>
      </c>
      <c r="B124" s="218">
        <v>70690</v>
      </c>
      <c r="C124" s="219">
        <v>17970</v>
      </c>
      <c r="D124" s="219">
        <v>1112</v>
      </c>
      <c r="E124" s="219">
        <v>293</v>
      </c>
      <c r="F124" s="219">
        <v>799</v>
      </c>
      <c r="G124" s="219">
        <v>6865</v>
      </c>
      <c r="H124" s="220">
        <f>SUM(C124:G124)</f>
        <v>27039</v>
      </c>
      <c r="I124" s="221"/>
      <c r="M124" s="86"/>
      <c r="N124" s="86"/>
    </row>
    <row r="125" spans="1:14" s="85" customFormat="1" ht="17.25" customHeight="1" thickBot="1">
      <c r="A125" s="222" t="s">
        <v>168</v>
      </c>
      <c r="B125" s="223">
        <v>118550</v>
      </c>
      <c r="C125" s="224">
        <v>17539</v>
      </c>
      <c r="D125" s="224">
        <v>37226</v>
      </c>
      <c r="E125" s="224">
        <v>20212</v>
      </c>
      <c r="F125" s="224">
        <v>21647</v>
      </c>
      <c r="G125" s="224">
        <v>68</v>
      </c>
      <c r="H125" s="115">
        <f>SUM(C125:G125)</f>
        <v>96692</v>
      </c>
      <c r="I125" s="221"/>
      <c r="M125" s="86"/>
      <c r="N125" s="86"/>
    </row>
    <row r="126" ht="4.5" customHeight="1" thickBot="1"/>
    <row r="127" spans="1:16" ht="11.25" customHeight="1" thickBot="1">
      <c r="A127" s="687" t="s">
        <v>169</v>
      </c>
      <c r="B127" s="739" t="s">
        <v>170</v>
      </c>
      <c r="C127" s="740"/>
      <c r="D127" s="740"/>
      <c r="E127" s="740"/>
      <c r="F127" s="741"/>
      <c r="G127" s="748" t="s">
        <v>171</v>
      </c>
      <c r="H127" s="740"/>
      <c r="I127" s="740"/>
      <c r="J127" s="740"/>
      <c r="K127" s="741"/>
      <c r="P127"/>
    </row>
    <row r="128" spans="1:16" ht="13.5" thickBot="1">
      <c r="A128" s="688"/>
      <c r="B128" s="225">
        <v>2002</v>
      </c>
      <c r="C128" s="136">
        <v>2003</v>
      </c>
      <c r="D128" s="226" t="s">
        <v>13</v>
      </c>
      <c r="E128" s="137">
        <v>2004</v>
      </c>
      <c r="F128" s="226" t="s">
        <v>13</v>
      </c>
      <c r="G128" s="227">
        <v>2002</v>
      </c>
      <c r="H128" s="137">
        <v>2003</v>
      </c>
      <c r="I128" s="226" t="s">
        <v>13</v>
      </c>
      <c r="J128" s="146">
        <v>2004</v>
      </c>
      <c r="K128" s="228" t="s">
        <v>13</v>
      </c>
      <c r="P128"/>
    </row>
    <row r="129" spans="1:16" ht="12.75">
      <c r="A129" s="229" t="s">
        <v>172</v>
      </c>
      <c r="B129" s="230">
        <v>114</v>
      </c>
      <c r="C129" s="231">
        <v>114</v>
      </c>
      <c r="D129" s="232">
        <v>0</v>
      </c>
      <c r="E129" s="233">
        <v>114</v>
      </c>
      <c r="F129" s="232">
        <v>0</v>
      </c>
      <c r="G129" s="234">
        <v>86.1</v>
      </c>
      <c r="H129" s="235">
        <v>85.2</v>
      </c>
      <c r="I129" s="235">
        <v>-0.8999999999999915</v>
      </c>
      <c r="J129" s="236">
        <v>77.5</v>
      </c>
      <c r="K129" s="237">
        <v>-7.7</v>
      </c>
      <c r="P129"/>
    </row>
    <row r="130" spans="1:16" ht="12.75">
      <c r="A130" s="238" t="s">
        <v>173</v>
      </c>
      <c r="B130" s="239">
        <v>18</v>
      </c>
      <c r="C130" s="240">
        <v>18</v>
      </c>
      <c r="D130" s="241">
        <v>0</v>
      </c>
      <c r="E130" s="242">
        <v>24</v>
      </c>
      <c r="F130" s="232">
        <v>6</v>
      </c>
      <c r="G130" s="243">
        <v>80.1</v>
      </c>
      <c r="H130" s="244">
        <v>78.7</v>
      </c>
      <c r="I130" s="244">
        <v>-1.3999999999999915</v>
      </c>
      <c r="J130" s="245">
        <v>78.7</v>
      </c>
      <c r="K130" s="237">
        <v>0</v>
      </c>
      <c r="P130"/>
    </row>
    <row r="131" spans="1:16" ht="12.75">
      <c r="A131" s="238" t="s">
        <v>174</v>
      </c>
      <c r="B131" s="239">
        <v>24</v>
      </c>
      <c r="C131" s="240">
        <v>24</v>
      </c>
      <c r="D131" s="241">
        <v>0</v>
      </c>
      <c r="E131" s="242">
        <v>24</v>
      </c>
      <c r="F131" s="232">
        <v>0</v>
      </c>
      <c r="G131" s="243">
        <v>75.4</v>
      </c>
      <c r="H131" s="244">
        <v>77</v>
      </c>
      <c r="I131" s="244">
        <v>1.5999999999999943</v>
      </c>
      <c r="J131" s="245">
        <v>79</v>
      </c>
      <c r="K131" s="237">
        <v>2</v>
      </c>
      <c r="P131"/>
    </row>
    <row r="132" spans="1:16" ht="12.75">
      <c r="A132" s="238" t="s">
        <v>175</v>
      </c>
      <c r="B132" s="239">
        <v>24</v>
      </c>
      <c r="C132" s="240">
        <v>24</v>
      </c>
      <c r="D132" s="241">
        <v>0</v>
      </c>
      <c r="E132" s="242">
        <v>24</v>
      </c>
      <c r="F132" s="232">
        <v>0</v>
      </c>
      <c r="G132" s="243">
        <v>81.8</v>
      </c>
      <c r="H132" s="244">
        <v>83.2</v>
      </c>
      <c r="I132" s="244">
        <v>1.4000000000000057</v>
      </c>
      <c r="J132" s="245">
        <v>89.2</v>
      </c>
      <c r="K132" s="237">
        <v>6</v>
      </c>
      <c r="P132"/>
    </row>
    <row r="133" spans="1:16" ht="12.75">
      <c r="A133" s="238" t="s">
        <v>176</v>
      </c>
      <c r="B133" s="239"/>
      <c r="C133" s="240"/>
      <c r="D133" s="241"/>
      <c r="E133" s="242"/>
      <c r="F133" s="232">
        <v>0</v>
      </c>
      <c r="G133" s="243"/>
      <c r="H133" s="244"/>
      <c r="I133" s="244"/>
      <c r="J133" s="245"/>
      <c r="K133" s="237">
        <v>0</v>
      </c>
      <c r="P133"/>
    </row>
    <row r="134" spans="1:16" ht="12.75">
      <c r="A134" s="238" t="s">
        <v>177</v>
      </c>
      <c r="B134" s="239">
        <v>70</v>
      </c>
      <c r="C134" s="240">
        <v>70</v>
      </c>
      <c r="D134" s="241">
        <v>0</v>
      </c>
      <c r="E134" s="242">
        <v>70</v>
      </c>
      <c r="F134" s="232">
        <v>0</v>
      </c>
      <c r="G134" s="243">
        <v>82.5</v>
      </c>
      <c r="H134" s="244">
        <v>78.4</v>
      </c>
      <c r="I134" s="244">
        <v>-4.099999999999994</v>
      </c>
      <c r="J134" s="245">
        <v>83.2</v>
      </c>
      <c r="K134" s="237">
        <v>4.8</v>
      </c>
      <c r="P134"/>
    </row>
    <row r="135" spans="1:16" ht="12.75">
      <c r="A135" s="238" t="s">
        <v>178</v>
      </c>
      <c r="B135" s="239">
        <v>53</v>
      </c>
      <c r="C135" s="240">
        <v>53</v>
      </c>
      <c r="D135" s="241">
        <v>0</v>
      </c>
      <c r="E135" s="242">
        <v>53</v>
      </c>
      <c r="F135" s="232">
        <v>0</v>
      </c>
      <c r="G135" s="243">
        <v>79.3</v>
      </c>
      <c r="H135" s="244">
        <v>76.6</v>
      </c>
      <c r="I135" s="244">
        <v>-2.7</v>
      </c>
      <c r="J135" s="245">
        <v>71.2</v>
      </c>
      <c r="K135" s="237">
        <v>-5.3999999999999915</v>
      </c>
      <c r="P135"/>
    </row>
    <row r="136" spans="1:16" ht="12.75">
      <c r="A136" s="238" t="s">
        <v>179</v>
      </c>
      <c r="B136" s="239">
        <v>71</v>
      </c>
      <c r="C136" s="240">
        <v>71</v>
      </c>
      <c r="D136" s="241">
        <v>0</v>
      </c>
      <c r="E136" s="242">
        <v>70</v>
      </c>
      <c r="F136" s="232">
        <v>-1</v>
      </c>
      <c r="G136" s="243">
        <v>88.5</v>
      </c>
      <c r="H136" s="244">
        <v>88</v>
      </c>
      <c r="I136" s="244">
        <v>-0.5</v>
      </c>
      <c r="J136" s="245">
        <v>82.4</v>
      </c>
      <c r="K136" s="237">
        <v>-5.599999999999994</v>
      </c>
      <c r="P136"/>
    </row>
    <row r="137" spans="1:16" ht="12.75">
      <c r="A137" s="238" t="s">
        <v>180</v>
      </c>
      <c r="B137" s="239">
        <v>5</v>
      </c>
      <c r="C137" s="240">
        <v>5</v>
      </c>
      <c r="D137" s="241">
        <v>0</v>
      </c>
      <c r="E137" s="242">
        <v>6</v>
      </c>
      <c r="F137" s="232">
        <v>1</v>
      </c>
      <c r="G137" s="243">
        <v>76.6</v>
      </c>
      <c r="H137" s="244">
        <v>77.7</v>
      </c>
      <c r="I137" s="244">
        <v>1.1000000000000085</v>
      </c>
      <c r="J137" s="245">
        <v>77.4</v>
      </c>
      <c r="K137" s="237">
        <v>-0.29999999999999716</v>
      </c>
      <c r="P137"/>
    </row>
    <row r="138" spans="1:16" ht="12.75">
      <c r="A138" s="238" t="s">
        <v>181</v>
      </c>
      <c r="B138" s="239">
        <v>30</v>
      </c>
      <c r="C138" s="240">
        <v>30</v>
      </c>
      <c r="D138" s="241">
        <v>0</v>
      </c>
      <c r="E138" s="242">
        <v>32</v>
      </c>
      <c r="F138" s="232">
        <v>2</v>
      </c>
      <c r="G138" s="243">
        <v>83.7</v>
      </c>
      <c r="H138" s="244">
        <v>85.1</v>
      </c>
      <c r="I138" s="244">
        <v>1.3999999999999915</v>
      </c>
      <c r="J138" s="245">
        <v>93.6</v>
      </c>
      <c r="K138" s="237">
        <v>8.5</v>
      </c>
      <c r="P138"/>
    </row>
    <row r="139" spans="1:16" ht="12.75">
      <c r="A139" s="238" t="s">
        <v>182</v>
      </c>
      <c r="B139" s="239">
        <v>22</v>
      </c>
      <c r="C139" s="240">
        <v>22</v>
      </c>
      <c r="D139" s="241">
        <v>0</v>
      </c>
      <c r="E139" s="242">
        <v>20</v>
      </c>
      <c r="F139" s="232">
        <v>-2</v>
      </c>
      <c r="G139" s="243">
        <v>60.6</v>
      </c>
      <c r="H139" s="244">
        <v>64.1</v>
      </c>
      <c r="I139" s="244">
        <v>3.499999999999993</v>
      </c>
      <c r="J139" s="245">
        <v>75.6</v>
      </c>
      <c r="K139" s="237">
        <v>11.5</v>
      </c>
      <c r="P139"/>
    </row>
    <row r="140" spans="1:16" ht="12.75">
      <c r="A140" s="238" t="s">
        <v>183</v>
      </c>
      <c r="B140" s="239">
        <v>23</v>
      </c>
      <c r="C140" s="240">
        <v>23</v>
      </c>
      <c r="D140" s="241">
        <v>0</v>
      </c>
      <c r="E140" s="242">
        <v>20</v>
      </c>
      <c r="F140" s="232">
        <v>-3</v>
      </c>
      <c r="G140" s="243">
        <v>76.2</v>
      </c>
      <c r="H140" s="244">
        <v>79.3</v>
      </c>
      <c r="I140" s="244">
        <v>3.0999999999999943</v>
      </c>
      <c r="J140" s="245">
        <v>79</v>
      </c>
      <c r="K140" s="237">
        <v>-0.29999999999999716</v>
      </c>
      <c r="P140"/>
    </row>
    <row r="141" spans="1:16" ht="12.75">
      <c r="A141" s="238" t="s">
        <v>184</v>
      </c>
      <c r="B141" s="239">
        <v>25</v>
      </c>
      <c r="C141" s="240">
        <v>25</v>
      </c>
      <c r="D141" s="241">
        <v>0</v>
      </c>
      <c r="E141" s="242">
        <v>20</v>
      </c>
      <c r="F141" s="232">
        <v>-5</v>
      </c>
      <c r="G141" s="243">
        <v>68.7</v>
      </c>
      <c r="H141" s="244">
        <v>66.7</v>
      </c>
      <c r="I141" s="244">
        <v>-2</v>
      </c>
      <c r="J141" s="245">
        <v>77.9</v>
      </c>
      <c r="K141" s="237">
        <v>11.2</v>
      </c>
      <c r="P141"/>
    </row>
    <row r="142" spans="1:16" ht="12.75">
      <c r="A142" s="238" t="s">
        <v>185</v>
      </c>
      <c r="B142" s="239">
        <v>15</v>
      </c>
      <c r="C142" s="240">
        <v>15</v>
      </c>
      <c r="D142" s="241">
        <v>0</v>
      </c>
      <c r="E142" s="242">
        <v>0</v>
      </c>
      <c r="F142" s="232">
        <v>-15</v>
      </c>
      <c r="G142" s="243">
        <v>76.7</v>
      </c>
      <c r="H142" s="244">
        <v>74</v>
      </c>
      <c r="I142" s="244">
        <v>-2.7</v>
      </c>
      <c r="J142" s="245"/>
      <c r="K142" s="237">
        <v>-74</v>
      </c>
      <c r="P142"/>
    </row>
    <row r="143" spans="1:16" ht="12.75">
      <c r="A143" s="238" t="s">
        <v>186</v>
      </c>
      <c r="B143" s="239">
        <v>20</v>
      </c>
      <c r="C143" s="240">
        <v>20</v>
      </c>
      <c r="D143" s="241">
        <v>0</v>
      </c>
      <c r="E143" s="242">
        <v>20</v>
      </c>
      <c r="F143" s="232">
        <v>0</v>
      </c>
      <c r="G143" s="243">
        <v>70.6</v>
      </c>
      <c r="H143" s="244">
        <v>73.7</v>
      </c>
      <c r="I143" s="244">
        <v>3.1000000000000085</v>
      </c>
      <c r="J143" s="245">
        <v>89.7</v>
      </c>
      <c r="K143" s="237">
        <v>16</v>
      </c>
      <c r="P143"/>
    </row>
    <row r="144" spans="1:16" ht="12.75">
      <c r="A144" s="238" t="s">
        <v>187</v>
      </c>
      <c r="B144" s="239">
        <v>25</v>
      </c>
      <c r="C144" s="240">
        <v>25</v>
      </c>
      <c r="D144" s="241">
        <v>0</v>
      </c>
      <c r="E144" s="242">
        <v>25</v>
      </c>
      <c r="F144" s="232">
        <v>0</v>
      </c>
      <c r="G144" s="243">
        <v>70</v>
      </c>
      <c r="H144" s="244">
        <v>86.7</v>
      </c>
      <c r="I144" s="244">
        <v>16.7</v>
      </c>
      <c r="J144" s="245">
        <v>84.3</v>
      </c>
      <c r="K144" s="237">
        <v>-2.4000000000000057</v>
      </c>
      <c r="P144"/>
    </row>
    <row r="145" spans="1:16" ht="12.75">
      <c r="A145" s="238" t="s">
        <v>188</v>
      </c>
      <c r="B145" s="239">
        <v>26</v>
      </c>
      <c r="C145" s="240">
        <v>26</v>
      </c>
      <c r="D145" s="241">
        <v>0</v>
      </c>
      <c r="E145" s="242">
        <v>44</v>
      </c>
      <c r="F145" s="232">
        <v>18</v>
      </c>
      <c r="G145" s="243">
        <v>97.9</v>
      </c>
      <c r="H145" s="244">
        <v>97.9</v>
      </c>
      <c r="I145" s="244">
        <v>0</v>
      </c>
      <c r="J145" s="245">
        <v>91.7</v>
      </c>
      <c r="K145" s="237">
        <v>-6.2</v>
      </c>
      <c r="P145"/>
    </row>
    <row r="146" spans="1:16" ht="13.5" thickBot="1">
      <c r="A146" s="246" t="s">
        <v>189</v>
      </c>
      <c r="B146" s="247">
        <v>10</v>
      </c>
      <c r="C146" s="248">
        <v>10</v>
      </c>
      <c r="D146" s="249">
        <v>0</v>
      </c>
      <c r="E146" s="250">
        <v>10</v>
      </c>
      <c r="F146" s="251">
        <v>0</v>
      </c>
      <c r="G146" s="252">
        <v>73.8</v>
      </c>
      <c r="H146" s="253">
        <v>78.4</v>
      </c>
      <c r="I146" s="253">
        <v>4.6000000000000085</v>
      </c>
      <c r="J146" s="254">
        <v>85.8</v>
      </c>
      <c r="K146" s="237">
        <v>7.3999999999999915</v>
      </c>
      <c r="P146"/>
    </row>
    <row r="147" spans="1:16" ht="13.5" thickBot="1">
      <c r="A147" s="255" t="s">
        <v>10</v>
      </c>
      <c r="B147" s="256">
        <v>575</v>
      </c>
      <c r="C147" s="257">
        <v>575</v>
      </c>
      <c r="D147" s="258">
        <v>0</v>
      </c>
      <c r="E147" s="259">
        <v>576</v>
      </c>
      <c r="F147" s="258">
        <v>576</v>
      </c>
      <c r="G147" s="260">
        <v>81.7</v>
      </c>
      <c r="H147" s="261">
        <v>81.5</v>
      </c>
      <c r="I147" s="261">
        <v>-0.20000000000000284</v>
      </c>
      <c r="J147" s="262">
        <v>81.3</v>
      </c>
      <c r="K147" s="263">
        <v>-0.20000000000000284</v>
      </c>
      <c r="P147"/>
    </row>
    <row r="148" ht="5.25" customHeight="1" thickBot="1"/>
    <row r="149" spans="1:16" ht="11.25" customHeight="1">
      <c r="A149" s="689" t="s">
        <v>190</v>
      </c>
      <c r="B149" s="659" t="s">
        <v>191</v>
      </c>
      <c r="C149" s="660"/>
      <c r="D149" s="651"/>
      <c r="E149" s="643" t="s">
        <v>190</v>
      </c>
      <c r="F149" s="644"/>
      <c r="G149" s="645"/>
      <c r="H149" s="652" t="s">
        <v>192</v>
      </c>
      <c r="I149" s="660"/>
      <c r="J149" s="653"/>
      <c r="K149" s="657" t="s">
        <v>193</v>
      </c>
      <c r="P149"/>
    </row>
    <row r="150" spans="1:16" ht="27.75" thickBot="1">
      <c r="A150" s="690"/>
      <c r="B150" s="264" t="s">
        <v>194</v>
      </c>
      <c r="C150" s="265" t="s">
        <v>195</v>
      </c>
      <c r="D150" s="266" t="s">
        <v>196</v>
      </c>
      <c r="E150" s="646"/>
      <c r="F150" s="647"/>
      <c r="G150" s="648"/>
      <c r="H150" s="267" t="s">
        <v>194</v>
      </c>
      <c r="I150" s="265" t="s">
        <v>195</v>
      </c>
      <c r="J150" s="172" t="s">
        <v>196</v>
      </c>
      <c r="K150" s="658"/>
      <c r="P150"/>
    </row>
    <row r="151" spans="1:16" ht="17.25" customHeight="1">
      <c r="A151" s="268" t="s">
        <v>197</v>
      </c>
      <c r="B151" s="269">
        <v>114.74</v>
      </c>
      <c r="C151" s="270">
        <v>48951153</v>
      </c>
      <c r="D151" s="271">
        <v>35552.22895241416</v>
      </c>
      <c r="E151" s="649" t="s">
        <v>197</v>
      </c>
      <c r="F151" s="650"/>
      <c r="G151" s="650"/>
      <c r="H151" s="272">
        <v>115.94</v>
      </c>
      <c r="I151" s="273">
        <v>43345761</v>
      </c>
      <c r="J151" s="274">
        <v>31155.310936691396</v>
      </c>
      <c r="K151" s="275">
        <v>-4396.918015722764</v>
      </c>
      <c r="P151"/>
    </row>
    <row r="152" spans="1:16" ht="16.5" customHeight="1">
      <c r="A152" s="268" t="s">
        <v>198</v>
      </c>
      <c r="B152" s="269">
        <v>6.33</v>
      </c>
      <c r="C152" s="270">
        <v>1733702</v>
      </c>
      <c r="D152" s="276">
        <v>22823.880989994734</v>
      </c>
      <c r="E152" s="654" t="s">
        <v>198</v>
      </c>
      <c r="F152" s="655"/>
      <c r="G152" s="655"/>
      <c r="H152" s="278">
        <v>5</v>
      </c>
      <c r="I152" s="270">
        <v>1560438</v>
      </c>
      <c r="J152" s="279">
        <v>26007.3</v>
      </c>
      <c r="K152" s="280"/>
      <c r="P152"/>
    </row>
    <row r="153" spans="1:16" ht="19.5" customHeight="1">
      <c r="A153" s="268" t="s">
        <v>199</v>
      </c>
      <c r="B153" s="269">
        <v>9.72</v>
      </c>
      <c r="C153" s="270">
        <v>3087463</v>
      </c>
      <c r="D153" s="276">
        <v>26470.018861454042</v>
      </c>
      <c r="E153" s="654" t="s">
        <v>200</v>
      </c>
      <c r="F153" s="655"/>
      <c r="G153" s="655"/>
      <c r="H153" s="278">
        <v>433.26</v>
      </c>
      <c r="I153" s="270">
        <v>85590363</v>
      </c>
      <c r="J153" s="279">
        <v>16462.471148963672</v>
      </c>
      <c r="K153" s="280"/>
      <c r="P153"/>
    </row>
    <row r="154" spans="1:16" ht="19.5" customHeight="1">
      <c r="A154" s="268" t="s">
        <v>201</v>
      </c>
      <c r="B154" s="269">
        <v>7.5</v>
      </c>
      <c r="C154" s="270">
        <v>1307816</v>
      </c>
      <c r="D154" s="276">
        <v>14531.28888888889</v>
      </c>
      <c r="E154" s="654" t="s">
        <v>202</v>
      </c>
      <c r="F154" s="655"/>
      <c r="G154" s="655"/>
      <c r="H154" s="278">
        <v>57.57</v>
      </c>
      <c r="I154" s="270">
        <v>12356009</v>
      </c>
      <c r="J154" s="279">
        <v>17885.485785420646</v>
      </c>
      <c r="K154" s="280"/>
      <c r="P154"/>
    </row>
    <row r="155" spans="1:16" ht="19.5" customHeight="1">
      <c r="A155" s="268" t="s">
        <v>203</v>
      </c>
      <c r="B155" s="269">
        <v>526.67</v>
      </c>
      <c r="C155" s="270">
        <v>114307401</v>
      </c>
      <c r="D155" s="276">
        <v>18086.49961076196</v>
      </c>
      <c r="E155" s="654" t="s">
        <v>204</v>
      </c>
      <c r="F155" s="655"/>
      <c r="G155" s="655"/>
      <c r="H155" s="278">
        <v>22.53</v>
      </c>
      <c r="I155" s="270">
        <v>5116320</v>
      </c>
      <c r="J155" s="279">
        <v>18924.101198402128</v>
      </c>
      <c r="K155" s="280"/>
      <c r="P155"/>
    </row>
    <row r="156" spans="1:16" ht="19.5" customHeight="1">
      <c r="A156" s="268" t="s">
        <v>205</v>
      </c>
      <c r="B156" s="269">
        <v>3.5</v>
      </c>
      <c r="C156" s="270">
        <v>608556</v>
      </c>
      <c r="D156" s="276">
        <v>14489.428571428572</v>
      </c>
      <c r="E156" s="654" t="s">
        <v>206</v>
      </c>
      <c r="F156" s="655"/>
      <c r="G156" s="655"/>
      <c r="H156" s="278">
        <v>106.49</v>
      </c>
      <c r="I156" s="270">
        <v>16008769</v>
      </c>
      <c r="J156" s="279">
        <v>12527.599618117507</v>
      </c>
      <c r="K156" s="280"/>
      <c r="P156"/>
    </row>
    <row r="157" spans="1:16" ht="19.5" customHeight="1">
      <c r="A157" s="268" t="s">
        <v>207</v>
      </c>
      <c r="B157" s="269">
        <v>114.97</v>
      </c>
      <c r="C157" s="270">
        <v>18942613</v>
      </c>
      <c r="D157" s="276">
        <v>13730.112928010205</v>
      </c>
      <c r="E157" s="654" t="s">
        <v>208</v>
      </c>
      <c r="F157" s="655"/>
      <c r="G157" s="655"/>
      <c r="H157" s="278">
        <v>6.87</v>
      </c>
      <c r="I157" s="270">
        <v>1412433</v>
      </c>
      <c r="J157" s="279">
        <v>17132.860262008733</v>
      </c>
      <c r="K157" s="280"/>
      <c r="P157"/>
    </row>
    <row r="158" spans="1:16" ht="15.75" customHeight="1">
      <c r="A158" s="268"/>
      <c r="B158" s="269"/>
      <c r="C158" s="270"/>
      <c r="D158" s="276"/>
      <c r="E158" s="654" t="s">
        <v>209</v>
      </c>
      <c r="F158" s="655"/>
      <c r="G158" s="655"/>
      <c r="H158" s="278">
        <v>0</v>
      </c>
      <c r="I158" s="270">
        <v>0</v>
      </c>
      <c r="J158" s="279" t="s">
        <v>210</v>
      </c>
      <c r="K158" s="280"/>
      <c r="P158"/>
    </row>
    <row r="159" spans="1:16" ht="15.75" customHeight="1">
      <c r="A159" s="268" t="s">
        <v>211</v>
      </c>
      <c r="B159" s="269">
        <v>53.64</v>
      </c>
      <c r="C159" s="270">
        <v>12047835</v>
      </c>
      <c r="D159" s="276">
        <v>18717.1187546607</v>
      </c>
      <c r="E159" s="654" t="s">
        <v>211</v>
      </c>
      <c r="F159" s="655"/>
      <c r="G159" s="655"/>
      <c r="H159" s="281">
        <v>50.37</v>
      </c>
      <c r="I159" s="282">
        <v>10413086</v>
      </c>
      <c r="J159" s="279">
        <v>17227.65865925485</v>
      </c>
      <c r="K159" s="280">
        <v>-1489.4600954058515</v>
      </c>
      <c r="P159"/>
    </row>
    <row r="160" spans="1:16" ht="15.75" customHeight="1" thickBot="1">
      <c r="A160" s="277" t="s">
        <v>212</v>
      </c>
      <c r="B160" s="283">
        <v>193.38</v>
      </c>
      <c r="C160" s="282">
        <v>25385305</v>
      </c>
      <c r="D160" s="276">
        <v>10939.301289343952</v>
      </c>
      <c r="E160" s="704" t="s">
        <v>213</v>
      </c>
      <c r="F160" s="705"/>
      <c r="G160" s="705"/>
      <c r="H160" s="272">
        <v>170.04</v>
      </c>
      <c r="I160" s="273">
        <v>20736803</v>
      </c>
      <c r="J160" s="274">
        <v>10162.708284325257</v>
      </c>
      <c r="K160" s="284">
        <v>-776.5930050186944</v>
      </c>
      <c r="P160"/>
    </row>
    <row r="161" spans="1:16" ht="19.5" customHeight="1" thickBot="1">
      <c r="A161" s="160" t="s">
        <v>10</v>
      </c>
      <c r="B161" s="285">
        <v>1030.45</v>
      </c>
      <c r="C161" s="143">
        <v>226371844</v>
      </c>
      <c r="D161" s="144">
        <v>18306.875960340953</v>
      </c>
      <c r="E161" s="640" t="s">
        <v>10</v>
      </c>
      <c r="F161" s="641"/>
      <c r="G161" s="642"/>
      <c r="H161" s="286">
        <v>968.07</v>
      </c>
      <c r="I161" s="143">
        <v>196539982</v>
      </c>
      <c r="J161" s="145">
        <v>16918.54084243219</v>
      </c>
      <c r="K161" s="287">
        <v>-1388.3351179087622</v>
      </c>
      <c r="P161"/>
    </row>
    <row r="163" spans="1:16" ht="16.5" thickBot="1">
      <c r="A163" s="211" t="s">
        <v>214</v>
      </c>
      <c r="O163"/>
      <c r="P163"/>
    </row>
    <row r="164" spans="1:4" ht="17.25" customHeight="1" thickBot="1">
      <c r="A164" s="748" t="s">
        <v>215</v>
      </c>
      <c r="B164" s="749"/>
      <c r="C164" s="749"/>
      <c r="D164" s="750"/>
    </row>
    <row r="165" spans="1:4" s="1" customFormat="1" ht="15.75" customHeight="1">
      <c r="A165" s="744" t="s">
        <v>216</v>
      </c>
      <c r="B165" s="745"/>
      <c r="C165" s="770">
        <f>+C51/1000</f>
        <v>26815.535</v>
      </c>
      <c r="D165" s="771"/>
    </row>
    <row r="166" spans="1:4" s="1" customFormat="1" ht="15.75" customHeight="1">
      <c r="A166" s="811" t="s">
        <v>50</v>
      </c>
      <c r="B166" s="812"/>
      <c r="C166" s="742">
        <f>+G51/1000</f>
        <v>27971</v>
      </c>
      <c r="D166" s="743"/>
    </row>
    <row r="167" spans="1:4" s="1" customFormat="1" ht="15.75" customHeight="1" thickBot="1">
      <c r="A167" s="813" t="s">
        <v>217</v>
      </c>
      <c r="B167" s="814"/>
      <c r="C167" s="815">
        <f>+J27</f>
        <v>207787</v>
      </c>
      <c r="D167" s="816"/>
    </row>
  </sheetData>
  <mergeCells count="227">
    <mergeCell ref="A166:B166"/>
    <mergeCell ref="A167:B167"/>
    <mergeCell ref="C167:D167"/>
    <mergeCell ref="K73:L73"/>
    <mergeCell ref="C76:D76"/>
    <mergeCell ref="E76:F76"/>
    <mergeCell ref="G76:H76"/>
    <mergeCell ref="I76:J76"/>
    <mergeCell ref="K74:L74"/>
    <mergeCell ref="H99:H100"/>
    <mergeCell ref="M73:N73"/>
    <mergeCell ref="C73:D73"/>
    <mergeCell ref="E73:F73"/>
    <mergeCell ref="G73:H73"/>
    <mergeCell ref="I73:J73"/>
    <mergeCell ref="M74:N74"/>
    <mergeCell ref="K76:L76"/>
    <mergeCell ref="M76:N76"/>
    <mergeCell ref="C74:D74"/>
    <mergeCell ref="E74:F74"/>
    <mergeCell ref="G74:H74"/>
    <mergeCell ref="I74:J74"/>
    <mergeCell ref="K70:L70"/>
    <mergeCell ref="M70:N70"/>
    <mergeCell ref="K71:L71"/>
    <mergeCell ref="M71:N71"/>
    <mergeCell ref="K68:L68"/>
    <mergeCell ref="M68:N68"/>
    <mergeCell ref="K69:L69"/>
    <mergeCell ref="M69:N69"/>
    <mergeCell ref="C69:D69"/>
    <mergeCell ref="E69:F69"/>
    <mergeCell ref="G69:H69"/>
    <mergeCell ref="I69:J69"/>
    <mergeCell ref="C66:D66"/>
    <mergeCell ref="E66:F66"/>
    <mergeCell ref="G68:H68"/>
    <mergeCell ref="I68:J68"/>
    <mergeCell ref="G67:H67"/>
    <mergeCell ref="I67:J67"/>
    <mergeCell ref="K67:L67"/>
    <mergeCell ref="M67:N67"/>
    <mergeCell ref="G66:H66"/>
    <mergeCell ref="I66:J66"/>
    <mergeCell ref="K66:L66"/>
    <mergeCell ref="M66:N66"/>
    <mergeCell ref="K64:L64"/>
    <mergeCell ref="M64:N64"/>
    <mergeCell ref="K65:L65"/>
    <mergeCell ref="M65:N65"/>
    <mergeCell ref="I57:J57"/>
    <mergeCell ref="I56:J56"/>
    <mergeCell ref="G65:H65"/>
    <mergeCell ref="I65:J65"/>
    <mergeCell ref="I58:J58"/>
    <mergeCell ref="G62:J62"/>
    <mergeCell ref="G64:H64"/>
    <mergeCell ref="I64:J64"/>
    <mergeCell ref="C64:D64"/>
    <mergeCell ref="C62:D62"/>
    <mergeCell ref="E62:F62"/>
    <mergeCell ref="C63:D63"/>
    <mergeCell ref="E64:F64"/>
    <mergeCell ref="E63:F63"/>
    <mergeCell ref="E38:G38"/>
    <mergeCell ref="G59:H59"/>
    <mergeCell ref="C57:D57"/>
    <mergeCell ref="E57:F57"/>
    <mergeCell ref="G57:H57"/>
    <mergeCell ref="C55:D55"/>
    <mergeCell ref="C58:D58"/>
    <mergeCell ref="E58:F58"/>
    <mergeCell ref="G58:H58"/>
    <mergeCell ref="G56:H56"/>
    <mergeCell ref="K59:L59"/>
    <mergeCell ref="M59:N59"/>
    <mergeCell ref="C59:D59"/>
    <mergeCell ref="E59:F59"/>
    <mergeCell ref="I59:J59"/>
    <mergeCell ref="E55:F55"/>
    <mergeCell ref="G55:H55"/>
    <mergeCell ref="I55:J55"/>
    <mergeCell ref="A3:A6"/>
    <mergeCell ref="B3:N3"/>
    <mergeCell ref="A41:A42"/>
    <mergeCell ref="B41:E41"/>
    <mergeCell ref="F41:I41"/>
    <mergeCell ref="K45:N45"/>
    <mergeCell ref="K46:N46"/>
    <mergeCell ref="M4:N4"/>
    <mergeCell ref="A40:I40"/>
    <mergeCell ref="H4:I4"/>
    <mergeCell ref="B36:D36"/>
    <mergeCell ref="E36:G36"/>
    <mergeCell ref="J36:L36"/>
    <mergeCell ref="K40:N40"/>
    <mergeCell ref="B37:D37"/>
    <mergeCell ref="E37:G37"/>
    <mergeCell ref="B38:D38"/>
    <mergeCell ref="K49:N49"/>
    <mergeCell ref="C165:D165"/>
    <mergeCell ref="G127:K127"/>
    <mergeCell ref="K57:L57"/>
    <mergeCell ref="C54:D54"/>
    <mergeCell ref="E54:F54"/>
    <mergeCell ref="C56:D56"/>
    <mergeCell ref="E56:F56"/>
    <mergeCell ref="D95:H95"/>
    <mergeCell ref="G54:J54"/>
    <mergeCell ref="K56:L56"/>
    <mergeCell ref="M56:N56"/>
    <mergeCell ref="K58:L58"/>
    <mergeCell ref="M58:N58"/>
    <mergeCell ref="K54:L54"/>
    <mergeCell ref="M54:N54"/>
    <mergeCell ref="K55:L55"/>
    <mergeCell ref="M55:N55"/>
    <mergeCell ref="B127:F127"/>
    <mergeCell ref="C166:D166"/>
    <mergeCell ref="A165:B165"/>
    <mergeCell ref="M57:N57"/>
    <mergeCell ref="A164:D164"/>
    <mergeCell ref="B94:B96"/>
    <mergeCell ref="I94:I96"/>
    <mergeCell ref="C94:H94"/>
    <mergeCell ref="C95:C96"/>
    <mergeCell ref="A94:A96"/>
    <mergeCell ref="C60:D60"/>
    <mergeCell ref="E60:F60"/>
    <mergeCell ref="G60:H60"/>
    <mergeCell ref="I60:J60"/>
    <mergeCell ref="G70:H70"/>
    <mergeCell ref="I70:J70"/>
    <mergeCell ref="K60:L60"/>
    <mergeCell ref="M60:N60"/>
    <mergeCell ref="K62:L62"/>
    <mergeCell ref="M62:N62"/>
    <mergeCell ref="G63:H63"/>
    <mergeCell ref="I63:J63"/>
    <mergeCell ref="K63:L63"/>
    <mergeCell ref="M63:N63"/>
    <mergeCell ref="C65:D65"/>
    <mergeCell ref="E65:F65"/>
    <mergeCell ref="C71:D71"/>
    <mergeCell ref="E71:F71"/>
    <mergeCell ref="C70:D70"/>
    <mergeCell ref="E70:F70"/>
    <mergeCell ref="C68:D68"/>
    <mergeCell ref="E68:F68"/>
    <mergeCell ref="C67:D67"/>
    <mergeCell ref="E67:F67"/>
    <mergeCell ref="G71:H71"/>
    <mergeCell ref="I71:J71"/>
    <mergeCell ref="C72:D72"/>
    <mergeCell ref="E72:F72"/>
    <mergeCell ref="G72:H72"/>
    <mergeCell ref="I72:J72"/>
    <mergeCell ref="K72:L72"/>
    <mergeCell ref="M72:N72"/>
    <mergeCell ref="A122:A123"/>
    <mergeCell ref="B122:B123"/>
    <mergeCell ref="C122:H122"/>
    <mergeCell ref="I99:L99"/>
    <mergeCell ref="A99:A100"/>
    <mergeCell ref="B99:B100"/>
    <mergeCell ref="C99:F99"/>
    <mergeCell ref="G99:G100"/>
    <mergeCell ref="E157:G157"/>
    <mergeCell ref="E158:G158"/>
    <mergeCell ref="E159:G159"/>
    <mergeCell ref="E161:G161"/>
    <mergeCell ref="E160:G160"/>
    <mergeCell ref="K149:K150"/>
    <mergeCell ref="B149:D149"/>
    <mergeCell ref="H149:J149"/>
    <mergeCell ref="E156:G156"/>
    <mergeCell ref="E155:G155"/>
    <mergeCell ref="E151:G151"/>
    <mergeCell ref="E152:G152"/>
    <mergeCell ref="E153:G153"/>
    <mergeCell ref="E154:G154"/>
    <mergeCell ref="E149:G150"/>
    <mergeCell ref="A68:B68"/>
    <mergeCell ref="A69:B69"/>
    <mergeCell ref="A70:B70"/>
    <mergeCell ref="A62:B63"/>
    <mergeCell ref="A64:B64"/>
    <mergeCell ref="A65:B65"/>
    <mergeCell ref="A66:B66"/>
    <mergeCell ref="A59:B59"/>
    <mergeCell ref="A60:B60"/>
    <mergeCell ref="A67:B67"/>
    <mergeCell ref="A54:B55"/>
    <mergeCell ref="A56:B56"/>
    <mergeCell ref="A57:B57"/>
    <mergeCell ref="A58:B58"/>
    <mergeCell ref="A76:B76"/>
    <mergeCell ref="A71:B71"/>
    <mergeCell ref="A72:B72"/>
    <mergeCell ref="A74:B74"/>
    <mergeCell ref="A73:B73"/>
    <mergeCell ref="E108:G108"/>
    <mergeCell ref="E109:G109"/>
    <mergeCell ref="E110:G110"/>
    <mergeCell ref="E111:G111"/>
    <mergeCell ref="E117:G117"/>
    <mergeCell ref="E118:G118"/>
    <mergeCell ref="E119:G119"/>
    <mergeCell ref="E112:G112"/>
    <mergeCell ref="E113:G113"/>
    <mergeCell ref="E114:G114"/>
    <mergeCell ref="E115:G115"/>
    <mergeCell ref="C87:E87"/>
    <mergeCell ref="C80:E80"/>
    <mergeCell ref="C81:E81"/>
    <mergeCell ref="C82:E82"/>
    <mergeCell ref="C83:E83"/>
    <mergeCell ref="C79:E79"/>
    <mergeCell ref="A127:A128"/>
    <mergeCell ref="A149:A150"/>
    <mergeCell ref="C88:E88"/>
    <mergeCell ref="C89:E89"/>
    <mergeCell ref="C90:E90"/>
    <mergeCell ref="C91:E91"/>
    <mergeCell ref="C84:E84"/>
    <mergeCell ref="C85:E85"/>
    <mergeCell ref="C86:E86"/>
  </mergeCells>
  <printOptions horizontalCentered="1"/>
  <pageMargins left="0.2362204724409449" right="0.2755905511811024" top="0.45" bottom="0.2362204724409449" header="0.2362204724409449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L1" sqref="L1"/>
    </sheetView>
  </sheetViews>
  <sheetFormatPr defaultColWidth="9.00390625" defaultRowHeight="12.75"/>
  <cols>
    <col min="1" max="1" width="27.625" style="1" customWidth="1"/>
    <col min="2" max="3" width="8.75390625" style="2" customWidth="1"/>
    <col min="4" max="4" width="9.375" style="2" customWidth="1"/>
    <col min="5" max="8" width="8.75390625" style="2" customWidth="1"/>
    <col min="9" max="9" width="8.75390625" style="1" customWidth="1"/>
    <col min="10" max="10" width="9.75390625" style="1" customWidth="1"/>
    <col min="11" max="14" width="8.75390625" style="1" customWidth="1"/>
  </cols>
  <sheetData>
    <row r="1" spans="12:14" ht="15.75">
      <c r="L1" s="3" t="s">
        <v>458</v>
      </c>
      <c r="N1" s="4"/>
    </row>
    <row r="2" spans="1:14" ht="17.25" customHeight="1" thickBot="1">
      <c r="A2" s="434" t="s">
        <v>393</v>
      </c>
      <c r="B2" s="6"/>
      <c r="C2" s="6"/>
      <c r="D2" s="6"/>
      <c r="E2" s="6"/>
      <c r="F2" s="6"/>
      <c r="G2" s="6"/>
      <c r="H2" s="6"/>
      <c r="L2" s="3" t="s">
        <v>374</v>
      </c>
      <c r="N2" s="4"/>
    </row>
    <row r="3" spans="1:14" ht="13.5" customHeight="1" thickBot="1">
      <c r="A3" s="793" t="s">
        <v>1</v>
      </c>
      <c r="B3" s="796" t="s">
        <v>218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1"/>
    </row>
    <row r="4" spans="1:34" ht="10.5" customHeight="1">
      <c r="A4" s="794"/>
      <c r="B4" s="7" t="s">
        <v>3</v>
      </c>
      <c r="C4" s="8"/>
      <c r="D4" s="9"/>
      <c r="E4" s="10" t="s">
        <v>4</v>
      </c>
      <c r="F4" s="8"/>
      <c r="G4" s="9"/>
      <c r="H4" s="778" t="s">
        <v>5</v>
      </c>
      <c r="I4" s="779"/>
      <c r="J4" s="8" t="s">
        <v>6</v>
      </c>
      <c r="K4" s="11"/>
      <c r="L4" s="12"/>
      <c r="M4" s="778" t="s">
        <v>7</v>
      </c>
      <c r="N4" s="77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4" ht="13.5" customHeight="1">
      <c r="A5" s="794"/>
      <c r="B5" s="13" t="s">
        <v>8</v>
      </c>
      <c r="C5" s="14" t="s">
        <v>9</v>
      </c>
      <c r="D5" s="15" t="s">
        <v>10</v>
      </c>
      <c r="E5" s="16" t="s">
        <v>8</v>
      </c>
      <c r="F5" s="14" t="s">
        <v>9</v>
      </c>
      <c r="G5" s="15" t="s">
        <v>10</v>
      </c>
      <c r="H5" s="17" t="s">
        <v>10</v>
      </c>
      <c r="I5" s="17" t="s">
        <v>11</v>
      </c>
      <c r="J5" s="18" t="s">
        <v>8</v>
      </c>
      <c r="K5" s="14" t="s">
        <v>9</v>
      </c>
      <c r="L5" s="15" t="s">
        <v>10</v>
      </c>
      <c r="M5" s="17" t="s">
        <v>10</v>
      </c>
      <c r="N5" s="15" t="s">
        <v>11</v>
      </c>
    </row>
    <row r="6" spans="1:14" ht="12" customHeight="1" thickBot="1">
      <c r="A6" s="829"/>
      <c r="B6" s="19" t="s">
        <v>12</v>
      </c>
      <c r="C6" s="20" t="s">
        <v>12</v>
      </c>
      <c r="D6" s="21"/>
      <c r="E6" s="22" t="s">
        <v>12</v>
      </c>
      <c r="F6" s="20" t="s">
        <v>12</v>
      </c>
      <c r="G6" s="21"/>
      <c r="H6" s="23" t="s">
        <v>13</v>
      </c>
      <c r="I6" s="24" t="s">
        <v>14</v>
      </c>
      <c r="J6" s="25" t="s">
        <v>12</v>
      </c>
      <c r="K6" s="20" t="s">
        <v>12</v>
      </c>
      <c r="L6" s="21"/>
      <c r="M6" s="23" t="s">
        <v>13</v>
      </c>
      <c r="N6" s="21" t="s">
        <v>14</v>
      </c>
    </row>
    <row r="7" spans="1:14" ht="14.25" customHeight="1">
      <c r="A7" s="26" t="s">
        <v>15</v>
      </c>
      <c r="B7" s="27"/>
      <c r="C7" s="28"/>
      <c r="D7" s="29"/>
      <c r="E7" s="288"/>
      <c r="F7" s="28"/>
      <c r="G7" s="29"/>
      <c r="H7" s="30"/>
      <c r="I7" s="34"/>
      <c r="J7" s="32"/>
      <c r="K7" s="28"/>
      <c r="L7" s="33"/>
      <c r="M7" s="30"/>
      <c r="N7" s="34"/>
    </row>
    <row r="8" spans="1:14" ht="14.25" customHeight="1">
      <c r="A8" s="35" t="s">
        <v>16</v>
      </c>
      <c r="B8" s="36">
        <v>484435</v>
      </c>
      <c r="C8" s="37">
        <v>2462</v>
      </c>
      <c r="D8" s="38">
        <f aca="true" t="shared" si="0" ref="D8:D15">SUM(B8:C8)</f>
        <v>486897</v>
      </c>
      <c r="E8" s="289">
        <v>538284.82</v>
      </c>
      <c r="F8" s="37">
        <v>1907.66</v>
      </c>
      <c r="G8" s="38">
        <f aca="true" t="shared" si="1" ref="G8:G15">SUM(E8:F8)</f>
        <v>540192.48</v>
      </c>
      <c r="H8" s="42">
        <f aca="true" t="shared" si="2" ref="H8:H35">+G8-D8</f>
        <v>53295.47999999998</v>
      </c>
      <c r="I8" s="46">
        <f aca="true" t="shared" si="3" ref="I8:I13">+G8/D8</f>
        <v>1.109459454463675</v>
      </c>
      <c r="J8" s="44">
        <v>583521</v>
      </c>
      <c r="K8" s="37">
        <v>1186</v>
      </c>
      <c r="L8" s="38">
        <f aca="true" t="shared" si="4" ref="L8:L15">+J8+K8</f>
        <v>584707</v>
      </c>
      <c r="M8" s="42">
        <f aca="true" t="shared" si="5" ref="M8:M35">+L8-G8</f>
        <v>44514.52000000002</v>
      </c>
      <c r="N8" s="46">
        <f>+L8/G8</f>
        <v>1.082404923519113</v>
      </c>
    </row>
    <row r="9" spans="1:14" ht="14.25" customHeight="1">
      <c r="A9" s="35" t="s">
        <v>17</v>
      </c>
      <c r="B9" s="36">
        <v>74991</v>
      </c>
      <c r="C9" s="37">
        <v>1412</v>
      </c>
      <c r="D9" s="38">
        <f t="shared" si="0"/>
        <v>76403</v>
      </c>
      <c r="E9" s="289">
        <v>84864.36</v>
      </c>
      <c r="F9" s="37">
        <v>1643.74</v>
      </c>
      <c r="G9" s="38">
        <f t="shared" si="1"/>
        <v>86508.1</v>
      </c>
      <c r="H9" s="42">
        <f t="shared" si="2"/>
        <v>10105.100000000006</v>
      </c>
      <c r="I9" s="46">
        <f t="shared" si="3"/>
        <v>1.1322605133306285</v>
      </c>
      <c r="J9" s="44">
        <v>163</v>
      </c>
      <c r="K9" s="37">
        <v>91862</v>
      </c>
      <c r="L9" s="38">
        <f t="shared" si="4"/>
        <v>92025</v>
      </c>
      <c r="M9" s="42">
        <f t="shared" si="5"/>
        <v>5516.899999999994</v>
      </c>
      <c r="N9" s="46">
        <f>+L9/G9</f>
        <v>1.0637732189240081</v>
      </c>
    </row>
    <row r="10" spans="1:14" ht="14.25" customHeight="1">
      <c r="A10" s="35" t="s">
        <v>18</v>
      </c>
      <c r="B10" s="36">
        <v>4082</v>
      </c>
      <c r="C10" s="37">
        <v>0</v>
      </c>
      <c r="D10" s="38">
        <f t="shared" si="0"/>
        <v>4082</v>
      </c>
      <c r="E10" s="290">
        <v>8095.41</v>
      </c>
      <c r="F10" s="48"/>
      <c r="G10" s="38">
        <f t="shared" si="1"/>
        <v>8095.41</v>
      </c>
      <c r="H10" s="42">
        <f t="shared" si="2"/>
        <v>4013.41</v>
      </c>
      <c r="I10" s="46">
        <f t="shared" si="3"/>
        <v>1.9831969622733954</v>
      </c>
      <c r="J10" s="44">
        <v>8300</v>
      </c>
      <c r="K10" s="37"/>
      <c r="L10" s="38">
        <f t="shared" si="4"/>
        <v>8300</v>
      </c>
      <c r="M10" s="42">
        <f t="shared" si="5"/>
        <v>204.59000000000015</v>
      </c>
      <c r="N10" s="46">
        <f>+L10/G10</f>
        <v>1.0252723456872475</v>
      </c>
    </row>
    <row r="11" spans="1:14" ht="14.25" customHeight="1">
      <c r="A11" s="35" t="s">
        <v>19</v>
      </c>
      <c r="B11" s="36">
        <v>3905</v>
      </c>
      <c r="C11" s="37">
        <v>0</v>
      </c>
      <c r="D11" s="38">
        <f t="shared" si="0"/>
        <v>3905</v>
      </c>
      <c r="E11" s="290">
        <f>1387.82+18.89+24.17+1665.61+20441.85</f>
        <v>23538.339999999997</v>
      </c>
      <c r="F11" s="48"/>
      <c r="G11" s="38">
        <f t="shared" si="1"/>
        <v>23538.339999999997</v>
      </c>
      <c r="H11" s="42">
        <f t="shared" si="2"/>
        <v>19633.339999999997</v>
      </c>
      <c r="I11" s="46">
        <f t="shared" si="3"/>
        <v>6.027743918053776</v>
      </c>
      <c r="J11" s="44">
        <v>10140</v>
      </c>
      <c r="K11" s="37">
        <v>0</v>
      </c>
      <c r="L11" s="38">
        <f t="shared" si="4"/>
        <v>10140</v>
      </c>
      <c r="M11" s="42">
        <f t="shared" si="5"/>
        <v>-13398.339999999997</v>
      </c>
      <c r="N11" s="46">
        <f>+L11/G11</f>
        <v>0.4307865380481377</v>
      </c>
    </row>
    <row r="12" spans="1:14" ht="14.25" customHeight="1">
      <c r="A12" s="50" t="s">
        <v>20</v>
      </c>
      <c r="B12" s="36">
        <v>1690</v>
      </c>
      <c r="C12" s="37">
        <v>0</v>
      </c>
      <c r="D12" s="38">
        <f t="shared" si="0"/>
        <v>1690</v>
      </c>
      <c r="E12" s="290">
        <v>1665.61</v>
      </c>
      <c r="F12" s="48"/>
      <c r="G12" s="38">
        <f t="shared" si="1"/>
        <v>1665.61</v>
      </c>
      <c r="H12" s="42">
        <f t="shared" si="2"/>
        <v>-24.3900000000001</v>
      </c>
      <c r="I12" s="46">
        <f t="shared" si="3"/>
        <v>0.9855680473372781</v>
      </c>
      <c r="J12" s="44">
        <v>3850</v>
      </c>
      <c r="K12" s="37">
        <v>0</v>
      </c>
      <c r="L12" s="38">
        <f t="shared" si="4"/>
        <v>3850</v>
      </c>
      <c r="M12" s="42">
        <f t="shared" si="5"/>
        <v>2184.3900000000003</v>
      </c>
      <c r="N12" s="46">
        <f>+L12/G12</f>
        <v>2.3114654691074143</v>
      </c>
    </row>
    <row r="13" spans="1:14" ht="14.25" customHeight="1">
      <c r="A13" s="50" t="s">
        <v>21</v>
      </c>
      <c r="B13" s="36">
        <v>5176</v>
      </c>
      <c r="C13" s="37">
        <v>0</v>
      </c>
      <c r="D13" s="38">
        <f t="shared" si="0"/>
        <v>5176</v>
      </c>
      <c r="E13" s="290">
        <v>10050.76</v>
      </c>
      <c r="F13" s="48"/>
      <c r="G13" s="38">
        <f t="shared" si="1"/>
        <v>10050.76</v>
      </c>
      <c r="H13" s="42">
        <f t="shared" si="2"/>
        <v>4874.76</v>
      </c>
      <c r="I13" s="46">
        <f t="shared" si="3"/>
        <v>1.9418006182380216</v>
      </c>
      <c r="J13" s="44">
        <v>10470</v>
      </c>
      <c r="K13" s="37">
        <v>0</v>
      </c>
      <c r="L13" s="38">
        <f t="shared" si="4"/>
        <v>10470</v>
      </c>
      <c r="M13" s="42">
        <f t="shared" si="5"/>
        <v>419.2399999999998</v>
      </c>
      <c r="N13" s="46"/>
    </row>
    <row r="14" spans="1:14" ht="15.75" customHeight="1">
      <c r="A14" s="50" t="s">
        <v>22</v>
      </c>
      <c r="B14" s="36">
        <v>0</v>
      </c>
      <c r="C14" s="37">
        <v>0</v>
      </c>
      <c r="D14" s="38">
        <f t="shared" si="0"/>
        <v>0</v>
      </c>
      <c r="E14" s="290">
        <v>0</v>
      </c>
      <c r="F14" s="48"/>
      <c r="G14" s="38">
        <f t="shared" si="1"/>
        <v>0</v>
      </c>
      <c r="H14" s="42">
        <f t="shared" si="2"/>
        <v>0</v>
      </c>
      <c r="I14" s="46"/>
      <c r="J14" s="44"/>
      <c r="K14" s="37"/>
      <c r="L14" s="38">
        <f t="shared" si="4"/>
        <v>0</v>
      </c>
      <c r="M14" s="42">
        <f t="shared" si="5"/>
        <v>0</v>
      </c>
      <c r="N14" s="46"/>
    </row>
    <row r="15" spans="1:14" ht="14.25" customHeight="1" thickBot="1">
      <c r="A15" s="291" t="s">
        <v>23</v>
      </c>
      <c r="B15" s="52">
        <v>10549</v>
      </c>
      <c r="C15" s="53">
        <v>0</v>
      </c>
      <c r="D15" s="292">
        <f t="shared" si="0"/>
        <v>10549</v>
      </c>
      <c r="E15" s="293">
        <v>29327.8</v>
      </c>
      <c r="F15" s="53"/>
      <c r="G15" s="292">
        <f t="shared" si="1"/>
        <v>29327.8</v>
      </c>
      <c r="H15" s="57">
        <f t="shared" si="2"/>
        <v>18778.8</v>
      </c>
      <c r="I15" s="59"/>
      <c r="J15" s="54">
        <f>24489+562</f>
        <v>25051</v>
      </c>
      <c r="K15" s="53"/>
      <c r="L15" s="38">
        <f t="shared" si="4"/>
        <v>25051</v>
      </c>
      <c r="M15" s="57">
        <f t="shared" si="5"/>
        <v>-4276.799999999999</v>
      </c>
      <c r="N15" s="59">
        <f>+L15/G15</f>
        <v>0.8541724916291028</v>
      </c>
    </row>
    <row r="16" spans="1:14" s="85" customFormat="1" ht="14.25" customHeight="1" thickBot="1">
      <c r="A16" s="60" t="s">
        <v>24</v>
      </c>
      <c r="B16" s="61">
        <f aca="true" t="shared" si="6" ref="B16:G16">SUM(B7+B8+B9+B10+B11+B13+B15)</f>
        <v>583138</v>
      </c>
      <c r="C16" s="62">
        <f t="shared" si="6"/>
        <v>3874</v>
      </c>
      <c r="D16" s="63">
        <f t="shared" si="6"/>
        <v>587012</v>
      </c>
      <c r="E16" s="294">
        <f t="shared" si="6"/>
        <v>694161.49</v>
      </c>
      <c r="F16" s="62">
        <f t="shared" si="6"/>
        <v>3551.4</v>
      </c>
      <c r="G16" s="62">
        <f t="shared" si="6"/>
        <v>697712.89</v>
      </c>
      <c r="H16" s="64">
        <f t="shared" si="2"/>
        <v>110700.89000000001</v>
      </c>
      <c r="I16" s="67">
        <f>+G16/D16</f>
        <v>1.1885836916451453</v>
      </c>
      <c r="J16" s="294">
        <f>SUM(J7+J8+J9+J10+J11+J13+J15)</f>
        <v>637645</v>
      </c>
      <c r="K16" s="62">
        <f>SUM(K7+K8+K9+K10+K11+K13+K15)</f>
        <v>93048</v>
      </c>
      <c r="L16" s="62">
        <f>SUM(L7+L8+L9+L10+L11+L13+L15)</f>
        <v>730693</v>
      </c>
      <c r="M16" s="64">
        <f t="shared" si="5"/>
        <v>32980.109999999986</v>
      </c>
      <c r="N16" s="67">
        <f>+L16/G16</f>
        <v>1.0472688844834155</v>
      </c>
    </row>
    <row r="17" spans="1:14" ht="14.25" customHeight="1">
      <c r="A17" s="26" t="s">
        <v>25</v>
      </c>
      <c r="B17" s="27">
        <v>200698</v>
      </c>
      <c r="C17" s="28">
        <v>439</v>
      </c>
      <c r="D17" s="29">
        <f aca="true" t="shared" si="7" ref="D17:D34">SUM(B17:C17)</f>
        <v>201137</v>
      </c>
      <c r="E17" s="295">
        <v>170807.45</v>
      </c>
      <c r="F17" s="296">
        <v>343.35</v>
      </c>
      <c r="G17" s="29">
        <f aca="true" t="shared" si="8" ref="G17:G34">SUM(E17:F17)</f>
        <v>171150.80000000002</v>
      </c>
      <c r="H17" s="30">
        <f t="shared" si="2"/>
        <v>-29986.199999999983</v>
      </c>
      <c r="I17" s="71">
        <f>+G17/D17</f>
        <v>0.8509165394730955</v>
      </c>
      <c r="J17" s="32">
        <v>170200</v>
      </c>
      <c r="K17" s="28">
        <v>310</v>
      </c>
      <c r="L17" s="29">
        <f aca="true" t="shared" si="9" ref="L17:L34">+J17+K17</f>
        <v>170510</v>
      </c>
      <c r="M17" s="30">
        <f t="shared" si="5"/>
        <v>-640.8000000000175</v>
      </c>
      <c r="N17" s="71">
        <f>+L17/G17</f>
        <v>0.9962559333640274</v>
      </c>
    </row>
    <row r="18" spans="1:14" ht="16.5" customHeight="1">
      <c r="A18" s="50" t="s">
        <v>26</v>
      </c>
      <c r="B18" s="27">
        <v>35223</v>
      </c>
      <c r="C18" s="28">
        <v>58</v>
      </c>
      <c r="D18" s="38">
        <f t="shared" si="7"/>
        <v>35281</v>
      </c>
      <c r="E18" s="297">
        <v>-1048</v>
      </c>
      <c r="F18" s="28">
        <v>2</v>
      </c>
      <c r="G18" s="38">
        <f t="shared" si="8"/>
        <v>-1046</v>
      </c>
      <c r="H18" s="42">
        <f t="shared" si="2"/>
        <v>-36327</v>
      </c>
      <c r="I18" s="46">
        <f>+G18/D18</f>
        <v>-0.029647685723193786</v>
      </c>
      <c r="J18" s="32">
        <v>2078</v>
      </c>
      <c r="K18" s="28">
        <v>2</v>
      </c>
      <c r="L18" s="29">
        <f t="shared" si="9"/>
        <v>2080</v>
      </c>
      <c r="M18" s="42">
        <f t="shared" si="5"/>
        <v>3126</v>
      </c>
      <c r="N18" s="46">
        <f>+L18/G18</f>
        <v>-1.988527724665392</v>
      </c>
    </row>
    <row r="19" spans="1:14" ht="14.25" customHeight="1">
      <c r="A19" s="35" t="s">
        <v>27</v>
      </c>
      <c r="B19" s="36">
        <v>29284</v>
      </c>
      <c r="C19" s="37">
        <v>653</v>
      </c>
      <c r="D19" s="38">
        <f t="shared" si="7"/>
        <v>29937</v>
      </c>
      <c r="E19" s="298">
        <v>26536.39</v>
      </c>
      <c r="F19" s="37">
        <v>555.69</v>
      </c>
      <c r="G19" s="38">
        <f t="shared" si="8"/>
        <v>27092.079999999998</v>
      </c>
      <c r="H19" s="42">
        <f t="shared" si="2"/>
        <v>-2844.920000000002</v>
      </c>
      <c r="I19" s="46">
        <f>+G19/D19</f>
        <v>0.9049697698500183</v>
      </c>
      <c r="J19" s="36">
        <v>24754</v>
      </c>
      <c r="K19" s="37">
        <v>578</v>
      </c>
      <c r="L19" s="29">
        <f t="shared" si="9"/>
        <v>25332</v>
      </c>
      <c r="M19" s="42">
        <f t="shared" si="5"/>
        <v>-1760.079999999998</v>
      </c>
      <c r="N19" s="46">
        <f>+L19/G19</f>
        <v>0.9350334119787038</v>
      </c>
    </row>
    <row r="20" spans="1:14" ht="14.25" customHeight="1">
      <c r="A20" s="50" t="s">
        <v>28</v>
      </c>
      <c r="B20" s="36">
        <v>408</v>
      </c>
      <c r="C20" s="37">
        <v>0</v>
      </c>
      <c r="D20" s="38">
        <f t="shared" si="7"/>
        <v>408</v>
      </c>
      <c r="E20" s="290">
        <v>361.91</v>
      </c>
      <c r="F20" s="48"/>
      <c r="G20" s="38">
        <f t="shared" si="8"/>
        <v>361.91</v>
      </c>
      <c r="H20" s="42">
        <f t="shared" si="2"/>
        <v>-46.089999999999975</v>
      </c>
      <c r="I20" s="46"/>
      <c r="J20" s="44">
        <v>400</v>
      </c>
      <c r="K20" s="37">
        <v>0</v>
      </c>
      <c r="L20" s="29">
        <f t="shared" si="9"/>
        <v>400</v>
      </c>
      <c r="M20" s="42">
        <f t="shared" si="5"/>
        <v>38.089999999999975</v>
      </c>
      <c r="N20" s="46"/>
    </row>
    <row r="21" spans="1:14" ht="14.25" customHeight="1">
      <c r="A21" s="35" t="s">
        <v>29</v>
      </c>
      <c r="B21" s="36">
        <v>60941</v>
      </c>
      <c r="C21" s="37">
        <v>1201</v>
      </c>
      <c r="D21" s="38">
        <f t="shared" si="7"/>
        <v>62142</v>
      </c>
      <c r="E21" s="290">
        <v>69803.48</v>
      </c>
      <c r="F21" s="48">
        <v>1372.58</v>
      </c>
      <c r="G21" s="38">
        <f t="shared" si="8"/>
        <v>71176.06</v>
      </c>
      <c r="H21" s="42">
        <f t="shared" si="2"/>
        <v>9034.059999999998</v>
      </c>
      <c r="I21" s="46">
        <f aca="true" t="shared" si="10" ref="I21:I33">+G21/D21</f>
        <v>1.1453776833703453</v>
      </c>
      <c r="J21" s="44">
        <v>0</v>
      </c>
      <c r="K21" s="37">
        <v>75000</v>
      </c>
      <c r="L21" s="29">
        <f t="shared" si="9"/>
        <v>75000</v>
      </c>
      <c r="M21" s="42">
        <f t="shared" si="5"/>
        <v>3823.9400000000023</v>
      </c>
      <c r="N21" s="46">
        <f aca="true" t="shared" si="11" ref="N21:N29">+L21/G21</f>
        <v>1.0537250867777734</v>
      </c>
    </row>
    <row r="22" spans="1:14" ht="14.25" customHeight="1">
      <c r="A22" s="35" t="s">
        <v>30</v>
      </c>
      <c r="B22" s="44">
        <v>66204</v>
      </c>
      <c r="C22" s="37">
        <v>727</v>
      </c>
      <c r="D22" s="38">
        <f t="shared" si="7"/>
        <v>66931</v>
      </c>
      <c r="E22" s="290">
        <f>15033.96+657.92+30.49+79040.47</f>
        <v>94762.84</v>
      </c>
      <c r="F22" s="48">
        <f>16.74+0.19+0.19+362.81</f>
        <v>379.93</v>
      </c>
      <c r="G22" s="38">
        <f t="shared" si="8"/>
        <v>95142.76999999999</v>
      </c>
      <c r="H22" s="42">
        <f t="shared" si="2"/>
        <v>28211.76999999999</v>
      </c>
      <c r="I22" s="46">
        <f t="shared" si="10"/>
        <v>1.42150528155862</v>
      </c>
      <c r="J22" s="44">
        <v>106381</v>
      </c>
      <c r="K22" s="37">
        <v>410</v>
      </c>
      <c r="L22" s="29">
        <f t="shared" si="9"/>
        <v>106791</v>
      </c>
      <c r="M22" s="42">
        <f t="shared" si="5"/>
        <v>11648.23000000001</v>
      </c>
      <c r="N22" s="46">
        <f t="shared" si="11"/>
        <v>1.1224289559784733</v>
      </c>
    </row>
    <row r="23" spans="1:14" ht="14.25" customHeight="1">
      <c r="A23" s="50" t="s">
        <v>31</v>
      </c>
      <c r="B23" s="36">
        <v>8952</v>
      </c>
      <c r="C23" s="37">
        <v>15</v>
      </c>
      <c r="D23" s="38">
        <f t="shared" si="7"/>
        <v>8967</v>
      </c>
      <c r="E23" s="290">
        <v>15033.96</v>
      </c>
      <c r="F23" s="48">
        <v>16.74</v>
      </c>
      <c r="G23" s="38">
        <f t="shared" si="8"/>
        <v>15050.699999999999</v>
      </c>
      <c r="H23" s="42">
        <f t="shared" si="2"/>
        <v>6083.699999999999</v>
      </c>
      <c r="I23" s="46">
        <f t="shared" si="10"/>
        <v>1.678454332552693</v>
      </c>
      <c r="J23" s="47">
        <v>12481</v>
      </c>
      <c r="K23" s="37">
        <v>19</v>
      </c>
      <c r="L23" s="29">
        <f t="shared" si="9"/>
        <v>12500</v>
      </c>
      <c r="M23" s="42">
        <f t="shared" si="5"/>
        <v>-2550.699999999999</v>
      </c>
      <c r="N23" s="46">
        <f t="shared" si="11"/>
        <v>0.8305261549296711</v>
      </c>
    </row>
    <row r="24" spans="1:14" ht="14.25" customHeight="1">
      <c r="A24" s="35" t="s">
        <v>32</v>
      </c>
      <c r="B24" s="36">
        <v>56329</v>
      </c>
      <c r="C24" s="37">
        <v>467</v>
      </c>
      <c r="D24" s="38">
        <f t="shared" si="7"/>
        <v>56796</v>
      </c>
      <c r="E24" s="290">
        <v>79040.47</v>
      </c>
      <c r="F24" s="48">
        <v>362.81</v>
      </c>
      <c r="G24" s="38">
        <f t="shared" si="8"/>
        <v>79403.28</v>
      </c>
      <c r="H24" s="42">
        <f t="shared" si="2"/>
        <v>22607.28</v>
      </c>
      <c r="I24" s="46">
        <f t="shared" si="10"/>
        <v>1.3980435241918445</v>
      </c>
      <c r="J24" s="47">
        <v>93096</v>
      </c>
      <c r="K24" s="37">
        <v>410</v>
      </c>
      <c r="L24" s="29">
        <f t="shared" si="9"/>
        <v>93506</v>
      </c>
      <c r="M24" s="42">
        <f t="shared" si="5"/>
        <v>14102.720000000001</v>
      </c>
      <c r="N24" s="46">
        <f t="shared" si="11"/>
        <v>1.1776087839192537</v>
      </c>
    </row>
    <row r="25" spans="1:14" ht="14.25" customHeight="1">
      <c r="A25" s="75" t="s">
        <v>33</v>
      </c>
      <c r="B25" s="44">
        <v>356871</v>
      </c>
      <c r="C25" s="37">
        <v>643</v>
      </c>
      <c r="D25" s="38">
        <f t="shared" si="7"/>
        <v>357514</v>
      </c>
      <c r="E25" s="299">
        <f>230366.12+80512.34+4654.72</f>
        <v>315533.17999999993</v>
      </c>
      <c r="F25" s="48">
        <f>463.66+157.32+8.62</f>
        <v>629.6</v>
      </c>
      <c r="G25" s="38">
        <f t="shared" si="8"/>
        <v>316162.7799999999</v>
      </c>
      <c r="H25" s="42">
        <f t="shared" si="2"/>
        <v>-41351.22000000009</v>
      </c>
      <c r="I25" s="46">
        <f t="shared" si="10"/>
        <v>0.8843367812169591</v>
      </c>
      <c r="J25" s="36">
        <v>333146</v>
      </c>
      <c r="K25" s="37">
        <v>1118</v>
      </c>
      <c r="L25" s="29">
        <f t="shared" si="9"/>
        <v>334264</v>
      </c>
      <c r="M25" s="42">
        <f t="shared" si="5"/>
        <v>18101.22000000009</v>
      </c>
      <c r="N25" s="46">
        <f t="shared" si="11"/>
        <v>1.0572528493075626</v>
      </c>
    </row>
    <row r="26" spans="1:14" ht="14.25" customHeight="1">
      <c r="A26" s="50" t="s">
        <v>34</v>
      </c>
      <c r="B26" s="36">
        <v>260957</v>
      </c>
      <c r="C26" s="37">
        <v>471</v>
      </c>
      <c r="D26" s="38">
        <f t="shared" si="7"/>
        <v>261428</v>
      </c>
      <c r="E26" s="299">
        <v>230366.12</v>
      </c>
      <c r="F26" s="48">
        <v>463.66</v>
      </c>
      <c r="G26" s="38">
        <f t="shared" si="8"/>
        <v>230829.78</v>
      </c>
      <c r="H26" s="42">
        <f t="shared" si="2"/>
        <v>-30598.22</v>
      </c>
      <c r="I26" s="46">
        <f t="shared" si="10"/>
        <v>0.882957372584421</v>
      </c>
      <c r="J26" s="300">
        <v>242940</v>
      </c>
      <c r="K26" s="48">
        <v>815</v>
      </c>
      <c r="L26" s="29">
        <f t="shared" si="9"/>
        <v>243755</v>
      </c>
      <c r="M26" s="42">
        <f t="shared" si="5"/>
        <v>12925.220000000001</v>
      </c>
      <c r="N26" s="46">
        <f t="shared" si="11"/>
        <v>1.0559945948048817</v>
      </c>
    </row>
    <row r="27" spans="1:14" ht="14.25" customHeight="1">
      <c r="A27" s="75" t="s">
        <v>35</v>
      </c>
      <c r="B27" s="36">
        <v>255610</v>
      </c>
      <c r="C27" s="37">
        <v>467</v>
      </c>
      <c r="D27" s="38">
        <f t="shared" si="7"/>
        <v>256077</v>
      </c>
      <c r="E27" s="298"/>
      <c r="F27" s="37"/>
      <c r="G27" s="38">
        <f t="shared" si="8"/>
        <v>0</v>
      </c>
      <c r="H27" s="42">
        <f t="shared" si="2"/>
        <v>-256077</v>
      </c>
      <c r="I27" s="46">
        <f t="shared" si="10"/>
        <v>0</v>
      </c>
      <c r="J27" s="36">
        <v>234810</v>
      </c>
      <c r="K27" s="37">
        <v>815</v>
      </c>
      <c r="L27" s="29">
        <f t="shared" si="9"/>
        <v>235625</v>
      </c>
      <c r="M27" s="42">
        <f t="shared" si="5"/>
        <v>235625</v>
      </c>
      <c r="N27" s="46" t="e">
        <f t="shared" si="11"/>
        <v>#DIV/0!</v>
      </c>
    </row>
    <row r="28" spans="1:14" ht="14.25" customHeight="1">
      <c r="A28" s="50" t="s">
        <v>36</v>
      </c>
      <c r="B28" s="36">
        <v>5267</v>
      </c>
      <c r="C28" s="37">
        <v>5</v>
      </c>
      <c r="D28" s="38">
        <f t="shared" si="7"/>
        <v>5272</v>
      </c>
      <c r="E28" s="298"/>
      <c r="F28" s="37"/>
      <c r="G28" s="38">
        <f t="shared" si="8"/>
        <v>0</v>
      </c>
      <c r="H28" s="42">
        <f t="shared" si="2"/>
        <v>-5272</v>
      </c>
      <c r="I28" s="46">
        <f t="shared" si="10"/>
        <v>0</v>
      </c>
      <c r="J28" s="36">
        <v>4375</v>
      </c>
      <c r="K28" s="37">
        <v>0</v>
      </c>
      <c r="L28" s="29">
        <f t="shared" si="9"/>
        <v>4375</v>
      </c>
      <c r="M28" s="42">
        <f t="shared" si="5"/>
        <v>4375</v>
      </c>
      <c r="N28" s="46" t="e">
        <f t="shared" si="11"/>
        <v>#DIV/0!</v>
      </c>
    </row>
    <row r="29" spans="1:14" ht="14.25" customHeight="1">
      <c r="A29" s="50" t="s">
        <v>37</v>
      </c>
      <c r="B29" s="36">
        <v>95913</v>
      </c>
      <c r="C29" s="37">
        <v>171</v>
      </c>
      <c r="D29" s="38">
        <f t="shared" si="7"/>
        <v>96084</v>
      </c>
      <c r="E29" s="299">
        <f>80512.34+4654.72</f>
        <v>85167.06</v>
      </c>
      <c r="F29" s="48">
        <f>157.32+8.62</f>
        <v>165.94</v>
      </c>
      <c r="G29" s="38">
        <f t="shared" si="8"/>
        <v>85333</v>
      </c>
      <c r="H29" s="42">
        <f t="shared" si="2"/>
        <v>-10751</v>
      </c>
      <c r="I29" s="46">
        <f t="shared" si="10"/>
        <v>0.8881083218850173</v>
      </c>
      <c r="J29" s="36">
        <v>90206</v>
      </c>
      <c r="K29" s="37">
        <v>303</v>
      </c>
      <c r="L29" s="29">
        <f t="shared" si="9"/>
        <v>90509</v>
      </c>
      <c r="M29" s="42">
        <f t="shared" si="5"/>
        <v>5176</v>
      </c>
      <c r="N29" s="46">
        <f t="shared" si="11"/>
        <v>1.0606564869394022</v>
      </c>
    </row>
    <row r="30" spans="1:14" ht="14.25" customHeight="1">
      <c r="A30" s="75" t="s">
        <v>38</v>
      </c>
      <c r="B30" s="36">
        <v>0</v>
      </c>
      <c r="C30" s="37">
        <v>0</v>
      </c>
      <c r="D30" s="38">
        <f t="shared" si="7"/>
        <v>0</v>
      </c>
      <c r="E30" s="290">
        <v>0</v>
      </c>
      <c r="F30" s="48"/>
      <c r="G30" s="38">
        <f t="shared" si="8"/>
        <v>0</v>
      </c>
      <c r="H30" s="42">
        <f t="shared" si="2"/>
        <v>0</v>
      </c>
      <c r="I30" s="46" t="e">
        <f t="shared" si="10"/>
        <v>#DIV/0!</v>
      </c>
      <c r="J30" s="44">
        <v>0</v>
      </c>
      <c r="K30" s="37">
        <v>0</v>
      </c>
      <c r="L30" s="29">
        <f t="shared" si="9"/>
        <v>0</v>
      </c>
      <c r="M30" s="42">
        <f t="shared" si="5"/>
        <v>0</v>
      </c>
      <c r="N30" s="46"/>
    </row>
    <row r="31" spans="1:14" ht="14.25" customHeight="1">
      <c r="A31" s="75" t="s">
        <v>39</v>
      </c>
      <c r="B31" s="36">
        <v>6026</v>
      </c>
      <c r="C31" s="37">
        <v>1</v>
      </c>
      <c r="D31" s="38">
        <f t="shared" si="7"/>
        <v>6027</v>
      </c>
      <c r="E31" s="290">
        <f>8.82+5155.45+478.54+320.4+3132.21</f>
        <v>9095.419999999998</v>
      </c>
      <c r="F31" s="48">
        <v>0.98</v>
      </c>
      <c r="G31" s="38">
        <f t="shared" si="8"/>
        <v>9096.399999999998</v>
      </c>
      <c r="H31" s="42">
        <f t="shared" si="2"/>
        <v>3069.399999999998</v>
      </c>
      <c r="I31" s="46">
        <f t="shared" si="10"/>
        <v>1.5092749294839884</v>
      </c>
      <c r="J31" s="44">
        <v>5669</v>
      </c>
      <c r="K31" s="37">
        <v>1</v>
      </c>
      <c r="L31" s="29">
        <f t="shared" si="9"/>
        <v>5670</v>
      </c>
      <c r="M31" s="42">
        <f t="shared" si="5"/>
        <v>-3426.399999999998</v>
      </c>
      <c r="N31" s="46">
        <f>+L31/G31</f>
        <v>0.6233235125983907</v>
      </c>
    </row>
    <row r="32" spans="1:14" ht="14.25" customHeight="1">
      <c r="A32" s="50" t="s">
        <v>40</v>
      </c>
      <c r="B32" s="36">
        <v>6190</v>
      </c>
      <c r="C32" s="37">
        <v>0</v>
      </c>
      <c r="D32" s="38">
        <f t="shared" si="7"/>
        <v>6190</v>
      </c>
      <c r="E32" s="290">
        <f>2135.3+9983.59</f>
        <v>12118.89</v>
      </c>
      <c r="F32" s="48">
        <v>1.24</v>
      </c>
      <c r="G32" s="38">
        <f t="shared" si="8"/>
        <v>12120.13</v>
      </c>
      <c r="H32" s="42">
        <f t="shared" si="2"/>
        <v>5930.129999999999</v>
      </c>
      <c r="I32" s="46">
        <f t="shared" si="10"/>
        <v>1.9580177705977382</v>
      </c>
      <c r="J32" s="47">
        <v>12726</v>
      </c>
      <c r="K32" s="37">
        <v>0</v>
      </c>
      <c r="L32" s="29">
        <f t="shared" si="9"/>
        <v>12726</v>
      </c>
      <c r="M32" s="42">
        <f t="shared" si="5"/>
        <v>605.8700000000008</v>
      </c>
      <c r="N32" s="46">
        <f>+L32/G32</f>
        <v>1.0499887377445623</v>
      </c>
    </row>
    <row r="33" spans="1:14" ht="18" customHeight="1">
      <c r="A33" s="50" t="s">
        <v>41</v>
      </c>
      <c r="B33" s="36">
        <v>1010</v>
      </c>
      <c r="C33" s="37">
        <v>0</v>
      </c>
      <c r="D33" s="38">
        <f t="shared" si="7"/>
        <v>1010</v>
      </c>
      <c r="E33" s="290">
        <v>2135.3</v>
      </c>
      <c r="F33" s="37"/>
      <c r="G33" s="38">
        <f t="shared" si="8"/>
        <v>2135.3</v>
      </c>
      <c r="H33" s="42">
        <f t="shared" si="2"/>
        <v>1125.3000000000002</v>
      </c>
      <c r="I33" s="46">
        <f t="shared" si="10"/>
        <v>2.1141584158415845</v>
      </c>
      <c r="J33" s="47">
        <v>2426</v>
      </c>
      <c r="K33" s="37">
        <v>0</v>
      </c>
      <c r="L33" s="29">
        <f t="shared" si="9"/>
        <v>2426</v>
      </c>
      <c r="M33" s="42">
        <f t="shared" si="5"/>
        <v>290.6999999999998</v>
      </c>
      <c r="N33" s="46">
        <f>+L33/G33</f>
        <v>1.1361401208261133</v>
      </c>
    </row>
    <row r="34" spans="1:14" ht="14.25" customHeight="1" thickBot="1">
      <c r="A34" s="76" t="s">
        <v>42</v>
      </c>
      <c r="B34" s="52">
        <v>0</v>
      </c>
      <c r="C34" s="53">
        <v>0</v>
      </c>
      <c r="D34" s="38">
        <f t="shared" si="7"/>
        <v>0</v>
      </c>
      <c r="E34" s="301">
        <v>0</v>
      </c>
      <c r="F34" s="53"/>
      <c r="G34" s="38">
        <f t="shared" si="8"/>
        <v>0</v>
      </c>
      <c r="H34" s="57">
        <f t="shared" si="2"/>
        <v>0</v>
      </c>
      <c r="I34" s="59"/>
      <c r="J34" s="77">
        <v>0</v>
      </c>
      <c r="K34" s="53">
        <v>0</v>
      </c>
      <c r="L34" s="29">
        <f t="shared" si="9"/>
        <v>0</v>
      </c>
      <c r="M34" s="57">
        <f t="shared" si="5"/>
        <v>0</v>
      </c>
      <c r="N34" s="59"/>
    </row>
    <row r="35" spans="1:14" s="2" customFormat="1" ht="14.25" customHeight="1" thickBot="1">
      <c r="A35" s="60" t="s">
        <v>43</v>
      </c>
      <c r="B35" s="66">
        <f aca="true" t="shared" si="12" ref="B35:G35">SUM(B17+B19+B20+B21+B22+B25+B30+B31+B32+B34)</f>
        <v>726622</v>
      </c>
      <c r="C35" s="62">
        <f t="shared" si="12"/>
        <v>3664</v>
      </c>
      <c r="D35" s="63">
        <f t="shared" si="12"/>
        <v>730286</v>
      </c>
      <c r="E35" s="131">
        <f t="shared" si="12"/>
        <v>699019.56</v>
      </c>
      <c r="F35" s="62">
        <f t="shared" si="12"/>
        <v>3283.3699999999994</v>
      </c>
      <c r="G35" s="62">
        <f t="shared" si="12"/>
        <v>702302.9299999999</v>
      </c>
      <c r="H35" s="64">
        <f t="shared" si="2"/>
        <v>-27983.070000000065</v>
      </c>
      <c r="I35" s="67">
        <f>+G35/D35</f>
        <v>0.9616820396392646</v>
      </c>
      <c r="J35" s="294">
        <f>SUM(J17+J19+J20+J21+J22+J25+J30+J31+J32+J34)</f>
        <v>653276</v>
      </c>
      <c r="K35" s="62">
        <f>SUM(K17+K19+K20+K21+K22+K25+K30+K31+K32+K34)</f>
        <v>77417</v>
      </c>
      <c r="L35" s="62">
        <f>SUM(L17+L19+L20+L21+L22+L25+L30+L31+L32+L34)</f>
        <v>730693</v>
      </c>
      <c r="M35" s="64">
        <f t="shared" si="5"/>
        <v>28390.070000000065</v>
      </c>
      <c r="N35" s="67">
        <f>+L35/G35</f>
        <v>1.040424251113405</v>
      </c>
    </row>
    <row r="36" spans="1:14" s="2" customFormat="1" ht="14.25" customHeight="1" thickBot="1">
      <c r="A36" s="60" t="s">
        <v>44</v>
      </c>
      <c r="B36" s="782">
        <f>+D16-D35</f>
        <v>-143274</v>
      </c>
      <c r="C36" s="831"/>
      <c r="D36" s="832"/>
      <c r="E36" s="828">
        <f>+G16-G35</f>
        <v>-4590.039999999921</v>
      </c>
      <c r="F36" s="831"/>
      <c r="G36" s="832"/>
      <c r="H36" s="302"/>
      <c r="I36" s="303"/>
      <c r="J36" s="782">
        <f>+L16-L35</f>
        <v>0</v>
      </c>
      <c r="K36" s="831"/>
      <c r="L36" s="832"/>
      <c r="M36" s="302"/>
      <c r="N36" s="303"/>
    </row>
    <row r="37" spans="1:14" ht="20.25" customHeight="1" thickBot="1">
      <c r="A37" s="80" t="s">
        <v>45</v>
      </c>
      <c r="B37" s="782">
        <v>-104522.55</v>
      </c>
      <c r="C37" s="783"/>
      <c r="D37" s="784"/>
      <c r="E37" s="828">
        <v>-224395</v>
      </c>
      <c r="F37" s="783"/>
      <c r="G37" s="784"/>
      <c r="H37"/>
      <c r="I37"/>
      <c r="J37" s="96" t="s">
        <v>387</v>
      </c>
      <c r="K37"/>
      <c r="L37"/>
      <c r="M37"/>
      <c r="N37"/>
    </row>
    <row r="38" spans="1:14" ht="15.75" customHeight="1" thickBot="1">
      <c r="A38" s="81" t="s">
        <v>46</v>
      </c>
      <c r="B38" s="782">
        <f>SUM(B36:D37)</f>
        <v>-247796.55</v>
      </c>
      <c r="C38" s="783"/>
      <c r="D38" s="784"/>
      <c r="E38" s="828">
        <f>SUM(E36:G37)</f>
        <v>-228985.03999999992</v>
      </c>
      <c r="F38" s="783"/>
      <c r="G38" s="784"/>
      <c r="H38"/>
      <c r="I38"/>
      <c r="J38"/>
      <c r="K38"/>
      <c r="L38"/>
      <c r="M38"/>
      <c r="N38"/>
    </row>
    <row r="39" spans="1:14" ht="3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ht="7.5" customHeight="1" thickBot="1">
      <c r="A40" s="2"/>
    </row>
    <row r="41" spans="1:29" ht="17.25" customHeight="1" thickBot="1">
      <c r="A41" s="830" t="s">
        <v>47</v>
      </c>
      <c r="B41" s="740"/>
      <c r="C41" s="740"/>
      <c r="D41" s="740"/>
      <c r="E41" s="740"/>
      <c r="F41" s="740"/>
      <c r="G41" s="740"/>
      <c r="H41" s="740"/>
      <c r="I41" s="741"/>
      <c r="J41" s="96"/>
      <c r="K41" s="716" t="s">
        <v>48</v>
      </c>
      <c r="L41" s="785"/>
      <c r="M41" s="785"/>
      <c r="N41" s="78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85" customFormat="1" ht="17.25" customHeight="1">
      <c r="A42" s="797" t="s">
        <v>49</v>
      </c>
      <c r="B42" s="799" t="s">
        <v>439</v>
      </c>
      <c r="C42" s="799"/>
      <c r="D42" s="799"/>
      <c r="E42" s="800"/>
      <c r="F42" s="801" t="s">
        <v>440</v>
      </c>
      <c r="G42" s="799"/>
      <c r="H42" s="799"/>
      <c r="I42" s="800"/>
      <c r="K42" s="304" t="s">
        <v>51</v>
      </c>
      <c r="L42" s="305" t="s">
        <v>52</v>
      </c>
      <c r="M42" s="306" t="s">
        <v>53</v>
      </c>
      <c r="N42" s="307" t="s">
        <v>54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ht="18" customHeight="1" thickBot="1">
      <c r="A43" s="798"/>
      <c r="B43" s="95">
        <v>2004</v>
      </c>
      <c r="C43" s="92">
        <v>2005</v>
      </c>
      <c r="D43" s="93" t="s">
        <v>13</v>
      </c>
      <c r="E43" s="94" t="s">
        <v>55</v>
      </c>
      <c r="F43" s="95">
        <v>2004</v>
      </c>
      <c r="G43" s="92">
        <v>2005</v>
      </c>
      <c r="H43" s="93" t="s">
        <v>13</v>
      </c>
      <c r="I43" s="94" t="s">
        <v>55</v>
      </c>
      <c r="J43" s="96"/>
      <c r="K43" s="97">
        <v>2004</v>
      </c>
      <c r="L43" s="98">
        <f>+F45+B45</f>
        <v>34900000</v>
      </c>
      <c r="M43" s="99">
        <v>26200000</v>
      </c>
      <c r="N43" s="100">
        <v>8700000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85" customFormat="1" ht="19.5" customHeight="1">
      <c r="A44" s="559" t="s">
        <v>389</v>
      </c>
      <c r="B44" s="308">
        <v>1374000</v>
      </c>
      <c r="C44" s="103">
        <f>1274000</f>
        <v>1274000</v>
      </c>
      <c r="D44" s="73">
        <f aca="true" t="shared" si="13" ref="D44:D52">+C44-B44</f>
        <v>-100000</v>
      </c>
      <c r="E44" s="104">
        <f>+C44/B44</f>
        <v>0.9272197962154294</v>
      </c>
      <c r="F44" s="105"/>
      <c r="G44" s="106"/>
      <c r="H44" s="73">
        <f aca="true" t="shared" si="14" ref="H44:H52">+G44-F44</f>
        <v>0</v>
      </c>
      <c r="I44" s="104"/>
      <c r="K44" s="97">
        <v>2005</v>
      </c>
      <c r="L44" s="106">
        <f>+M44+N44</f>
        <v>35900000</v>
      </c>
      <c r="M44" s="106">
        <v>26200000</v>
      </c>
      <c r="N44" s="107">
        <v>9700000</v>
      </c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s="85" customFormat="1" ht="19.5" customHeight="1" thickBot="1">
      <c r="A45" s="558" t="s">
        <v>390</v>
      </c>
      <c r="B45" s="105">
        <v>14845000</v>
      </c>
      <c r="C45" s="103"/>
      <c r="D45" s="110">
        <f t="shared" si="13"/>
        <v>-14845000</v>
      </c>
      <c r="E45" s="104">
        <f>+C45/B45</f>
        <v>0</v>
      </c>
      <c r="F45" s="105">
        <v>20055000</v>
      </c>
      <c r="G45" s="106">
        <f>+E110</f>
        <v>35900000</v>
      </c>
      <c r="H45" s="110">
        <f t="shared" si="14"/>
        <v>15845000</v>
      </c>
      <c r="I45" s="111">
        <f>+G45/F45</f>
        <v>1.7900772874594864</v>
      </c>
      <c r="K45" s="112" t="s">
        <v>56</v>
      </c>
      <c r="L45" s="113">
        <f>+L44-L43</f>
        <v>1000000</v>
      </c>
      <c r="M45" s="114">
        <f>+M44-M43</f>
        <v>0</v>
      </c>
      <c r="N45" s="115">
        <f>+N44-N43</f>
        <v>1000000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s="85" customFormat="1" ht="19.5" customHeight="1">
      <c r="A46" s="127" t="s">
        <v>391</v>
      </c>
      <c r="B46" s="105">
        <v>1525570</v>
      </c>
      <c r="C46" s="103"/>
      <c r="D46" s="37">
        <f t="shared" si="13"/>
        <v>-1525570</v>
      </c>
      <c r="E46" s="111"/>
      <c r="F46" s="105">
        <v>710000</v>
      </c>
      <c r="G46" s="106">
        <v>710000</v>
      </c>
      <c r="H46" s="37">
        <f t="shared" si="14"/>
        <v>0</v>
      </c>
      <c r="I46" s="111">
        <f>+G46/F46</f>
        <v>1</v>
      </c>
      <c r="J46"/>
      <c r="K46" s="802" t="s">
        <v>434</v>
      </c>
      <c r="L46" s="803"/>
      <c r="M46" s="803"/>
      <c r="N46" s="804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s="85" customFormat="1" ht="19.5" customHeight="1">
      <c r="A47" s="127" t="s">
        <v>392</v>
      </c>
      <c r="B47" s="105">
        <v>311233</v>
      </c>
      <c r="C47" s="103"/>
      <c r="D47" s="37">
        <f t="shared" si="13"/>
        <v>-311233</v>
      </c>
      <c r="E47" s="111"/>
      <c r="F47" s="105"/>
      <c r="G47" s="106"/>
      <c r="H47" s="37">
        <f t="shared" si="14"/>
        <v>0</v>
      </c>
      <c r="I47" s="111"/>
      <c r="J47"/>
      <c r="K47" s="805">
        <v>2004</v>
      </c>
      <c r="L47" s="806"/>
      <c r="M47" s="806"/>
      <c r="N47" s="807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s="85" customFormat="1" ht="19.5" customHeight="1">
      <c r="A48" s="310" t="s">
        <v>57</v>
      </c>
      <c r="B48" s="117">
        <v>10750000</v>
      </c>
      <c r="C48" s="103"/>
      <c r="D48" s="37">
        <f t="shared" si="13"/>
        <v>-10750000</v>
      </c>
      <c r="E48" s="111"/>
      <c r="F48" s="117">
        <v>8921000</v>
      </c>
      <c r="G48" s="118"/>
      <c r="H48" s="37">
        <f t="shared" si="14"/>
        <v>-8921000</v>
      </c>
      <c r="I48" s="111"/>
      <c r="J48"/>
      <c r="K48" s="119" t="s">
        <v>58</v>
      </c>
      <c r="L48" s="120" t="s">
        <v>60</v>
      </c>
      <c r="M48" s="121" t="s">
        <v>59</v>
      </c>
      <c r="N48" s="122" t="s">
        <v>61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</row>
    <row r="49" spans="1:29" s="85" customFormat="1" ht="19.5" customHeight="1" thickBot="1">
      <c r="A49" s="309" t="s">
        <v>448</v>
      </c>
      <c r="B49" s="105">
        <v>522000</v>
      </c>
      <c r="C49" s="103">
        <v>562000</v>
      </c>
      <c r="D49" s="37">
        <f t="shared" si="13"/>
        <v>40000</v>
      </c>
      <c r="E49" s="111"/>
      <c r="F49" s="105"/>
      <c r="G49" s="106"/>
      <c r="H49" s="37">
        <f t="shared" si="14"/>
        <v>0</v>
      </c>
      <c r="I49" s="111"/>
      <c r="J49"/>
      <c r="K49" s="123">
        <f>+F45/L43</f>
        <v>0.5746418338108883</v>
      </c>
      <c r="L49" s="125">
        <f>+(16397279.03-5381000-710000)/L43</f>
        <v>0.29530885472779367</v>
      </c>
      <c r="M49" s="124">
        <f>+(13288720.97-3540000)/L43</f>
        <v>0.27933297908309457</v>
      </c>
      <c r="N49" s="126">
        <f>+B45/L43</f>
        <v>0.42535816618911176</v>
      </c>
      <c r="O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</row>
    <row r="50" spans="1:29" s="85" customFormat="1" ht="19.5" customHeight="1">
      <c r="A50" s="309" t="s">
        <v>63</v>
      </c>
      <c r="B50" s="105"/>
      <c r="C50" s="103">
        <v>17049000</v>
      </c>
      <c r="D50" s="37">
        <f t="shared" si="13"/>
        <v>17049000</v>
      </c>
      <c r="E50" s="111"/>
      <c r="F50" s="105"/>
      <c r="G50" s="106">
        <v>500000</v>
      </c>
      <c r="H50" s="37">
        <f t="shared" si="14"/>
        <v>500000</v>
      </c>
      <c r="I50" s="111"/>
      <c r="J50"/>
      <c r="K50" s="767">
        <v>2005</v>
      </c>
      <c r="L50" s="768"/>
      <c r="M50" s="768"/>
      <c r="N50" s="769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s="85" customFormat="1" ht="19.5" customHeight="1" thickBot="1">
      <c r="A51" s="309"/>
      <c r="B51" s="105"/>
      <c r="C51" s="103"/>
      <c r="D51" s="37">
        <f t="shared" si="13"/>
        <v>0</v>
      </c>
      <c r="E51" s="111"/>
      <c r="F51" s="105"/>
      <c r="G51" s="129"/>
      <c r="H51" s="37">
        <f t="shared" si="14"/>
        <v>0</v>
      </c>
      <c r="I51" s="111"/>
      <c r="J51"/>
      <c r="K51" s="119" t="s">
        <v>52</v>
      </c>
      <c r="L51" s="120" t="s">
        <v>60</v>
      </c>
      <c r="M51" s="121" t="s">
        <v>59</v>
      </c>
      <c r="N51" s="122" t="s">
        <v>61</v>
      </c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</row>
    <row r="52" spans="1:29" s="85" customFormat="1" ht="18.75" customHeight="1" thickBot="1">
      <c r="A52" s="311" t="s">
        <v>64</v>
      </c>
      <c r="B52" s="66">
        <f>SUM(B44:B51)</f>
        <v>29327803</v>
      </c>
      <c r="C52" s="132">
        <f>SUM(C44:C51)</f>
        <v>18885000</v>
      </c>
      <c r="D52" s="133">
        <f t="shared" si="13"/>
        <v>-10442803</v>
      </c>
      <c r="E52" s="134">
        <f>+C52/B52</f>
        <v>0.6439282206035004</v>
      </c>
      <c r="F52" s="66">
        <f>SUM(F44:F51)</f>
        <v>29686000</v>
      </c>
      <c r="G52" s="132">
        <f>SUM(G44:G51)</f>
        <v>37110000</v>
      </c>
      <c r="H52" s="133">
        <f t="shared" si="14"/>
        <v>7424000</v>
      </c>
      <c r="I52" s="134">
        <f>+G52/F52</f>
        <v>1.2500842147813784</v>
      </c>
      <c r="K52" s="123">
        <f>+G45/L44</f>
        <v>1</v>
      </c>
      <c r="L52" s="124">
        <f>+E73/L44</f>
        <v>0.3075208913649025</v>
      </c>
      <c r="M52" s="125">
        <f>+E108/L44</f>
        <v>0.6924791086350975</v>
      </c>
      <c r="N52" s="126">
        <f>+C45/L44</f>
        <v>0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</row>
    <row r="53" spans="1:14" ht="5.25" customHeight="1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30.75" customHeight="1">
      <c r="A54" s="732" t="s">
        <v>449</v>
      </c>
      <c r="B54" s="867"/>
      <c r="C54" s="772" t="s">
        <v>219</v>
      </c>
      <c r="D54" s="772"/>
      <c r="E54" s="772" t="s">
        <v>66</v>
      </c>
      <c r="F54" s="772"/>
      <c r="G54" s="772" t="s">
        <v>67</v>
      </c>
      <c r="H54" s="772"/>
      <c r="I54" s="772" t="s">
        <v>63</v>
      </c>
      <c r="J54" s="772"/>
      <c r="K54" s="772" t="s">
        <v>68</v>
      </c>
      <c r="L54" s="733"/>
      <c r="M54"/>
      <c r="N54"/>
    </row>
    <row r="55" spans="1:14" ht="14.25" customHeight="1" thickBot="1">
      <c r="A55" s="312" t="s">
        <v>220</v>
      </c>
      <c r="B55" s="631" t="s">
        <v>221</v>
      </c>
      <c r="C55" s="735" t="s">
        <v>317</v>
      </c>
      <c r="D55" s="735"/>
      <c r="E55" s="735" t="s">
        <v>70</v>
      </c>
      <c r="F55" s="735"/>
      <c r="G55" s="735" t="s">
        <v>71</v>
      </c>
      <c r="H55" s="735"/>
      <c r="I55" s="735" t="s">
        <v>73</v>
      </c>
      <c r="J55" s="735"/>
      <c r="K55" s="735" t="s">
        <v>74</v>
      </c>
      <c r="L55" s="738"/>
      <c r="M55"/>
      <c r="N55"/>
    </row>
    <row r="56" spans="1:14" ht="15.75" customHeight="1">
      <c r="A56" s="313" t="s">
        <v>222</v>
      </c>
      <c r="B56" s="314"/>
      <c r="C56" s="819"/>
      <c r="D56" s="819"/>
      <c r="E56" s="819">
        <v>380000</v>
      </c>
      <c r="F56" s="819"/>
      <c r="G56" s="819"/>
      <c r="H56" s="819"/>
      <c r="I56" s="819"/>
      <c r="J56" s="819"/>
      <c r="K56" s="819">
        <f aca="true" t="shared" si="15" ref="K56:K72">+C56+E56+G56+I56</f>
        <v>380000</v>
      </c>
      <c r="L56" s="827"/>
      <c r="M56"/>
      <c r="N56"/>
    </row>
    <row r="57" spans="1:14" ht="16.5" customHeight="1">
      <c r="A57" s="313" t="s">
        <v>223</v>
      </c>
      <c r="B57" s="314"/>
      <c r="C57" s="819"/>
      <c r="D57" s="819"/>
      <c r="E57" s="819">
        <v>320000</v>
      </c>
      <c r="F57" s="819"/>
      <c r="G57" s="819"/>
      <c r="H57" s="819"/>
      <c r="I57" s="819"/>
      <c r="J57" s="819"/>
      <c r="K57" s="819">
        <f t="shared" si="15"/>
        <v>320000</v>
      </c>
      <c r="L57" s="827"/>
      <c r="M57"/>
      <c r="N57"/>
    </row>
    <row r="58" spans="1:14" ht="20.25" customHeight="1">
      <c r="A58" s="313" t="s">
        <v>224</v>
      </c>
      <c r="B58" s="314"/>
      <c r="C58" s="819"/>
      <c r="D58" s="819"/>
      <c r="E58" s="819">
        <v>150000</v>
      </c>
      <c r="F58" s="819"/>
      <c r="G58" s="819"/>
      <c r="H58" s="819"/>
      <c r="I58" s="819"/>
      <c r="J58" s="819"/>
      <c r="K58" s="819">
        <f t="shared" si="15"/>
        <v>150000</v>
      </c>
      <c r="L58" s="827"/>
      <c r="M58"/>
      <c r="N58"/>
    </row>
    <row r="59" spans="1:14" ht="17.25" customHeight="1">
      <c r="A59" s="313" t="s">
        <v>225</v>
      </c>
      <c r="B59" s="314"/>
      <c r="C59" s="819"/>
      <c r="D59" s="819"/>
      <c r="E59" s="819">
        <v>250000</v>
      </c>
      <c r="F59" s="819"/>
      <c r="G59" s="819"/>
      <c r="H59" s="819"/>
      <c r="I59" s="819"/>
      <c r="J59" s="819"/>
      <c r="K59" s="819">
        <f t="shared" si="15"/>
        <v>250000</v>
      </c>
      <c r="L59" s="827"/>
      <c r="M59"/>
      <c r="N59"/>
    </row>
    <row r="60" spans="1:14" ht="20.25" customHeight="1">
      <c r="A60" s="313" t="s">
        <v>226</v>
      </c>
      <c r="B60" s="314"/>
      <c r="C60" s="819"/>
      <c r="D60" s="819"/>
      <c r="E60" s="819">
        <v>280000</v>
      </c>
      <c r="F60" s="819"/>
      <c r="G60" s="819"/>
      <c r="H60" s="819"/>
      <c r="I60" s="819"/>
      <c r="J60" s="819"/>
      <c r="K60" s="819">
        <f t="shared" si="15"/>
        <v>280000</v>
      </c>
      <c r="L60" s="827"/>
      <c r="M60"/>
      <c r="N60"/>
    </row>
    <row r="61" spans="1:14" ht="20.25" customHeight="1">
      <c r="A61" s="313" t="s">
        <v>227</v>
      </c>
      <c r="B61" s="314"/>
      <c r="C61" s="819"/>
      <c r="D61" s="819"/>
      <c r="E61" s="819">
        <v>900000</v>
      </c>
      <c r="F61" s="819"/>
      <c r="G61" s="819"/>
      <c r="H61" s="819"/>
      <c r="I61" s="819"/>
      <c r="J61" s="819"/>
      <c r="K61" s="819">
        <f t="shared" si="15"/>
        <v>900000</v>
      </c>
      <c r="L61" s="827"/>
      <c r="M61"/>
      <c r="N61"/>
    </row>
    <row r="62" spans="1:14" ht="20.25" customHeight="1">
      <c r="A62" s="313" t="s">
        <v>228</v>
      </c>
      <c r="B62" s="314"/>
      <c r="C62" s="819"/>
      <c r="D62" s="819"/>
      <c r="E62" s="819">
        <v>800000</v>
      </c>
      <c r="F62" s="819"/>
      <c r="G62" s="819"/>
      <c r="H62" s="819"/>
      <c r="I62" s="819"/>
      <c r="J62" s="819"/>
      <c r="K62" s="819">
        <f t="shared" si="15"/>
        <v>800000</v>
      </c>
      <c r="L62" s="827"/>
      <c r="M62"/>
      <c r="N62"/>
    </row>
    <row r="63" spans="1:14" ht="19.5" customHeight="1">
      <c r="A63" s="313" t="s">
        <v>229</v>
      </c>
      <c r="B63" s="314"/>
      <c r="C63" s="819"/>
      <c r="D63" s="819"/>
      <c r="E63" s="819">
        <v>900000</v>
      </c>
      <c r="F63" s="819"/>
      <c r="G63" s="819"/>
      <c r="H63" s="819"/>
      <c r="I63" s="819"/>
      <c r="J63" s="819"/>
      <c r="K63" s="819">
        <f t="shared" si="15"/>
        <v>900000</v>
      </c>
      <c r="L63" s="827"/>
      <c r="M63"/>
      <c r="N63"/>
    </row>
    <row r="64" spans="1:14" ht="18" customHeight="1">
      <c r="A64" s="313" t="s">
        <v>230</v>
      </c>
      <c r="B64" s="314"/>
      <c r="C64" s="819"/>
      <c r="D64" s="819"/>
      <c r="E64" s="819">
        <v>1000000</v>
      </c>
      <c r="F64" s="819"/>
      <c r="G64" s="819"/>
      <c r="H64" s="819"/>
      <c r="I64" s="819"/>
      <c r="J64" s="819"/>
      <c r="K64" s="819">
        <f t="shared" si="15"/>
        <v>1000000</v>
      </c>
      <c r="L64" s="827"/>
      <c r="M64"/>
      <c r="N64"/>
    </row>
    <row r="65" spans="1:12" s="85" customFormat="1" ht="17.25" customHeight="1">
      <c r="A65" s="313" t="s">
        <v>231</v>
      </c>
      <c r="B65" s="315" t="s">
        <v>232</v>
      </c>
      <c r="C65" s="819"/>
      <c r="D65" s="819"/>
      <c r="E65" s="819">
        <v>1354000</v>
      </c>
      <c r="F65" s="819"/>
      <c r="G65" s="819"/>
      <c r="H65" s="819"/>
      <c r="I65" s="819"/>
      <c r="J65" s="819"/>
      <c r="K65" s="819">
        <f t="shared" si="15"/>
        <v>1354000</v>
      </c>
      <c r="L65" s="827"/>
    </row>
    <row r="66" spans="1:12" s="85" customFormat="1" ht="18" customHeight="1">
      <c r="A66" s="313" t="s">
        <v>233</v>
      </c>
      <c r="B66" s="315" t="s">
        <v>234</v>
      </c>
      <c r="C66" s="819"/>
      <c r="D66" s="819"/>
      <c r="E66" s="819">
        <v>500000</v>
      </c>
      <c r="F66" s="819"/>
      <c r="G66" s="819"/>
      <c r="H66" s="819"/>
      <c r="I66" s="819"/>
      <c r="J66" s="819"/>
      <c r="K66" s="819">
        <f t="shared" si="15"/>
        <v>500000</v>
      </c>
      <c r="L66" s="827"/>
    </row>
    <row r="67" spans="1:12" s="85" customFormat="1" ht="17.25" customHeight="1">
      <c r="A67" s="313" t="s">
        <v>235</v>
      </c>
      <c r="B67" s="315" t="s">
        <v>236</v>
      </c>
      <c r="C67" s="819"/>
      <c r="D67" s="819"/>
      <c r="E67" s="819">
        <v>525000</v>
      </c>
      <c r="F67" s="819"/>
      <c r="G67" s="819"/>
      <c r="H67" s="819"/>
      <c r="I67" s="819"/>
      <c r="J67" s="819"/>
      <c r="K67" s="819">
        <f t="shared" si="15"/>
        <v>525000</v>
      </c>
      <c r="L67" s="827"/>
    </row>
    <row r="68" spans="1:12" s="85" customFormat="1" ht="20.25" customHeight="1">
      <c r="A68" s="313" t="s">
        <v>237</v>
      </c>
      <c r="B68" s="315" t="s">
        <v>238</v>
      </c>
      <c r="C68" s="819"/>
      <c r="D68" s="819"/>
      <c r="E68" s="819">
        <v>263000</v>
      </c>
      <c r="F68" s="819"/>
      <c r="G68" s="819"/>
      <c r="H68" s="819"/>
      <c r="I68" s="819"/>
      <c r="J68" s="819"/>
      <c r="K68" s="819">
        <f t="shared" si="15"/>
        <v>263000</v>
      </c>
      <c r="L68" s="827"/>
    </row>
    <row r="69" spans="1:12" s="85" customFormat="1" ht="20.25" customHeight="1">
      <c r="A69" s="313" t="s">
        <v>239</v>
      </c>
      <c r="B69" s="315" t="s">
        <v>240</v>
      </c>
      <c r="C69" s="819"/>
      <c r="D69" s="819"/>
      <c r="E69" s="819">
        <v>10000</v>
      </c>
      <c r="F69" s="819"/>
      <c r="G69" s="819"/>
      <c r="H69" s="819"/>
      <c r="I69" s="819"/>
      <c r="J69" s="819"/>
      <c r="K69" s="819">
        <f t="shared" si="15"/>
        <v>10000</v>
      </c>
      <c r="L69" s="827"/>
    </row>
    <row r="70" spans="1:12" s="85" customFormat="1" ht="20.25" customHeight="1">
      <c r="A70" s="313" t="s">
        <v>241</v>
      </c>
      <c r="B70" s="315" t="s">
        <v>242</v>
      </c>
      <c r="C70" s="819"/>
      <c r="D70" s="819"/>
      <c r="E70" s="819">
        <v>1881000</v>
      </c>
      <c r="F70" s="819"/>
      <c r="G70" s="819"/>
      <c r="H70" s="819"/>
      <c r="I70" s="819"/>
      <c r="J70" s="819"/>
      <c r="K70" s="819">
        <f t="shared" si="15"/>
        <v>1881000</v>
      </c>
      <c r="L70" s="827"/>
    </row>
    <row r="71" spans="1:12" s="85" customFormat="1" ht="20.25" customHeight="1">
      <c r="A71" s="313" t="s">
        <v>241</v>
      </c>
      <c r="B71" s="315" t="s">
        <v>243</v>
      </c>
      <c r="C71" s="819"/>
      <c r="D71" s="819"/>
      <c r="E71" s="819">
        <v>1376000</v>
      </c>
      <c r="F71" s="819"/>
      <c r="G71" s="819"/>
      <c r="H71" s="819"/>
      <c r="I71" s="819"/>
      <c r="J71" s="819"/>
      <c r="K71" s="819">
        <f t="shared" si="15"/>
        <v>1376000</v>
      </c>
      <c r="L71" s="827"/>
    </row>
    <row r="72" spans="1:12" s="85" customFormat="1" ht="20.25" customHeight="1" thickBot="1">
      <c r="A72" s="313" t="s">
        <v>244</v>
      </c>
      <c r="B72" s="315" t="s">
        <v>245</v>
      </c>
      <c r="C72" s="819"/>
      <c r="D72" s="819"/>
      <c r="E72" s="819">
        <v>151000</v>
      </c>
      <c r="F72" s="819"/>
      <c r="G72" s="819"/>
      <c r="H72" s="819"/>
      <c r="I72" s="819"/>
      <c r="J72" s="819"/>
      <c r="K72" s="819">
        <f t="shared" si="15"/>
        <v>151000</v>
      </c>
      <c r="L72" s="827"/>
    </row>
    <row r="73" spans="1:14" ht="13.5" thickBot="1">
      <c r="A73" s="679" t="s">
        <v>442</v>
      </c>
      <c r="B73" s="868"/>
      <c r="C73" s="726">
        <f>SUM(C56:D72)</f>
        <v>0</v>
      </c>
      <c r="D73" s="726"/>
      <c r="E73" s="726">
        <f>SUM(E56:F72)</f>
        <v>11040000</v>
      </c>
      <c r="F73" s="726"/>
      <c r="G73" s="726">
        <f>SUM(G56:H72)</f>
        <v>0</v>
      </c>
      <c r="H73" s="726"/>
      <c r="I73" s="726">
        <f>SUM(I56:J72)</f>
        <v>0</v>
      </c>
      <c r="J73" s="726"/>
      <c r="K73" s="726">
        <f>SUM(K56:L72)</f>
        <v>11040000</v>
      </c>
      <c r="L73" s="729"/>
      <c r="M73"/>
      <c r="N73"/>
    </row>
    <row r="74" spans="1:14" ht="4.5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23" ht="33.75" customHeight="1">
      <c r="A75" s="871" t="s">
        <v>450</v>
      </c>
      <c r="B75" s="731"/>
      <c r="C75" s="772" t="s">
        <v>219</v>
      </c>
      <c r="D75" s="772"/>
      <c r="E75" s="772" t="s">
        <v>66</v>
      </c>
      <c r="F75" s="772"/>
      <c r="G75" s="772" t="s">
        <v>67</v>
      </c>
      <c r="H75" s="772"/>
      <c r="I75" s="772" t="s">
        <v>63</v>
      </c>
      <c r="J75" s="772"/>
      <c r="K75" s="772" t="s">
        <v>68</v>
      </c>
      <c r="L75" s="733"/>
      <c r="O75" s="1"/>
      <c r="P75" s="1"/>
      <c r="Q75" s="1"/>
      <c r="R75" s="1"/>
      <c r="S75" s="1"/>
      <c r="T75" s="1"/>
      <c r="U75" s="1"/>
      <c r="V75" s="1"/>
      <c r="W75" s="1"/>
    </row>
    <row r="76" spans="1:23" ht="21.75" customHeight="1" thickBot="1">
      <c r="A76" s="312" t="s">
        <v>220</v>
      </c>
      <c r="B76" s="631" t="s">
        <v>221</v>
      </c>
      <c r="C76" s="735" t="s">
        <v>69</v>
      </c>
      <c r="D76" s="735"/>
      <c r="E76" s="735" t="s">
        <v>70</v>
      </c>
      <c r="F76" s="735"/>
      <c r="G76" s="735" t="s">
        <v>71</v>
      </c>
      <c r="H76" s="735"/>
      <c r="I76" s="735" t="s">
        <v>73</v>
      </c>
      <c r="J76" s="735"/>
      <c r="K76" s="735" t="s">
        <v>74</v>
      </c>
      <c r="L76" s="738"/>
      <c r="O76" s="1"/>
      <c r="P76" s="1"/>
      <c r="Q76" s="1"/>
      <c r="R76" s="1"/>
      <c r="S76" s="1"/>
      <c r="T76" s="1"/>
      <c r="U76" s="1"/>
      <c r="V76" s="1"/>
      <c r="W76" s="1"/>
    </row>
    <row r="77" spans="1:14" ht="16.5" customHeight="1">
      <c r="A77" s="313" t="s">
        <v>246</v>
      </c>
      <c r="B77" s="314"/>
      <c r="C77" s="819"/>
      <c r="D77" s="819"/>
      <c r="E77" s="819">
        <v>1800000</v>
      </c>
      <c r="F77" s="819"/>
      <c r="G77" s="819"/>
      <c r="H77" s="819"/>
      <c r="I77" s="819">
        <v>500000</v>
      </c>
      <c r="J77" s="819"/>
      <c r="K77" s="819">
        <f aca="true" t="shared" si="16" ref="K77:K107">SUM(C77:J77)</f>
        <v>2300000</v>
      </c>
      <c r="L77" s="827"/>
      <c r="M77"/>
      <c r="N77"/>
    </row>
    <row r="78" spans="1:14" ht="16.5" customHeight="1">
      <c r="A78" s="313" t="s">
        <v>247</v>
      </c>
      <c r="B78" s="316"/>
      <c r="C78" s="819"/>
      <c r="D78" s="819"/>
      <c r="E78" s="819">
        <v>260000</v>
      </c>
      <c r="F78" s="819"/>
      <c r="G78" s="819"/>
      <c r="H78" s="819"/>
      <c r="I78" s="819"/>
      <c r="J78" s="819"/>
      <c r="K78" s="819">
        <f t="shared" si="16"/>
        <v>260000</v>
      </c>
      <c r="L78" s="827"/>
      <c r="M78"/>
      <c r="N78"/>
    </row>
    <row r="79" spans="1:14" ht="16.5" customHeight="1">
      <c r="A79" s="313" t="s">
        <v>248</v>
      </c>
      <c r="B79" s="316"/>
      <c r="C79" s="819"/>
      <c r="D79" s="819"/>
      <c r="E79" s="819">
        <v>6000000</v>
      </c>
      <c r="F79" s="819"/>
      <c r="G79" s="819"/>
      <c r="H79" s="819"/>
      <c r="I79" s="819"/>
      <c r="J79" s="819"/>
      <c r="K79" s="819">
        <f t="shared" si="16"/>
        <v>6000000</v>
      </c>
      <c r="L79" s="827"/>
      <c r="M79"/>
      <c r="N79"/>
    </row>
    <row r="80" spans="1:14" ht="16.5" customHeight="1">
      <c r="A80" s="313" t="s">
        <v>249</v>
      </c>
      <c r="B80" s="316"/>
      <c r="C80" s="819"/>
      <c r="D80" s="819"/>
      <c r="E80" s="819">
        <v>1000000</v>
      </c>
      <c r="F80" s="819"/>
      <c r="G80" s="819"/>
      <c r="H80" s="819"/>
      <c r="I80" s="819"/>
      <c r="J80" s="819"/>
      <c r="K80" s="819">
        <f t="shared" si="16"/>
        <v>1000000</v>
      </c>
      <c r="L80" s="827"/>
      <c r="M80"/>
      <c r="N80"/>
    </row>
    <row r="81" spans="1:14" ht="16.5" customHeight="1">
      <c r="A81" s="313" t="s">
        <v>250</v>
      </c>
      <c r="B81" s="316"/>
      <c r="C81" s="819"/>
      <c r="D81" s="819"/>
      <c r="E81" s="819">
        <v>1500000</v>
      </c>
      <c r="F81" s="819"/>
      <c r="G81" s="819"/>
      <c r="H81" s="819"/>
      <c r="I81" s="819"/>
      <c r="J81" s="819"/>
      <c r="K81" s="819">
        <f t="shared" si="16"/>
        <v>1500000</v>
      </c>
      <c r="L81" s="827"/>
      <c r="M81"/>
      <c r="N81"/>
    </row>
    <row r="82" spans="1:14" ht="16.5" customHeight="1">
      <c r="A82" s="313" t="s">
        <v>251</v>
      </c>
      <c r="B82" s="316"/>
      <c r="C82" s="819"/>
      <c r="D82" s="819"/>
      <c r="E82" s="819">
        <v>250000</v>
      </c>
      <c r="F82" s="819"/>
      <c r="G82" s="819"/>
      <c r="H82" s="819"/>
      <c r="I82" s="819"/>
      <c r="J82" s="819"/>
      <c r="K82" s="819">
        <f t="shared" si="16"/>
        <v>250000</v>
      </c>
      <c r="L82" s="827"/>
      <c r="M82"/>
      <c r="N82"/>
    </row>
    <row r="83" spans="1:14" ht="16.5" customHeight="1">
      <c r="A83" s="313" t="s">
        <v>252</v>
      </c>
      <c r="B83" s="316"/>
      <c r="C83" s="819"/>
      <c r="D83" s="819"/>
      <c r="E83" s="819">
        <v>800000</v>
      </c>
      <c r="F83" s="819"/>
      <c r="G83" s="819"/>
      <c r="H83" s="819"/>
      <c r="I83" s="819"/>
      <c r="J83" s="819"/>
      <c r="K83" s="819">
        <f t="shared" si="16"/>
        <v>800000</v>
      </c>
      <c r="L83" s="827"/>
      <c r="M83"/>
      <c r="N83"/>
    </row>
    <row r="84" spans="1:14" ht="16.5" customHeight="1">
      <c r="A84" s="313" t="s">
        <v>253</v>
      </c>
      <c r="B84" s="316"/>
      <c r="C84" s="819"/>
      <c r="D84" s="819"/>
      <c r="E84" s="819">
        <v>1200000</v>
      </c>
      <c r="F84" s="819"/>
      <c r="G84" s="819"/>
      <c r="H84" s="819"/>
      <c r="I84" s="819"/>
      <c r="J84" s="819"/>
      <c r="K84" s="819">
        <f t="shared" si="16"/>
        <v>1200000</v>
      </c>
      <c r="L84" s="827"/>
      <c r="M84"/>
      <c r="N84"/>
    </row>
    <row r="85" spans="1:14" ht="16.5" customHeight="1">
      <c r="A85" s="313" t="s">
        <v>254</v>
      </c>
      <c r="B85" s="316"/>
      <c r="C85" s="819"/>
      <c r="D85" s="819"/>
      <c r="E85" s="819">
        <v>1500000</v>
      </c>
      <c r="F85" s="819"/>
      <c r="G85" s="819"/>
      <c r="H85" s="819"/>
      <c r="I85" s="819"/>
      <c r="J85" s="819"/>
      <c r="K85" s="819">
        <f t="shared" si="16"/>
        <v>1500000</v>
      </c>
      <c r="L85" s="827"/>
      <c r="M85"/>
      <c r="N85"/>
    </row>
    <row r="86" spans="1:14" ht="16.5" customHeight="1">
      <c r="A86" s="313" t="s">
        <v>255</v>
      </c>
      <c r="B86" s="316"/>
      <c r="C86" s="819"/>
      <c r="D86" s="819"/>
      <c r="E86" s="819">
        <v>150000</v>
      </c>
      <c r="F86" s="819"/>
      <c r="G86" s="819"/>
      <c r="H86" s="819"/>
      <c r="I86" s="819"/>
      <c r="J86" s="819"/>
      <c r="K86" s="819">
        <f t="shared" si="16"/>
        <v>150000</v>
      </c>
      <c r="L86" s="827"/>
      <c r="M86"/>
      <c r="N86"/>
    </row>
    <row r="87" spans="1:14" ht="16.5" customHeight="1">
      <c r="A87" s="313" t="s">
        <v>256</v>
      </c>
      <c r="B87" s="316"/>
      <c r="C87" s="819"/>
      <c r="D87" s="819"/>
      <c r="E87" s="819">
        <v>40000</v>
      </c>
      <c r="F87" s="819"/>
      <c r="G87" s="819"/>
      <c r="H87" s="819"/>
      <c r="I87" s="819"/>
      <c r="J87" s="819"/>
      <c r="K87" s="819">
        <f t="shared" si="16"/>
        <v>40000</v>
      </c>
      <c r="L87" s="827"/>
      <c r="M87"/>
      <c r="N87"/>
    </row>
    <row r="88" spans="1:14" ht="16.5" customHeight="1">
      <c r="A88" s="313" t="s">
        <v>257</v>
      </c>
      <c r="B88" s="316"/>
      <c r="C88" s="819"/>
      <c r="D88" s="819"/>
      <c r="E88" s="819">
        <v>110000</v>
      </c>
      <c r="F88" s="819"/>
      <c r="G88" s="819"/>
      <c r="H88" s="819"/>
      <c r="I88" s="819"/>
      <c r="J88" s="819"/>
      <c r="K88" s="819">
        <f t="shared" si="16"/>
        <v>110000</v>
      </c>
      <c r="L88" s="827"/>
      <c r="M88"/>
      <c r="N88"/>
    </row>
    <row r="89" spans="1:14" ht="16.5" customHeight="1">
      <c r="A89" s="313" t="s">
        <v>258</v>
      </c>
      <c r="B89" s="316"/>
      <c r="C89" s="819"/>
      <c r="D89" s="819"/>
      <c r="E89" s="819">
        <v>250000</v>
      </c>
      <c r="F89" s="819"/>
      <c r="G89" s="819"/>
      <c r="H89" s="819"/>
      <c r="I89" s="819"/>
      <c r="J89" s="819"/>
      <c r="K89" s="819">
        <f t="shared" si="16"/>
        <v>250000</v>
      </c>
      <c r="L89" s="827"/>
      <c r="M89"/>
      <c r="N89"/>
    </row>
    <row r="90" spans="1:14" ht="16.5" customHeight="1">
      <c r="A90" s="313" t="s">
        <v>259</v>
      </c>
      <c r="B90" s="316"/>
      <c r="C90" s="819"/>
      <c r="D90" s="819"/>
      <c r="E90" s="819">
        <v>1135000</v>
      </c>
      <c r="F90" s="819"/>
      <c r="G90" s="819"/>
      <c r="H90" s="819"/>
      <c r="I90" s="819"/>
      <c r="J90" s="819"/>
      <c r="K90" s="819">
        <f t="shared" si="16"/>
        <v>1135000</v>
      </c>
      <c r="L90" s="827"/>
      <c r="M90"/>
      <c r="N90"/>
    </row>
    <row r="91" spans="1:14" ht="16.5" customHeight="1">
      <c r="A91" s="313" t="s">
        <v>260</v>
      </c>
      <c r="B91" s="316"/>
      <c r="C91" s="819"/>
      <c r="D91" s="819"/>
      <c r="E91" s="819">
        <v>284000</v>
      </c>
      <c r="F91" s="819"/>
      <c r="G91" s="819"/>
      <c r="H91" s="819"/>
      <c r="I91" s="819"/>
      <c r="J91" s="819"/>
      <c r="K91" s="819">
        <f t="shared" si="16"/>
        <v>284000</v>
      </c>
      <c r="L91" s="827"/>
      <c r="M91"/>
      <c r="N91"/>
    </row>
    <row r="92" spans="1:14" ht="16.5" customHeight="1">
      <c r="A92" s="313" t="s">
        <v>261</v>
      </c>
      <c r="B92" s="316"/>
      <c r="C92" s="819"/>
      <c r="D92" s="819"/>
      <c r="E92" s="819">
        <v>105000</v>
      </c>
      <c r="F92" s="819"/>
      <c r="G92" s="819"/>
      <c r="H92" s="819"/>
      <c r="I92" s="819"/>
      <c r="J92" s="819"/>
      <c r="K92" s="819">
        <f t="shared" si="16"/>
        <v>105000</v>
      </c>
      <c r="L92" s="827"/>
      <c r="M92"/>
      <c r="N92"/>
    </row>
    <row r="93" spans="1:14" ht="16.5" customHeight="1">
      <c r="A93" s="313" t="s">
        <v>262</v>
      </c>
      <c r="B93" s="316"/>
      <c r="C93" s="819"/>
      <c r="D93" s="819"/>
      <c r="E93" s="819">
        <v>1000000</v>
      </c>
      <c r="F93" s="819"/>
      <c r="G93" s="819"/>
      <c r="H93" s="819"/>
      <c r="I93" s="819"/>
      <c r="J93" s="819"/>
      <c r="K93" s="819">
        <f t="shared" si="16"/>
        <v>1000000</v>
      </c>
      <c r="L93" s="827"/>
      <c r="M93"/>
      <c r="N93"/>
    </row>
    <row r="94" spans="1:14" ht="16.5" customHeight="1">
      <c r="A94" s="313" t="s">
        <v>263</v>
      </c>
      <c r="B94" s="316"/>
      <c r="C94" s="819"/>
      <c r="D94" s="819"/>
      <c r="E94" s="819">
        <v>40000</v>
      </c>
      <c r="F94" s="819"/>
      <c r="G94" s="819">
        <v>710000</v>
      </c>
      <c r="H94" s="819"/>
      <c r="I94" s="819"/>
      <c r="J94" s="819"/>
      <c r="K94" s="819">
        <f t="shared" si="16"/>
        <v>750000</v>
      </c>
      <c r="L94" s="827"/>
      <c r="M94"/>
      <c r="N94"/>
    </row>
    <row r="95" spans="1:14" ht="16.5" customHeight="1">
      <c r="A95" s="313" t="s">
        <v>264</v>
      </c>
      <c r="B95" s="316"/>
      <c r="C95" s="819"/>
      <c r="D95" s="819"/>
      <c r="E95" s="819">
        <v>150000</v>
      </c>
      <c r="F95" s="819"/>
      <c r="G95" s="819"/>
      <c r="H95" s="819"/>
      <c r="I95" s="819"/>
      <c r="J95" s="819"/>
      <c r="K95" s="819">
        <f t="shared" si="16"/>
        <v>150000</v>
      </c>
      <c r="L95" s="827"/>
      <c r="M95"/>
      <c r="N95"/>
    </row>
    <row r="96" spans="1:14" ht="16.5" customHeight="1">
      <c r="A96" s="313" t="s">
        <v>265</v>
      </c>
      <c r="B96" s="316"/>
      <c r="C96" s="819"/>
      <c r="D96" s="819"/>
      <c r="E96" s="819">
        <v>170000</v>
      </c>
      <c r="F96" s="819"/>
      <c r="G96" s="819"/>
      <c r="H96" s="819"/>
      <c r="I96" s="819"/>
      <c r="J96" s="819"/>
      <c r="K96" s="819">
        <f t="shared" si="16"/>
        <v>170000</v>
      </c>
      <c r="L96" s="827"/>
      <c r="M96"/>
      <c r="N96"/>
    </row>
    <row r="97" spans="1:14" ht="16.5" customHeight="1">
      <c r="A97" s="313" t="s">
        <v>266</v>
      </c>
      <c r="B97" s="316"/>
      <c r="C97" s="819"/>
      <c r="D97" s="819"/>
      <c r="E97" s="819">
        <v>1416000</v>
      </c>
      <c r="F97" s="819"/>
      <c r="G97" s="819"/>
      <c r="H97" s="819"/>
      <c r="I97" s="819"/>
      <c r="J97" s="819"/>
      <c r="K97" s="819">
        <f t="shared" si="16"/>
        <v>1416000</v>
      </c>
      <c r="L97" s="827"/>
      <c r="M97"/>
      <c r="N97"/>
    </row>
    <row r="98" spans="1:14" ht="16.5" customHeight="1">
      <c r="A98" s="313" t="s">
        <v>267</v>
      </c>
      <c r="B98" s="316"/>
      <c r="C98" s="819"/>
      <c r="D98" s="819"/>
      <c r="E98" s="819">
        <v>280000</v>
      </c>
      <c r="F98" s="819"/>
      <c r="G98" s="819"/>
      <c r="H98" s="819"/>
      <c r="I98" s="819"/>
      <c r="J98" s="819"/>
      <c r="K98" s="819">
        <f t="shared" si="16"/>
        <v>280000</v>
      </c>
      <c r="L98" s="827"/>
      <c r="M98"/>
      <c r="N98"/>
    </row>
    <row r="99" spans="1:14" ht="16.5" customHeight="1">
      <c r="A99" s="313" t="s">
        <v>268</v>
      </c>
      <c r="B99" s="549" t="s">
        <v>269</v>
      </c>
      <c r="C99" s="819"/>
      <c r="D99" s="819"/>
      <c r="E99" s="819">
        <v>2132000</v>
      </c>
      <c r="F99" s="819"/>
      <c r="G99" s="819"/>
      <c r="H99" s="819"/>
      <c r="I99" s="819"/>
      <c r="J99" s="819"/>
      <c r="K99" s="819">
        <f t="shared" si="16"/>
        <v>2132000</v>
      </c>
      <c r="L99" s="827"/>
      <c r="M99"/>
      <c r="N99"/>
    </row>
    <row r="100" spans="1:14" ht="16.5" customHeight="1">
      <c r="A100" s="313" t="s">
        <v>270</v>
      </c>
      <c r="B100" s="549" t="s">
        <v>271</v>
      </c>
      <c r="C100" s="819"/>
      <c r="D100" s="819"/>
      <c r="E100" s="819">
        <v>14000</v>
      </c>
      <c r="F100" s="819"/>
      <c r="G100" s="819"/>
      <c r="H100" s="819"/>
      <c r="I100" s="819"/>
      <c r="J100" s="819"/>
      <c r="K100" s="819">
        <f t="shared" si="16"/>
        <v>14000</v>
      </c>
      <c r="L100" s="827"/>
      <c r="M100"/>
      <c r="N100"/>
    </row>
    <row r="101" spans="1:14" ht="16.5" customHeight="1">
      <c r="A101" s="313" t="s">
        <v>272</v>
      </c>
      <c r="B101" s="549" t="s">
        <v>273</v>
      </c>
      <c r="C101" s="819"/>
      <c r="D101" s="819"/>
      <c r="E101" s="819">
        <v>1616000</v>
      </c>
      <c r="F101" s="819"/>
      <c r="G101" s="819"/>
      <c r="H101" s="819"/>
      <c r="I101" s="819"/>
      <c r="J101" s="819"/>
      <c r="K101" s="819">
        <f t="shared" si="16"/>
        <v>1616000</v>
      </c>
      <c r="L101" s="827"/>
      <c r="M101"/>
      <c r="N101"/>
    </row>
    <row r="102" spans="1:14" ht="16.5" customHeight="1">
      <c r="A102" s="313" t="s">
        <v>274</v>
      </c>
      <c r="B102" s="549" t="s">
        <v>275</v>
      </c>
      <c r="C102" s="819"/>
      <c r="D102" s="819"/>
      <c r="E102" s="819">
        <v>10000</v>
      </c>
      <c r="F102" s="819"/>
      <c r="G102" s="819"/>
      <c r="H102" s="819"/>
      <c r="I102" s="819"/>
      <c r="J102" s="819"/>
      <c r="K102" s="819">
        <f t="shared" si="16"/>
        <v>10000</v>
      </c>
      <c r="L102" s="827"/>
      <c r="M102"/>
      <c r="N102"/>
    </row>
    <row r="103" spans="1:14" ht="16.5" customHeight="1">
      <c r="A103" s="313" t="s">
        <v>276</v>
      </c>
      <c r="B103" s="549" t="s">
        <v>277</v>
      </c>
      <c r="C103" s="819"/>
      <c r="D103" s="819"/>
      <c r="E103" s="819">
        <v>76000</v>
      </c>
      <c r="F103" s="819"/>
      <c r="G103" s="819"/>
      <c r="H103" s="819"/>
      <c r="I103" s="819"/>
      <c r="J103" s="819"/>
      <c r="K103" s="819">
        <f t="shared" si="16"/>
        <v>76000</v>
      </c>
      <c r="L103" s="827"/>
      <c r="M103"/>
      <c r="N103"/>
    </row>
    <row r="104" spans="1:14" ht="16.5" customHeight="1">
      <c r="A104" s="313" t="s">
        <v>278</v>
      </c>
      <c r="B104" s="549" t="s">
        <v>279</v>
      </c>
      <c r="C104" s="819"/>
      <c r="D104" s="819"/>
      <c r="E104" s="819">
        <v>260000</v>
      </c>
      <c r="F104" s="819"/>
      <c r="G104" s="819"/>
      <c r="H104" s="819"/>
      <c r="I104" s="819"/>
      <c r="J104" s="819"/>
      <c r="K104" s="819">
        <f t="shared" si="16"/>
        <v>260000</v>
      </c>
      <c r="L104" s="827"/>
      <c r="M104"/>
      <c r="N104"/>
    </row>
    <row r="105" spans="1:14" ht="16.5" customHeight="1">
      <c r="A105" s="313" t="s">
        <v>280</v>
      </c>
      <c r="B105" s="549" t="s">
        <v>281</v>
      </c>
      <c r="C105" s="819"/>
      <c r="D105" s="819"/>
      <c r="E105" s="819">
        <v>5000</v>
      </c>
      <c r="F105" s="819"/>
      <c r="G105" s="819"/>
      <c r="H105" s="819"/>
      <c r="I105" s="819"/>
      <c r="J105" s="819"/>
      <c r="K105" s="819">
        <f t="shared" si="16"/>
        <v>5000</v>
      </c>
      <c r="L105" s="827"/>
      <c r="M105"/>
      <c r="N105"/>
    </row>
    <row r="106" spans="1:14" ht="16.5" customHeight="1">
      <c r="A106" s="313" t="s">
        <v>282</v>
      </c>
      <c r="B106" s="549" t="s">
        <v>283</v>
      </c>
      <c r="C106" s="819"/>
      <c r="D106" s="819"/>
      <c r="E106" s="819">
        <v>117000</v>
      </c>
      <c r="F106" s="819"/>
      <c r="G106" s="819"/>
      <c r="H106" s="819"/>
      <c r="I106" s="819"/>
      <c r="J106" s="819"/>
      <c r="K106" s="819">
        <f t="shared" si="16"/>
        <v>117000</v>
      </c>
      <c r="L106" s="827"/>
      <c r="M106"/>
      <c r="N106"/>
    </row>
    <row r="107" spans="1:14" ht="16.5" customHeight="1" thickBot="1">
      <c r="A107" s="313" t="s">
        <v>284</v>
      </c>
      <c r="B107" s="316"/>
      <c r="C107" s="819"/>
      <c r="D107" s="819"/>
      <c r="E107" s="819">
        <v>1190000</v>
      </c>
      <c r="F107" s="819"/>
      <c r="G107" s="819"/>
      <c r="H107" s="819"/>
      <c r="I107" s="819"/>
      <c r="J107" s="819"/>
      <c r="K107" s="819">
        <f t="shared" si="16"/>
        <v>1190000</v>
      </c>
      <c r="L107" s="827"/>
      <c r="M107"/>
      <c r="N107"/>
    </row>
    <row r="108" spans="1:14" ht="21" customHeight="1" thickBot="1">
      <c r="A108" s="679" t="s">
        <v>443</v>
      </c>
      <c r="B108" s="868"/>
      <c r="C108" s="726">
        <f>SUM(C77:D107)</f>
        <v>0</v>
      </c>
      <c r="D108" s="726"/>
      <c r="E108" s="726">
        <f>SUM(E77:F107)</f>
        <v>24860000</v>
      </c>
      <c r="F108" s="726"/>
      <c r="G108" s="726">
        <f>SUM(G94:H107)</f>
        <v>710000</v>
      </c>
      <c r="H108" s="726"/>
      <c r="I108" s="726">
        <f>SUM(I77:J107)</f>
        <v>500000</v>
      </c>
      <c r="J108" s="726"/>
      <c r="K108" s="726">
        <f>SUM(K77:L107)</f>
        <v>26070000</v>
      </c>
      <c r="L108" s="729"/>
      <c r="M108"/>
      <c r="N108"/>
    </row>
    <row r="109" spans="1:14" ht="3" customHeight="1" thickBot="1">
      <c r="A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8.75" customHeight="1" thickBot="1">
      <c r="A110" s="679" t="s">
        <v>95</v>
      </c>
      <c r="B110" s="868"/>
      <c r="C110" s="726">
        <f>SUM(C77:D108)</f>
        <v>0</v>
      </c>
      <c r="D110" s="726"/>
      <c r="E110" s="726">
        <f>+E73+E108</f>
        <v>35900000</v>
      </c>
      <c r="F110" s="726"/>
      <c r="G110" s="726">
        <f>+G73+G108</f>
        <v>710000</v>
      </c>
      <c r="H110" s="726"/>
      <c r="I110" s="726">
        <f>+I73+I108</f>
        <v>500000</v>
      </c>
      <c r="J110" s="726"/>
      <c r="K110" s="726">
        <f>+K73+K108</f>
        <v>37110000</v>
      </c>
      <c r="L110" s="729"/>
      <c r="M110"/>
      <c r="N110"/>
    </row>
    <row r="111" spans="1:14" ht="9.75" customHeight="1">
      <c r="A111" s="317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/>
    </row>
    <row r="112" spans="1:8" ht="6.75" customHeight="1" thickBot="1">
      <c r="A112" s="319"/>
      <c r="B112" s="1"/>
      <c r="C112" s="1"/>
      <c r="D112" s="1"/>
      <c r="E112" s="1"/>
      <c r="F112" s="1"/>
      <c r="G112" s="1"/>
      <c r="H112" s="1"/>
    </row>
    <row r="113" spans="1:14" ht="12.75" customHeight="1">
      <c r="A113" s="856" t="s">
        <v>444</v>
      </c>
      <c r="B113" s="857"/>
      <c r="C113" s="857"/>
      <c r="D113" s="854" t="s">
        <v>53</v>
      </c>
      <c r="E113"/>
      <c r="F113" s="856" t="s">
        <v>445</v>
      </c>
      <c r="G113" s="857"/>
      <c r="H113" s="857"/>
      <c r="I113" s="869"/>
      <c r="J113" s="869"/>
      <c r="K113" s="854" t="s">
        <v>54</v>
      </c>
      <c r="L113"/>
      <c r="M113"/>
      <c r="N113"/>
    </row>
    <row r="114" spans="1:14" ht="13.5" thickBot="1">
      <c r="A114" s="858"/>
      <c r="B114" s="859"/>
      <c r="C114" s="859"/>
      <c r="D114" s="855"/>
      <c r="E114"/>
      <c r="F114" s="858"/>
      <c r="G114" s="859"/>
      <c r="H114" s="859"/>
      <c r="I114" s="870"/>
      <c r="J114" s="870"/>
      <c r="K114" s="855"/>
      <c r="L114"/>
      <c r="M114"/>
      <c r="N114"/>
    </row>
    <row r="115" spans="1:14" ht="12.75">
      <c r="A115" s="676" t="s">
        <v>285</v>
      </c>
      <c r="B115" s="860"/>
      <c r="C115" s="860"/>
      <c r="D115" s="204">
        <v>2000</v>
      </c>
      <c r="E115"/>
      <c r="F115" s="861" t="s">
        <v>286</v>
      </c>
      <c r="G115" s="862"/>
      <c r="H115" s="862"/>
      <c r="I115" s="863"/>
      <c r="J115" s="863"/>
      <c r="K115" s="187">
        <v>1740</v>
      </c>
      <c r="L115"/>
      <c r="M115"/>
      <c r="N115"/>
    </row>
    <row r="116" spans="1:14" ht="12.75">
      <c r="A116" s="703" t="s">
        <v>287</v>
      </c>
      <c r="B116" s="853"/>
      <c r="C116" s="853"/>
      <c r="D116" s="320">
        <v>2000</v>
      </c>
      <c r="E116"/>
      <c r="F116" s="703" t="s">
        <v>288</v>
      </c>
      <c r="G116" s="680"/>
      <c r="H116" s="680"/>
      <c r="I116" s="680"/>
      <c r="J116" s="681"/>
      <c r="K116" s="187">
        <v>15</v>
      </c>
      <c r="L116"/>
      <c r="M116"/>
      <c r="N116"/>
    </row>
    <row r="117" spans="1:14" ht="12.75">
      <c r="A117" s="703" t="s">
        <v>289</v>
      </c>
      <c r="B117" s="853"/>
      <c r="C117" s="853"/>
      <c r="D117" s="187">
        <v>6500</v>
      </c>
      <c r="E117"/>
      <c r="F117" s="861" t="s">
        <v>290</v>
      </c>
      <c r="G117" s="862"/>
      <c r="H117" s="862"/>
      <c r="I117" s="863"/>
      <c r="J117" s="863"/>
      <c r="K117" s="187">
        <v>10</v>
      </c>
      <c r="L117"/>
      <c r="M117"/>
      <c r="N117"/>
    </row>
    <row r="118" spans="1:14" ht="12.75">
      <c r="A118" s="321"/>
      <c r="B118" s="322"/>
      <c r="C118" s="322"/>
      <c r="D118" s="323"/>
      <c r="E118"/>
      <c r="F118" s="703" t="s">
        <v>291</v>
      </c>
      <c r="G118" s="680"/>
      <c r="H118" s="680"/>
      <c r="I118" s="680"/>
      <c r="J118" s="681"/>
      <c r="K118" s="187">
        <v>15</v>
      </c>
      <c r="L118"/>
      <c r="M118"/>
      <c r="N118"/>
    </row>
    <row r="119" spans="1:14" ht="12.75">
      <c r="A119" s="321"/>
      <c r="B119" s="322"/>
      <c r="C119" s="322"/>
      <c r="D119" s="323"/>
      <c r="E119"/>
      <c r="F119" s="861" t="s">
        <v>292</v>
      </c>
      <c r="G119" s="862"/>
      <c r="H119" s="862"/>
      <c r="I119" s="863"/>
      <c r="J119" s="863"/>
      <c r="K119" s="187">
        <v>180</v>
      </c>
      <c r="L119"/>
      <c r="M119"/>
      <c r="N119"/>
    </row>
    <row r="120" spans="1:14" ht="12.75">
      <c r="A120" s="321"/>
      <c r="B120" s="322"/>
      <c r="C120" s="322"/>
      <c r="D120" s="323"/>
      <c r="E120"/>
      <c r="F120" s="703" t="s">
        <v>293</v>
      </c>
      <c r="G120" s="680"/>
      <c r="H120" s="680"/>
      <c r="I120" s="680"/>
      <c r="J120" s="681"/>
      <c r="K120" s="187">
        <v>20</v>
      </c>
      <c r="L120"/>
      <c r="M120"/>
      <c r="N120"/>
    </row>
    <row r="121" spans="1:14" ht="13.5" thickBot="1">
      <c r="A121" s="321"/>
      <c r="B121" s="322"/>
      <c r="C121" s="322"/>
      <c r="D121" s="323"/>
      <c r="E121"/>
      <c r="F121" s="861" t="s">
        <v>294</v>
      </c>
      <c r="G121" s="862"/>
      <c r="H121" s="862"/>
      <c r="I121" s="863"/>
      <c r="J121" s="863"/>
      <c r="K121" s="324">
        <v>20</v>
      </c>
      <c r="L121"/>
      <c r="M121"/>
      <c r="N121"/>
    </row>
    <row r="122" spans="1:14" ht="13.5" thickBot="1">
      <c r="A122" s="864" t="s">
        <v>10</v>
      </c>
      <c r="B122" s="865"/>
      <c r="C122" s="865"/>
      <c r="D122" s="325">
        <f>SUM(D115:D121)</f>
        <v>10500</v>
      </c>
      <c r="F122" s="864" t="s">
        <v>10</v>
      </c>
      <c r="G122" s="866"/>
      <c r="H122" s="866"/>
      <c r="I122" s="866"/>
      <c r="J122" s="866"/>
      <c r="K122" s="325">
        <f>SUM(K115:K121)</f>
        <v>2000</v>
      </c>
      <c r="L122"/>
      <c r="M122"/>
      <c r="N122"/>
    </row>
    <row r="123" ht="6.75" customHeight="1" thickBot="1"/>
    <row r="124" spans="1:9" ht="12.75">
      <c r="A124" s="762" t="s">
        <v>119</v>
      </c>
      <c r="B124" s="751" t="s">
        <v>120</v>
      </c>
      <c r="C124" s="757" t="s">
        <v>121</v>
      </c>
      <c r="D124" s="758"/>
      <c r="E124" s="758"/>
      <c r="F124" s="758"/>
      <c r="G124" s="758"/>
      <c r="H124" s="759"/>
      <c r="I124" s="754" t="s">
        <v>122</v>
      </c>
    </row>
    <row r="125" spans="1:9" ht="12.75">
      <c r="A125" s="763"/>
      <c r="B125" s="752"/>
      <c r="C125" s="760" t="s">
        <v>52</v>
      </c>
      <c r="D125" s="773" t="s">
        <v>123</v>
      </c>
      <c r="E125" s="824"/>
      <c r="F125" s="824"/>
      <c r="G125" s="824"/>
      <c r="H125" s="824"/>
      <c r="I125" s="755"/>
    </row>
    <row r="126" spans="1:9" ht="13.5" thickBot="1">
      <c r="A126" s="764"/>
      <c r="B126" s="753"/>
      <c r="C126" s="761"/>
      <c r="D126" s="163">
        <v>1</v>
      </c>
      <c r="E126" s="163">
        <v>2</v>
      </c>
      <c r="F126" s="163">
        <v>3</v>
      </c>
      <c r="G126" s="163">
        <v>4</v>
      </c>
      <c r="H126" s="326">
        <v>5</v>
      </c>
      <c r="I126" s="756"/>
    </row>
    <row r="127" spans="1:9" ht="13.5" thickBot="1">
      <c r="A127" s="327">
        <v>50539.62</v>
      </c>
      <c r="B127" s="165">
        <v>5708.803</v>
      </c>
      <c r="C127" s="328">
        <f>SUM(D127:H127)</f>
        <v>2425.8860000000004</v>
      </c>
      <c r="D127" s="165">
        <v>895.622</v>
      </c>
      <c r="E127" s="165">
        <v>1072.296</v>
      </c>
      <c r="F127" s="165">
        <v>167.004</v>
      </c>
      <c r="G127" s="165">
        <v>26.184</v>
      </c>
      <c r="H127" s="329">
        <v>264.78</v>
      </c>
      <c r="I127" s="167">
        <f>SUM(A127-B127-C127)</f>
        <v>42404.931000000004</v>
      </c>
    </row>
    <row r="128" ht="13.5" thickBot="1"/>
    <row r="129" spans="1:12" ht="12.75">
      <c r="A129" s="719" t="s">
        <v>124</v>
      </c>
      <c r="B129" s="822" t="s">
        <v>125</v>
      </c>
      <c r="C129" s="722" t="s">
        <v>126</v>
      </c>
      <c r="D129" s="723"/>
      <c r="E129" s="723"/>
      <c r="F129" s="724"/>
      <c r="G129" s="721" t="s">
        <v>127</v>
      </c>
      <c r="H129" s="836" t="s">
        <v>128</v>
      </c>
      <c r="I129" s="716" t="s">
        <v>129</v>
      </c>
      <c r="J129" s="833"/>
      <c r="K129" s="833"/>
      <c r="L129" s="834"/>
    </row>
    <row r="130" spans="1:12" ht="18.75" thickBot="1">
      <c r="A130" s="818"/>
      <c r="B130" s="823"/>
      <c r="C130" s="168" t="s">
        <v>130</v>
      </c>
      <c r="D130" s="169" t="s">
        <v>131</v>
      </c>
      <c r="E130" s="169" t="s">
        <v>132</v>
      </c>
      <c r="F130" s="170" t="s">
        <v>133</v>
      </c>
      <c r="G130" s="835"/>
      <c r="H130" s="837"/>
      <c r="I130" s="330" t="s">
        <v>134</v>
      </c>
      <c r="J130" s="169" t="s">
        <v>131</v>
      </c>
      <c r="K130" s="169" t="s">
        <v>132</v>
      </c>
      <c r="L130" s="170" t="s">
        <v>135</v>
      </c>
    </row>
    <row r="131" spans="1:12" ht="12.75">
      <c r="A131" s="331" t="s">
        <v>136</v>
      </c>
      <c r="B131" s="174">
        <v>20670.4</v>
      </c>
      <c r="C131" s="332" t="s">
        <v>137</v>
      </c>
      <c r="D131" s="176" t="s">
        <v>137</v>
      </c>
      <c r="E131" s="176" t="s">
        <v>137</v>
      </c>
      <c r="F131" s="178" t="s">
        <v>137</v>
      </c>
      <c r="G131" s="179">
        <v>12339.84</v>
      </c>
      <c r="H131" s="180" t="s">
        <v>137</v>
      </c>
      <c r="I131" s="176" t="s">
        <v>137</v>
      </c>
      <c r="J131" s="176" t="s">
        <v>137</v>
      </c>
      <c r="K131" s="176" t="s">
        <v>137</v>
      </c>
      <c r="L131" s="182" t="s">
        <v>137</v>
      </c>
    </row>
    <row r="132" spans="1:12" ht="12.75">
      <c r="A132" s="333" t="s">
        <v>138</v>
      </c>
      <c r="B132" s="184">
        <v>0</v>
      </c>
      <c r="C132" s="185">
        <v>129</v>
      </c>
      <c r="D132" s="186">
        <v>0</v>
      </c>
      <c r="E132" s="186">
        <v>0</v>
      </c>
      <c r="F132" s="187">
        <f>+C132+D132-E132</f>
        <v>129</v>
      </c>
      <c r="G132" s="188">
        <v>0</v>
      </c>
      <c r="H132" s="189">
        <f>+G132-F132</f>
        <v>-129</v>
      </c>
      <c r="I132" s="186">
        <f>+F132</f>
        <v>129</v>
      </c>
      <c r="J132" s="186">
        <v>0</v>
      </c>
      <c r="K132" s="186">
        <v>0</v>
      </c>
      <c r="L132" s="187">
        <f>+I132+J132-K132</f>
        <v>129</v>
      </c>
    </row>
    <row r="133" spans="1:12" ht="12.75">
      <c r="A133" s="333" t="s">
        <v>139</v>
      </c>
      <c r="B133" s="184">
        <v>1664</v>
      </c>
      <c r="C133" s="185">
        <v>1664</v>
      </c>
      <c r="D133" s="186">
        <v>406</v>
      </c>
      <c r="E133" s="186">
        <v>140</v>
      </c>
      <c r="F133" s="187">
        <f>+C133+D133-E133</f>
        <v>1930</v>
      </c>
      <c r="G133" s="188">
        <v>1929.78</v>
      </c>
      <c r="H133" s="188">
        <f>+G133-F133</f>
        <v>-0.22000000000002728</v>
      </c>
      <c r="I133" s="186">
        <f>+F133</f>
        <v>1930</v>
      </c>
      <c r="J133" s="186">
        <v>0</v>
      </c>
      <c r="K133" s="186">
        <v>0</v>
      </c>
      <c r="L133" s="187">
        <f>+I133+J133-K133</f>
        <v>1930</v>
      </c>
    </row>
    <row r="134" spans="1:12" ht="12.75">
      <c r="A134" s="333" t="s">
        <v>140</v>
      </c>
      <c r="B134" s="184">
        <f>+B131-B132-B133</f>
        <v>19006.4</v>
      </c>
      <c r="C134" s="332" t="s">
        <v>137</v>
      </c>
      <c r="D134" s="176" t="s">
        <v>137</v>
      </c>
      <c r="E134" s="176" t="s">
        <v>137</v>
      </c>
      <c r="F134" s="178" t="s">
        <v>137</v>
      </c>
      <c r="G134" s="188">
        <f>+G131-G132-G133</f>
        <v>10410.06</v>
      </c>
      <c r="H134" s="190" t="s">
        <v>137</v>
      </c>
      <c r="I134" s="176" t="s">
        <v>137</v>
      </c>
      <c r="J134" s="176" t="s">
        <v>137</v>
      </c>
      <c r="K134" s="176" t="s">
        <v>137</v>
      </c>
      <c r="L134" s="182" t="s">
        <v>137</v>
      </c>
    </row>
    <row r="135" spans="1:12" ht="12.75">
      <c r="A135" s="333" t="s">
        <v>141</v>
      </c>
      <c r="B135" s="184">
        <v>20.82</v>
      </c>
      <c r="C135" s="185">
        <f>+B139</f>
        <v>109913</v>
      </c>
      <c r="D135" s="186">
        <f>+B140</f>
        <v>31864</v>
      </c>
      <c r="E135" s="186">
        <f>+B146</f>
        <v>29750</v>
      </c>
      <c r="F135" s="187">
        <f>+C135+D135-E135</f>
        <v>112027</v>
      </c>
      <c r="G135" s="188">
        <v>13.55</v>
      </c>
      <c r="H135" s="189">
        <f>+G135-F135</f>
        <v>-112013.45</v>
      </c>
      <c r="I135" s="191">
        <f>+F135</f>
        <v>112027</v>
      </c>
      <c r="J135" s="191">
        <f>+C140</f>
        <v>39536</v>
      </c>
      <c r="K135" s="191">
        <f>+C146</f>
        <v>41026</v>
      </c>
      <c r="L135" s="187">
        <f>+I135+J135-K135</f>
        <v>110537</v>
      </c>
    </row>
    <row r="136" spans="1:12" ht="13.5" thickBot="1">
      <c r="A136" s="335" t="s">
        <v>142</v>
      </c>
      <c r="B136" s="193">
        <v>74.31</v>
      </c>
      <c r="C136" s="194">
        <v>2858</v>
      </c>
      <c r="D136" s="195">
        <v>4542</v>
      </c>
      <c r="E136" s="195">
        <v>4324</v>
      </c>
      <c r="F136" s="196">
        <f>+C136+D136-E136</f>
        <v>3076</v>
      </c>
      <c r="G136" s="197">
        <v>733.52</v>
      </c>
      <c r="H136" s="198">
        <f>+G136-F136</f>
        <v>-2342.48</v>
      </c>
      <c r="I136" s="195">
        <f>+F136</f>
        <v>3076</v>
      </c>
      <c r="J136" s="195">
        <v>4875</v>
      </c>
      <c r="K136" s="195">
        <v>5852</v>
      </c>
      <c r="L136" s="196">
        <f>+I136+J136-K136</f>
        <v>2099</v>
      </c>
    </row>
    <row r="137" spans="1:12" ht="6.75" customHeight="1" thickBot="1">
      <c r="A137" s="336"/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</row>
    <row r="138" spans="1:16" ht="13.5" thickBot="1">
      <c r="A138" s="199" t="s">
        <v>143</v>
      </c>
      <c r="B138" s="200">
        <v>2004</v>
      </c>
      <c r="C138" s="201">
        <v>2005</v>
      </c>
      <c r="E138" s="674" t="s">
        <v>144</v>
      </c>
      <c r="F138" s="675"/>
      <c r="G138" s="675"/>
      <c r="H138" s="200">
        <v>2004</v>
      </c>
      <c r="I138" s="201">
        <v>2005</v>
      </c>
      <c r="O138" s="1"/>
      <c r="P138" s="1"/>
    </row>
    <row r="139" spans="1:16" ht="12.75">
      <c r="A139" s="202" t="s">
        <v>145</v>
      </c>
      <c r="B139" s="203">
        <v>109913</v>
      </c>
      <c r="C139" s="204">
        <f>+B150</f>
        <v>112027</v>
      </c>
      <c r="E139" s="676" t="s">
        <v>146</v>
      </c>
      <c r="F139" s="677"/>
      <c r="G139" s="678"/>
      <c r="H139" s="203">
        <v>1664</v>
      </c>
      <c r="I139" s="204">
        <f>+H150</f>
        <v>1930</v>
      </c>
      <c r="O139" s="1"/>
      <c r="P139" s="1"/>
    </row>
    <row r="140" spans="1:16" ht="12.75">
      <c r="A140" s="205" t="s">
        <v>131</v>
      </c>
      <c r="B140" s="186">
        <f>+B141+B142+B143+B144+B145</f>
        <v>31864</v>
      </c>
      <c r="C140" s="187">
        <f>+C141+C142</f>
        <v>39536</v>
      </c>
      <c r="E140" s="703" t="s">
        <v>131</v>
      </c>
      <c r="F140" s="680"/>
      <c r="G140" s="681"/>
      <c r="H140" s="186">
        <f>+H141+H142</f>
        <v>406</v>
      </c>
      <c r="I140" s="187">
        <f>+I141+I142</f>
        <v>500</v>
      </c>
      <c r="O140" s="1"/>
      <c r="P140" s="1"/>
    </row>
    <row r="141" spans="1:16" ht="12.75">
      <c r="A141" s="205" t="s">
        <v>147</v>
      </c>
      <c r="B141" s="186">
        <v>2137</v>
      </c>
      <c r="C141" s="187">
        <v>2426</v>
      </c>
      <c r="E141" s="703" t="s">
        <v>148</v>
      </c>
      <c r="F141" s="680"/>
      <c r="G141" s="681"/>
      <c r="H141" s="186"/>
      <c r="I141" s="187"/>
      <c r="O141" s="1"/>
      <c r="P141" s="1"/>
    </row>
    <row r="142" spans="1:16" ht="12.75">
      <c r="A142" s="205" t="s">
        <v>149</v>
      </c>
      <c r="B142" s="186">
        <f>29686-8921</f>
        <v>20765</v>
      </c>
      <c r="C142" s="187">
        <v>37110</v>
      </c>
      <c r="E142" s="703" t="s">
        <v>150</v>
      </c>
      <c r="F142" s="680"/>
      <c r="G142" s="681"/>
      <c r="H142" s="186">
        <v>406</v>
      </c>
      <c r="I142" s="187">
        <v>500</v>
      </c>
      <c r="O142" s="1"/>
      <c r="P142" s="1"/>
    </row>
    <row r="143" spans="1:16" ht="12.75">
      <c r="A143" s="205" t="s">
        <v>151</v>
      </c>
      <c r="B143" s="186">
        <v>8921</v>
      </c>
      <c r="C143" s="187"/>
      <c r="E143" s="703"/>
      <c r="F143" s="680"/>
      <c r="G143" s="681"/>
      <c r="H143" s="186"/>
      <c r="I143" s="187"/>
      <c r="O143" s="1"/>
      <c r="P143" s="1"/>
    </row>
    <row r="144" spans="1:16" ht="12.75">
      <c r="A144" s="205" t="s">
        <v>150</v>
      </c>
      <c r="B144" s="186">
        <v>41</v>
      </c>
      <c r="C144" s="187"/>
      <c r="E144" s="703"/>
      <c r="F144" s="680"/>
      <c r="G144" s="681"/>
      <c r="H144" s="186"/>
      <c r="I144" s="187"/>
      <c r="O144" s="1"/>
      <c r="P144" s="1"/>
    </row>
    <row r="145" spans="1:16" ht="12.75">
      <c r="A145" s="209" t="s">
        <v>152</v>
      </c>
      <c r="B145" s="186"/>
      <c r="C145" s="187"/>
      <c r="E145" s="703"/>
      <c r="F145" s="680"/>
      <c r="G145" s="681"/>
      <c r="H145" s="186"/>
      <c r="I145" s="187"/>
      <c r="O145" s="1"/>
      <c r="P145" s="1"/>
    </row>
    <row r="146" spans="1:16" ht="12.75">
      <c r="A146" s="205" t="s">
        <v>132</v>
      </c>
      <c r="B146" s="186">
        <f>+B147+B148</f>
        <v>29750</v>
      </c>
      <c r="C146" s="187">
        <f>+C147+C148+C149</f>
        <v>41026</v>
      </c>
      <c r="E146" s="703" t="s">
        <v>132</v>
      </c>
      <c r="F146" s="680"/>
      <c r="G146" s="681"/>
      <c r="H146" s="186">
        <f>+H147+H148</f>
        <v>140</v>
      </c>
      <c r="I146" s="187">
        <f>+I147+I148</f>
        <v>500</v>
      </c>
      <c r="O146" s="1"/>
      <c r="P146" s="1"/>
    </row>
    <row r="147" spans="1:16" ht="12.75">
      <c r="A147" s="205" t="s">
        <v>154</v>
      </c>
      <c r="B147" s="186">
        <v>16412</v>
      </c>
      <c r="C147" s="187">
        <v>26070</v>
      </c>
      <c r="E147" s="703" t="s">
        <v>153</v>
      </c>
      <c r="F147" s="680"/>
      <c r="G147" s="681"/>
      <c r="H147" s="186">
        <v>140</v>
      </c>
      <c r="I147" s="187">
        <v>500</v>
      </c>
      <c r="O147" s="1"/>
      <c r="P147" s="1"/>
    </row>
    <row r="148" spans="1:16" ht="12.75">
      <c r="A148" s="205" t="s">
        <v>156</v>
      </c>
      <c r="B148" s="186">
        <v>13338</v>
      </c>
      <c r="C148" s="187">
        <v>11040</v>
      </c>
      <c r="E148" s="703" t="s">
        <v>155</v>
      </c>
      <c r="F148" s="680"/>
      <c r="G148" s="681"/>
      <c r="H148" s="186"/>
      <c r="I148" s="187"/>
      <c r="O148" s="1"/>
      <c r="P148" s="1"/>
    </row>
    <row r="149" spans="1:16" ht="12.75">
      <c r="A149" s="337" t="s">
        <v>295</v>
      </c>
      <c r="B149" s="338"/>
      <c r="C149" s="324">
        <v>3916</v>
      </c>
      <c r="E149" s="703"/>
      <c r="F149" s="680"/>
      <c r="G149" s="681"/>
      <c r="H149" s="338"/>
      <c r="I149" s="324"/>
      <c r="O149" s="1"/>
      <c r="P149" s="1"/>
    </row>
    <row r="150" spans="1:16" ht="13.5" thickBot="1">
      <c r="A150" s="210" t="s">
        <v>158</v>
      </c>
      <c r="B150" s="195">
        <f>+B139+B140-B146</f>
        <v>112027</v>
      </c>
      <c r="C150" s="196">
        <f>+C139+C140-C146</f>
        <v>110537</v>
      </c>
      <c r="E150" s="682" t="s">
        <v>158</v>
      </c>
      <c r="F150" s="683"/>
      <c r="G150" s="673"/>
      <c r="H150" s="195">
        <f>+H139+H140-H146</f>
        <v>1930</v>
      </c>
      <c r="I150" s="196">
        <f>+I139+I140-I146</f>
        <v>1930</v>
      </c>
      <c r="O150" s="1"/>
      <c r="P150" s="1"/>
    </row>
    <row r="151" spans="1:12" ht="12.75">
      <c r="A151" s="336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</row>
    <row r="153" ht="16.5" thickBot="1">
      <c r="A153" s="211" t="s">
        <v>159</v>
      </c>
    </row>
    <row r="154" spans="1:12" ht="12.75">
      <c r="A154" s="710" t="s">
        <v>160</v>
      </c>
      <c r="B154" s="712" t="s">
        <v>10</v>
      </c>
      <c r="C154" s="712" t="s">
        <v>161</v>
      </c>
      <c r="D154" s="714"/>
      <c r="E154" s="714"/>
      <c r="F154" s="714"/>
      <c r="G154" s="714"/>
      <c r="H154" s="715"/>
      <c r="I154" s="212"/>
      <c r="J154"/>
      <c r="K154"/>
      <c r="L154"/>
    </row>
    <row r="155" spans="1:12" ht="13.5" thickBot="1">
      <c r="A155" s="825"/>
      <c r="B155" s="826"/>
      <c r="C155" s="339" t="s">
        <v>162</v>
      </c>
      <c r="D155" s="340" t="s">
        <v>163</v>
      </c>
      <c r="E155" s="340" t="s">
        <v>164</v>
      </c>
      <c r="F155" s="340" t="s">
        <v>165</v>
      </c>
      <c r="G155" s="341" t="s">
        <v>166</v>
      </c>
      <c r="H155" s="342" t="s">
        <v>52</v>
      </c>
      <c r="I155" s="212"/>
      <c r="J155"/>
      <c r="K155"/>
      <c r="L155"/>
    </row>
    <row r="156" spans="1:12" ht="14.25" customHeight="1">
      <c r="A156" s="343" t="s">
        <v>167</v>
      </c>
      <c r="B156" s="344">
        <v>116528</v>
      </c>
      <c r="C156" s="345">
        <v>12282</v>
      </c>
      <c r="D156" s="345">
        <v>29060</v>
      </c>
      <c r="E156" s="345">
        <v>205</v>
      </c>
      <c r="F156" s="345">
        <v>165</v>
      </c>
      <c r="G156" s="344">
        <v>2866</v>
      </c>
      <c r="H156" s="346">
        <f>SUM(C156:G156)</f>
        <v>44578</v>
      </c>
      <c r="I156" s="212"/>
      <c r="J156"/>
      <c r="K156"/>
      <c r="L156"/>
    </row>
    <row r="157" spans="1:12" ht="14.25" customHeight="1" thickBot="1">
      <c r="A157" s="347" t="s">
        <v>296</v>
      </c>
      <c r="B157" s="348">
        <v>204665</v>
      </c>
      <c r="C157" s="349">
        <v>23290</v>
      </c>
      <c r="D157" s="349">
        <v>36599</v>
      </c>
      <c r="E157" s="349">
        <v>41448</v>
      </c>
      <c r="F157" s="349">
        <v>39171</v>
      </c>
      <c r="G157" s="348">
        <v>15563</v>
      </c>
      <c r="H157" s="350">
        <f>SUM(C157:G157)</f>
        <v>156071</v>
      </c>
      <c r="I157" s="212"/>
      <c r="J157"/>
      <c r="K157"/>
      <c r="L157"/>
    </row>
    <row r="158" ht="13.5" thickBot="1"/>
    <row r="159" spans="1:14" ht="13.5" thickBot="1">
      <c r="A159" s="840" t="s">
        <v>169</v>
      </c>
      <c r="B159" s="841"/>
      <c r="C159" s="739" t="s">
        <v>170</v>
      </c>
      <c r="D159" s="740"/>
      <c r="E159" s="740"/>
      <c r="F159" s="740"/>
      <c r="G159" s="741"/>
      <c r="H159" s="748" t="s">
        <v>171</v>
      </c>
      <c r="I159" s="740"/>
      <c r="J159" s="740"/>
      <c r="K159" s="740"/>
      <c r="L159" s="741"/>
      <c r="M159"/>
      <c r="N159"/>
    </row>
    <row r="160" spans="1:14" ht="13.5" thickBot="1">
      <c r="A160" s="842"/>
      <c r="B160" s="843"/>
      <c r="C160" s="225">
        <v>2002</v>
      </c>
      <c r="D160" s="136">
        <v>2003</v>
      </c>
      <c r="E160" s="226" t="s">
        <v>13</v>
      </c>
      <c r="F160" s="137">
        <v>2004</v>
      </c>
      <c r="G160" s="226" t="s">
        <v>13</v>
      </c>
      <c r="H160" s="227">
        <v>2002</v>
      </c>
      <c r="I160" s="137">
        <v>2003</v>
      </c>
      <c r="J160" s="226" t="s">
        <v>13</v>
      </c>
      <c r="K160" s="137">
        <v>2004</v>
      </c>
      <c r="L160" s="228" t="s">
        <v>13</v>
      </c>
      <c r="M160"/>
      <c r="N160"/>
    </row>
    <row r="161" spans="1:14" ht="12.75">
      <c r="A161" s="838" t="s">
        <v>172</v>
      </c>
      <c r="B161" s="839"/>
      <c r="C161" s="351">
        <v>124</v>
      </c>
      <c r="D161" s="231">
        <v>124</v>
      </c>
      <c r="E161" s="232">
        <f>+D161-C161</f>
        <v>0</v>
      </c>
      <c r="F161" s="233">
        <v>124</v>
      </c>
      <c r="G161" s="232">
        <f aca="true" t="shared" si="17" ref="G161:G179">+F161-D161</f>
        <v>0</v>
      </c>
      <c r="H161" s="234">
        <f>36179/43422*100</f>
        <v>83.31951545299617</v>
      </c>
      <c r="I161" s="235">
        <v>79.9</v>
      </c>
      <c r="J161" s="235">
        <f>+I161-H161</f>
        <v>-3.4195154529961655</v>
      </c>
      <c r="K161" s="235">
        <v>82.34</v>
      </c>
      <c r="L161" s="237">
        <f aca="true" t="shared" si="18" ref="L161:L179">+K161-I161</f>
        <v>2.4399999999999977</v>
      </c>
      <c r="M161"/>
      <c r="N161"/>
    </row>
    <row r="162" spans="1:14" ht="12.75">
      <c r="A162" s="820" t="s">
        <v>173</v>
      </c>
      <c r="B162" s="821"/>
      <c r="C162" s="352">
        <v>40</v>
      </c>
      <c r="D162" s="240">
        <v>40</v>
      </c>
      <c r="E162" s="241">
        <f>+D162-C162</f>
        <v>0</v>
      </c>
      <c r="F162" s="242">
        <v>40</v>
      </c>
      <c r="G162" s="232">
        <f t="shared" si="17"/>
        <v>0</v>
      </c>
      <c r="H162" s="243">
        <f>0.822415940224159*100</f>
        <v>82.24159402241594</v>
      </c>
      <c r="I162" s="244">
        <v>79.1</v>
      </c>
      <c r="J162" s="244">
        <f>+I162-H162</f>
        <v>-3.141594022415944</v>
      </c>
      <c r="K162" s="235">
        <v>70.56</v>
      </c>
      <c r="L162" s="353">
        <f t="shared" si="18"/>
        <v>-8.539999999999992</v>
      </c>
      <c r="M162"/>
      <c r="N162"/>
    </row>
    <row r="163" spans="1:14" ht="12.75">
      <c r="A163" s="820" t="s">
        <v>174</v>
      </c>
      <c r="B163" s="821"/>
      <c r="C163" s="352">
        <v>30</v>
      </c>
      <c r="D163" s="240">
        <v>30</v>
      </c>
      <c r="E163" s="241">
        <f>+D163-C163</f>
        <v>0</v>
      </c>
      <c r="F163" s="242">
        <v>30</v>
      </c>
      <c r="G163" s="232">
        <f t="shared" si="17"/>
        <v>0</v>
      </c>
      <c r="H163" s="243">
        <f>0.786232431615536*100</f>
        <v>78.62324316155357</v>
      </c>
      <c r="I163" s="244">
        <v>77.4</v>
      </c>
      <c r="J163" s="244">
        <f>+I163-H163</f>
        <v>-1.2232431615535688</v>
      </c>
      <c r="K163" s="235">
        <v>85.97</v>
      </c>
      <c r="L163" s="353">
        <f t="shared" si="18"/>
        <v>8.569999999999993</v>
      </c>
      <c r="M163"/>
      <c r="N163"/>
    </row>
    <row r="164" spans="1:14" ht="12.75">
      <c r="A164" s="820" t="s">
        <v>175</v>
      </c>
      <c r="B164" s="821"/>
      <c r="C164" s="352">
        <v>47</v>
      </c>
      <c r="D164" s="240">
        <v>47</v>
      </c>
      <c r="E164" s="241">
        <f>+D164-C164</f>
        <v>0</v>
      </c>
      <c r="F164" s="242">
        <v>50</v>
      </c>
      <c r="G164" s="232">
        <f t="shared" si="17"/>
        <v>3</v>
      </c>
      <c r="H164" s="243">
        <f>0.83634703196347*100</f>
        <v>83.63470319634703</v>
      </c>
      <c r="I164" s="244">
        <v>85.7</v>
      </c>
      <c r="J164" s="244">
        <f>+I164-H164</f>
        <v>2.06529680365297</v>
      </c>
      <c r="K164" s="235">
        <v>99.45</v>
      </c>
      <c r="L164" s="353">
        <f t="shared" si="18"/>
        <v>13.75</v>
      </c>
      <c r="M164"/>
      <c r="N164"/>
    </row>
    <row r="165" spans="1:14" ht="12.75">
      <c r="A165" s="820" t="s">
        <v>176</v>
      </c>
      <c r="B165" s="821"/>
      <c r="C165" s="352"/>
      <c r="D165" s="354"/>
      <c r="E165" s="241"/>
      <c r="F165" s="242"/>
      <c r="G165" s="232">
        <f t="shared" si="17"/>
        <v>0</v>
      </c>
      <c r="H165" s="243"/>
      <c r="I165" s="244"/>
      <c r="J165" s="244"/>
      <c r="K165" s="235"/>
      <c r="L165" s="353">
        <f t="shared" si="18"/>
        <v>0</v>
      </c>
      <c r="M165"/>
      <c r="N165"/>
    </row>
    <row r="166" spans="1:14" ht="12.75">
      <c r="A166" s="820" t="s">
        <v>177</v>
      </c>
      <c r="B166" s="821"/>
      <c r="C166" s="352">
        <v>66</v>
      </c>
      <c r="D166" s="240">
        <v>66</v>
      </c>
      <c r="E166" s="241">
        <f aca="true" t="shared" si="19" ref="E166:E179">+D166-C166</f>
        <v>0</v>
      </c>
      <c r="F166" s="242">
        <v>66</v>
      </c>
      <c r="G166" s="232">
        <f t="shared" si="17"/>
        <v>0</v>
      </c>
      <c r="H166" s="243">
        <f>0.823440144749898*100</f>
        <v>82.34401447498979</v>
      </c>
      <c r="I166" s="244">
        <v>86.5</v>
      </c>
      <c r="J166" s="244">
        <f aca="true" t="shared" si="20" ref="J166:J179">+I166-H166</f>
        <v>4.155985525010209</v>
      </c>
      <c r="K166" s="235">
        <v>94</v>
      </c>
      <c r="L166" s="353">
        <f t="shared" si="18"/>
        <v>7.5</v>
      </c>
      <c r="M166"/>
      <c r="N166"/>
    </row>
    <row r="167" spans="1:14" ht="12.75">
      <c r="A167" s="820" t="s">
        <v>178</v>
      </c>
      <c r="B167" s="821"/>
      <c r="C167" s="352">
        <v>65</v>
      </c>
      <c r="D167" s="240">
        <v>54</v>
      </c>
      <c r="E167" s="241">
        <f t="shared" si="19"/>
        <v>-11</v>
      </c>
      <c r="F167" s="242">
        <v>60</v>
      </c>
      <c r="G167" s="232">
        <f t="shared" si="17"/>
        <v>6</v>
      </c>
      <c r="H167" s="243">
        <f>0.752303860523039*100</f>
        <v>75.23038605230387</v>
      </c>
      <c r="I167" s="244">
        <v>66.1</v>
      </c>
      <c r="J167" s="244">
        <f t="shared" si="20"/>
        <v>-9.130386052303876</v>
      </c>
      <c r="K167" s="235">
        <v>71.43</v>
      </c>
      <c r="L167" s="353">
        <f t="shared" si="18"/>
        <v>5.3300000000000125</v>
      </c>
      <c r="M167"/>
      <c r="N167"/>
    </row>
    <row r="168" spans="1:14" ht="12.75">
      <c r="A168" s="820" t="s">
        <v>179</v>
      </c>
      <c r="B168" s="821"/>
      <c r="C168" s="352">
        <v>100</v>
      </c>
      <c r="D168" s="240">
        <v>107</v>
      </c>
      <c r="E168" s="241">
        <f t="shared" si="19"/>
        <v>7</v>
      </c>
      <c r="F168" s="242">
        <v>107</v>
      </c>
      <c r="G168" s="232">
        <f t="shared" si="17"/>
        <v>0</v>
      </c>
      <c r="H168" s="243">
        <f>0.56527077395308*100</f>
        <v>56.52707739530805</v>
      </c>
      <c r="I168" s="244">
        <v>84.8</v>
      </c>
      <c r="J168" s="244">
        <f t="shared" si="20"/>
        <v>28.27292260469195</v>
      </c>
      <c r="K168" s="235">
        <v>86.17</v>
      </c>
      <c r="L168" s="353">
        <f t="shared" si="18"/>
        <v>1.3700000000000045</v>
      </c>
      <c r="M168"/>
      <c r="N168"/>
    </row>
    <row r="169" spans="1:14" ht="12.75">
      <c r="A169" s="820" t="s">
        <v>180</v>
      </c>
      <c r="B169" s="821"/>
      <c r="C169" s="352">
        <v>4</v>
      </c>
      <c r="D169" s="240">
        <v>5</v>
      </c>
      <c r="E169" s="241">
        <f t="shared" si="19"/>
        <v>1</v>
      </c>
      <c r="F169" s="242">
        <v>5</v>
      </c>
      <c r="G169" s="232">
        <f t="shared" si="17"/>
        <v>0</v>
      </c>
      <c r="H169" s="243">
        <f>32168/35300*100</f>
        <v>91.12747875354108</v>
      </c>
      <c r="I169" s="244">
        <v>83.3</v>
      </c>
      <c r="J169" s="244">
        <f t="shared" si="20"/>
        <v>-7.827478753541087</v>
      </c>
      <c r="K169" s="235">
        <v>88.03</v>
      </c>
      <c r="L169" s="353">
        <f t="shared" si="18"/>
        <v>4.730000000000004</v>
      </c>
      <c r="M169"/>
      <c r="N169"/>
    </row>
    <row r="170" spans="1:14" ht="12.75">
      <c r="A170" s="820" t="s">
        <v>181</v>
      </c>
      <c r="B170" s="821"/>
      <c r="C170" s="352">
        <v>20</v>
      </c>
      <c r="D170" s="240">
        <v>20</v>
      </c>
      <c r="E170" s="241">
        <f t="shared" si="19"/>
        <v>0</v>
      </c>
      <c r="F170" s="242">
        <v>26</v>
      </c>
      <c r="G170" s="232">
        <f t="shared" si="17"/>
        <v>6</v>
      </c>
      <c r="H170" s="243">
        <f>0.778767123287671*100</f>
        <v>77.87671232876713</v>
      </c>
      <c r="I170" s="244">
        <v>100</v>
      </c>
      <c r="J170" s="244">
        <f t="shared" si="20"/>
        <v>22.123287671232873</v>
      </c>
      <c r="K170" s="235">
        <v>106.73</v>
      </c>
      <c r="L170" s="353">
        <f t="shared" si="18"/>
        <v>6.730000000000004</v>
      </c>
      <c r="M170"/>
      <c r="N170"/>
    </row>
    <row r="171" spans="1:14" ht="12.75">
      <c r="A171" s="820" t="s">
        <v>182</v>
      </c>
      <c r="B171" s="821"/>
      <c r="C171" s="352">
        <v>20</v>
      </c>
      <c r="D171" s="240">
        <v>17</v>
      </c>
      <c r="E171" s="241">
        <f t="shared" si="19"/>
        <v>-3</v>
      </c>
      <c r="F171" s="242">
        <v>20</v>
      </c>
      <c r="G171" s="232">
        <f t="shared" si="17"/>
        <v>3</v>
      </c>
      <c r="H171" s="243">
        <f>0.976923076923077*100</f>
        <v>97.6923076923077</v>
      </c>
      <c r="I171" s="244">
        <v>76.7</v>
      </c>
      <c r="J171" s="244">
        <f t="shared" si="20"/>
        <v>-20.99230769230769</v>
      </c>
      <c r="K171" s="235">
        <v>74.24</v>
      </c>
      <c r="L171" s="353">
        <f t="shared" si="18"/>
        <v>-2.460000000000008</v>
      </c>
      <c r="M171"/>
      <c r="N171"/>
    </row>
    <row r="172" spans="1:14" ht="12.75">
      <c r="A172" s="820" t="s">
        <v>183</v>
      </c>
      <c r="B172" s="821"/>
      <c r="C172" s="352">
        <v>30</v>
      </c>
      <c r="D172" s="240">
        <v>30</v>
      </c>
      <c r="E172" s="241">
        <f t="shared" si="19"/>
        <v>0</v>
      </c>
      <c r="F172" s="242">
        <v>30</v>
      </c>
      <c r="G172" s="232">
        <f t="shared" si="17"/>
        <v>0</v>
      </c>
      <c r="H172" s="243">
        <f>0.765890410958904*100</f>
        <v>76.58904109589041</v>
      </c>
      <c r="I172" s="244">
        <v>86.6</v>
      </c>
      <c r="J172" s="244">
        <f t="shared" si="20"/>
        <v>10.010958904109586</v>
      </c>
      <c r="K172" s="235">
        <v>79.36</v>
      </c>
      <c r="L172" s="353">
        <f t="shared" si="18"/>
        <v>-7.239999999999995</v>
      </c>
      <c r="M172"/>
      <c r="N172"/>
    </row>
    <row r="173" spans="1:14" ht="12.75">
      <c r="A173" s="820" t="s">
        <v>184</v>
      </c>
      <c r="B173" s="821"/>
      <c r="C173" s="352">
        <v>20</v>
      </c>
      <c r="D173" s="240">
        <v>20</v>
      </c>
      <c r="E173" s="241">
        <f t="shared" si="19"/>
        <v>0</v>
      </c>
      <c r="F173" s="242">
        <v>20</v>
      </c>
      <c r="G173" s="232">
        <f t="shared" si="17"/>
        <v>0</v>
      </c>
      <c r="H173" s="243">
        <f>0.883470319634703*100</f>
        <v>88.34703196347033</v>
      </c>
      <c r="I173" s="244">
        <v>76.5</v>
      </c>
      <c r="J173" s="244">
        <f t="shared" si="20"/>
        <v>-11.847031963470329</v>
      </c>
      <c r="K173" s="235">
        <v>82.21</v>
      </c>
      <c r="L173" s="353">
        <f t="shared" si="18"/>
        <v>5.709999999999994</v>
      </c>
      <c r="M173"/>
      <c r="N173"/>
    </row>
    <row r="174" spans="1:14" ht="12.75">
      <c r="A174" s="820" t="s">
        <v>185</v>
      </c>
      <c r="B174" s="821"/>
      <c r="C174" s="352">
        <v>20</v>
      </c>
      <c r="D174" s="240">
        <v>20</v>
      </c>
      <c r="E174" s="241">
        <f t="shared" si="19"/>
        <v>0</v>
      </c>
      <c r="F174" s="242">
        <v>20</v>
      </c>
      <c r="G174" s="232">
        <f t="shared" si="17"/>
        <v>0</v>
      </c>
      <c r="H174" s="243">
        <f>0.817178770949721*100</f>
        <v>81.71787709497207</v>
      </c>
      <c r="I174" s="244">
        <v>77.6</v>
      </c>
      <c r="J174" s="244">
        <f t="shared" si="20"/>
        <v>-4.117877094972073</v>
      </c>
      <c r="K174" s="235">
        <v>77.98</v>
      </c>
      <c r="L174" s="353">
        <f t="shared" si="18"/>
        <v>0.38000000000000966</v>
      </c>
      <c r="M174"/>
      <c r="N174"/>
    </row>
    <row r="175" spans="1:14" ht="12.75">
      <c r="A175" s="820" t="s">
        <v>186</v>
      </c>
      <c r="B175" s="821"/>
      <c r="C175" s="352">
        <v>52</v>
      </c>
      <c r="D175" s="240">
        <v>52</v>
      </c>
      <c r="E175" s="241">
        <f t="shared" si="19"/>
        <v>0</v>
      </c>
      <c r="F175" s="242">
        <v>52</v>
      </c>
      <c r="G175" s="232">
        <f t="shared" si="17"/>
        <v>0</v>
      </c>
      <c r="H175" s="243">
        <f>0.841501416430595*100</f>
        <v>84.1501416430595</v>
      </c>
      <c r="I175" s="244">
        <v>73.8</v>
      </c>
      <c r="J175" s="244">
        <f t="shared" si="20"/>
        <v>-10.350141643059501</v>
      </c>
      <c r="K175" s="235">
        <v>83.05</v>
      </c>
      <c r="L175" s="353">
        <f t="shared" si="18"/>
        <v>9.25</v>
      </c>
      <c r="M175"/>
      <c r="N175"/>
    </row>
    <row r="176" spans="1:14" ht="12.75">
      <c r="A176" s="820" t="s">
        <v>187</v>
      </c>
      <c r="B176" s="821"/>
      <c r="C176" s="352">
        <v>20</v>
      </c>
      <c r="D176" s="240">
        <v>20</v>
      </c>
      <c r="E176" s="241">
        <f t="shared" si="19"/>
        <v>0</v>
      </c>
      <c r="F176" s="242">
        <v>20</v>
      </c>
      <c r="G176" s="232">
        <f t="shared" si="17"/>
        <v>0</v>
      </c>
      <c r="H176" s="243">
        <f>0.836407506702413*100</f>
        <v>83.64075067024129</v>
      </c>
      <c r="I176" s="244">
        <v>85</v>
      </c>
      <c r="J176" s="244">
        <f t="shared" si="20"/>
        <v>1.3592493297587112</v>
      </c>
      <c r="K176" s="235">
        <v>88.48</v>
      </c>
      <c r="L176" s="353">
        <f t="shared" si="18"/>
        <v>3.480000000000004</v>
      </c>
      <c r="M176"/>
      <c r="N176"/>
    </row>
    <row r="177" spans="1:14" ht="12.75">
      <c r="A177" s="820" t="s">
        <v>188</v>
      </c>
      <c r="B177" s="821"/>
      <c r="C177" s="352">
        <v>88</v>
      </c>
      <c r="D177" s="240">
        <v>88</v>
      </c>
      <c r="E177" s="241">
        <f t="shared" si="19"/>
        <v>0</v>
      </c>
      <c r="F177" s="242">
        <v>88</v>
      </c>
      <c r="G177" s="232">
        <f t="shared" si="17"/>
        <v>0</v>
      </c>
      <c r="H177" s="243">
        <f>0.908456973293769*100</f>
        <v>90.84569732937685</v>
      </c>
      <c r="I177" s="244">
        <v>84.3</v>
      </c>
      <c r="J177" s="244">
        <f t="shared" si="20"/>
        <v>-6.54569732937685</v>
      </c>
      <c r="K177" s="235">
        <v>85.64</v>
      </c>
      <c r="L177" s="353">
        <f t="shared" si="18"/>
        <v>1.3400000000000034</v>
      </c>
      <c r="M177"/>
      <c r="N177"/>
    </row>
    <row r="178" spans="1:14" ht="13.5" thickBot="1">
      <c r="A178" s="844" t="s">
        <v>189</v>
      </c>
      <c r="B178" s="845"/>
      <c r="C178" s="355"/>
      <c r="D178" s="356"/>
      <c r="E178" s="249">
        <f t="shared" si="19"/>
        <v>0</v>
      </c>
      <c r="F178" s="250"/>
      <c r="G178" s="251">
        <f t="shared" si="17"/>
        <v>0</v>
      </c>
      <c r="H178" s="252"/>
      <c r="I178" s="253"/>
      <c r="J178" s="253">
        <f t="shared" si="20"/>
        <v>0</v>
      </c>
      <c r="K178" s="357"/>
      <c r="L178" s="358">
        <f t="shared" si="18"/>
        <v>0</v>
      </c>
      <c r="M178"/>
      <c r="N178"/>
    </row>
    <row r="179" spans="1:14" ht="13.5" thickBot="1">
      <c r="A179" s="846" t="s">
        <v>10</v>
      </c>
      <c r="B179" s="847"/>
      <c r="C179" s="359">
        <f>SUM(C161:C178)</f>
        <v>746</v>
      </c>
      <c r="D179" s="360">
        <f>SUM(D161:D178)</f>
        <v>740</v>
      </c>
      <c r="E179" s="258">
        <f t="shared" si="19"/>
        <v>-6</v>
      </c>
      <c r="F179" s="259">
        <f>SUM(F161:F178)</f>
        <v>758</v>
      </c>
      <c r="G179" s="258">
        <f t="shared" si="17"/>
        <v>18</v>
      </c>
      <c r="H179" s="260">
        <f>216222/265394*100</f>
        <v>81.4720754802294</v>
      </c>
      <c r="I179" s="261">
        <v>81.3</v>
      </c>
      <c r="J179" s="261">
        <f t="shared" si="20"/>
        <v>-0.17207548022940955</v>
      </c>
      <c r="K179" s="361">
        <v>84.57</v>
      </c>
      <c r="L179" s="263">
        <f t="shared" si="18"/>
        <v>3.269999999999996</v>
      </c>
      <c r="M179"/>
      <c r="N179"/>
    </row>
    <row r="180" ht="13.5" thickBot="1"/>
    <row r="181" spans="1:14" ht="21.75" customHeight="1">
      <c r="A181" s="643" t="s">
        <v>190</v>
      </c>
      <c r="B181" s="850"/>
      <c r="C181" s="659" t="s">
        <v>191</v>
      </c>
      <c r="D181" s="660"/>
      <c r="E181" s="653"/>
      <c r="F181" s="643" t="s">
        <v>190</v>
      </c>
      <c r="G181" s="644"/>
      <c r="H181" s="645"/>
      <c r="I181" s="652" t="s">
        <v>192</v>
      </c>
      <c r="J181" s="660"/>
      <c r="K181" s="653"/>
      <c r="L181" s="657" t="s">
        <v>193</v>
      </c>
      <c r="M181"/>
      <c r="N181"/>
    </row>
    <row r="182" spans="1:14" ht="27.75" thickBot="1">
      <c r="A182" s="646"/>
      <c r="B182" s="851"/>
      <c r="C182" s="264" t="s">
        <v>194</v>
      </c>
      <c r="D182" s="265" t="s">
        <v>195</v>
      </c>
      <c r="E182" s="172" t="s">
        <v>196</v>
      </c>
      <c r="F182" s="646"/>
      <c r="G182" s="647"/>
      <c r="H182" s="648"/>
      <c r="I182" s="267" t="s">
        <v>194</v>
      </c>
      <c r="J182" s="265" t="s">
        <v>195</v>
      </c>
      <c r="K182" s="172" t="s">
        <v>196</v>
      </c>
      <c r="L182" s="658"/>
      <c r="M182"/>
      <c r="N182"/>
    </row>
    <row r="183" spans="1:14" ht="15" customHeight="1">
      <c r="A183" s="848" t="s">
        <v>197</v>
      </c>
      <c r="B183" s="849"/>
      <c r="C183" s="362">
        <v>140.36</v>
      </c>
      <c r="D183" s="363">
        <v>61680745</v>
      </c>
      <c r="E183" s="274">
        <f aca="true" t="shared" si="21" ref="E183:E189">+IF(C183&gt;0,D183/C183/12,"")</f>
        <v>36620.56200721952</v>
      </c>
      <c r="F183" s="649" t="s">
        <v>197</v>
      </c>
      <c r="G183" s="650"/>
      <c r="H183" s="650"/>
      <c r="I183" s="272">
        <v>137.71</v>
      </c>
      <c r="J183" s="273">
        <v>55432808</v>
      </c>
      <c r="K183" s="274">
        <f aca="true" t="shared" si="22" ref="K183:K193">+IF(I183&gt;0,J183/I183/12,"")</f>
        <v>33544.40974995764</v>
      </c>
      <c r="L183" s="275">
        <f>+K183-E183</f>
        <v>-3076.152257261885</v>
      </c>
      <c r="M183"/>
      <c r="N183"/>
    </row>
    <row r="184" spans="1:14" ht="15.75" customHeight="1">
      <c r="A184" s="848" t="s">
        <v>198</v>
      </c>
      <c r="B184" s="849"/>
      <c r="C184" s="283">
        <v>6.01</v>
      </c>
      <c r="D184" s="364">
        <v>1834810</v>
      </c>
      <c r="E184" s="279">
        <f t="shared" si="21"/>
        <v>25441.070438158626</v>
      </c>
      <c r="F184" s="654" t="s">
        <v>198</v>
      </c>
      <c r="G184" s="655"/>
      <c r="H184" s="655"/>
      <c r="I184" s="278">
        <v>5.84</v>
      </c>
      <c r="J184" s="270">
        <v>1655725</v>
      </c>
      <c r="K184" s="279">
        <f t="shared" si="22"/>
        <v>23626.212899543378</v>
      </c>
      <c r="L184" s="280"/>
      <c r="M184"/>
      <c r="N184"/>
    </row>
    <row r="185" spans="1:14" ht="20.25" customHeight="1">
      <c r="A185" s="848" t="s">
        <v>199</v>
      </c>
      <c r="B185" s="849"/>
      <c r="C185" s="283">
        <v>6</v>
      </c>
      <c r="D185" s="364">
        <v>1817647</v>
      </c>
      <c r="E185" s="279">
        <f t="shared" si="21"/>
        <v>25245.097222222223</v>
      </c>
      <c r="F185" s="654" t="s">
        <v>200</v>
      </c>
      <c r="G185" s="655"/>
      <c r="H185" s="655"/>
      <c r="I185" s="278">
        <v>527.76</v>
      </c>
      <c r="J185" s="270">
        <v>102641455</v>
      </c>
      <c r="K185" s="279">
        <f t="shared" si="22"/>
        <v>16207.09144939619</v>
      </c>
      <c r="L185" s="280"/>
      <c r="M185"/>
      <c r="N185"/>
    </row>
    <row r="186" spans="1:14" ht="20.25" customHeight="1">
      <c r="A186" s="848" t="s">
        <v>201</v>
      </c>
      <c r="B186" s="849"/>
      <c r="C186" s="283">
        <v>8.6</v>
      </c>
      <c r="D186" s="364">
        <v>1390265</v>
      </c>
      <c r="E186" s="279">
        <f t="shared" si="21"/>
        <v>13471.560077519382</v>
      </c>
      <c r="F186" s="654" t="s">
        <v>202</v>
      </c>
      <c r="G186" s="655"/>
      <c r="H186" s="655"/>
      <c r="I186" s="278">
        <v>71.25</v>
      </c>
      <c r="J186" s="270">
        <v>14839822</v>
      </c>
      <c r="K186" s="279">
        <f t="shared" si="22"/>
        <v>17356.516959064327</v>
      </c>
      <c r="L186" s="280"/>
      <c r="M186"/>
      <c r="N186"/>
    </row>
    <row r="187" spans="1:14" ht="20.25" customHeight="1">
      <c r="A187" s="848" t="s">
        <v>203</v>
      </c>
      <c r="B187" s="849"/>
      <c r="C187" s="283">
        <v>634.12</v>
      </c>
      <c r="D187" s="364">
        <v>127318193</v>
      </c>
      <c r="E187" s="279">
        <f t="shared" si="21"/>
        <v>16731.61139321685</v>
      </c>
      <c r="F187" s="654" t="s">
        <v>204</v>
      </c>
      <c r="G187" s="655"/>
      <c r="H187" s="655"/>
      <c r="I187" s="278">
        <v>23.8</v>
      </c>
      <c r="J187" s="270">
        <v>4019358</v>
      </c>
      <c r="K187" s="279">
        <f t="shared" si="22"/>
        <v>14073.382352941177</v>
      </c>
      <c r="L187" s="280"/>
      <c r="M187"/>
      <c r="N187"/>
    </row>
    <row r="188" spans="1:14" ht="20.25" customHeight="1">
      <c r="A188" s="848" t="s">
        <v>205</v>
      </c>
      <c r="B188" s="849"/>
      <c r="C188" s="283">
        <v>27.02</v>
      </c>
      <c r="D188" s="364">
        <v>3588667</v>
      </c>
      <c r="E188" s="279">
        <f t="shared" si="21"/>
        <v>11067.934246237355</v>
      </c>
      <c r="F188" s="654" t="s">
        <v>206</v>
      </c>
      <c r="G188" s="655"/>
      <c r="H188" s="655"/>
      <c r="I188" s="278">
        <v>145.79</v>
      </c>
      <c r="J188" s="270">
        <v>18031838</v>
      </c>
      <c r="K188" s="279">
        <f t="shared" si="22"/>
        <v>10306.970071106844</v>
      </c>
      <c r="L188" s="280"/>
      <c r="M188"/>
      <c r="N188"/>
    </row>
    <row r="189" spans="1:14" ht="20.25" customHeight="1">
      <c r="A189" s="848" t="s">
        <v>207</v>
      </c>
      <c r="B189" s="849"/>
      <c r="C189" s="283">
        <v>131.25</v>
      </c>
      <c r="D189" s="364">
        <v>16160101</v>
      </c>
      <c r="E189" s="279">
        <f t="shared" si="21"/>
        <v>10260.381587301586</v>
      </c>
      <c r="F189" s="654" t="s">
        <v>208</v>
      </c>
      <c r="G189" s="655"/>
      <c r="H189" s="655"/>
      <c r="I189" s="278">
        <v>1</v>
      </c>
      <c r="J189" s="270">
        <v>241122</v>
      </c>
      <c r="K189" s="279">
        <f t="shared" si="22"/>
        <v>20093.5</v>
      </c>
      <c r="L189" s="280"/>
      <c r="M189"/>
      <c r="N189"/>
    </row>
    <row r="190" spans="1:14" ht="20.25" customHeight="1">
      <c r="A190" s="848"/>
      <c r="B190" s="849"/>
      <c r="C190" s="283"/>
      <c r="D190" s="364"/>
      <c r="E190" s="279"/>
      <c r="F190" s="654" t="s">
        <v>209</v>
      </c>
      <c r="G190" s="655"/>
      <c r="H190" s="655"/>
      <c r="I190" s="278">
        <v>0</v>
      </c>
      <c r="J190" s="270">
        <v>0</v>
      </c>
      <c r="K190" s="279">
        <f t="shared" si="22"/>
      </c>
      <c r="L190" s="280"/>
      <c r="M190"/>
      <c r="N190"/>
    </row>
    <row r="191" spans="1:14" ht="20.25" customHeight="1">
      <c r="A191" s="848" t="s">
        <v>211</v>
      </c>
      <c r="B191" s="849"/>
      <c r="C191" s="283">
        <v>81.02</v>
      </c>
      <c r="D191" s="364">
        <v>14477581</v>
      </c>
      <c r="E191" s="279">
        <f>+IF(C191&gt;0,D191/C191/12,"")</f>
        <v>14890.953879700486</v>
      </c>
      <c r="F191" s="654" t="s">
        <v>211</v>
      </c>
      <c r="G191" s="655"/>
      <c r="H191" s="655"/>
      <c r="I191" s="281">
        <v>79.05</v>
      </c>
      <c r="J191" s="282">
        <v>13933044</v>
      </c>
      <c r="K191" s="279">
        <f t="shared" si="22"/>
        <v>14688.00759013283</v>
      </c>
      <c r="L191" s="280">
        <f>+K191-E191</f>
        <v>-202.946289567657</v>
      </c>
      <c r="M191"/>
      <c r="N191"/>
    </row>
    <row r="192" spans="1:14" ht="20.25" customHeight="1" thickBot="1">
      <c r="A192" s="848" t="s">
        <v>212</v>
      </c>
      <c r="B192" s="849"/>
      <c r="C192" s="283">
        <v>249.14</v>
      </c>
      <c r="D192" s="364">
        <v>27808173</v>
      </c>
      <c r="E192" s="279">
        <f>+IF(C192&gt;0,D192/C192/12,"")</f>
        <v>9301.387773942362</v>
      </c>
      <c r="F192" s="704" t="s">
        <v>213</v>
      </c>
      <c r="G192" s="705"/>
      <c r="H192" s="705"/>
      <c r="I192" s="272">
        <v>137.07</v>
      </c>
      <c r="J192" s="273">
        <v>15735439</v>
      </c>
      <c r="K192" s="274">
        <f t="shared" si="22"/>
        <v>9566.546898178547</v>
      </c>
      <c r="L192" s="284">
        <f>+K192-E192</f>
        <v>265.15912423618465</v>
      </c>
      <c r="M192"/>
      <c r="N192"/>
    </row>
    <row r="193" spans="1:12" s="85" customFormat="1" ht="22.5" customHeight="1" thickBot="1">
      <c r="A193" s="640" t="s">
        <v>10</v>
      </c>
      <c r="B193" s="852"/>
      <c r="C193" s="285">
        <f>SUM(C183:C192)</f>
        <v>1283.52</v>
      </c>
      <c r="D193" s="365">
        <f>SUM(D183:D192)</f>
        <v>256076182</v>
      </c>
      <c r="E193" s="145">
        <f>+IF(C193&gt;0,D193/C193/12,"")</f>
        <v>16625.905193010887</v>
      </c>
      <c r="F193" s="640" t="s">
        <v>10</v>
      </c>
      <c r="G193" s="641"/>
      <c r="H193" s="642"/>
      <c r="I193" s="286">
        <f>SUM(I183:I192)</f>
        <v>1129.2699999999998</v>
      </c>
      <c r="J193" s="143">
        <f>SUM(J183:J192)</f>
        <v>226530611</v>
      </c>
      <c r="K193" s="145">
        <f t="shared" si="22"/>
        <v>16716.596488587027</v>
      </c>
      <c r="L193" s="287">
        <f>+K193-E193</f>
        <v>90.69129557613996</v>
      </c>
    </row>
    <row r="194" spans="1:14" ht="5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6" ht="16.5" thickBot="1">
      <c r="A196" s="211" t="s">
        <v>214</v>
      </c>
    </row>
    <row r="197" spans="1:16" ht="17.25" customHeight="1" thickBot="1">
      <c r="A197" s="748" t="s">
        <v>215</v>
      </c>
      <c r="B197" s="749"/>
      <c r="C197" s="749"/>
      <c r="D197" s="750"/>
      <c r="O197" s="1"/>
      <c r="P197" s="1"/>
    </row>
    <row r="198" spans="1:4" s="1" customFormat="1" ht="15.75" customHeight="1">
      <c r="A198" s="744" t="s">
        <v>216</v>
      </c>
      <c r="B198" s="745"/>
      <c r="C198" s="770">
        <f>+C52/1000</f>
        <v>18885</v>
      </c>
      <c r="D198" s="771"/>
    </row>
    <row r="199" spans="1:4" s="1" customFormat="1" ht="15.75" customHeight="1">
      <c r="A199" s="811" t="s">
        <v>50</v>
      </c>
      <c r="B199" s="812"/>
      <c r="C199" s="742">
        <f>+G52/1000</f>
        <v>37110</v>
      </c>
      <c r="D199" s="743"/>
    </row>
    <row r="200" spans="1:4" s="1" customFormat="1" ht="15.75" customHeight="1" thickBot="1">
      <c r="A200" s="813" t="s">
        <v>217</v>
      </c>
      <c r="B200" s="814"/>
      <c r="C200" s="815">
        <f>+J27</f>
        <v>234810</v>
      </c>
      <c r="D200" s="816"/>
    </row>
  </sheetData>
  <mergeCells count="399">
    <mergeCell ref="F118:J118"/>
    <mergeCell ref="C79:D79"/>
    <mergeCell ref="E79:F79"/>
    <mergeCell ref="A73:B73"/>
    <mergeCell ref="A110:B110"/>
    <mergeCell ref="F113:J114"/>
    <mergeCell ref="A75:B75"/>
    <mergeCell ref="A108:B108"/>
    <mergeCell ref="I106:J106"/>
    <mergeCell ref="G79:H79"/>
    <mergeCell ref="A54:B54"/>
    <mergeCell ref="F115:J115"/>
    <mergeCell ref="K73:L73"/>
    <mergeCell ref="F116:J116"/>
    <mergeCell ref="C73:D73"/>
    <mergeCell ref="E73:F73"/>
    <mergeCell ref="G73:H73"/>
    <mergeCell ref="I73:J73"/>
    <mergeCell ref="K71:L71"/>
    <mergeCell ref="C72:D72"/>
    <mergeCell ref="C71:D71"/>
    <mergeCell ref="E71:F71"/>
    <mergeCell ref="G71:H71"/>
    <mergeCell ref="I71:J71"/>
    <mergeCell ref="K68:L68"/>
    <mergeCell ref="C70:D70"/>
    <mergeCell ref="E70:F70"/>
    <mergeCell ref="G70:H70"/>
    <mergeCell ref="I70:J70"/>
    <mergeCell ref="K70:L70"/>
    <mergeCell ref="C68:D68"/>
    <mergeCell ref="E68:F68"/>
    <mergeCell ref="G68:H68"/>
    <mergeCell ref="I68:J68"/>
    <mergeCell ref="K108:L108"/>
    <mergeCell ref="C65:D65"/>
    <mergeCell ref="E65:F65"/>
    <mergeCell ref="G65:H65"/>
    <mergeCell ref="I65:J65"/>
    <mergeCell ref="K65:L65"/>
    <mergeCell ref="C108:D108"/>
    <mergeCell ref="E108:F108"/>
    <mergeCell ref="G108:H108"/>
    <mergeCell ref="I108:J108"/>
    <mergeCell ref="I66:J66"/>
    <mergeCell ref="K66:L66"/>
    <mergeCell ref="C67:D67"/>
    <mergeCell ref="E67:F67"/>
    <mergeCell ref="I79:J79"/>
    <mergeCell ref="K79:L79"/>
    <mergeCell ref="I105:J105"/>
    <mergeCell ref="K106:L106"/>
    <mergeCell ref="I104:J104"/>
    <mergeCell ref="K101:L101"/>
    <mergeCell ref="K102:L102"/>
    <mergeCell ref="K103:L103"/>
    <mergeCell ref="K104:L104"/>
    <mergeCell ref="K105:L105"/>
    <mergeCell ref="K107:L107"/>
    <mergeCell ref="C106:D106"/>
    <mergeCell ref="E106:F106"/>
    <mergeCell ref="G106:H106"/>
    <mergeCell ref="C107:D107"/>
    <mergeCell ref="E107:F107"/>
    <mergeCell ref="G107:H107"/>
    <mergeCell ref="I107:J107"/>
    <mergeCell ref="G103:H103"/>
    <mergeCell ref="C105:D105"/>
    <mergeCell ref="E105:F105"/>
    <mergeCell ref="G105:H105"/>
    <mergeCell ref="C104:D104"/>
    <mergeCell ref="E104:F104"/>
    <mergeCell ref="G104:H104"/>
    <mergeCell ref="C100:D100"/>
    <mergeCell ref="E100:F100"/>
    <mergeCell ref="I103:J103"/>
    <mergeCell ref="C102:D102"/>
    <mergeCell ref="E102:F102"/>
    <mergeCell ref="G102:H102"/>
    <mergeCell ref="I102:J102"/>
    <mergeCell ref="C103:D103"/>
    <mergeCell ref="E103:F103"/>
    <mergeCell ref="C101:D101"/>
    <mergeCell ref="E101:F101"/>
    <mergeCell ref="G101:H101"/>
    <mergeCell ref="I101:J101"/>
    <mergeCell ref="K99:L99"/>
    <mergeCell ref="I64:J64"/>
    <mergeCell ref="K64:L64"/>
    <mergeCell ref="G100:H100"/>
    <mergeCell ref="I100:J100"/>
    <mergeCell ref="K100:L100"/>
    <mergeCell ref="G67:H67"/>
    <mergeCell ref="I67:J67"/>
    <mergeCell ref="K67:L67"/>
    <mergeCell ref="G66:H66"/>
    <mergeCell ref="I90:J90"/>
    <mergeCell ref="C99:D99"/>
    <mergeCell ref="E99:F99"/>
    <mergeCell ref="G99:H99"/>
    <mergeCell ref="I99:J99"/>
    <mergeCell ref="K58:L58"/>
    <mergeCell ref="C54:D54"/>
    <mergeCell ref="E54:F54"/>
    <mergeCell ref="G54:H54"/>
    <mergeCell ref="I54:J54"/>
    <mergeCell ref="G55:H55"/>
    <mergeCell ref="I55:J55"/>
    <mergeCell ref="K55:L55"/>
    <mergeCell ref="K56:L56"/>
    <mergeCell ref="C57:D57"/>
    <mergeCell ref="I63:J63"/>
    <mergeCell ref="K54:L54"/>
    <mergeCell ref="C55:D55"/>
    <mergeCell ref="E55:F55"/>
    <mergeCell ref="I62:J62"/>
    <mergeCell ref="K62:L62"/>
    <mergeCell ref="I59:J59"/>
    <mergeCell ref="I58:J58"/>
    <mergeCell ref="K59:L59"/>
    <mergeCell ref="I56:J56"/>
    <mergeCell ref="K63:L63"/>
    <mergeCell ref="I60:J60"/>
    <mergeCell ref="K60:L60"/>
    <mergeCell ref="C61:D61"/>
    <mergeCell ref="E61:F61"/>
    <mergeCell ref="G61:H61"/>
    <mergeCell ref="I61:J61"/>
    <mergeCell ref="K61:L61"/>
    <mergeCell ref="C63:D63"/>
    <mergeCell ref="E63:F63"/>
    <mergeCell ref="E149:G149"/>
    <mergeCell ref="C60:D60"/>
    <mergeCell ref="E60:F60"/>
    <mergeCell ref="G60:H60"/>
    <mergeCell ref="C62:D62"/>
    <mergeCell ref="E62:F62"/>
    <mergeCell ref="G62:H62"/>
    <mergeCell ref="C64:D64"/>
    <mergeCell ref="E64:F64"/>
    <mergeCell ref="G64:H64"/>
    <mergeCell ref="A122:C122"/>
    <mergeCell ref="F119:J119"/>
    <mergeCell ref="F120:J120"/>
    <mergeCell ref="F121:J121"/>
    <mergeCell ref="F122:J122"/>
    <mergeCell ref="A116:C116"/>
    <mergeCell ref="A117:C117"/>
    <mergeCell ref="D113:D114"/>
    <mergeCell ref="K113:K114"/>
    <mergeCell ref="A113:C114"/>
    <mergeCell ref="A115:C115"/>
    <mergeCell ref="F117:J117"/>
    <mergeCell ref="A200:B200"/>
    <mergeCell ref="C200:D200"/>
    <mergeCell ref="E148:G148"/>
    <mergeCell ref="E150:G150"/>
    <mergeCell ref="A197:D197"/>
    <mergeCell ref="A198:B198"/>
    <mergeCell ref="C198:D198"/>
    <mergeCell ref="A192:B192"/>
    <mergeCell ref="F192:H192"/>
    <mergeCell ref="A193:B193"/>
    <mergeCell ref="K41:N41"/>
    <mergeCell ref="K46:N46"/>
    <mergeCell ref="K47:N47"/>
    <mergeCell ref="K50:N50"/>
    <mergeCell ref="A189:B189"/>
    <mergeCell ref="F189:H189"/>
    <mergeCell ref="F193:H193"/>
    <mergeCell ref="A190:B190"/>
    <mergeCell ref="F190:H190"/>
    <mergeCell ref="A191:B191"/>
    <mergeCell ref="F191:H191"/>
    <mergeCell ref="A187:B187"/>
    <mergeCell ref="F187:H187"/>
    <mergeCell ref="A188:B188"/>
    <mergeCell ref="F188:H188"/>
    <mergeCell ref="A185:B185"/>
    <mergeCell ref="F185:H185"/>
    <mergeCell ref="A186:B186"/>
    <mergeCell ref="F186:H186"/>
    <mergeCell ref="L181:L182"/>
    <mergeCell ref="A183:B183"/>
    <mergeCell ref="F183:H183"/>
    <mergeCell ref="A184:B184"/>
    <mergeCell ref="F184:H184"/>
    <mergeCell ref="A181:B182"/>
    <mergeCell ref="C181:E181"/>
    <mergeCell ref="F181:H182"/>
    <mergeCell ref="I181:K181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68:B168"/>
    <mergeCell ref="A169:B169"/>
    <mergeCell ref="A170:B170"/>
    <mergeCell ref="A171:B171"/>
    <mergeCell ref="K110:L110"/>
    <mergeCell ref="A159:B160"/>
    <mergeCell ref="C159:G159"/>
    <mergeCell ref="H159:L159"/>
    <mergeCell ref="C110:D110"/>
    <mergeCell ref="E110:F110"/>
    <mergeCell ref="G110:H110"/>
    <mergeCell ref="I110:J110"/>
    <mergeCell ref="E147:G147"/>
    <mergeCell ref="C154:H154"/>
    <mergeCell ref="E59:F59"/>
    <mergeCell ref="G59:H59"/>
    <mergeCell ref="C69:D69"/>
    <mergeCell ref="E69:F69"/>
    <mergeCell ref="G69:H69"/>
    <mergeCell ref="G63:H63"/>
    <mergeCell ref="C66:D66"/>
    <mergeCell ref="E66:F66"/>
    <mergeCell ref="E76:F76"/>
    <mergeCell ref="I75:J75"/>
    <mergeCell ref="K69:L69"/>
    <mergeCell ref="I69:J69"/>
    <mergeCell ref="E72:F72"/>
    <mergeCell ref="G72:H72"/>
    <mergeCell ref="I72:J72"/>
    <mergeCell ref="K72:L72"/>
    <mergeCell ref="K75:L75"/>
    <mergeCell ref="E57:F57"/>
    <mergeCell ref="G57:H57"/>
    <mergeCell ref="I57:J57"/>
    <mergeCell ref="K57:L57"/>
    <mergeCell ref="C56:D56"/>
    <mergeCell ref="E56:F56"/>
    <mergeCell ref="G56:H56"/>
    <mergeCell ref="K97:L97"/>
    <mergeCell ref="K95:L95"/>
    <mergeCell ref="C96:D96"/>
    <mergeCell ref="E96:F96"/>
    <mergeCell ref="G96:H96"/>
    <mergeCell ref="I96:J96"/>
    <mergeCell ref="K96:L96"/>
    <mergeCell ref="K98:L98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K93:L93"/>
    <mergeCell ref="C94:D94"/>
    <mergeCell ref="E94:F94"/>
    <mergeCell ref="G94:H94"/>
    <mergeCell ref="I94:J94"/>
    <mergeCell ref="K94:L94"/>
    <mergeCell ref="C93:D93"/>
    <mergeCell ref="E93:F93"/>
    <mergeCell ref="G93:H93"/>
    <mergeCell ref="I93:J93"/>
    <mergeCell ref="K91:L91"/>
    <mergeCell ref="C92:D92"/>
    <mergeCell ref="E92:F92"/>
    <mergeCell ref="G92:H92"/>
    <mergeCell ref="I92:J92"/>
    <mergeCell ref="K92:L92"/>
    <mergeCell ref="C91:D91"/>
    <mergeCell ref="E91:F91"/>
    <mergeCell ref="G91:H91"/>
    <mergeCell ref="I91:J91"/>
    <mergeCell ref="K89:L89"/>
    <mergeCell ref="K87:L87"/>
    <mergeCell ref="K88:L88"/>
    <mergeCell ref="K90:L90"/>
    <mergeCell ref="E141:G141"/>
    <mergeCell ref="C88:D88"/>
    <mergeCell ref="E88:F88"/>
    <mergeCell ref="G88:H88"/>
    <mergeCell ref="C89:D89"/>
    <mergeCell ref="E89:F89"/>
    <mergeCell ref="G89:H89"/>
    <mergeCell ref="C90:D90"/>
    <mergeCell ref="E90:F90"/>
    <mergeCell ref="G90:H90"/>
    <mergeCell ref="K86:L86"/>
    <mergeCell ref="I76:J76"/>
    <mergeCell ref="K76:L76"/>
    <mergeCell ref="G81:H81"/>
    <mergeCell ref="I81:J81"/>
    <mergeCell ref="G76:H76"/>
    <mergeCell ref="K80:L80"/>
    <mergeCell ref="G83:H83"/>
    <mergeCell ref="I83:J83"/>
    <mergeCell ref="K83:L83"/>
    <mergeCell ref="C76:D76"/>
    <mergeCell ref="A199:B199"/>
    <mergeCell ref="C199:D199"/>
    <mergeCell ref="E142:G142"/>
    <mergeCell ref="E143:G143"/>
    <mergeCell ref="E144:G144"/>
    <mergeCell ref="E145:G145"/>
    <mergeCell ref="E146:G146"/>
    <mergeCell ref="A161:B161"/>
    <mergeCell ref="A166:B166"/>
    <mergeCell ref="A167:B167"/>
    <mergeCell ref="K82:L82"/>
    <mergeCell ref="C83:D83"/>
    <mergeCell ref="C129:F129"/>
    <mergeCell ref="G129:G130"/>
    <mergeCell ref="I82:J82"/>
    <mergeCell ref="G86:H86"/>
    <mergeCell ref="I86:J86"/>
    <mergeCell ref="C87:D87"/>
    <mergeCell ref="H129:H130"/>
    <mergeCell ref="A42:A43"/>
    <mergeCell ref="B42:E42"/>
    <mergeCell ref="F42:I42"/>
    <mergeCell ref="C75:D75"/>
    <mergeCell ref="E75:F75"/>
    <mergeCell ref="G75:H75"/>
    <mergeCell ref="C58:D58"/>
    <mergeCell ref="E58:F58"/>
    <mergeCell ref="G58:H58"/>
    <mergeCell ref="C59:D59"/>
    <mergeCell ref="C81:D81"/>
    <mergeCell ref="E81:F81"/>
    <mergeCell ref="K81:L81"/>
    <mergeCell ref="E80:F80"/>
    <mergeCell ref="I80:J80"/>
    <mergeCell ref="I129:L129"/>
    <mergeCell ref="K77:L77"/>
    <mergeCell ref="C78:D78"/>
    <mergeCell ref="E78:F78"/>
    <mergeCell ref="G78:H78"/>
    <mergeCell ref="I78:J78"/>
    <mergeCell ref="K78:L78"/>
    <mergeCell ref="I77:J77"/>
    <mergeCell ref="E83:F83"/>
    <mergeCell ref="I88:J88"/>
    <mergeCell ref="A3:A6"/>
    <mergeCell ref="A41:I41"/>
    <mergeCell ref="H4:I4"/>
    <mergeCell ref="B3:N3"/>
    <mergeCell ref="M4:N4"/>
    <mergeCell ref="J36:L36"/>
    <mergeCell ref="B36:D36"/>
    <mergeCell ref="E36:G36"/>
    <mergeCell ref="B37:D37"/>
    <mergeCell ref="E37:G37"/>
    <mergeCell ref="B38:D38"/>
    <mergeCell ref="E38:G38"/>
    <mergeCell ref="C82:D82"/>
    <mergeCell ref="E82:F82"/>
    <mergeCell ref="G82:H82"/>
    <mergeCell ref="G80:H80"/>
    <mergeCell ref="C77:D77"/>
    <mergeCell ref="E77:F77"/>
    <mergeCell ref="G77:H77"/>
    <mergeCell ref="C80:D80"/>
    <mergeCell ref="E87:F87"/>
    <mergeCell ref="G87:H87"/>
    <mergeCell ref="I87:J87"/>
    <mergeCell ref="I89:J89"/>
    <mergeCell ref="K84:L84"/>
    <mergeCell ref="C85:D85"/>
    <mergeCell ref="E85:F85"/>
    <mergeCell ref="G85:H85"/>
    <mergeCell ref="I85:J85"/>
    <mergeCell ref="K85:L85"/>
    <mergeCell ref="G84:H84"/>
    <mergeCell ref="I84:J84"/>
    <mergeCell ref="C84:D84"/>
    <mergeCell ref="I124:I126"/>
    <mergeCell ref="C125:C126"/>
    <mergeCell ref="D125:H125"/>
    <mergeCell ref="A163:B163"/>
    <mergeCell ref="A154:A155"/>
    <mergeCell ref="B154:B155"/>
    <mergeCell ref="A162:B162"/>
    <mergeCell ref="A124:A126"/>
    <mergeCell ref="B124:B126"/>
    <mergeCell ref="C124:H124"/>
    <mergeCell ref="A129:A130"/>
    <mergeCell ref="E84:F84"/>
    <mergeCell ref="A164:B164"/>
    <mergeCell ref="A165:B165"/>
    <mergeCell ref="C86:D86"/>
    <mergeCell ref="E86:F86"/>
    <mergeCell ref="B129:B130"/>
    <mergeCell ref="E138:G138"/>
    <mergeCell ref="E139:G139"/>
    <mergeCell ref="E140:G140"/>
  </mergeCells>
  <printOptions horizontalCentered="1"/>
  <pageMargins left="0.22" right="0.2755905511811024" top="0.35433070866141736" bottom="0.2362204724409449" header="0.2362204724409449" footer="0.1968503937007874"/>
  <pageSetup horizontalDpi="600" verticalDpi="600" orientation="portrait" paperSize="9" scale="70" r:id="rId1"/>
  <rowBreaks count="1" manualBreakCount="1"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2"/>
  <sheetViews>
    <sheetView workbookViewId="0" topLeftCell="A1">
      <selection activeCell="L1" sqref="L1"/>
    </sheetView>
  </sheetViews>
  <sheetFormatPr defaultColWidth="9.00390625" defaultRowHeight="12.75"/>
  <cols>
    <col min="1" max="1" width="27.00390625" style="1" customWidth="1"/>
    <col min="2" max="3" width="10.00390625" style="2" customWidth="1"/>
    <col min="4" max="4" width="9.875" style="2" customWidth="1"/>
    <col min="5" max="5" width="9.00390625" style="2" customWidth="1"/>
    <col min="6" max="7" width="8.375" style="2" customWidth="1"/>
    <col min="8" max="8" width="9.00390625" style="2" customWidth="1"/>
    <col min="9" max="9" width="8.375" style="1" customWidth="1"/>
    <col min="10" max="10" width="9.375" style="1" customWidth="1"/>
    <col min="11" max="14" width="8.375" style="1" customWidth="1"/>
  </cols>
  <sheetData>
    <row r="1" spans="12:14" ht="15.75">
      <c r="L1" s="3" t="s">
        <v>457</v>
      </c>
      <c r="N1" s="4"/>
    </row>
    <row r="2" spans="1:14" ht="19.5" customHeight="1" thickBot="1">
      <c r="A2" s="434" t="s">
        <v>393</v>
      </c>
      <c r="B2" s="6"/>
      <c r="C2" s="6"/>
      <c r="D2" s="6"/>
      <c r="E2" s="6"/>
      <c r="F2" s="6"/>
      <c r="G2" s="6"/>
      <c r="H2" s="6"/>
      <c r="L2" s="3" t="s">
        <v>0</v>
      </c>
      <c r="N2" s="4"/>
    </row>
    <row r="3" spans="1:14" ht="34.5" customHeight="1" thickBot="1" thickTop="1">
      <c r="A3" s="881" t="s">
        <v>1</v>
      </c>
      <c r="B3" s="877" t="s">
        <v>297</v>
      </c>
      <c r="C3" s="878"/>
      <c r="D3" s="878"/>
      <c r="E3" s="878"/>
      <c r="F3" s="878"/>
      <c r="G3" s="878" t="s">
        <v>298</v>
      </c>
      <c r="H3" s="878"/>
      <c r="I3" s="878"/>
      <c r="J3" s="879"/>
      <c r="K3" s="879"/>
      <c r="L3" s="879"/>
      <c r="M3" s="879"/>
      <c r="N3" s="880"/>
    </row>
    <row r="4" spans="1:34" ht="10.5" customHeight="1">
      <c r="A4" s="882"/>
      <c r="B4" s="7" t="s">
        <v>3</v>
      </c>
      <c r="C4" s="8"/>
      <c r="D4" s="9"/>
      <c r="E4" s="10" t="s">
        <v>4</v>
      </c>
      <c r="F4" s="8"/>
      <c r="G4" s="9"/>
      <c r="H4" s="778" t="s">
        <v>5</v>
      </c>
      <c r="I4" s="779"/>
      <c r="J4" s="8" t="s">
        <v>6</v>
      </c>
      <c r="K4" s="11"/>
      <c r="L4" s="12"/>
      <c r="M4" s="778" t="s">
        <v>7</v>
      </c>
      <c r="N4" s="77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4" ht="12.75">
      <c r="A5" s="882"/>
      <c r="B5" s="13" t="s">
        <v>8</v>
      </c>
      <c r="C5" s="14" t="s">
        <v>299</v>
      </c>
      <c r="D5" s="17" t="s">
        <v>10</v>
      </c>
      <c r="E5" s="13" t="s">
        <v>8</v>
      </c>
      <c r="F5" s="14" t="s">
        <v>299</v>
      </c>
      <c r="G5" s="17" t="s">
        <v>10</v>
      </c>
      <c r="H5" s="13" t="s">
        <v>10</v>
      </c>
      <c r="I5" s="15" t="s">
        <v>11</v>
      </c>
      <c r="J5" s="366" t="s">
        <v>8</v>
      </c>
      <c r="K5" s="14" t="s">
        <v>299</v>
      </c>
      <c r="L5" s="17" t="s">
        <v>10</v>
      </c>
      <c r="M5" s="13" t="s">
        <v>10</v>
      </c>
      <c r="N5" s="367" t="s">
        <v>11</v>
      </c>
    </row>
    <row r="6" spans="1:14" ht="13.5" thickBot="1">
      <c r="A6" s="883"/>
      <c r="B6" s="368" t="s">
        <v>12</v>
      </c>
      <c r="C6" s="369" t="s">
        <v>12</v>
      </c>
      <c r="D6" s="370"/>
      <c r="E6" s="368" t="s">
        <v>12</v>
      </c>
      <c r="F6" s="369" t="s">
        <v>12</v>
      </c>
      <c r="G6" s="370"/>
      <c r="H6" s="371" t="s">
        <v>13</v>
      </c>
      <c r="I6" s="372" t="s">
        <v>14</v>
      </c>
      <c r="J6" s="373" t="s">
        <v>12</v>
      </c>
      <c r="K6" s="369" t="s">
        <v>12</v>
      </c>
      <c r="L6" s="370"/>
      <c r="M6" s="371" t="s">
        <v>13</v>
      </c>
      <c r="N6" s="374" t="s">
        <v>14</v>
      </c>
    </row>
    <row r="7" spans="1:14" s="85" customFormat="1" ht="15" customHeight="1" thickTop="1">
      <c r="A7" s="375" t="s">
        <v>15</v>
      </c>
      <c r="B7" s="27">
        <v>0</v>
      </c>
      <c r="C7" s="28">
        <v>0</v>
      </c>
      <c r="D7" s="288">
        <v>0</v>
      </c>
      <c r="E7" s="27"/>
      <c r="F7" s="28"/>
      <c r="G7" s="288">
        <v>0</v>
      </c>
      <c r="H7" s="376"/>
      <c r="I7" s="377"/>
      <c r="J7" s="297">
        <v>0</v>
      </c>
      <c r="K7" s="28">
        <v>0</v>
      </c>
      <c r="L7" s="378">
        <v>0</v>
      </c>
      <c r="M7" s="376"/>
      <c r="N7" s="377"/>
    </row>
    <row r="8" spans="1:14" s="85" customFormat="1" ht="15" customHeight="1">
      <c r="A8" s="379" t="s">
        <v>16</v>
      </c>
      <c r="B8" s="36">
        <v>299486</v>
      </c>
      <c r="C8" s="37">
        <v>1092</v>
      </c>
      <c r="D8" s="298">
        <f aca="true" t="shared" si="0" ref="D8:D15">SUM(B8:C8)</f>
        <v>300578</v>
      </c>
      <c r="E8" s="44">
        <v>299635.36</v>
      </c>
      <c r="F8" s="37">
        <v>817.51</v>
      </c>
      <c r="G8" s="298">
        <f aca="true" t="shared" si="1" ref="G8:G15">SUM(E8:F8)</f>
        <v>300452.87</v>
      </c>
      <c r="H8" s="380">
        <f aca="true" t="shared" si="2" ref="H8:H16">+G8-D8</f>
        <v>-125.13000000000466</v>
      </c>
      <c r="I8" s="381">
        <f aca="true" t="shared" si="3" ref="I8:I16">+G8/D8</f>
        <v>0.9995837020673503</v>
      </c>
      <c r="J8" s="289">
        <v>314437</v>
      </c>
      <c r="K8" s="37">
        <v>600</v>
      </c>
      <c r="L8" s="298">
        <f aca="true" t="shared" si="4" ref="L8:L15">SUM(J8:K8)</f>
        <v>315037</v>
      </c>
      <c r="M8" s="380">
        <f aca="true" t="shared" si="5" ref="M8:M16">+L8-G8</f>
        <v>14584.130000000005</v>
      </c>
      <c r="N8" s="381">
        <f aca="true" t="shared" si="6" ref="N8:N13">+L8/G8</f>
        <v>1.0485404915586263</v>
      </c>
    </row>
    <row r="9" spans="1:14" s="85" customFormat="1" ht="15" customHeight="1">
      <c r="A9" s="379" t="s">
        <v>17</v>
      </c>
      <c r="B9" s="36">
        <v>39606</v>
      </c>
      <c r="C9" s="37">
        <v>0</v>
      </c>
      <c r="D9" s="298">
        <f t="shared" si="0"/>
        <v>39606</v>
      </c>
      <c r="E9" s="44">
        <v>43838.78</v>
      </c>
      <c r="F9" s="37"/>
      <c r="G9" s="49">
        <f t="shared" si="1"/>
        <v>43838.78</v>
      </c>
      <c r="H9" s="380">
        <f t="shared" si="2"/>
        <v>4232.779999999999</v>
      </c>
      <c r="I9" s="381">
        <f t="shared" si="3"/>
        <v>1.1068721910821593</v>
      </c>
      <c r="J9" s="289">
        <v>41000</v>
      </c>
      <c r="K9" s="37"/>
      <c r="L9" s="298">
        <f t="shared" si="4"/>
        <v>41000</v>
      </c>
      <c r="M9" s="380">
        <f t="shared" si="5"/>
        <v>-2838.779999999999</v>
      </c>
      <c r="N9" s="381">
        <f t="shared" si="6"/>
        <v>0.9352450045370788</v>
      </c>
    </row>
    <row r="10" spans="1:14" s="85" customFormat="1" ht="15" customHeight="1">
      <c r="A10" s="379" t="s">
        <v>18</v>
      </c>
      <c r="B10" s="36">
        <v>7653</v>
      </c>
      <c r="C10" s="37">
        <v>0</v>
      </c>
      <c r="D10" s="298">
        <f t="shared" si="0"/>
        <v>7653</v>
      </c>
      <c r="E10" s="47">
        <v>8574.61</v>
      </c>
      <c r="F10" s="48"/>
      <c r="G10" s="49">
        <f t="shared" si="1"/>
        <v>8574.61</v>
      </c>
      <c r="H10" s="380">
        <f t="shared" si="2"/>
        <v>921.6100000000006</v>
      </c>
      <c r="I10" s="381">
        <f t="shared" si="3"/>
        <v>1.1204246700640272</v>
      </c>
      <c r="J10" s="289">
        <v>8000</v>
      </c>
      <c r="K10" s="37"/>
      <c r="L10" s="298">
        <f t="shared" si="4"/>
        <v>8000</v>
      </c>
      <c r="M10" s="380">
        <f t="shared" si="5"/>
        <v>-574.6100000000006</v>
      </c>
      <c r="N10" s="381">
        <f t="shared" si="6"/>
        <v>0.9329870396437855</v>
      </c>
    </row>
    <row r="11" spans="1:14" s="85" customFormat="1" ht="15" customHeight="1">
      <c r="A11" s="379" t="s">
        <v>19</v>
      </c>
      <c r="B11" s="36">
        <v>6374</v>
      </c>
      <c r="C11" s="37">
        <v>0</v>
      </c>
      <c r="D11" s="298">
        <f t="shared" si="0"/>
        <v>6374</v>
      </c>
      <c r="E11" s="47">
        <f>4.12+449.34+0.16+1692.2+5645.42</f>
        <v>7791.24</v>
      </c>
      <c r="F11" s="48">
        <v>150.69</v>
      </c>
      <c r="G11" s="49">
        <f t="shared" si="1"/>
        <v>7941.929999999999</v>
      </c>
      <c r="H11" s="380">
        <f t="shared" si="2"/>
        <v>1567.9299999999994</v>
      </c>
      <c r="I11" s="381">
        <f t="shared" si="3"/>
        <v>1.245988390335739</v>
      </c>
      <c r="J11" s="289">
        <v>3698</v>
      </c>
      <c r="K11" s="37"/>
      <c r="L11" s="298">
        <f t="shared" si="4"/>
        <v>3698</v>
      </c>
      <c r="M11" s="380">
        <f t="shared" si="5"/>
        <v>-4243.929999999999</v>
      </c>
      <c r="N11" s="381">
        <f t="shared" si="6"/>
        <v>0.4656298909710864</v>
      </c>
    </row>
    <row r="12" spans="1:14" s="85" customFormat="1" ht="15" customHeight="1">
      <c r="A12" s="382" t="s">
        <v>20</v>
      </c>
      <c r="B12" s="36">
        <v>78</v>
      </c>
      <c r="C12" s="37">
        <v>0</v>
      </c>
      <c r="D12" s="298">
        <f t="shared" si="0"/>
        <v>78</v>
      </c>
      <c r="E12" s="47"/>
      <c r="F12" s="48"/>
      <c r="G12" s="49">
        <f t="shared" si="1"/>
        <v>0</v>
      </c>
      <c r="H12" s="380">
        <f t="shared" si="2"/>
        <v>-78</v>
      </c>
      <c r="I12" s="381">
        <f t="shared" si="3"/>
        <v>0</v>
      </c>
      <c r="J12" s="289">
        <v>3600</v>
      </c>
      <c r="K12" s="37"/>
      <c r="L12" s="298">
        <f t="shared" si="4"/>
        <v>3600</v>
      </c>
      <c r="M12" s="380">
        <f t="shared" si="5"/>
        <v>3600</v>
      </c>
      <c r="N12" s="381" t="e">
        <f t="shared" si="6"/>
        <v>#DIV/0!</v>
      </c>
    </row>
    <row r="13" spans="1:14" s="85" customFormat="1" ht="15" customHeight="1">
      <c r="A13" s="382" t="s">
        <v>21</v>
      </c>
      <c r="B13" s="36">
        <v>1983</v>
      </c>
      <c r="C13" s="37">
        <v>0</v>
      </c>
      <c r="D13" s="298">
        <f t="shared" si="0"/>
        <v>1983</v>
      </c>
      <c r="E13" s="47">
        <v>1700.35</v>
      </c>
      <c r="F13" s="48">
        <v>4.03</v>
      </c>
      <c r="G13" s="49">
        <f t="shared" si="1"/>
        <v>1704.3799999999999</v>
      </c>
      <c r="H13" s="380">
        <f t="shared" si="2"/>
        <v>-278.6200000000001</v>
      </c>
      <c r="I13" s="381">
        <f t="shared" si="3"/>
        <v>0.8594957135653051</v>
      </c>
      <c r="J13" s="289">
        <v>2000</v>
      </c>
      <c r="K13" s="37"/>
      <c r="L13" s="298">
        <f t="shared" si="4"/>
        <v>2000</v>
      </c>
      <c r="M13" s="380">
        <f t="shared" si="5"/>
        <v>295.6200000000001</v>
      </c>
      <c r="N13" s="381">
        <f t="shared" si="6"/>
        <v>1.1734472359450359</v>
      </c>
    </row>
    <row r="14" spans="1:14" s="85" customFormat="1" ht="15" customHeight="1">
      <c r="A14" s="382" t="s">
        <v>22</v>
      </c>
      <c r="B14" s="36">
        <v>0</v>
      </c>
      <c r="C14" s="37">
        <v>0</v>
      </c>
      <c r="D14" s="298">
        <f t="shared" si="0"/>
        <v>0</v>
      </c>
      <c r="E14" s="44"/>
      <c r="F14" s="37"/>
      <c r="G14" s="49">
        <f t="shared" si="1"/>
        <v>0</v>
      </c>
      <c r="H14" s="380">
        <f t="shared" si="2"/>
        <v>0</v>
      </c>
      <c r="I14" s="381" t="e">
        <f t="shared" si="3"/>
        <v>#DIV/0!</v>
      </c>
      <c r="J14" s="289"/>
      <c r="K14" s="37"/>
      <c r="L14" s="298">
        <f t="shared" si="4"/>
        <v>0</v>
      </c>
      <c r="M14" s="380">
        <f t="shared" si="5"/>
        <v>0</v>
      </c>
      <c r="N14" s="381"/>
    </row>
    <row r="15" spans="1:14" s="85" customFormat="1" ht="15" customHeight="1" thickBot="1">
      <c r="A15" s="383" t="s">
        <v>23</v>
      </c>
      <c r="B15" s="52">
        <v>32726</v>
      </c>
      <c r="C15" s="53">
        <v>0</v>
      </c>
      <c r="D15" s="298">
        <f t="shared" si="0"/>
        <v>32726</v>
      </c>
      <c r="E15" s="54">
        <v>27529.19</v>
      </c>
      <c r="F15" s="53"/>
      <c r="G15" s="49">
        <f t="shared" si="1"/>
        <v>27529.19</v>
      </c>
      <c r="H15" s="380">
        <f t="shared" si="2"/>
        <v>-5196.810000000001</v>
      </c>
      <c r="I15" s="381">
        <f t="shared" si="3"/>
        <v>0.8412024078714172</v>
      </c>
      <c r="J15" s="293">
        <v>21080</v>
      </c>
      <c r="K15" s="53"/>
      <c r="L15" s="298">
        <f t="shared" si="4"/>
        <v>21080</v>
      </c>
      <c r="M15" s="380">
        <f t="shared" si="5"/>
        <v>-6449.189999999999</v>
      </c>
      <c r="N15" s="381">
        <f>+L15/G15</f>
        <v>0.7657326641285124</v>
      </c>
    </row>
    <row r="16" spans="1:14" s="85" customFormat="1" ht="19.5" customHeight="1" thickBot="1">
      <c r="A16" s="384" t="s">
        <v>24</v>
      </c>
      <c r="B16" s="385">
        <f aca="true" t="shared" si="7" ref="B16:G16">SUM(B7+B8+B9+B10+B11+B13+B15)</f>
        <v>387828</v>
      </c>
      <c r="C16" s="386">
        <f t="shared" si="7"/>
        <v>1092</v>
      </c>
      <c r="D16" s="386">
        <f t="shared" si="7"/>
        <v>388920</v>
      </c>
      <c r="E16" s="385">
        <f t="shared" si="7"/>
        <v>389069.52999999997</v>
      </c>
      <c r="F16" s="386">
        <f t="shared" si="7"/>
        <v>972.23</v>
      </c>
      <c r="G16" s="386">
        <f t="shared" si="7"/>
        <v>390041.76</v>
      </c>
      <c r="H16" s="387">
        <f t="shared" si="2"/>
        <v>1121.7600000000093</v>
      </c>
      <c r="I16" s="388">
        <f t="shared" si="3"/>
        <v>1.002884294970688</v>
      </c>
      <c r="J16" s="389">
        <f>SUM(J7+J8+J9+J10+J11+J13+J15)</f>
        <v>390215</v>
      </c>
      <c r="K16" s="386">
        <f>SUM(K7+K8+K9+K10+K11+K13+K15)</f>
        <v>600</v>
      </c>
      <c r="L16" s="386">
        <f>SUM(L7+L8+L9+L10+L11+L13+L15)</f>
        <v>390815</v>
      </c>
      <c r="M16" s="387">
        <f t="shared" si="5"/>
        <v>773.2399999999907</v>
      </c>
      <c r="N16" s="390">
        <f>+L16/G16</f>
        <v>1.0019824543915503</v>
      </c>
    </row>
    <row r="17" spans="2:8" ht="6.75" customHeight="1" thickBot="1" thickTop="1">
      <c r="B17" s="1"/>
      <c r="C17" s="1"/>
      <c r="D17" s="1"/>
      <c r="E17" s="1"/>
      <c r="F17" s="1"/>
      <c r="G17" s="1"/>
      <c r="H17" s="1"/>
    </row>
    <row r="18" spans="1:14" ht="15" customHeight="1" thickTop="1">
      <c r="A18" s="391" t="s">
        <v>25</v>
      </c>
      <c r="B18" s="392">
        <v>93999</v>
      </c>
      <c r="C18" s="393">
        <v>1495</v>
      </c>
      <c r="D18" s="394">
        <f aca="true" t="shared" si="8" ref="D18:D35">SUM(B18:C18)</f>
        <v>95494</v>
      </c>
      <c r="E18" s="395">
        <v>100825.29</v>
      </c>
      <c r="F18" s="296">
        <v>523.94</v>
      </c>
      <c r="G18" s="394">
        <f aca="true" t="shared" si="9" ref="G18:G35">SUM(E18:F18)</f>
        <v>101349.23</v>
      </c>
      <c r="H18" s="396">
        <f aca="true" t="shared" si="10" ref="H18:H36">+G18-D18</f>
        <v>5855.229999999996</v>
      </c>
      <c r="I18" s="397">
        <f aca="true" t="shared" si="11" ref="I18:I36">+G18/D18</f>
        <v>1.0613151611619578</v>
      </c>
      <c r="J18" s="398">
        <v>94740</v>
      </c>
      <c r="K18" s="393"/>
      <c r="L18" s="394">
        <f aca="true" t="shared" si="12" ref="L18:L35">SUM(J18:K18)</f>
        <v>94740</v>
      </c>
      <c r="M18" s="396">
        <f aca="true" t="shared" si="13" ref="M18:M36">+L18-G18</f>
        <v>-6609.229999999996</v>
      </c>
      <c r="N18" s="399">
        <f aca="true" t="shared" si="14" ref="N18:N36">+L18/G18</f>
        <v>0.9347875657269424</v>
      </c>
    </row>
    <row r="19" spans="1:14" ht="15" customHeight="1">
      <c r="A19" s="382" t="s">
        <v>26</v>
      </c>
      <c r="B19" s="32">
        <v>4500</v>
      </c>
      <c r="C19" s="28">
        <v>2</v>
      </c>
      <c r="D19" s="288">
        <f t="shared" si="8"/>
        <v>4502</v>
      </c>
      <c r="E19" s="32"/>
      <c r="F19" s="28"/>
      <c r="G19" s="288">
        <f t="shared" si="9"/>
        <v>0</v>
      </c>
      <c r="H19" s="400">
        <f t="shared" si="10"/>
        <v>-4502</v>
      </c>
      <c r="I19" s="381">
        <f t="shared" si="11"/>
        <v>0</v>
      </c>
      <c r="J19" s="297">
        <v>3300</v>
      </c>
      <c r="K19" s="28"/>
      <c r="L19" s="288">
        <f t="shared" si="12"/>
        <v>3300</v>
      </c>
      <c r="M19" s="400">
        <f t="shared" si="13"/>
        <v>3300</v>
      </c>
      <c r="N19" s="401" t="e">
        <f t="shared" si="14"/>
        <v>#DIV/0!</v>
      </c>
    </row>
    <row r="20" spans="1:14" ht="15" customHeight="1">
      <c r="A20" s="379" t="s">
        <v>27</v>
      </c>
      <c r="B20" s="44">
        <v>11829</v>
      </c>
      <c r="C20" s="37">
        <v>505</v>
      </c>
      <c r="D20" s="288">
        <f t="shared" si="8"/>
        <v>12334</v>
      </c>
      <c r="E20" s="36">
        <v>14601.44</v>
      </c>
      <c r="F20" s="37">
        <v>179.21</v>
      </c>
      <c r="G20" s="288">
        <f t="shared" si="9"/>
        <v>14780.65</v>
      </c>
      <c r="H20" s="402">
        <f t="shared" si="10"/>
        <v>2446.6499999999996</v>
      </c>
      <c r="I20" s="381">
        <f t="shared" si="11"/>
        <v>1.1983663045240798</v>
      </c>
      <c r="J20" s="289">
        <v>14000</v>
      </c>
      <c r="K20" s="37"/>
      <c r="L20" s="288">
        <f t="shared" si="12"/>
        <v>14000</v>
      </c>
      <c r="M20" s="402">
        <f t="shared" si="13"/>
        <v>-780.6499999999996</v>
      </c>
      <c r="N20" s="401">
        <f t="shared" si="14"/>
        <v>0.9471843254525343</v>
      </c>
    </row>
    <row r="21" spans="1:14" ht="15" customHeight="1">
      <c r="A21" s="382" t="s">
        <v>28</v>
      </c>
      <c r="B21" s="44">
        <v>1934</v>
      </c>
      <c r="C21" s="37">
        <v>14</v>
      </c>
      <c r="D21" s="288">
        <f t="shared" si="8"/>
        <v>1948</v>
      </c>
      <c r="E21" s="47"/>
      <c r="F21" s="48"/>
      <c r="G21" s="288">
        <f t="shared" si="9"/>
        <v>0</v>
      </c>
      <c r="H21" s="402">
        <f t="shared" si="10"/>
        <v>-1948</v>
      </c>
      <c r="I21" s="381">
        <f t="shared" si="11"/>
        <v>0</v>
      </c>
      <c r="J21" s="289">
        <v>0</v>
      </c>
      <c r="K21" s="37"/>
      <c r="L21" s="288">
        <f t="shared" si="12"/>
        <v>0</v>
      </c>
      <c r="M21" s="402">
        <f t="shared" si="13"/>
        <v>0</v>
      </c>
      <c r="N21" s="401" t="e">
        <f t="shared" si="14"/>
        <v>#DIV/0!</v>
      </c>
    </row>
    <row r="22" spans="1:14" ht="15" customHeight="1">
      <c r="A22" s="379" t="s">
        <v>29</v>
      </c>
      <c r="B22" s="44">
        <v>32718</v>
      </c>
      <c r="C22" s="37">
        <v>0</v>
      </c>
      <c r="D22" s="288">
        <f t="shared" si="8"/>
        <v>32718</v>
      </c>
      <c r="E22" s="47">
        <v>36717.16</v>
      </c>
      <c r="F22" s="48">
        <v>0</v>
      </c>
      <c r="G22" s="288">
        <f t="shared" si="9"/>
        <v>36717.16</v>
      </c>
      <c r="H22" s="402">
        <f t="shared" si="10"/>
        <v>3999.1600000000035</v>
      </c>
      <c r="I22" s="381">
        <f t="shared" si="11"/>
        <v>1.1222311877254112</v>
      </c>
      <c r="J22" s="289">
        <v>33000</v>
      </c>
      <c r="K22" s="37"/>
      <c r="L22" s="288">
        <f t="shared" si="12"/>
        <v>33000</v>
      </c>
      <c r="M22" s="402">
        <f t="shared" si="13"/>
        <v>-3717.1600000000035</v>
      </c>
      <c r="N22" s="401">
        <f t="shared" si="14"/>
        <v>0.8987623225761469</v>
      </c>
    </row>
    <row r="23" spans="1:14" ht="15" customHeight="1">
      <c r="A23" s="379" t="s">
        <v>30</v>
      </c>
      <c r="B23" s="44">
        <v>42031</v>
      </c>
      <c r="C23" s="37">
        <v>251</v>
      </c>
      <c r="D23" s="288">
        <f t="shared" si="8"/>
        <v>42282</v>
      </c>
      <c r="E23" s="47">
        <f>6222.24+572.14+40.35+36357.76</f>
        <v>43192.490000000005</v>
      </c>
      <c r="F23" s="48">
        <f>39.97+75.15</f>
        <v>115.12</v>
      </c>
      <c r="G23" s="288">
        <f t="shared" si="9"/>
        <v>43307.61000000001</v>
      </c>
      <c r="H23" s="402">
        <f t="shared" si="10"/>
        <v>1025.6100000000079</v>
      </c>
      <c r="I23" s="381">
        <f t="shared" si="11"/>
        <v>1.0242564211721301</v>
      </c>
      <c r="J23" s="289">
        <v>42375</v>
      </c>
      <c r="K23" s="37"/>
      <c r="L23" s="288">
        <f t="shared" si="12"/>
        <v>42375</v>
      </c>
      <c r="M23" s="402">
        <f t="shared" si="13"/>
        <v>-932.6100000000079</v>
      </c>
      <c r="N23" s="401">
        <f t="shared" si="14"/>
        <v>0.9784654475275821</v>
      </c>
    </row>
    <row r="24" spans="1:14" ht="15" customHeight="1">
      <c r="A24" s="382" t="s">
        <v>31</v>
      </c>
      <c r="B24" s="44">
        <v>4526</v>
      </c>
      <c r="C24" s="37">
        <v>78</v>
      </c>
      <c r="D24" s="288">
        <f t="shared" si="8"/>
        <v>4604</v>
      </c>
      <c r="E24" s="47">
        <v>6222.24</v>
      </c>
      <c r="F24" s="48">
        <v>39.97</v>
      </c>
      <c r="G24" s="288">
        <f t="shared" si="9"/>
        <v>6262.21</v>
      </c>
      <c r="H24" s="402">
        <f t="shared" si="10"/>
        <v>1658.21</v>
      </c>
      <c r="I24" s="381">
        <f t="shared" si="11"/>
        <v>1.3601672458731537</v>
      </c>
      <c r="J24" s="289">
        <v>5000</v>
      </c>
      <c r="K24" s="37"/>
      <c r="L24" s="288">
        <f t="shared" si="12"/>
        <v>5000</v>
      </c>
      <c r="M24" s="402">
        <f t="shared" si="13"/>
        <v>-1262.21</v>
      </c>
      <c r="N24" s="401">
        <f t="shared" si="14"/>
        <v>0.7984401672891839</v>
      </c>
    </row>
    <row r="25" spans="1:14" ht="15" customHeight="1">
      <c r="A25" s="379" t="s">
        <v>32</v>
      </c>
      <c r="B25" s="44">
        <v>36856</v>
      </c>
      <c r="C25" s="37">
        <v>173</v>
      </c>
      <c r="D25" s="288">
        <f t="shared" si="8"/>
        <v>37029</v>
      </c>
      <c r="E25" s="47">
        <v>36357.76</v>
      </c>
      <c r="F25" s="48">
        <v>75.15</v>
      </c>
      <c r="G25" s="288">
        <f t="shared" si="9"/>
        <v>36432.91</v>
      </c>
      <c r="H25" s="402">
        <f t="shared" si="10"/>
        <v>-596.0899999999965</v>
      </c>
      <c r="I25" s="381">
        <f t="shared" si="11"/>
        <v>0.983902076750655</v>
      </c>
      <c r="J25" s="289">
        <v>36200</v>
      </c>
      <c r="K25" s="37"/>
      <c r="L25" s="288">
        <f t="shared" si="12"/>
        <v>36200</v>
      </c>
      <c r="M25" s="402">
        <f t="shared" si="13"/>
        <v>-232.9100000000035</v>
      </c>
      <c r="N25" s="401">
        <f t="shared" si="14"/>
        <v>0.993607153532342</v>
      </c>
    </row>
    <row r="26" spans="1:14" ht="15" customHeight="1">
      <c r="A26" s="403" t="s">
        <v>33</v>
      </c>
      <c r="B26" s="44">
        <v>196720</v>
      </c>
      <c r="C26" s="37">
        <v>3668</v>
      </c>
      <c r="D26" s="288">
        <f t="shared" si="8"/>
        <v>200388</v>
      </c>
      <c r="E26" s="300">
        <f>137213.26+47940.91+2745.52+400.74</f>
        <v>188300.43</v>
      </c>
      <c r="F26" s="48">
        <f>767.56+267.2+11.54+5.1</f>
        <v>1051.3999999999999</v>
      </c>
      <c r="G26" s="288">
        <f t="shared" si="9"/>
        <v>189351.83</v>
      </c>
      <c r="H26" s="402">
        <f t="shared" si="10"/>
        <v>-11036.170000000013</v>
      </c>
      <c r="I26" s="381">
        <f t="shared" si="11"/>
        <v>0.9449259935724693</v>
      </c>
      <c r="J26" s="289">
        <v>202760</v>
      </c>
      <c r="K26" s="37"/>
      <c r="L26" s="288">
        <f t="shared" si="12"/>
        <v>202760</v>
      </c>
      <c r="M26" s="402">
        <f t="shared" si="13"/>
        <v>13408.170000000013</v>
      </c>
      <c r="N26" s="401">
        <f t="shared" si="14"/>
        <v>1.0708108815214514</v>
      </c>
    </row>
    <row r="27" spans="1:14" ht="15" customHeight="1">
      <c r="A27" s="382" t="s">
        <v>34</v>
      </c>
      <c r="B27" s="44">
        <v>143419</v>
      </c>
      <c r="C27" s="37">
        <v>2659</v>
      </c>
      <c r="D27" s="288">
        <f t="shared" si="8"/>
        <v>146078</v>
      </c>
      <c r="E27" s="300">
        <v>137213.26</v>
      </c>
      <c r="F27" s="48">
        <v>767.56</v>
      </c>
      <c r="G27" s="288">
        <f t="shared" si="9"/>
        <v>137980.82</v>
      </c>
      <c r="H27" s="402">
        <f t="shared" si="10"/>
        <v>-8097.179999999993</v>
      </c>
      <c r="I27" s="381">
        <f t="shared" si="11"/>
        <v>0.9445694765810048</v>
      </c>
      <c r="J27" s="289">
        <v>148000</v>
      </c>
      <c r="K27" s="48"/>
      <c r="L27" s="288">
        <f t="shared" si="12"/>
        <v>148000</v>
      </c>
      <c r="M27" s="402">
        <f t="shared" si="13"/>
        <v>10019.179999999993</v>
      </c>
      <c r="N27" s="401">
        <f t="shared" si="14"/>
        <v>1.0726128457563884</v>
      </c>
    </row>
    <row r="28" spans="1:14" ht="15" customHeight="1">
      <c r="A28" s="403" t="s">
        <v>35</v>
      </c>
      <c r="B28" s="44">
        <v>142528</v>
      </c>
      <c r="C28" s="37">
        <v>2653</v>
      </c>
      <c r="D28" s="288">
        <f t="shared" si="8"/>
        <v>145181</v>
      </c>
      <c r="E28" s="44">
        <f>137853-F27</f>
        <v>137085.44</v>
      </c>
      <c r="F28" s="37">
        <v>768</v>
      </c>
      <c r="G28" s="288">
        <f t="shared" si="9"/>
        <v>137853.44</v>
      </c>
      <c r="H28" s="402">
        <f t="shared" si="10"/>
        <v>-7327.559999999998</v>
      </c>
      <c r="I28" s="381">
        <f t="shared" si="11"/>
        <v>0.9495281062949008</v>
      </c>
      <c r="J28" s="289">
        <v>147750</v>
      </c>
      <c r="K28" s="37"/>
      <c r="L28" s="288">
        <f t="shared" si="12"/>
        <v>147750</v>
      </c>
      <c r="M28" s="402">
        <f t="shared" si="13"/>
        <v>9896.559999999998</v>
      </c>
      <c r="N28" s="401">
        <f t="shared" si="14"/>
        <v>1.0717904464335457</v>
      </c>
    </row>
    <row r="29" spans="1:14" ht="15" customHeight="1">
      <c r="A29" s="382" t="s">
        <v>36</v>
      </c>
      <c r="B29" s="44">
        <v>891</v>
      </c>
      <c r="C29" s="37">
        <v>6</v>
      </c>
      <c r="D29" s="288">
        <f t="shared" si="8"/>
        <v>897</v>
      </c>
      <c r="E29" s="44">
        <f>+E27-E28</f>
        <v>127.82000000000698</v>
      </c>
      <c r="F29" s="37"/>
      <c r="G29" s="288">
        <f t="shared" si="9"/>
        <v>127.82000000000698</v>
      </c>
      <c r="H29" s="402">
        <f t="shared" si="10"/>
        <v>-769.179999999993</v>
      </c>
      <c r="I29" s="381">
        <f t="shared" si="11"/>
        <v>0.14249721293200332</v>
      </c>
      <c r="J29" s="289">
        <v>250</v>
      </c>
      <c r="K29" s="37"/>
      <c r="L29" s="288">
        <f t="shared" si="12"/>
        <v>250</v>
      </c>
      <c r="M29" s="402">
        <f t="shared" si="13"/>
        <v>122.17999999999302</v>
      </c>
      <c r="N29" s="401">
        <f t="shared" si="14"/>
        <v>1.9558754498512465</v>
      </c>
    </row>
    <row r="30" spans="1:14" ht="15" customHeight="1">
      <c r="A30" s="382" t="s">
        <v>37</v>
      </c>
      <c r="B30" s="44">
        <v>53302</v>
      </c>
      <c r="C30" s="37">
        <v>1008</v>
      </c>
      <c r="D30" s="288">
        <f t="shared" si="8"/>
        <v>54310</v>
      </c>
      <c r="E30" s="300">
        <f>47940.91+2745.52+400.74</f>
        <v>51087.17</v>
      </c>
      <c r="F30" s="48">
        <f>267.2+11.54+5.1</f>
        <v>283.84000000000003</v>
      </c>
      <c r="G30" s="288">
        <f t="shared" si="9"/>
        <v>51371.009999999995</v>
      </c>
      <c r="H30" s="402">
        <f t="shared" si="10"/>
        <v>-2938.9900000000052</v>
      </c>
      <c r="I30" s="381">
        <f t="shared" si="11"/>
        <v>0.9458849199042533</v>
      </c>
      <c r="J30" s="289">
        <v>54760</v>
      </c>
      <c r="K30" s="37"/>
      <c r="L30" s="288">
        <f t="shared" si="12"/>
        <v>54760</v>
      </c>
      <c r="M30" s="402">
        <f t="shared" si="13"/>
        <v>3388.9900000000052</v>
      </c>
      <c r="N30" s="401">
        <f t="shared" si="14"/>
        <v>1.0659708656691782</v>
      </c>
    </row>
    <row r="31" spans="1:14" ht="15" customHeight="1">
      <c r="A31" s="403" t="s">
        <v>38</v>
      </c>
      <c r="B31" s="44">
        <v>62</v>
      </c>
      <c r="C31" s="37">
        <v>3</v>
      </c>
      <c r="D31" s="288">
        <f t="shared" si="8"/>
        <v>65</v>
      </c>
      <c r="E31" s="47">
        <f>0.48+12.83</f>
        <v>13.31</v>
      </c>
      <c r="F31" s="48">
        <v>3.6</v>
      </c>
      <c r="G31" s="288">
        <f t="shared" si="9"/>
        <v>16.91</v>
      </c>
      <c r="H31" s="402">
        <f t="shared" si="10"/>
        <v>-48.09</v>
      </c>
      <c r="I31" s="381">
        <f t="shared" si="11"/>
        <v>0.2601538461538462</v>
      </c>
      <c r="J31" s="289">
        <v>15</v>
      </c>
      <c r="K31" s="37"/>
      <c r="L31" s="288">
        <f t="shared" si="12"/>
        <v>15</v>
      </c>
      <c r="M31" s="402">
        <f t="shared" si="13"/>
        <v>-1.9100000000000001</v>
      </c>
      <c r="N31" s="401">
        <f t="shared" si="14"/>
        <v>0.8870490833826138</v>
      </c>
    </row>
    <row r="32" spans="1:14" ht="15" customHeight="1">
      <c r="A32" s="403" t="s">
        <v>39</v>
      </c>
      <c r="B32" s="44">
        <v>1989</v>
      </c>
      <c r="C32" s="37">
        <v>45</v>
      </c>
      <c r="D32" s="288">
        <f t="shared" si="8"/>
        <v>2034</v>
      </c>
      <c r="E32" s="47">
        <f>4.1+30.55+27.75+36.85+0.29+67.23+1598.39</f>
        <v>1765.16</v>
      </c>
      <c r="F32" s="48">
        <v>4.08</v>
      </c>
      <c r="G32" s="288">
        <f t="shared" si="9"/>
        <v>1769.24</v>
      </c>
      <c r="H32" s="402">
        <f t="shared" si="10"/>
        <v>-264.76</v>
      </c>
      <c r="I32" s="381">
        <f t="shared" si="11"/>
        <v>0.8698328416912487</v>
      </c>
      <c r="J32" s="289">
        <v>2000</v>
      </c>
      <c r="K32" s="37"/>
      <c r="L32" s="288">
        <f t="shared" si="12"/>
        <v>2000</v>
      </c>
      <c r="M32" s="402">
        <f t="shared" si="13"/>
        <v>230.76</v>
      </c>
      <c r="N32" s="401">
        <f t="shared" si="14"/>
        <v>1.1304288847188624</v>
      </c>
    </row>
    <row r="33" spans="1:14" ht="15" customHeight="1">
      <c r="A33" s="382" t="s">
        <v>40</v>
      </c>
      <c r="B33" s="44">
        <v>2702</v>
      </c>
      <c r="C33" s="37">
        <v>0</v>
      </c>
      <c r="D33" s="288">
        <f t="shared" si="8"/>
        <v>2702</v>
      </c>
      <c r="E33" s="47">
        <f>639.92+1945.71</f>
        <v>2585.63</v>
      </c>
      <c r="F33" s="48">
        <v>3.67</v>
      </c>
      <c r="G33" s="288">
        <f t="shared" si="9"/>
        <v>2589.3</v>
      </c>
      <c r="H33" s="402">
        <f t="shared" si="10"/>
        <v>-112.69999999999982</v>
      </c>
      <c r="I33" s="381">
        <f t="shared" si="11"/>
        <v>0.9582901554404146</v>
      </c>
      <c r="J33" s="289">
        <v>1925</v>
      </c>
      <c r="K33" s="37"/>
      <c r="L33" s="288">
        <f t="shared" si="12"/>
        <v>1925</v>
      </c>
      <c r="M33" s="402">
        <f t="shared" si="13"/>
        <v>-664.3000000000002</v>
      </c>
      <c r="N33" s="401">
        <f t="shared" si="14"/>
        <v>0.7434441741011083</v>
      </c>
    </row>
    <row r="34" spans="1:14" ht="15" customHeight="1">
      <c r="A34" s="382" t="s">
        <v>41</v>
      </c>
      <c r="B34" s="44">
        <v>718</v>
      </c>
      <c r="C34" s="37">
        <v>0</v>
      </c>
      <c r="D34" s="288">
        <f t="shared" si="8"/>
        <v>718</v>
      </c>
      <c r="E34" s="47">
        <v>639.92</v>
      </c>
      <c r="F34" s="37"/>
      <c r="G34" s="288">
        <f t="shared" si="9"/>
        <v>639.92</v>
      </c>
      <c r="H34" s="402">
        <f t="shared" si="10"/>
        <v>-78.08000000000004</v>
      </c>
      <c r="I34" s="381">
        <f t="shared" si="11"/>
        <v>0.8912534818941503</v>
      </c>
      <c r="J34" s="289">
        <v>925</v>
      </c>
      <c r="K34" s="37"/>
      <c r="L34" s="288">
        <f t="shared" si="12"/>
        <v>925</v>
      </c>
      <c r="M34" s="402">
        <f t="shared" si="13"/>
        <v>285.08000000000004</v>
      </c>
      <c r="N34" s="401">
        <f t="shared" si="14"/>
        <v>1.4454931866483312</v>
      </c>
    </row>
    <row r="35" spans="1:14" ht="15" customHeight="1" thickBot="1">
      <c r="A35" s="404" t="s">
        <v>42</v>
      </c>
      <c r="B35" s="77">
        <v>-1447</v>
      </c>
      <c r="C35" s="53">
        <v>0</v>
      </c>
      <c r="D35" s="288">
        <f t="shared" si="8"/>
        <v>-1447</v>
      </c>
      <c r="E35" s="77">
        <v>88.84</v>
      </c>
      <c r="F35" s="53"/>
      <c r="G35" s="288">
        <f t="shared" si="9"/>
        <v>88.84</v>
      </c>
      <c r="H35" s="405">
        <f t="shared" si="10"/>
        <v>1535.84</v>
      </c>
      <c r="I35" s="381">
        <f t="shared" si="11"/>
        <v>-0.06139599170697996</v>
      </c>
      <c r="J35" s="406">
        <v>0</v>
      </c>
      <c r="K35" s="53"/>
      <c r="L35" s="288">
        <f t="shared" si="12"/>
        <v>0</v>
      </c>
      <c r="M35" s="405">
        <f t="shared" si="13"/>
        <v>-88.84</v>
      </c>
      <c r="N35" s="407">
        <f t="shared" si="14"/>
        <v>0</v>
      </c>
    </row>
    <row r="36" spans="1:14" s="85" customFormat="1" ht="16.5" customHeight="1" thickBot="1">
      <c r="A36" s="384" t="s">
        <v>43</v>
      </c>
      <c r="B36" s="408">
        <f aca="true" t="shared" si="15" ref="B36:G36">SUM(B18+B20+B21+B22+B23+B26+B31+B32+B33+B35)</f>
        <v>382537</v>
      </c>
      <c r="C36" s="386">
        <f t="shared" si="15"/>
        <v>5981</v>
      </c>
      <c r="D36" s="386">
        <f t="shared" si="15"/>
        <v>388518</v>
      </c>
      <c r="E36" s="408">
        <f t="shared" si="15"/>
        <v>388089.75</v>
      </c>
      <c r="F36" s="386">
        <f t="shared" si="15"/>
        <v>1881.02</v>
      </c>
      <c r="G36" s="386">
        <f t="shared" si="15"/>
        <v>389970.76999999996</v>
      </c>
      <c r="H36" s="409">
        <f t="shared" si="10"/>
        <v>1452.7699999999604</v>
      </c>
      <c r="I36" s="388">
        <f t="shared" si="11"/>
        <v>1.0037392604718443</v>
      </c>
      <c r="J36" s="410">
        <f>SUM(J18+J20+J21+J22+J23+J26+J31+J32+J33+J35)</f>
        <v>390815</v>
      </c>
      <c r="K36" s="386">
        <f>SUM(K18+K20+K21+K22+K23+K26+K31+K32+K33+K35)</f>
        <v>0</v>
      </c>
      <c r="L36" s="386">
        <f>SUM(L18+L20+L21+L22+L23+L26+L31+L32+L33+L35)</f>
        <v>390815</v>
      </c>
      <c r="M36" s="409">
        <f t="shared" si="13"/>
        <v>844.2300000000396</v>
      </c>
      <c r="N36" s="390">
        <f t="shared" si="14"/>
        <v>1.0021648545607662</v>
      </c>
    </row>
    <row r="37" spans="2:8" ht="6" customHeight="1" thickBot="1" thickTop="1">
      <c r="B37" s="1"/>
      <c r="C37" s="1"/>
      <c r="D37" s="1"/>
      <c r="E37" s="1"/>
      <c r="F37" s="1"/>
      <c r="G37" s="1"/>
      <c r="H37" s="1"/>
    </row>
    <row r="38" spans="1:14" ht="15" customHeight="1" thickBot="1">
      <c r="A38" s="411" t="s">
        <v>44</v>
      </c>
      <c r="B38" s="782">
        <f>+D16-D36</f>
        <v>402</v>
      </c>
      <c r="C38" s="831"/>
      <c r="D38" s="832"/>
      <c r="E38" s="782">
        <f>+G16-G36</f>
        <v>70.9900000000489</v>
      </c>
      <c r="F38" s="831"/>
      <c r="G38" s="832"/>
      <c r="H38" s="61">
        <f>+E38-B38</f>
        <v>-331.0099999999511</v>
      </c>
      <c r="I38" s="134">
        <f>+E38/B38</f>
        <v>0.17659203980111665</v>
      </c>
      <c r="J38" s="782">
        <f>+L16-L36</f>
        <v>0</v>
      </c>
      <c r="K38" s="831"/>
      <c r="L38" s="832"/>
      <c r="M38" s="61"/>
      <c r="N38" s="134"/>
    </row>
    <row r="39" spans="1:14" ht="20.25" customHeight="1" thickBot="1">
      <c r="A39" s="80" t="s">
        <v>45</v>
      </c>
      <c r="B39" s="782">
        <v>0</v>
      </c>
      <c r="C39" s="783"/>
      <c r="D39" s="784"/>
      <c r="E39" s="782">
        <v>0</v>
      </c>
      <c r="F39" s="783"/>
      <c r="G39" s="784"/>
      <c r="H39"/>
      <c r="I39"/>
      <c r="J39"/>
      <c r="K39"/>
      <c r="L39"/>
      <c r="M39"/>
      <c r="N39"/>
    </row>
    <row r="40" spans="1:14" ht="19.5" customHeight="1" thickBot="1">
      <c r="A40" s="81" t="s">
        <v>46</v>
      </c>
      <c r="B40" s="790"/>
      <c r="C40" s="791"/>
      <c r="D40" s="791"/>
      <c r="E40" s="782">
        <v>0</v>
      </c>
      <c r="F40" s="783"/>
      <c r="G40" s="784"/>
      <c r="H40"/>
      <c r="I40"/>
      <c r="J40"/>
      <c r="K40"/>
      <c r="L40"/>
      <c r="M40"/>
      <c r="N40"/>
    </row>
    <row r="41" ht="12.75" customHeight="1" thickBot="1">
      <c r="A41" s="2"/>
    </row>
    <row r="42" spans="1:29" ht="17.25" customHeight="1" thickBot="1">
      <c r="A42" s="830" t="s">
        <v>47</v>
      </c>
      <c r="B42" s="740"/>
      <c r="C42" s="740"/>
      <c r="D42" s="740"/>
      <c r="E42" s="740"/>
      <c r="F42" s="740"/>
      <c r="G42" s="740"/>
      <c r="H42" s="740"/>
      <c r="I42" s="741"/>
      <c r="J42" s="96"/>
      <c r="K42" s="716" t="s">
        <v>48</v>
      </c>
      <c r="L42" s="785"/>
      <c r="M42" s="785"/>
      <c r="N42" s="78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85" customFormat="1" ht="20.25" customHeight="1">
      <c r="A43" s="797" t="s">
        <v>49</v>
      </c>
      <c r="B43" s="799" t="s">
        <v>439</v>
      </c>
      <c r="C43" s="799"/>
      <c r="D43" s="799"/>
      <c r="E43" s="800"/>
      <c r="F43" s="801" t="s">
        <v>440</v>
      </c>
      <c r="G43" s="799"/>
      <c r="H43" s="799"/>
      <c r="I43" s="800"/>
      <c r="K43" s="304" t="s">
        <v>51</v>
      </c>
      <c r="L43" s="305" t="s">
        <v>52</v>
      </c>
      <c r="M43" s="306" t="s">
        <v>53</v>
      </c>
      <c r="N43" s="307" t="s">
        <v>54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ht="19.5" customHeight="1" thickBot="1">
      <c r="A44" s="798"/>
      <c r="B44" s="95">
        <v>2004</v>
      </c>
      <c r="C44" s="92">
        <v>2005</v>
      </c>
      <c r="D44" s="93" t="s">
        <v>13</v>
      </c>
      <c r="E44" s="94" t="s">
        <v>55</v>
      </c>
      <c r="F44" s="95">
        <v>2004</v>
      </c>
      <c r="G44" s="92">
        <v>2005</v>
      </c>
      <c r="H44" s="93" t="s">
        <v>13</v>
      </c>
      <c r="I44" s="94" t="s">
        <v>55</v>
      </c>
      <c r="J44" s="96"/>
      <c r="K44" s="97">
        <v>2004</v>
      </c>
      <c r="L44" s="98">
        <f>+M44+N44</f>
        <v>17200000</v>
      </c>
      <c r="M44" s="99">
        <v>14100000</v>
      </c>
      <c r="N44" s="100">
        <v>3100000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85" customFormat="1" ht="21" customHeight="1">
      <c r="A45" s="559" t="s">
        <v>389</v>
      </c>
      <c r="B45" s="308">
        <v>8546000</v>
      </c>
      <c r="C45" s="103">
        <v>780000</v>
      </c>
      <c r="D45" s="73">
        <f aca="true" t="shared" si="16" ref="D45:D50">+C45-B45</f>
        <v>-7766000</v>
      </c>
      <c r="E45" s="104">
        <f>+C45/B45</f>
        <v>0.0912707699508542</v>
      </c>
      <c r="F45" s="105"/>
      <c r="G45" s="106"/>
      <c r="H45" s="73">
        <f aca="true" t="shared" si="17" ref="H45:H53">+G45-F45</f>
        <v>0</v>
      </c>
      <c r="I45" s="104"/>
      <c r="K45" s="97">
        <v>2005</v>
      </c>
      <c r="L45" s="106">
        <v>32500000</v>
      </c>
      <c r="M45" s="106">
        <v>27100000</v>
      </c>
      <c r="N45" s="107">
        <v>5400000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s="85" customFormat="1" ht="21" customHeight="1" thickBot="1">
      <c r="A46" s="558" t="s">
        <v>390</v>
      </c>
      <c r="B46" s="105">
        <v>5341000</v>
      </c>
      <c r="C46" s="103">
        <f>+M45+N45-G46</f>
        <v>19965396.6</v>
      </c>
      <c r="D46" s="110">
        <f t="shared" si="16"/>
        <v>14624396.600000001</v>
      </c>
      <c r="E46" s="111"/>
      <c r="F46" s="105">
        <v>12259000</v>
      </c>
      <c r="G46" s="106">
        <f>+D70</f>
        <v>12534603.399999999</v>
      </c>
      <c r="H46" s="110">
        <f t="shared" si="17"/>
        <v>275603.3999999985</v>
      </c>
      <c r="I46" s="111">
        <f>+G46/F46</f>
        <v>1.0224817195529814</v>
      </c>
      <c r="K46" s="112" t="s">
        <v>56</v>
      </c>
      <c r="L46" s="113">
        <f>+L45-L44</f>
        <v>15300000</v>
      </c>
      <c r="M46" s="114">
        <f>+M45-M44</f>
        <v>13000000</v>
      </c>
      <c r="N46" s="115">
        <f>+N45-N44</f>
        <v>2300000</v>
      </c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s="85" customFormat="1" ht="21" customHeight="1">
      <c r="A47" s="127" t="s">
        <v>391</v>
      </c>
      <c r="B47" s="105">
        <v>326231.12</v>
      </c>
      <c r="C47" s="103">
        <v>335000</v>
      </c>
      <c r="D47" s="37">
        <f t="shared" si="16"/>
        <v>8768.880000000005</v>
      </c>
      <c r="E47" s="111"/>
      <c r="F47" s="105"/>
      <c r="G47" s="106"/>
      <c r="H47" s="37">
        <f t="shared" si="17"/>
        <v>0</v>
      </c>
      <c r="I47" s="111"/>
      <c r="J47"/>
      <c r="K47" s="802" t="s">
        <v>434</v>
      </c>
      <c r="L47" s="803"/>
      <c r="M47" s="803"/>
      <c r="N47" s="804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s="85" customFormat="1" ht="21" customHeight="1">
      <c r="A48" s="127" t="s">
        <v>392</v>
      </c>
      <c r="B48" s="105">
        <v>45000</v>
      </c>
      <c r="C48" s="103"/>
      <c r="D48" s="37">
        <f t="shared" si="16"/>
        <v>-45000</v>
      </c>
      <c r="E48" s="111"/>
      <c r="F48" s="105"/>
      <c r="G48" s="106"/>
      <c r="H48" s="37">
        <f t="shared" si="17"/>
        <v>0</v>
      </c>
      <c r="I48" s="111"/>
      <c r="J48"/>
      <c r="K48" s="805">
        <v>2004</v>
      </c>
      <c r="L48" s="806"/>
      <c r="M48" s="806"/>
      <c r="N48" s="807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</row>
    <row r="49" spans="1:29" s="85" customFormat="1" ht="19.5" customHeight="1">
      <c r="A49" s="310" t="s">
        <v>57</v>
      </c>
      <c r="B49" s="117">
        <v>12700000</v>
      </c>
      <c r="C49" s="103"/>
      <c r="D49" s="37">
        <f t="shared" si="16"/>
        <v>-12700000</v>
      </c>
      <c r="E49" s="111"/>
      <c r="F49" s="117">
        <v>10743000</v>
      </c>
      <c r="G49" s="118"/>
      <c r="H49" s="37">
        <f t="shared" si="17"/>
        <v>-10743000</v>
      </c>
      <c r="I49" s="111"/>
      <c r="J49"/>
      <c r="K49" s="119" t="s">
        <v>58</v>
      </c>
      <c r="L49" s="120" t="s">
        <v>60</v>
      </c>
      <c r="M49" s="121" t="s">
        <v>59</v>
      </c>
      <c r="N49" s="122" t="s">
        <v>61</v>
      </c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</row>
    <row r="50" spans="1:29" s="85" customFormat="1" ht="17.25" customHeight="1" thickBot="1">
      <c r="A50" s="309" t="s">
        <v>300</v>
      </c>
      <c r="B50" s="105">
        <v>570962</v>
      </c>
      <c r="C50" s="103"/>
      <c r="D50" s="37">
        <f t="shared" si="16"/>
        <v>-570962</v>
      </c>
      <c r="E50" s="111"/>
      <c r="F50" s="105"/>
      <c r="G50" s="106"/>
      <c r="H50" s="37">
        <f t="shared" si="17"/>
        <v>0</v>
      </c>
      <c r="I50" s="111"/>
      <c r="J50"/>
      <c r="K50" s="123">
        <f>+F46/L44</f>
        <v>0.7127325581395348</v>
      </c>
      <c r="L50" s="125">
        <f>4682559.4/L44</f>
        <v>0.27224182558139537</v>
      </c>
      <c r="M50" s="124">
        <f>(18319440.9-10743000)/L44</f>
        <v>0.44049074999999993</v>
      </c>
      <c r="N50" s="126">
        <f>+B46/L44</f>
        <v>0.3105232558139535</v>
      </c>
      <c r="O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s="85" customFormat="1" ht="18.75" customHeight="1">
      <c r="A51" s="309" t="s">
        <v>63</v>
      </c>
      <c r="B51" s="105"/>
      <c r="C51" s="103"/>
      <c r="D51" s="37"/>
      <c r="E51" s="111"/>
      <c r="F51" s="105"/>
      <c r="G51" s="106">
        <v>20000000</v>
      </c>
      <c r="H51" s="37">
        <f t="shared" si="17"/>
        <v>20000000</v>
      </c>
      <c r="I51" s="111"/>
      <c r="J51"/>
      <c r="K51" s="767">
        <v>2005</v>
      </c>
      <c r="L51" s="768"/>
      <c r="M51" s="768"/>
      <c r="N51" s="769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</row>
    <row r="52" spans="1:29" s="85" customFormat="1" ht="18" customHeight="1" thickBot="1">
      <c r="A52" s="309"/>
      <c r="B52" s="105"/>
      <c r="C52" s="103"/>
      <c r="D52" s="37"/>
      <c r="E52" s="111"/>
      <c r="F52" s="105"/>
      <c r="G52" s="129"/>
      <c r="H52" s="37">
        <f t="shared" si="17"/>
        <v>0</v>
      </c>
      <c r="I52" s="111"/>
      <c r="J52"/>
      <c r="K52" s="119" t="s">
        <v>52</v>
      </c>
      <c r="L52" s="120" t="s">
        <v>60</v>
      </c>
      <c r="M52" s="121" t="s">
        <v>59</v>
      </c>
      <c r="N52" s="122" t="s">
        <v>61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</row>
    <row r="53" spans="1:29" s="85" customFormat="1" ht="18.75" customHeight="1" thickBot="1">
      <c r="A53" s="311" t="s">
        <v>64</v>
      </c>
      <c r="B53" s="66">
        <f>SUM(B45:B52)</f>
        <v>27529193.119999997</v>
      </c>
      <c r="C53" s="132">
        <f>SUM(C45:C52)</f>
        <v>21080396.6</v>
      </c>
      <c r="D53" s="133">
        <f>+C53-B53</f>
        <v>-6448796.519999996</v>
      </c>
      <c r="E53" s="412">
        <f>+C53/B53</f>
        <v>0.7657469838694642</v>
      </c>
      <c r="F53" s="66">
        <f>SUM(F45:F52)</f>
        <v>23002000</v>
      </c>
      <c r="G53" s="132">
        <f>SUM(G45:G52)</f>
        <v>32534603.4</v>
      </c>
      <c r="H53" s="133">
        <f t="shared" si="17"/>
        <v>9532603.399999999</v>
      </c>
      <c r="I53" s="134">
        <f>+G53/F53</f>
        <v>1.4144249804364837</v>
      </c>
      <c r="K53" s="123">
        <f>+G46/L45</f>
        <v>0.38568010461538454</v>
      </c>
      <c r="L53" s="124">
        <f>+D61/L45</f>
        <v>0.2634153846153846</v>
      </c>
      <c r="M53" s="125">
        <f>+D69/L45</f>
        <v>0.12226471999999995</v>
      </c>
      <c r="N53" s="126">
        <f>+C46/L45</f>
        <v>0.6143198953846154</v>
      </c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</row>
    <row r="54" spans="1:14" ht="4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ht="6.75" customHeight="1" thickBot="1"/>
    <row r="56" spans="1:34" ht="37.5" customHeight="1">
      <c r="A56" s="884" t="s">
        <v>449</v>
      </c>
      <c r="B56" s="772" t="s">
        <v>65</v>
      </c>
      <c r="C56" s="772"/>
      <c r="D56" s="772" t="s">
        <v>66</v>
      </c>
      <c r="E56" s="772"/>
      <c r="F56" s="772" t="s">
        <v>67</v>
      </c>
      <c r="G56" s="772"/>
      <c r="H56" s="886" t="s">
        <v>63</v>
      </c>
      <c r="I56" s="886"/>
      <c r="J56" s="772"/>
      <c r="K56" s="772"/>
      <c r="L56" s="772" t="s">
        <v>68</v>
      </c>
      <c r="M56" s="733"/>
      <c r="N56" s="9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7.25" customHeight="1" thickBot="1">
      <c r="A57" s="737"/>
      <c r="B57" s="887" t="s">
        <v>69</v>
      </c>
      <c r="C57" s="888"/>
      <c r="D57" s="735" t="s">
        <v>70</v>
      </c>
      <c r="E57" s="735"/>
      <c r="F57" s="735" t="s">
        <v>71</v>
      </c>
      <c r="G57" s="735"/>
      <c r="H57" s="735" t="s">
        <v>73</v>
      </c>
      <c r="I57" s="735"/>
      <c r="J57" s="735"/>
      <c r="K57" s="735"/>
      <c r="L57" s="735" t="s">
        <v>74</v>
      </c>
      <c r="M57" s="738"/>
      <c r="N57" s="9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14" ht="16.5" customHeight="1">
      <c r="A58" s="413" t="s">
        <v>301</v>
      </c>
      <c r="B58" s="819"/>
      <c r="C58" s="819"/>
      <c r="D58" s="819">
        <v>720000</v>
      </c>
      <c r="E58" s="819"/>
      <c r="F58" s="819"/>
      <c r="G58" s="819"/>
      <c r="H58" s="819"/>
      <c r="I58" s="819"/>
      <c r="J58" s="819"/>
      <c r="K58" s="819"/>
      <c r="L58" s="819">
        <f>SUM(B58:K58)</f>
        <v>720000</v>
      </c>
      <c r="M58" s="827"/>
      <c r="N58"/>
    </row>
    <row r="59" spans="1:14" ht="16.5" customHeight="1">
      <c r="A59" s="413" t="s">
        <v>302</v>
      </c>
      <c r="B59" s="819"/>
      <c r="C59" s="819"/>
      <c r="D59" s="819">
        <v>5341000</v>
      </c>
      <c r="E59" s="819"/>
      <c r="F59" s="819"/>
      <c r="G59" s="819"/>
      <c r="H59" s="819"/>
      <c r="I59" s="819"/>
      <c r="J59" s="819"/>
      <c r="K59" s="819"/>
      <c r="L59" s="819">
        <f>SUM(B59:K59)</f>
        <v>5341000</v>
      </c>
      <c r="M59" s="827"/>
      <c r="N59"/>
    </row>
    <row r="60" spans="1:14" ht="16.5" customHeight="1" thickBot="1">
      <c r="A60" s="413" t="s">
        <v>303</v>
      </c>
      <c r="B60" s="725"/>
      <c r="C60" s="706"/>
      <c r="D60" s="819">
        <v>2500000</v>
      </c>
      <c r="E60" s="819"/>
      <c r="F60" s="819"/>
      <c r="G60" s="819"/>
      <c r="H60" s="819"/>
      <c r="I60" s="819"/>
      <c r="J60" s="819"/>
      <c r="K60" s="819"/>
      <c r="L60" s="819">
        <f>SUM(B60:K60)</f>
        <v>2500000</v>
      </c>
      <c r="M60" s="827"/>
      <c r="N60"/>
    </row>
    <row r="61" spans="1:14" ht="21" customHeight="1" thickBot="1">
      <c r="A61" s="142" t="s">
        <v>447</v>
      </c>
      <c r="B61" s="726">
        <f>SUM(B58:C60)</f>
        <v>0</v>
      </c>
      <c r="C61" s="726"/>
      <c r="D61" s="726">
        <f>SUM(D58:E60)</f>
        <v>8561000</v>
      </c>
      <c r="E61" s="726"/>
      <c r="F61" s="726">
        <f>SUM(F58:G60)</f>
        <v>0</v>
      </c>
      <c r="G61" s="726"/>
      <c r="H61" s="726">
        <f>SUM(H58:I60)</f>
        <v>0</v>
      </c>
      <c r="I61" s="726"/>
      <c r="J61" s="726">
        <f>SUM(J58:K60)</f>
        <v>0</v>
      </c>
      <c r="K61" s="726"/>
      <c r="L61" s="726">
        <f>SUM(L58:M60)</f>
        <v>8561000</v>
      </c>
      <c r="M61" s="729"/>
      <c r="N61"/>
    </row>
    <row r="62" spans="1:14" ht="3.75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34" ht="40.5" customHeight="1">
      <c r="A63" s="884" t="s">
        <v>450</v>
      </c>
      <c r="B63" s="772" t="s">
        <v>65</v>
      </c>
      <c r="C63" s="772"/>
      <c r="D63" s="772" t="s">
        <v>66</v>
      </c>
      <c r="E63" s="772"/>
      <c r="F63" s="772" t="s">
        <v>67</v>
      </c>
      <c r="G63" s="772"/>
      <c r="H63" s="886" t="s">
        <v>63</v>
      </c>
      <c r="I63" s="886"/>
      <c r="J63" s="772"/>
      <c r="K63" s="772"/>
      <c r="L63" s="772" t="s">
        <v>81</v>
      </c>
      <c r="M63" s="733"/>
      <c r="N63" s="9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0.25" customHeight="1" thickBot="1">
      <c r="A64" s="737" t="s">
        <v>82</v>
      </c>
      <c r="B64" s="887" t="s">
        <v>69</v>
      </c>
      <c r="C64" s="888"/>
      <c r="D64" s="735" t="s">
        <v>70</v>
      </c>
      <c r="E64" s="735"/>
      <c r="F64" s="735" t="s">
        <v>71</v>
      </c>
      <c r="G64" s="735"/>
      <c r="H64" s="735" t="s">
        <v>73</v>
      </c>
      <c r="I64" s="735"/>
      <c r="J64" s="735"/>
      <c r="K64" s="735"/>
      <c r="L64" s="735" t="s">
        <v>74</v>
      </c>
      <c r="M64" s="738"/>
      <c r="N64" s="9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13" s="141" customFormat="1" ht="18.75" customHeight="1">
      <c r="A65" s="277" t="s">
        <v>304</v>
      </c>
      <c r="B65" s="725">
        <v>2249396.6</v>
      </c>
      <c r="C65" s="706"/>
      <c r="D65" s="706">
        <f>23000000-B65-H65</f>
        <v>750603.3999999985</v>
      </c>
      <c r="E65" s="706"/>
      <c r="F65" s="706"/>
      <c r="G65" s="706"/>
      <c r="H65" s="706">
        <v>20000000</v>
      </c>
      <c r="I65" s="706"/>
      <c r="J65" s="706"/>
      <c r="K65" s="706"/>
      <c r="L65" s="706">
        <f>SUM(B65:K65)</f>
        <v>23000000</v>
      </c>
      <c r="M65" s="709"/>
    </row>
    <row r="66" spans="1:13" s="141" customFormat="1" ht="18.75" customHeight="1">
      <c r="A66" s="277" t="s">
        <v>305</v>
      </c>
      <c r="B66" s="725"/>
      <c r="C66" s="706"/>
      <c r="D66" s="706">
        <v>700000</v>
      </c>
      <c r="E66" s="706"/>
      <c r="F66" s="706"/>
      <c r="G66" s="706"/>
      <c r="H66" s="706"/>
      <c r="I66" s="706"/>
      <c r="J66" s="706"/>
      <c r="K66" s="706"/>
      <c r="L66" s="706">
        <f>SUM(B66:K66)</f>
        <v>700000</v>
      </c>
      <c r="M66" s="709"/>
    </row>
    <row r="67" spans="1:13" s="141" customFormat="1" ht="18.75" customHeight="1">
      <c r="A67" s="277" t="s">
        <v>306</v>
      </c>
      <c r="B67" s="725"/>
      <c r="C67" s="706"/>
      <c r="D67" s="706">
        <v>500000</v>
      </c>
      <c r="E67" s="706"/>
      <c r="F67" s="706"/>
      <c r="G67" s="706"/>
      <c r="H67" s="706"/>
      <c r="I67" s="706"/>
      <c r="J67" s="706"/>
      <c r="K67" s="706"/>
      <c r="L67" s="706">
        <f>SUM(B67:K67)</f>
        <v>500000</v>
      </c>
      <c r="M67" s="709"/>
    </row>
    <row r="68" spans="1:13" s="141" customFormat="1" ht="18.75" customHeight="1" thickBot="1">
      <c r="A68" s="277" t="s">
        <v>307</v>
      </c>
      <c r="B68" s="725"/>
      <c r="C68" s="706"/>
      <c r="D68" s="706">
        <v>2023000</v>
      </c>
      <c r="E68" s="706"/>
      <c r="F68" s="706"/>
      <c r="G68" s="706"/>
      <c r="H68" s="706"/>
      <c r="I68" s="706"/>
      <c r="J68" s="706"/>
      <c r="K68" s="706"/>
      <c r="L68" s="706">
        <f>SUM(B68:K68)</f>
        <v>2023000</v>
      </c>
      <c r="M68" s="709"/>
    </row>
    <row r="69" spans="1:13" s="141" customFormat="1" ht="16.5" customHeight="1" thickBot="1">
      <c r="A69" s="142" t="s">
        <v>446</v>
      </c>
      <c r="B69" s="810">
        <f>SUM(B64:B68)</f>
        <v>2249396.6</v>
      </c>
      <c r="C69" s="726"/>
      <c r="D69" s="726">
        <f>SUM(D65:E68)</f>
        <v>3973603.3999999985</v>
      </c>
      <c r="E69" s="726"/>
      <c r="F69" s="726">
        <f>SUM(F64:F68)</f>
        <v>0</v>
      </c>
      <c r="G69" s="726"/>
      <c r="H69" s="726">
        <f>SUM(H64:H68)</f>
        <v>20000000</v>
      </c>
      <c r="I69" s="726"/>
      <c r="J69" s="726">
        <f>SUM(J64:J68)</f>
        <v>0</v>
      </c>
      <c r="K69" s="726"/>
      <c r="L69" s="726">
        <f>SUM(L65:M68)</f>
        <v>26223000</v>
      </c>
      <c r="M69" s="729"/>
    </row>
    <row r="70" spans="1:13" s="141" customFormat="1" ht="16.5" customHeight="1" thickBot="1">
      <c r="A70" s="147" t="s">
        <v>95</v>
      </c>
      <c r="B70" s="726">
        <f>+B69+B61</f>
        <v>2249396.6</v>
      </c>
      <c r="C70" s="726"/>
      <c r="D70" s="726">
        <f>+D69+D61</f>
        <v>12534603.399999999</v>
      </c>
      <c r="E70" s="726"/>
      <c r="F70" s="726">
        <f>+F69+F61</f>
        <v>0</v>
      </c>
      <c r="G70" s="726"/>
      <c r="H70" s="726">
        <f>+H69+H61</f>
        <v>20000000</v>
      </c>
      <c r="I70" s="726"/>
      <c r="J70" s="726">
        <f>+J69+J61</f>
        <v>0</v>
      </c>
      <c r="K70" s="726"/>
      <c r="L70" s="810">
        <f>+L69+L61</f>
        <v>34784000</v>
      </c>
      <c r="M70" s="729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21" customHeight="1">
      <c r="A72" s="319" t="s">
        <v>388</v>
      </c>
      <c r="G72" s="1"/>
      <c r="H72" s="1"/>
      <c r="L72"/>
      <c r="M72"/>
      <c r="N72"/>
    </row>
    <row r="73" ht="6" customHeight="1" thickBot="1"/>
    <row r="74" spans="1:9" ht="12.75">
      <c r="A74" s="762" t="s">
        <v>119</v>
      </c>
      <c r="B74" s="751" t="s">
        <v>308</v>
      </c>
      <c r="C74" s="757" t="s">
        <v>309</v>
      </c>
      <c r="D74" s="758"/>
      <c r="E74" s="758"/>
      <c r="F74" s="758"/>
      <c r="G74" s="758"/>
      <c r="H74" s="759"/>
      <c r="I74" s="874" t="s">
        <v>310</v>
      </c>
    </row>
    <row r="75" spans="1:9" ht="12.75">
      <c r="A75" s="763"/>
      <c r="B75" s="889"/>
      <c r="C75" s="760" t="s">
        <v>52</v>
      </c>
      <c r="D75" s="773" t="s">
        <v>123</v>
      </c>
      <c r="E75" s="824"/>
      <c r="F75" s="824"/>
      <c r="G75" s="824"/>
      <c r="H75" s="824"/>
      <c r="I75" s="875"/>
    </row>
    <row r="76" spans="1:9" ht="13.5" thickBot="1">
      <c r="A76" s="764"/>
      <c r="B76" s="890"/>
      <c r="C76" s="761"/>
      <c r="D76" s="163">
        <v>1</v>
      </c>
      <c r="E76" s="163">
        <v>2</v>
      </c>
      <c r="F76" s="163">
        <v>3</v>
      </c>
      <c r="G76" s="163">
        <v>4</v>
      </c>
      <c r="H76" s="326">
        <v>5</v>
      </c>
      <c r="I76" s="876"/>
    </row>
    <row r="77" spans="1:9" ht="13.5" thickBot="1">
      <c r="A77" s="164">
        <v>10923</v>
      </c>
      <c r="B77" s="165">
        <v>1894</v>
      </c>
      <c r="C77" s="166">
        <f>SUM(D77:H77)</f>
        <v>925</v>
      </c>
      <c r="D77" s="165">
        <v>623</v>
      </c>
      <c r="E77" s="165">
        <v>264</v>
      </c>
      <c r="F77" s="165">
        <v>6</v>
      </c>
      <c r="G77" s="165">
        <v>9</v>
      </c>
      <c r="H77" s="329">
        <v>23</v>
      </c>
      <c r="I77" s="167">
        <f>SUM(A77-B77-C77)</f>
        <v>8104</v>
      </c>
    </row>
    <row r="78" spans="1:9" ht="12.75">
      <c r="A78" s="414"/>
      <c r="B78" s="415"/>
      <c r="C78" s="415"/>
      <c r="D78" s="415"/>
      <c r="E78" s="415"/>
      <c r="F78" s="415"/>
      <c r="G78" s="415"/>
      <c r="H78" s="415"/>
      <c r="I78" s="415"/>
    </row>
    <row r="79" ht="5.25" customHeight="1" thickBot="1"/>
    <row r="80" spans="1:12" ht="12.75">
      <c r="A80" s="719" t="s">
        <v>124</v>
      </c>
      <c r="B80" s="822" t="s">
        <v>125</v>
      </c>
      <c r="C80" s="722" t="s">
        <v>126</v>
      </c>
      <c r="D80" s="723"/>
      <c r="E80" s="723"/>
      <c r="F80" s="724"/>
      <c r="G80" s="721" t="s">
        <v>127</v>
      </c>
      <c r="H80" s="836" t="s">
        <v>128</v>
      </c>
      <c r="I80" s="716" t="s">
        <v>129</v>
      </c>
      <c r="J80" s="833"/>
      <c r="K80" s="833"/>
      <c r="L80" s="834"/>
    </row>
    <row r="81" spans="1:12" ht="18.75" thickBot="1">
      <c r="A81" s="818"/>
      <c r="B81" s="823"/>
      <c r="C81" s="168" t="s">
        <v>130</v>
      </c>
      <c r="D81" s="169" t="s">
        <v>131</v>
      </c>
      <c r="E81" s="169" t="s">
        <v>132</v>
      </c>
      <c r="F81" s="170" t="s">
        <v>133</v>
      </c>
      <c r="G81" s="835"/>
      <c r="H81" s="837"/>
      <c r="I81" s="330" t="s">
        <v>134</v>
      </c>
      <c r="J81" s="169" t="s">
        <v>131</v>
      </c>
      <c r="K81" s="169" t="s">
        <v>132</v>
      </c>
      <c r="L81" s="170" t="s">
        <v>135</v>
      </c>
    </row>
    <row r="82" spans="1:12" ht="12.75">
      <c r="A82" s="331" t="s">
        <v>136</v>
      </c>
      <c r="B82" s="174"/>
      <c r="C82" s="332" t="s">
        <v>137</v>
      </c>
      <c r="D82" s="176" t="s">
        <v>137</v>
      </c>
      <c r="E82" s="176" t="s">
        <v>137</v>
      </c>
      <c r="F82" s="182" t="s">
        <v>137</v>
      </c>
      <c r="G82" s="179"/>
      <c r="H82" s="180" t="s">
        <v>137</v>
      </c>
      <c r="I82" s="176" t="s">
        <v>137</v>
      </c>
      <c r="J82" s="176" t="s">
        <v>137</v>
      </c>
      <c r="K82" s="176" t="s">
        <v>137</v>
      </c>
      <c r="L82" s="182" t="s">
        <v>137</v>
      </c>
    </row>
    <row r="83" spans="1:12" ht="12.75">
      <c r="A83" s="333" t="s">
        <v>138</v>
      </c>
      <c r="B83" s="184"/>
      <c r="C83" s="185">
        <v>1198</v>
      </c>
      <c r="D83" s="186">
        <v>0</v>
      </c>
      <c r="E83" s="186">
        <v>0</v>
      </c>
      <c r="F83" s="187">
        <f>+C83+D83-E83</f>
        <v>1198</v>
      </c>
      <c r="G83" s="188"/>
      <c r="H83" s="189">
        <f>+G83-F83</f>
        <v>-1198</v>
      </c>
      <c r="I83" s="186">
        <f>+F83</f>
        <v>1198</v>
      </c>
      <c r="J83" s="186">
        <v>0</v>
      </c>
      <c r="K83" s="186">
        <v>1100</v>
      </c>
      <c r="L83" s="187">
        <f>+I83+J83-K83</f>
        <v>98</v>
      </c>
    </row>
    <row r="84" spans="1:12" ht="12.75">
      <c r="A84" s="333" t="s">
        <v>139</v>
      </c>
      <c r="B84" s="184"/>
      <c r="C84" s="185">
        <v>2451</v>
      </c>
      <c r="D84" s="186">
        <v>1140</v>
      </c>
      <c r="E84" s="186">
        <v>983</v>
      </c>
      <c r="F84" s="187">
        <f>+C84+D84-E84</f>
        <v>2608</v>
      </c>
      <c r="G84" s="188"/>
      <c r="H84" s="188">
        <f>+G84-F84</f>
        <v>-2608</v>
      </c>
      <c r="I84" s="186">
        <f>+F84</f>
        <v>2608</v>
      </c>
      <c r="J84" s="186">
        <v>500</v>
      </c>
      <c r="K84" s="186">
        <v>1500</v>
      </c>
      <c r="L84" s="187">
        <f>+I84+J84-K84</f>
        <v>1608</v>
      </c>
    </row>
    <row r="85" spans="1:12" ht="12.75">
      <c r="A85" s="333" t="s">
        <v>140</v>
      </c>
      <c r="B85" s="184"/>
      <c r="C85" s="175"/>
      <c r="D85" s="176"/>
      <c r="E85" s="177"/>
      <c r="F85" s="178" t="s">
        <v>137</v>
      </c>
      <c r="G85" s="188"/>
      <c r="H85" s="190" t="s">
        <v>137</v>
      </c>
      <c r="I85" s="176" t="s">
        <v>137</v>
      </c>
      <c r="J85" s="176" t="s">
        <v>137</v>
      </c>
      <c r="K85" s="176" t="s">
        <v>137</v>
      </c>
      <c r="L85" s="182" t="s">
        <v>137</v>
      </c>
    </row>
    <row r="86" spans="1:12" ht="12.75">
      <c r="A86" s="333" t="s">
        <v>141</v>
      </c>
      <c r="B86" s="184"/>
      <c r="C86" s="185">
        <v>49540</v>
      </c>
      <c r="D86" s="186">
        <v>24826</v>
      </c>
      <c r="E86" s="186">
        <v>24413</v>
      </c>
      <c r="F86" s="187">
        <f>+C86+D86-E86</f>
        <v>49953</v>
      </c>
      <c r="G86" s="188"/>
      <c r="H86" s="189">
        <f>+G86-F86</f>
        <v>-49953</v>
      </c>
      <c r="I86" s="191">
        <f>+F86</f>
        <v>49953</v>
      </c>
      <c r="J86" s="191"/>
      <c r="K86" s="191"/>
      <c r="L86" s="187">
        <f>+I86+J86-K86</f>
        <v>49953</v>
      </c>
    </row>
    <row r="87" spans="1:12" ht="13.5" thickBot="1">
      <c r="A87" s="335" t="s">
        <v>142</v>
      </c>
      <c r="B87" s="193"/>
      <c r="C87" s="194"/>
      <c r="D87" s="195"/>
      <c r="E87" s="195"/>
      <c r="F87" s="196">
        <f>+C87+D87-E87</f>
        <v>0</v>
      </c>
      <c r="G87" s="197"/>
      <c r="H87" s="198">
        <f>+G87-F87</f>
        <v>0</v>
      </c>
      <c r="I87" s="195"/>
      <c r="J87" s="195"/>
      <c r="K87" s="195"/>
      <c r="L87" s="196">
        <f>+I87+J87-K87</f>
        <v>0</v>
      </c>
    </row>
    <row r="88" spans="1:12" ht="4.5" customHeight="1" thickBot="1">
      <c r="A88" s="336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</row>
    <row r="89" spans="1:16" s="85" customFormat="1" ht="20.25" customHeight="1" thickBot="1">
      <c r="A89" s="416" t="s">
        <v>143</v>
      </c>
      <c r="B89" s="417">
        <v>2004</v>
      </c>
      <c r="C89" s="418">
        <v>2005</v>
      </c>
      <c r="D89" s="86"/>
      <c r="E89" s="872" t="s">
        <v>144</v>
      </c>
      <c r="F89" s="873"/>
      <c r="G89" s="873"/>
      <c r="H89" s="417">
        <v>2004</v>
      </c>
      <c r="I89" s="418">
        <v>2005</v>
      </c>
      <c r="J89" s="86"/>
      <c r="K89" s="86"/>
      <c r="L89" s="86"/>
      <c r="M89" s="86"/>
      <c r="N89" s="86"/>
      <c r="O89" s="86"/>
      <c r="P89" s="86"/>
    </row>
    <row r="90" spans="1:16" ht="12.75">
      <c r="A90" s="202" t="s">
        <v>145</v>
      </c>
      <c r="B90" s="203">
        <f>+C86</f>
        <v>49540</v>
      </c>
      <c r="C90" s="204">
        <f>+B102</f>
        <v>49953</v>
      </c>
      <c r="E90" s="676" t="s">
        <v>146</v>
      </c>
      <c r="F90" s="677"/>
      <c r="G90" s="678"/>
      <c r="H90" s="203">
        <v>2451</v>
      </c>
      <c r="I90" s="204">
        <f>+H102</f>
        <v>2608</v>
      </c>
      <c r="O90" s="1"/>
      <c r="P90" s="1"/>
    </row>
    <row r="91" spans="1:16" ht="12.75">
      <c r="A91" s="205" t="s">
        <v>131</v>
      </c>
      <c r="B91" s="186">
        <f>+B92+B93+B94+B95+B96</f>
        <v>24826</v>
      </c>
      <c r="C91" s="187">
        <f>+C92+C93</f>
        <v>33459.6034</v>
      </c>
      <c r="E91" s="703" t="s">
        <v>131</v>
      </c>
      <c r="F91" s="680"/>
      <c r="G91" s="681"/>
      <c r="H91" s="186">
        <f>+H92+H93</f>
        <v>1140</v>
      </c>
      <c r="I91" s="187">
        <f>+I92+I93</f>
        <v>571</v>
      </c>
      <c r="O91" s="1"/>
      <c r="P91" s="1"/>
    </row>
    <row r="92" spans="1:16" ht="12.75">
      <c r="A92" s="205" t="s">
        <v>147</v>
      </c>
      <c r="B92" s="186">
        <v>1840</v>
      </c>
      <c r="C92" s="187">
        <v>925</v>
      </c>
      <c r="E92" s="703" t="s">
        <v>148</v>
      </c>
      <c r="F92" s="680"/>
      <c r="G92" s="681"/>
      <c r="H92" s="186">
        <v>402</v>
      </c>
      <c r="I92" s="187">
        <v>71</v>
      </c>
      <c r="O92" s="1"/>
      <c r="P92" s="1"/>
    </row>
    <row r="93" spans="1:16" ht="12.75">
      <c r="A93" s="205" t="s">
        <v>149</v>
      </c>
      <c r="B93" s="186">
        <v>22786</v>
      </c>
      <c r="C93" s="187">
        <f>+(D70+H70)/1000</f>
        <v>32534.6034</v>
      </c>
      <c r="E93" s="703" t="s">
        <v>150</v>
      </c>
      <c r="F93" s="680"/>
      <c r="G93" s="681"/>
      <c r="H93" s="186">
        <v>738</v>
      </c>
      <c r="I93" s="187">
        <v>500</v>
      </c>
      <c r="O93" s="1"/>
      <c r="P93" s="1"/>
    </row>
    <row r="94" spans="1:16" ht="12.75">
      <c r="A94" s="205" t="s">
        <v>151</v>
      </c>
      <c r="B94" s="186"/>
      <c r="C94" s="187"/>
      <c r="E94" s="703"/>
      <c r="F94" s="680"/>
      <c r="G94" s="681"/>
      <c r="H94" s="186"/>
      <c r="I94" s="187"/>
      <c r="O94" s="1"/>
      <c r="P94" s="1"/>
    </row>
    <row r="95" spans="1:16" ht="12.75">
      <c r="A95" s="205" t="s">
        <v>150</v>
      </c>
      <c r="B95" s="186">
        <v>200</v>
      </c>
      <c r="C95" s="187"/>
      <c r="E95" s="703"/>
      <c r="F95" s="680"/>
      <c r="G95" s="681"/>
      <c r="H95" s="186"/>
      <c r="I95" s="187"/>
      <c r="O95" s="1"/>
      <c r="P95" s="1"/>
    </row>
    <row r="96" spans="1:16" ht="12.75">
      <c r="A96" s="209" t="s">
        <v>152</v>
      </c>
      <c r="B96" s="186"/>
      <c r="C96" s="187"/>
      <c r="E96" s="703"/>
      <c r="F96" s="680"/>
      <c r="G96" s="681"/>
      <c r="H96" s="186"/>
      <c r="I96" s="187"/>
      <c r="O96" s="1"/>
      <c r="P96" s="1"/>
    </row>
    <row r="97" spans="1:16" ht="12.75">
      <c r="A97" s="205" t="s">
        <v>132</v>
      </c>
      <c r="B97" s="186">
        <f>+B98+B99+B100+B101</f>
        <v>24413</v>
      </c>
      <c r="C97" s="187">
        <f>+C98+C99</f>
        <v>34784</v>
      </c>
      <c r="E97" s="703" t="s">
        <v>132</v>
      </c>
      <c r="F97" s="680"/>
      <c r="G97" s="681"/>
      <c r="H97" s="186">
        <f>+H98+H99</f>
        <v>983</v>
      </c>
      <c r="I97" s="187">
        <f>+I98+I99</f>
        <v>1500</v>
      </c>
      <c r="O97" s="1"/>
      <c r="P97" s="1"/>
    </row>
    <row r="98" spans="1:16" ht="12.75">
      <c r="A98" s="205" t="s">
        <v>154</v>
      </c>
      <c r="B98" s="186">
        <v>18464</v>
      </c>
      <c r="C98" s="187">
        <f>+(B69+D69+H69)/1000</f>
        <v>26223</v>
      </c>
      <c r="E98" s="703" t="s">
        <v>153</v>
      </c>
      <c r="F98" s="680"/>
      <c r="G98" s="681"/>
      <c r="H98" s="186">
        <v>983</v>
      </c>
      <c r="I98" s="187">
        <v>1500</v>
      </c>
      <c r="O98" s="1"/>
      <c r="P98" s="1"/>
    </row>
    <row r="99" spans="1:16" ht="12.75">
      <c r="A99" s="205" t="s">
        <v>156</v>
      </c>
      <c r="B99" s="186">
        <v>3843</v>
      </c>
      <c r="C99" s="187">
        <f>+D61/1000</f>
        <v>8561</v>
      </c>
      <c r="E99" s="703" t="s">
        <v>155</v>
      </c>
      <c r="F99" s="680"/>
      <c r="G99" s="681"/>
      <c r="H99" s="186"/>
      <c r="I99" s="187"/>
      <c r="O99" s="1"/>
      <c r="P99" s="1"/>
    </row>
    <row r="100" spans="1:16" ht="12.75">
      <c r="A100" s="337" t="s">
        <v>311</v>
      </c>
      <c r="B100" s="338">
        <v>906</v>
      </c>
      <c r="C100" s="324">
        <v>1000</v>
      </c>
      <c r="E100" s="419"/>
      <c r="F100" s="420"/>
      <c r="G100" s="421"/>
      <c r="H100" s="338"/>
      <c r="I100" s="324"/>
      <c r="O100" s="1"/>
      <c r="P100" s="1"/>
    </row>
    <row r="101" spans="1:16" ht="12.75">
      <c r="A101" s="422" t="s">
        <v>312</v>
      </c>
      <c r="B101" s="338">
        <v>1200</v>
      </c>
      <c r="C101" s="324"/>
      <c r="E101" s="419"/>
      <c r="F101" s="420"/>
      <c r="G101" s="421"/>
      <c r="H101" s="338"/>
      <c r="I101" s="324"/>
      <c r="O101" s="1"/>
      <c r="P101" s="1"/>
    </row>
    <row r="102" spans="1:16" ht="13.5" thickBot="1">
      <c r="A102" s="210" t="s">
        <v>158</v>
      </c>
      <c r="B102" s="195">
        <f>+B90+B91-B97</f>
        <v>49953</v>
      </c>
      <c r="C102" s="196">
        <f>+C90+C91-C97</f>
        <v>48628.60339999999</v>
      </c>
      <c r="E102" s="682" t="s">
        <v>158</v>
      </c>
      <c r="F102" s="683"/>
      <c r="G102" s="673"/>
      <c r="H102" s="195">
        <f>+H90+H91-H97</f>
        <v>2608</v>
      </c>
      <c r="I102" s="196">
        <f>+I90+I91-I97</f>
        <v>1679</v>
      </c>
      <c r="O102" s="1"/>
      <c r="P102" s="1"/>
    </row>
    <row r="103" spans="1:12" ht="12.75">
      <c r="A103" s="336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</row>
    <row r="104" spans="1:12" ht="12.75">
      <c r="A104" s="336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</row>
    <row r="105" ht="16.5" thickBot="1">
      <c r="A105" s="211" t="s">
        <v>159</v>
      </c>
    </row>
    <row r="106" spans="1:12" ht="12.75">
      <c r="A106" s="710" t="s">
        <v>160</v>
      </c>
      <c r="B106" s="712" t="s">
        <v>10</v>
      </c>
      <c r="C106" s="712" t="s">
        <v>161</v>
      </c>
      <c r="D106" s="714"/>
      <c r="E106" s="714"/>
      <c r="F106" s="714"/>
      <c r="G106" s="714"/>
      <c r="H106" s="715"/>
      <c r="I106" s="212"/>
      <c r="J106"/>
      <c r="K106"/>
      <c r="L106"/>
    </row>
    <row r="107" spans="1:12" ht="13.5" thickBot="1">
      <c r="A107" s="825"/>
      <c r="B107" s="826"/>
      <c r="C107" s="339" t="s">
        <v>162</v>
      </c>
      <c r="D107" s="340" t="s">
        <v>163</v>
      </c>
      <c r="E107" s="340" t="s">
        <v>164</v>
      </c>
      <c r="F107" s="340" t="s">
        <v>165</v>
      </c>
      <c r="G107" s="341" t="s">
        <v>166</v>
      </c>
      <c r="H107" s="342" t="s">
        <v>52</v>
      </c>
      <c r="I107" s="212"/>
      <c r="J107"/>
      <c r="K107"/>
      <c r="L107"/>
    </row>
    <row r="108" spans="1:12" ht="12.75">
      <c r="A108" s="343" t="s">
        <v>167</v>
      </c>
      <c r="B108" s="344">
        <v>52345.28</v>
      </c>
      <c r="C108" s="345">
        <v>12985.2</v>
      </c>
      <c r="D108" s="345">
        <v>577.58</v>
      </c>
      <c r="E108" s="345">
        <v>25.8</v>
      </c>
      <c r="F108" s="345">
        <v>85.49</v>
      </c>
      <c r="G108" s="344">
        <v>686.15</v>
      </c>
      <c r="H108" s="346">
        <f>SUM(C108:G108)</f>
        <v>14360.22</v>
      </c>
      <c r="I108" s="212"/>
      <c r="J108"/>
      <c r="K108"/>
      <c r="L108"/>
    </row>
    <row r="109" spans="1:12" ht="13.5" thickBot="1">
      <c r="A109" s="347" t="s">
        <v>296</v>
      </c>
      <c r="B109" s="348">
        <v>14880.42</v>
      </c>
      <c r="C109" s="349">
        <v>6813</v>
      </c>
      <c r="D109" s="349">
        <v>111.18</v>
      </c>
      <c r="E109" s="349">
        <v>-6.93</v>
      </c>
      <c r="F109" s="349">
        <v>6.64</v>
      </c>
      <c r="G109" s="348">
        <v>-0.9</v>
      </c>
      <c r="H109" s="350">
        <f>SUM(C109:G109)</f>
        <v>6922.990000000001</v>
      </c>
      <c r="I109" s="212"/>
      <c r="J109"/>
      <c r="K109"/>
      <c r="L109"/>
    </row>
    <row r="110" spans="1:14" ht="13.5" thickBo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3.5" thickBot="1">
      <c r="A111" s="687" t="s">
        <v>169</v>
      </c>
      <c r="B111" s="739" t="s">
        <v>170</v>
      </c>
      <c r="C111" s="740"/>
      <c r="D111" s="740"/>
      <c r="E111" s="740"/>
      <c r="F111" s="741"/>
      <c r="G111" s="748" t="s">
        <v>171</v>
      </c>
      <c r="H111" s="740"/>
      <c r="I111" s="740"/>
      <c r="J111" s="740"/>
      <c r="K111" s="741"/>
      <c r="L111"/>
      <c r="M111"/>
      <c r="N111"/>
    </row>
    <row r="112" spans="1:14" ht="13.5" thickBot="1">
      <c r="A112" s="885"/>
      <c r="B112" s="225">
        <v>2002</v>
      </c>
      <c r="C112" s="136">
        <v>2003</v>
      </c>
      <c r="D112" s="226" t="s">
        <v>13</v>
      </c>
      <c r="E112" s="137">
        <v>2004</v>
      </c>
      <c r="F112" s="226" t="s">
        <v>13</v>
      </c>
      <c r="G112" s="227">
        <v>2002</v>
      </c>
      <c r="H112" s="137">
        <v>2003</v>
      </c>
      <c r="I112" s="226" t="s">
        <v>13</v>
      </c>
      <c r="J112" s="146">
        <v>2004</v>
      </c>
      <c r="K112" s="423" t="s">
        <v>13</v>
      </c>
      <c r="L112"/>
      <c r="M112"/>
      <c r="N112"/>
    </row>
    <row r="113" spans="1:14" ht="12.75">
      <c r="A113" s="238" t="s">
        <v>172</v>
      </c>
      <c r="B113" s="351">
        <v>76</v>
      </c>
      <c r="C113" s="424">
        <v>80</v>
      </c>
      <c r="D113" s="425">
        <v>4</v>
      </c>
      <c r="E113" s="426">
        <v>80</v>
      </c>
      <c r="F113" s="232">
        <f aca="true" t="shared" si="18" ref="F113:F131">+E113-C113</f>
        <v>0</v>
      </c>
      <c r="G113" s="234">
        <v>86.07243385250516</v>
      </c>
      <c r="H113" s="235">
        <v>82.2</v>
      </c>
      <c r="I113" s="235">
        <v>-3.8724338525051536</v>
      </c>
      <c r="J113" s="237">
        <f>0.871960382513661*100</f>
        <v>87.19603825136612</v>
      </c>
      <c r="K113" s="237">
        <f aca="true" t="shared" si="19" ref="K113:K131">+J113-H113</f>
        <v>4.996038251366116</v>
      </c>
      <c r="L113"/>
      <c r="M113"/>
      <c r="N113"/>
    </row>
    <row r="114" spans="1:14" ht="12.75">
      <c r="A114" s="238" t="s">
        <v>173</v>
      </c>
      <c r="B114" s="352"/>
      <c r="C114" s="354"/>
      <c r="D114" s="427"/>
      <c r="E114" s="428"/>
      <c r="F114" s="232">
        <f t="shared" si="18"/>
        <v>0</v>
      </c>
      <c r="G114" s="243"/>
      <c r="H114" s="244"/>
      <c r="I114" s="244"/>
      <c r="J114" s="353"/>
      <c r="K114" s="237">
        <f t="shared" si="19"/>
        <v>0</v>
      </c>
      <c r="L114"/>
      <c r="M114"/>
      <c r="N114"/>
    </row>
    <row r="115" spans="1:14" ht="12.75">
      <c r="A115" s="238" t="s">
        <v>174</v>
      </c>
      <c r="B115" s="352"/>
      <c r="C115" s="354"/>
      <c r="D115" s="427"/>
      <c r="E115" s="428"/>
      <c r="F115" s="232">
        <f t="shared" si="18"/>
        <v>0</v>
      </c>
      <c r="G115" s="243"/>
      <c r="H115" s="244"/>
      <c r="I115" s="244"/>
      <c r="J115" s="353"/>
      <c r="K115" s="237">
        <f t="shared" si="19"/>
        <v>0</v>
      </c>
      <c r="L115"/>
      <c r="M115"/>
      <c r="N115"/>
    </row>
    <row r="116" spans="1:14" ht="12.75">
      <c r="A116" s="238" t="s">
        <v>175</v>
      </c>
      <c r="B116" s="352">
        <v>24</v>
      </c>
      <c r="C116" s="354">
        <v>24</v>
      </c>
      <c r="D116" s="427">
        <v>0</v>
      </c>
      <c r="E116" s="428">
        <v>24</v>
      </c>
      <c r="F116" s="232">
        <f t="shared" si="18"/>
        <v>0</v>
      </c>
      <c r="G116" s="243">
        <v>85.93607305936072</v>
      </c>
      <c r="H116" s="244">
        <v>80</v>
      </c>
      <c r="I116" s="244">
        <v>-5.936073059360723</v>
      </c>
      <c r="J116" s="353">
        <f>0.784153005464481*100</f>
        <v>78.41530054644808</v>
      </c>
      <c r="K116" s="237">
        <f t="shared" si="19"/>
        <v>-1.58469945355192</v>
      </c>
      <c r="L116"/>
      <c r="M116"/>
      <c r="N116"/>
    </row>
    <row r="117" spans="1:14" ht="12.75">
      <c r="A117" s="238" t="s">
        <v>176</v>
      </c>
      <c r="B117" s="352"/>
      <c r="C117" s="354"/>
      <c r="D117" s="427"/>
      <c r="E117" s="428"/>
      <c r="F117" s="232">
        <f t="shared" si="18"/>
        <v>0</v>
      </c>
      <c r="G117" s="243"/>
      <c r="H117" s="244"/>
      <c r="I117" s="244"/>
      <c r="J117" s="353"/>
      <c r="K117" s="237">
        <f t="shared" si="19"/>
        <v>0</v>
      </c>
      <c r="L117"/>
      <c r="M117"/>
      <c r="N117"/>
    </row>
    <row r="118" spans="1:14" ht="12.75">
      <c r="A118" s="238" t="s">
        <v>177</v>
      </c>
      <c r="B118" s="352">
        <v>44</v>
      </c>
      <c r="C118" s="354">
        <v>44</v>
      </c>
      <c r="D118" s="427">
        <v>0</v>
      </c>
      <c r="E118" s="428">
        <v>44</v>
      </c>
      <c r="F118" s="232">
        <f t="shared" si="18"/>
        <v>0</v>
      </c>
      <c r="G118" s="243">
        <v>73.84806973848069</v>
      </c>
      <c r="H118" s="244">
        <v>71.5</v>
      </c>
      <c r="I118" s="244">
        <v>-2.348069738480689</v>
      </c>
      <c r="J118" s="353">
        <f>0.532662692498758*100</f>
        <v>53.266269249875805</v>
      </c>
      <c r="K118" s="237">
        <f t="shared" si="19"/>
        <v>-18.233730750124195</v>
      </c>
      <c r="L118"/>
      <c r="M118"/>
      <c r="N118"/>
    </row>
    <row r="119" spans="1:14" ht="12.75">
      <c r="A119" s="238" t="s">
        <v>178</v>
      </c>
      <c r="B119" s="352">
        <v>41</v>
      </c>
      <c r="C119" s="354">
        <v>41</v>
      </c>
      <c r="D119" s="427">
        <v>0</v>
      </c>
      <c r="E119" s="428">
        <v>41</v>
      </c>
      <c r="F119" s="232">
        <f t="shared" si="18"/>
        <v>0</v>
      </c>
      <c r="G119" s="243">
        <v>71.50016705646507</v>
      </c>
      <c r="H119" s="244">
        <v>71.8</v>
      </c>
      <c r="I119" s="244">
        <v>0.2998329435349234</v>
      </c>
      <c r="J119" s="353">
        <f>0.718979075036652*100</f>
        <v>71.89790750366521</v>
      </c>
      <c r="K119" s="237">
        <f t="shared" si="19"/>
        <v>0.09790750366521195</v>
      </c>
      <c r="L119"/>
      <c r="M119"/>
      <c r="N119"/>
    </row>
    <row r="120" spans="1:14" ht="12.75">
      <c r="A120" s="238" t="s">
        <v>179</v>
      </c>
      <c r="B120" s="352">
        <v>67</v>
      </c>
      <c r="C120" s="354">
        <v>67</v>
      </c>
      <c r="D120" s="427">
        <v>0</v>
      </c>
      <c r="E120" s="428">
        <v>66</v>
      </c>
      <c r="F120" s="232">
        <f t="shared" si="18"/>
        <v>-1</v>
      </c>
      <c r="G120" s="243">
        <v>75.32941943900849</v>
      </c>
      <c r="H120" s="244">
        <v>72.9</v>
      </c>
      <c r="I120" s="244">
        <v>-2.429419439008484</v>
      </c>
      <c r="J120" s="353">
        <f>0.715308825964564*100</f>
        <v>71.53088259645637</v>
      </c>
      <c r="K120" s="237">
        <f t="shared" si="19"/>
        <v>-1.3691174035436404</v>
      </c>
      <c r="L120"/>
      <c r="M120"/>
      <c r="N120"/>
    </row>
    <row r="121" spans="1:14" ht="12.75">
      <c r="A121" s="238" t="s">
        <v>180</v>
      </c>
      <c r="B121" s="352">
        <v>5</v>
      </c>
      <c r="C121" s="354">
        <v>5</v>
      </c>
      <c r="D121" s="427">
        <v>0</v>
      </c>
      <c r="E121" s="428">
        <v>5</v>
      </c>
      <c r="F121" s="232">
        <f t="shared" si="18"/>
        <v>0</v>
      </c>
      <c r="G121" s="243">
        <v>56.986301369863014</v>
      </c>
      <c r="H121" s="244">
        <v>58</v>
      </c>
      <c r="I121" s="244">
        <v>1.013698630136986</v>
      </c>
      <c r="J121" s="353">
        <f>0.734972677595628*100</f>
        <v>73.49726775956285</v>
      </c>
      <c r="K121" s="237">
        <f t="shared" si="19"/>
        <v>15.497267759562845</v>
      </c>
      <c r="L121"/>
      <c r="M121"/>
      <c r="N121"/>
    </row>
    <row r="122" spans="1:14" ht="12.75">
      <c r="A122" s="238" t="s">
        <v>181</v>
      </c>
      <c r="B122" s="352">
        <v>24</v>
      </c>
      <c r="C122" s="354">
        <v>24</v>
      </c>
      <c r="D122" s="427">
        <v>0</v>
      </c>
      <c r="E122" s="428">
        <v>24</v>
      </c>
      <c r="F122" s="232">
        <f t="shared" si="18"/>
        <v>0</v>
      </c>
      <c r="G122" s="243">
        <v>87.76255707762557</v>
      </c>
      <c r="H122" s="244">
        <v>76.8</v>
      </c>
      <c r="I122" s="244">
        <v>-10.962557077625576</v>
      </c>
      <c r="J122" s="353">
        <f>0.766962659380692*100</f>
        <v>76.69626593806922</v>
      </c>
      <c r="K122" s="237">
        <f t="shared" si="19"/>
        <v>-0.10373406193077983</v>
      </c>
      <c r="L122"/>
      <c r="M122"/>
      <c r="N122"/>
    </row>
    <row r="123" spans="1:14" ht="12.75">
      <c r="A123" s="238" t="s">
        <v>182</v>
      </c>
      <c r="B123" s="352">
        <v>20</v>
      </c>
      <c r="C123" s="354">
        <v>20</v>
      </c>
      <c r="D123" s="427">
        <v>0</v>
      </c>
      <c r="E123" s="428">
        <v>20</v>
      </c>
      <c r="F123" s="232">
        <f t="shared" si="18"/>
        <v>0</v>
      </c>
      <c r="G123" s="243">
        <v>71.36986301369863</v>
      </c>
      <c r="H123" s="244">
        <v>63.2</v>
      </c>
      <c r="I123" s="244">
        <v>-8.169863013698631</v>
      </c>
      <c r="J123" s="353">
        <f>0.615983606557377*100</f>
        <v>61.59836065573771</v>
      </c>
      <c r="K123" s="237">
        <f t="shared" si="19"/>
        <v>-1.6016393442622956</v>
      </c>
      <c r="L123"/>
      <c r="M123"/>
      <c r="N123"/>
    </row>
    <row r="124" spans="1:14" ht="12.75">
      <c r="A124" s="238" t="s">
        <v>183</v>
      </c>
      <c r="B124" s="352"/>
      <c r="C124" s="354"/>
      <c r="D124" s="427"/>
      <c r="E124" s="428"/>
      <c r="F124" s="232">
        <f t="shared" si="18"/>
        <v>0</v>
      </c>
      <c r="G124" s="243"/>
      <c r="H124" s="244"/>
      <c r="I124" s="244"/>
      <c r="J124" s="353"/>
      <c r="K124" s="237">
        <f t="shared" si="19"/>
        <v>0</v>
      </c>
      <c r="L124"/>
      <c r="M124"/>
      <c r="N124"/>
    </row>
    <row r="125" spans="1:14" ht="12.75">
      <c r="A125" s="238" t="s">
        <v>184</v>
      </c>
      <c r="B125" s="352"/>
      <c r="C125" s="354"/>
      <c r="D125" s="427"/>
      <c r="E125" s="428"/>
      <c r="F125" s="232">
        <f t="shared" si="18"/>
        <v>0</v>
      </c>
      <c r="G125" s="243"/>
      <c r="H125" s="244"/>
      <c r="I125" s="244"/>
      <c r="J125" s="353"/>
      <c r="K125" s="237">
        <f t="shared" si="19"/>
        <v>0</v>
      </c>
      <c r="L125"/>
      <c r="M125"/>
      <c r="N125"/>
    </row>
    <row r="126" spans="1:14" ht="12.75">
      <c r="A126" s="238" t="s">
        <v>185</v>
      </c>
      <c r="B126" s="352"/>
      <c r="C126" s="354"/>
      <c r="D126" s="427"/>
      <c r="E126" s="428"/>
      <c r="F126" s="232">
        <f t="shared" si="18"/>
        <v>0</v>
      </c>
      <c r="G126" s="243"/>
      <c r="H126" s="244"/>
      <c r="I126" s="244"/>
      <c r="J126" s="353"/>
      <c r="K126" s="237">
        <f t="shared" si="19"/>
        <v>0</v>
      </c>
      <c r="L126"/>
      <c r="M126"/>
      <c r="N126"/>
    </row>
    <row r="127" spans="1:14" ht="12.75">
      <c r="A127" s="238" t="s">
        <v>186</v>
      </c>
      <c r="B127" s="352"/>
      <c r="C127" s="354"/>
      <c r="D127" s="427"/>
      <c r="E127" s="428"/>
      <c r="F127" s="232">
        <f t="shared" si="18"/>
        <v>0</v>
      </c>
      <c r="G127" s="243"/>
      <c r="H127" s="244"/>
      <c r="I127" s="244"/>
      <c r="J127" s="353"/>
      <c r="K127" s="237">
        <f t="shared" si="19"/>
        <v>0</v>
      </c>
      <c r="L127"/>
      <c r="M127"/>
      <c r="N127"/>
    </row>
    <row r="128" spans="1:14" ht="12.75">
      <c r="A128" s="238" t="s">
        <v>187</v>
      </c>
      <c r="B128" s="352"/>
      <c r="C128" s="354"/>
      <c r="D128" s="427"/>
      <c r="E128" s="428"/>
      <c r="F128" s="232">
        <f t="shared" si="18"/>
        <v>0</v>
      </c>
      <c r="G128" s="243"/>
      <c r="H128" s="244"/>
      <c r="I128" s="244"/>
      <c r="J128" s="353"/>
      <c r="K128" s="237">
        <f t="shared" si="19"/>
        <v>0</v>
      </c>
      <c r="L128"/>
      <c r="M128"/>
      <c r="N128"/>
    </row>
    <row r="129" spans="1:14" ht="12.75">
      <c r="A129" s="238" t="s">
        <v>188</v>
      </c>
      <c r="B129" s="352">
        <v>46</v>
      </c>
      <c r="C129" s="354">
        <v>46</v>
      </c>
      <c r="D129" s="427">
        <v>0</v>
      </c>
      <c r="E129" s="428">
        <v>46</v>
      </c>
      <c r="F129" s="232">
        <f t="shared" si="18"/>
        <v>0</v>
      </c>
      <c r="G129" s="243">
        <v>92.7945205479452</v>
      </c>
      <c r="H129" s="244">
        <v>97.3</v>
      </c>
      <c r="I129" s="244">
        <v>4.5054794520548</v>
      </c>
      <c r="J129" s="353">
        <f>0.973271560940841*100</f>
        <v>97.32715609408412</v>
      </c>
      <c r="K129" s="237">
        <f t="shared" si="19"/>
        <v>0.027156094084119786</v>
      </c>
      <c r="L129"/>
      <c r="M129"/>
      <c r="N129"/>
    </row>
    <row r="130" spans="1:14" ht="13.5" thickBot="1">
      <c r="A130" s="246" t="s">
        <v>189</v>
      </c>
      <c r="B130" s="355"/>
      <c r="C130" s="356"/>
      <c r="D130" s="429"/>
      <c r="E130" s="430"/>
      <c r="F130" s="251">
        <f t="shared" si="18"/>
        <v>0</v>
      </c>
      <c r="G130" s="252"/>
      <c r="H130" s="253"/>
      <c r="I130" s="253"/>
      <c r="J130" s="358"/>
      <c r="K130" s="237">
        <f t="shared" si="19"/>
        <v>0</v>
      </c>
      <c r="L130"/>
      <c r="M130"/>
      <c r="N130"/>
    </row>
    <row r="131" spans="1:14" ht="13.5" thickBot="1">
      <c r="A131" s="255" t="s">
        <v>10</v>
      </c>
      <c r="B131" s="359">
        <v>347</v>
      </c>
      <c r="C131" s="360">
        <v>351</v>
      </c>
      <c r="D131" s="431">
        <v>4</v>
      </c>
      <c r="E131" s="432">
        <f>SUM(E113:E130)</f>
        <v>350</v>
      </c>
      <c r="F131" s="258">
        <f t="shared" si="18"/>
        <v>-1</v>
      </c>
      <c r="G131" s="260">
        <v>80.12696291346475</v>
      </c>
      <c r="H131" s="261">
        <v>77.9</v>
      </c>
      <c r="I131" s="261">
        <v>-2.226962913464746</v>
      </c>
      <c r="J131" s="263">
        <f>98042/128100*100</f>
        <v>76.53551912568307</v>
      </c>
      <c r="K131" s="263">
        <f t="shared" si="19"/>
        <v>-1.3644808743169392</v>
      </c>
      <c r="L131"/>
      <c r="M131"/>
      <c r="N131"/>
    </row>
    <row r="132" ht="4.5" customHeight="1"/>
    <row r="133" ht="13.5" thickBot="1"/>
    <row r="134" spans="1:14" ht="14.25" customHeight="1">
      <c r="A134" s="643" t="s">
        <v>190</v>
      </c>
      <c r="B134" s="850"/>
      <c r="C134" s="659" t="s">
        <v>191</v>
      </c>
      <c r="D134" s="660"/>
      <c r="E134" s="653"/>
      <c r="F134" s="643" t="s">
        <v>190</v>
      </c>
      <c r="G134" s="644"/>
      <c r="H134" s="645"/>
      <c r="I134" s="652" t="s">
        <v>192</v>
      </c>
      <c r="J134" s="660"/>
      <c r="K134" s="653"/>
      <c r="L134" s="657" t="s">
        <v>193</v>
      </c>
      <c r="M134"/>
      <c r="N134"/>
    </row>
    <row r="135" spans="1:14" ht="27.75" thickBot="1">
      <c r="A135" s="646"/>
      <c r="B135" s="851"/>
      <c r="C135" s="264" t="s">
        <v>194</v>
      </c>
      <c r="D135" s="265" t="s">
        <v>195</v>
      </c>
      <c r="E135" s="172" t="s">
        <v>196</v>
      </c>
      <c r="F135" s="646"/>
      <c r="G135" s="647"/>
      <c r="H135" s="648"/>
      <c r="I135" s="267" t="s">
        <v>194</v>
      </c>
      <c r="J135" s="265" t="s">
        <v>195</v>
      </c>
      <c r="K135" s="172" t="s">
        <v>196</v>
      </c>
      <c r="L135" s="658"/>
      <c r="M135"/>
      <c r="N135"/>
    </row>
    <row r="136" spans="1:14" ht="20.25" customHeight="1">
      <c r="A136" s="848" t="s">
        <v>197</v>
      </c>
      <c r="B136" s="849"/>
      <c r="C136" s="362">
        <v>82.5</v>
      </c>
      <c r="D136" s="363">
        <v>35817960</v>
      </c>
      <c r="E136" s="274">
        <f aca="true" t="shared" si="20" ref="E136:E142">+IF(C136&gt;0,D136/C136/12,"")</f>
        <v>36179.757575757576</v>
      </c>
      <c r="F136" s="649" t="s">
        <v>197</v>
      </c>
      <c r="G136" s="650"/>
      <c r="H136" s="650"/>
      <c r="I136" s="272">
        <v>83.21</v>
      </c>
      <c r="J136" s="273">
        <v>35863059</v>
      </c>
      <c r="K136" s="274">
        <f aca="true" t="shared" si="21" ref="K136:K146">+IF(I136&gt;0,J136/I136/12,"")</f>
        <v>35916.214998197334</v>
      </c>
      <c r="L136" s="275">
        <f>+K136-E136</f>
        <v>-263.5425775602416</v>
      </c>
      <c r="M136"/>
      <c r="N136"/>
    </row>
    <row r="137" spans="1:14" ht="20.25" customHeight="1">
      <c r="A137" s="848" t="s">
        <v>198</v>
      </c>
      <c r="B137" s="849"/>
      <c r="C137" s="283">
        <v>2.48</v>
      </c>
      <c r="D137" s="364">
        <v>739392</v>
      </c>
      <c r="E137" s="279">
        <f t="shared" si="20"/>
        <v>24845.16129032258</v>
      </c>
      <c r="F137" s="654" t="s">
        <v>198</v>
      </c>
      <c r="G137" s="655"/>
      <c r="H137" s="655"/>
      <c r="I137" s="278">
        <v>3</v>
      </c>
      <c r="J137" s="270">
        <v>806807</v>
      </c>
      <c r="K137" s="279">
        <f t="shared" si="21"/>
        <v>22411.30555555556</v>
      </c>
      <c r="L137" s="280"/>
      <c r="M137"/>
      <c r="N137"/>
    </row>
    <row r="138" spans="1:14" ht="20.25" customHeight="1">
      <c r="A138" s="848" t="s">
        <v>199</v>
      </c>
      <c r="B138" s="849"/>
      <c r="C138" s="283">
        <v>5.93</v>
      </c>
      <c r="D138" s="364">
        <v>1615389</v>
      </c>
      <c r="E138" s="279">
        <f t="shared" si="20"/>
        <v>22700.801011804386</v>
      </c>
      <c r="F138" s="654" t="s">
        <v>200</v>
      </c>
      <c r="G138" s="655"/>
      <c r="H138" s="655"/>
      <c r="I138" s="278">
        <v>268.18</v>
      </c>
      <c r="J138" s="270">
        <v>54173241</v>
      </c>
      <c r="K138" s="279">
        <f t="shared" si="21"/>
        <v>16833.607092251474</v>
      </c>
      <c r="L138" s="280"/>
      <c r="M138"/>
      <c r="N138"/>
    </row>
    <row r="139" spans="1:14" ht="33" customHeight="1">
      <c r="A139" s="848" t="s">
        <v>201</v>
      </c>
      <c r="B139" s="849"/>
      <c r="C139" s="283">
        <v>5.25</v>
      </c>
      <c r="D139" s="364">
        <v>911957</v>
      </c>
      <c r="E139" s="279">
        <f t="shared" si="20"/>
        <v>14475.507936507936</v>
      </c>
      <c r="F139" s="654" t="s">
        <v>202</v>
      </c>
      <c r="G139" s="655"/>
      <c r="H139" s="655"/>
      <c r="I139" s="278">
        <v>55.06</v>
      </c>
      <c r="J139" s="270">
        <v>12397766</v>
      </c>
      <c r="K139" s="279">
        <f t="shared" si="21"/>
        <v>18764.024094926746</v>
      </c>
      <c r="L139" s="280"/>
      <c r="M139"/>
      <c r="N139"/>
    </row>
    <row r="140" spans="1:14" ht="20.25" customHeight="1">
      <c r="A140" s="848" t="s">
        <v>203</v>
      </c>
      <c r="B140" s="849"/>
      <c r="C140" s="283">
        <v>332.35</v>
      </c>
      <c r="D140" s="364">
        <v>70517703</v>
      </c>
      <c r="E140" s="279">
        <f t="shared" si="20"/>
        <v>17681.586429968407</v>
      </c>
      <c r="F140" s="654" t="s">
        <v>204</v>
      </c>
      <c r="G140" s="655"/>
      <c r="H140" s="655"/>
      <c r="I140" s="278">
        <v>12.52</v>
      </c>
      <c r="J140" s="270">
        <v>1916373</v>
      </c>
      <c r="K140" s="279">
        <f t="shared" si="21"/>
        <v>12755.411341853034</v>
      </c>
      <c r="L140" s="280"/>
      <c r="M140"/>
      <c r="N140"/>
    </row>
    <row r="141" spans="1:14" ht="30" customHeight="1">
      <c r="A141" s="848" t="s">
        <v>205</v>
      </c>
      <c r="B141" s="849"/>
      <c r="C141" s="283">
        <v>10</v>
      </c>
      <c r="D141" s="364">
        <v>2407919</v>
      </c>
      <c r="E141" s="279">
        <f t="shared" si="20"/>
        <v>20065.991666666665</v>
      </c>
      <c r="F141" s="654" t="s">
        <v>206</v>
      </c>
      <c r="G141" s="655"/>
      <c r="H141" s="655"/>
      <c r="I141" s="278">
        <v>71.78</v>
      </c>
      <c r="J141" s="270">
        <v>11592868</v>
      </c>
      <c r="K141" s="279">
        <f t="shared" si="21"/>
        <v>13458.795393331477</v>
      </c>
      <c r="L141" s="280"/>
      <c r="M141"/>
      <c r="N141"/>
    </row>
    <row r="142" spans="1:14" ht="20.25" customHeight="1">
      <c r="A142" s="848" t="s">
        <v>207</v>
      </c>
      <c r="B142" s="849"/>
      <c r="C142" s="283">
        <v>82.77</v>
      </c>
      <c r="D142" s="364">
        <v>11396880</v>
      </c>
      <c r="E142" s="279">
        <f t="shared" si="20"/>
        <v>11474.44726350127</v>
      </c>
      <c r="F142" s="654" t="s">
        <v>208</v>
      </c>
      <c r="G142" s="655"/>
      <c r="H142" s="655"/>
      <c r="I142" s="278">
        <v>0</v>
      </c>
      <c r="J142" s="270">
        <v>0</v>
      </c>
      <c r="K142" s="279">
        <f t="shared" si="21"/>
      </c>
      <c r="L142" s="280"/>
      <c r="M142"/>
      <c r="N142"/>
    </row>
    <row r="143" spans="1:14" ht="20.25" customHeight="1">
      <c r="A143" s="848"/>
      <c r="B143" s="849"/>
      <c r="C143" s="283"/>
      <c r="D143" s="364"/>
      <c r="E143" s="279"/>
      <c r="F143" s="654" t="s">
        <v>209</v>
      </c>
      <c r="G143" s="655"/>
      <c r="H143" s="655"/>
      <c r="I143" s="278">
        <v>0</v>
      </c>
      <c r="J143" s="270">
        <v>0</v>
      </c>
      <c r="K143" s="279">
        <f t="shared" si="21"/>
      </c>
      <c r="L143" s="280"/>
      <c r="M143"/>
      <c r="N143"/>
    </row>
    <row r="144" spans="1:14" ht="20.25" customHeight="1">
      <c r="A144" s="848" t="s">
        <v>211</v>
      </c>
      <c r="B144" s="849"/>
      <c r="C144" s="283">
        <v>59.36</v>
      </c>
      <c r="D144" s="364">
        <v>10515348</v>
      </c>
      <c r="E144" s="279">
        <f>+IF(C144&gt;0,D144/C144/12,"")</f>
        <v>14762.112533692722</v>
      </c>
      <c r="F144" s="654" t="s">
        <v>211</v>
      </c>
      <c r="G144" s="655"/>
      <c r="H144" s="655"/>
      <c r="I144" s="281">
        <v>57.24</v>
      </c>
      <c r="J144" s="282">
        <v>10540682</v>
      </c>
      <c r="K144" s="279">
        <f t="shared" si="21"/>
        <v>15345.740158397391</v>
      </c>
      <c r="L144" s="280">
        <f>+K144-E144</f>
        <v>583.6276247046699</v>
      </c>
      <c r="M144"/>
      <c r="N144"/>
    </row>
    <row r="145" spans="1:14" ht="20.25" customHeight="1" thickBot="1">
      <c r="A145" s="848" t="s">
        <v>212</v>
      </c>
      <c r="B145" s="849"/>
      <c r="C145" s="283">
        <v>81.14</v>
      </c>
      <c r="D145" s="364">
        <v>11259120</v>
      </c>
      <c r="E145" s="279">
        <f>+IF(C145&gt;0,D145/C145/12,"")</f>
        <v>11563.470544737489</v>
      </c>
      <c r="F145" s="704" t="s">
        <v>213</v>
      </c>
      <c r="G145" s="705"/>
      <c r="H145" s="705"/>
      <c r="I145" s="272">
        <v>78.04</v>
      </c>
      <c r="J145" s="273">
        <v>10562287</v>
      </c>
      <c r="K145" s="274">
        <f t="shared" si="21"/>
        <v>11278.710703912524</v>
      </c>
      <c r="L145" s="280">
        <f>+K145-E145</f>
        <v>-284.75984082496507</v>
      </c>
      <c r="M145"/>
      <c r="N145"/>
    </row>
    <row r="146" spans="1:12" s="85" customFormat="1" ht="22.5" customHeight="1" thickBot="1">
      <c r="A146" s="640" t="s">
        <v>10</v>
      </c>
      <c r="B146" s="852"/>
      <c r="C146" s="285">
        <f>SUM(C136:C145)</f>
        <v>661.78</v>
      </c>
      <c r="D146" s="143">
        <f>SUM(D136:D145)</f>
        <v>145181668</v>
      </c>
      <c r="E146" s="145">
        <f>+IF(C146&gt;0,D146/C146/12,"")</f>
        <v>18281.713459659302</v>
      </c>
      <c r="F146" s="640" t="s">
        <v>10</v>
      </c>
      <c r="G146" s="641"/>
      <c r="H146" s="642"/>
      <c r="I146" s="286">
        <f>SUM(I136:I145)</f>
        <v>629.03</v>
      </c>
      <c r="J146" s="143">
        <f>SUM(J136:J145)</f>
        <v>137853083</v>
      </c>
      <c r="K146" s="145">
        <f t="shared" si="21"/>
        <v>18262.65347704667</v>
      </c>
      <c r="L146" s="287">
        <f>+K146-E146</f>
        <v>-19.059982612630847</v>
      </c>
    </row>
    <row r="147" ht="10.5" customHeight="1"/>
    <row r="148" ht="16.5" thickBot="1">
      <c r="A148" s="211" t="s">
        <v>214</v>
      </c>
    </row>
    <row r="149" spans="1:16" ht="17.25" customHeight="1" thickBot="1">
      <c r="A149" s="748" t="s">
        <v>215</v>
      </c>
      <c r="B149" s="749"/>
      <c r="C149" s="749"/>
      <c r="D149" s="750"/>
      <c r="O149" s="1"/>
      <c r="P149" s="1"/>
    </row>
    <row r="150" spans="1:4" s="1" customFormat="1" ht="15.75" customHeight="1">
      <c r="A150" s="744" t="s">
        <v>216</v>
      </c>
      <c r="B150" s="745"/>
      <c r="C150" s="770">
        <f>+C53/1000</f>
        <v>21080.3966</v>
      </c>
      <c r="D150" s="771"/>
    </row>
    <row r="151" spans="1:4" s="1" customFormat="1" ht="15.75" customHeight="1">
      <c r="A151" s="811" t="s">
        <v>50</v>
      </c>
      <c r="B151" s="812"/>
      <c r="C151" s="742">
        <f>+G53/1000</f>
        <v>32534.6034</v>
      </c>
      <c r="D151" s="743"/>
    </row>
    <row r="152" spans="1:4" s="1" customFormat="1" ht="15.75" customHeight="1" thickBot="1">
      <c r="A152" s="813" t="s">
        <v>217</v>
      </c>
      <c r="B152" s="814"/>
      <c r="C152" s="815">
        <f>+J28</f>
        <v>147750</v>
      </c>
      <c r="D152" s="816"/>
    </row>
  </sheetData>
  <mergeCells count="169">
    <mergeCell ref="F146:H146"/>
    <mergeCell ref="H70:I70"/>
    <mergeCell ref="A141:B141"/>
    <mergeCell ref="F141:H141"/>
    <mergeCell ref="A142:B142"/>
    <mergeCell ref="F142:H142"/>
    <mergeCell ref="A106:A107"/>
    <mergeCell ref="B106:B107"/>
    <mergeCell ref="E95:G95"/>
    <mergeCell ref="E93:G93"/>
    <mergeCell ref="H67:I67"/>
    <mergeCell ref="L67:M67"/>
    <mergeCell ref="L63:M63"/>
    <mergeCell ref="B70:C70"/>
    <mergeCell ref="D70:E70"/>
    <mergeCell ref="B69:C69"/>
    <mergeCell ref="D69:E69"/>
    <mergeCell ref="F69:G69"/>
    <mergeCell ref="H69:I69"/>
    <mergeCell ref="F70:G70"/>
    <mergeCell ref="J68:K68"/>
    <mergeCell ref="L68:M68"/>
    <mergeCell ref="J70:K70"/>
    <mergeCell ref="L70:M70"/>
    <mergeCell ref="J69:K69"/>
    <mergeCell ref="L69:M69"/>
    <mergeCell ref="B61:C61"/>
    <mergeCell ref="D61:E61"/>
    <mergeCell ref="F61:G61"/>
    <mergeCell ref="F59:G59"/>
    <mergeCell ref="F60:G60"/>
    <mergeCell ref="B59:C59"/>
    <mergeCell ref="D59:E59"/>
    <mergeCell ref="D60:E60"/>
    <mergeCell ref="H64:I64"/>
    <mergeCell ref="J64:K64"/>
    <mergeCell ref="H60:I60"/>
    <mergeCell ref="H61:I61"/>
    <mergeCell ref="J60:K60"/>
    <mergeCell ref="J61:K61"/>
    <mergeCell ref="H58:I58"/>
    <mergeCell ref="J63:K63"/>
    <mergeCell ref="H63:I63"/>
    <mergeCell ref="L60:M60"/>
    <mergeCell ref="L61:M61"/>
    <mergeCell ref="L58:M58"/>
    <mergeCell ref="J59:K59"/>
    <mergeCell ref="L59:M59"/>
    <mergeCell ref="J58:K58"/>
    <mergeCell ref="H59:I59"/>
    <mergeCell ref="B68:C68"/>
    <mergeCell ref="D68:E68"/>
    <mergeCell ref="F68:G68"/>
    <mergeCell ref="B80:B81"/>
    <mergeCell ref="E94:G94"/>
    <mergeCell ref="B74:B76"/>
    <mergeCell ref="C74:H74"/>
    <mergeCell ref="H80:H81"/>
    <mergeCell ref="F56:G56"/>
    <mergeCell ref="B64:C64"/>
    <mergeCell ref="J56:K56"/>
    <mergeCell ref="L56:M56"/>
    <mergeCell ref="B57:C57"/>
    <mergeCell ref="J57:K57"/>
    <mergeCell ref="L57:M57"/>
    <mergeCell ref="F58:G58"/>
    <mergeCell ref="L64:M64"/>
    <mergeCell ref="F63:G63"/>
    <mergeCell ref="A56:A57"/>
    <mergeCell ref="B56:C56"/>
    <mergeCell ref="D56:E56"/>
    <mergeCell ref="B58:C58"/>
    <mergeCell ref="A80:A81"/>
    <mergeCell ref="C80:F80"/>
    <mergeCell ref="G80:G81"/>
    <mergeCell ref="A43:A44"/>
    <mergeCell ref="D65:E65"/>
    <mergeCell ref="F43:I43"/>
    <mergeCell ref="D57:E57"/>
    <mergeCell ref="F57:G57"/>
    <mergeCell ref="H57:I57"/>
    <mergeCell ref="H56:I56"/>
    <mergeCell ref="C150:D150"/>
    <mergeCell ref="B111:F111"/>
    <mergeCell ref="A111:A112"/>
    <mergeCell ref="A143:B143"/>
    <mergeCell ref="F143:H143"/>
    <mergeCell ref="A144:B144"/>
    <mergeCell ref="F144:H144"/>
    <mergeCell ref="A145:B145"/>
    <mergeCell ref="F145:H145"/>
    <mergeCell ref="A146:B146"/>
    <mergeCell ref="A3:A6"/>
    <mergeCell ref="B40:D40"/>
    <mergeCell ref="B43:E43"/>
    <mergeCell ref="A63:A64"/>
    <mergeCell ref="B63:C63"/>
    <mergeCell ref="D63:E63"/>
    <mergeCell ref="D64:E64"/>
    <mergeCell ref="E40:G40"/>
    <mergeCell ref="D58:E58"/>
    <mergeCell ref="B60:C60"/>
    <mergeCell ref="M4:N4"/>
    <mergeCell ref="A42:I42"/>
    <mergeCell ref="B3:N3"/>
    <mergeCell ref="B38:D38"/>
    <mergeCell ref="E38:G38"/>
    <mergeCell ref="J38:L38"/>
    <mergeCell ref="H4:I4"/>
    <mergeCell ref="B39:D39"/>
    <mergeCell ref="E39:G39"/>
    <mergeCell ref="K42:N42"/>
    <mergeCell ref="F65:G65"/>
    <mergeCell ref="H65:I65"/>
    <mergeCell ref="B66:C66"/>
    <mergeCell ref="D66:E66"/>
    <mergeCell ref="F66:G66"/>
    <mergeCell ref="H66:I66"/>
    <mergeCell ref="B65:C65"/>
    <mergeCell ref="B67:C67"/>
    <mergeCell ref="D67:E67"/>
    <mergeCell ref="G111:K111"/>
    <mergeCell ref="F64:G64"/>
    <mergeCell ref="C75:C76"/>
    <mergeCell ref="D75:H75"/>
    <mergeCell ref="C106:H106"/>
    <mergeCell ref="E92:G92"/>
    <mergeCell ref="E102:G102"/>
    <mergeCell ref="F67:G67"/>
    <mergeCell ref="L134:L135"/>
    <mergeCell ref="J65:K65"/>
    <mergeCell ref="L65:M65"/>
    <mergeCell ref="J66:K66"/>
    <mergeCell ref="I134:K134"/>
    <mergeCell ref="I74:I76"/>
    <mergeCell ref="I80:L80"/>
    <mergeCell ref="L66:M66"/>
    <mergeCell ref="J67:K67"/>
    <mergeCell ref="H68:I68"/>
    <mergeCell ref="A136:B136"/>
    <mergeCell ref="E89:G89"/>
    <mergeCell ref="E90:G90"/>
    <mergeCell ref="E91:G91"/>
    <mergeCell ref="F136:H136"/>
    <mergeCell ref="A134:B135"/>
    <mergeCell ref="C134:E134"/>
    <mergeCell ref="E99:G99"/>
    <mergeCell ref="E96:G96"/>
    <mergeCell ref="F134:H135"/>
    <mergeCell ref="K47:N47"/>
    <mergeCell ref="K48:N48"/>
    <mergeCell ref="K51:N51"/>
    <mergeCell ref="A151:B151"/>
    <mergeCell ref="C151:D151"/>
    <mergeCell ref="E97:G97"/>
    <mergeCell ref="E98:G98"/>
    <mergeCell ref="A138:B138"/>
    <mergeCell ref="F138:H138"/>
    <mergeCell ref="A74:A76"/>
    <mergeCell ref="A137:B137"/>
    <mergeCell ref="F137:H137"/>
    <mergeCell ref="A152:B152"/>
    <mergeCell ref="C152:D152"/>
    <mergeCell ref="A139:B139"/>
    <mergeCell ref="F139:H139"/>
    <mergeCell ref="A140:B140"/>
    <mergeCell ref="F140:H140"/>
    <mergeCell ref="A149:D149"/>
    <mergeCell ref="A150:B150"/>
  </mergeCells>
  <printOptions horizontalCentered="1"/>
  <pageMargins left="0.2362204724409449" right="0.2755905511811024" top="0.32" bottom="0.2" header="0.2362204724409449" footer="0.2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7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28.25390625" style="1" customWidth="1"/>
    <col min="2" max="4" width="10.125" style="96" customWidth="1"/>
    <col min="5" max="14" width="8.875" style="96" customWidth="1"/>
    <col min="15" max="34" width="9.125" style="1" customWidth="1"/>
  </cols>
  <sheetData>
    <row r="1" spans="12:14" ht="15.75">
      <c r="L1" s="3" t="s">
        <v>460</v>
      </c>
      <c r="N1" s="4"/>
    </row>
    <row r="2" spans="1:14" ht="15.75" customHeight="1">
      <c r="A2" s="5"/>
      <c r="B2" s="433"/>
      <c r="C2" s="433"/>
      <c r="D2" s="433"/>
      <c r="E2" s="433"/>
      <c r="F2" s="433"/>
      <c r="G2" s="433"/>
      <c r="H2" s="433"/>
      <c r="L2" s="3" t="s">
        <v>0</v>
      </c>
      <c r="N2" s="4"/>
    </row>
    <row r="3" spans="1:14" ht="11.25" customHeight="1" thickBot="1">
      <c r="A3" s="434" t="s">
        <v>393</v>
      </c>
      <c r="B3" s="433"/>
      <c r="C3" s="433"/>
      <c r="D3" s="433"/>
      <c r="E3" s="433"/>
      <c r="F3" s="433"/>
      <c r="G3" s="433"/>
      <c r="H3" s="433"/>
      <c r="L3" s="3"/>
      <c r="N3" s="4"/>
    </row>
    <row r="4" spans="1:14" ht="21.75" customHeight="1" thickBot="1">
      <c r="A4" s="929" t="s">
        <v>1</v>
      </c>
      <c r="B4" s="932" t="s">
        <v>313</v>
      </c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4"/>
    </row>
    <row r="5" spans="1:14" ht="10.5" customHeight="1">
      <c r="A5" s="930"/>
      <c r="B5" s="7" t="s">
        <v>3</v>
      </c>
      <c r="C5" s="8"/>
      <c r="D5" s="12"/>
      <c r="E5" s="7" t="s">
        <v>4</v>
      </c>
      <c r="F5" s="8"/>
      <c r="G5" s="9"/>
      <c r="H5" s="778" t="s">
        <v>5</v>
      </c>
      <c r="I5" s="779"/>
      <c r="J5" s="8" t="s">
        <v>6</v>
      </c>
      <c r="K5" s="11"/>
      <c r="L5" s="12"/>
      <c r="M5" s="778" t="s">
        <v>7</v>
      </c>
      <c r="N5" s="779"/>
    </row>
    <row r="6" spans="1:14" s="96" customFormat="1" ht="9.75">
      <c r="A6" s="930"/>
      <c r="B6" s="435" t="s">
        <v>314</v>
      </c>
      <c r="C6" s="436" t="s">
        <v>9</v>
      </c>
      <c r="D6" s="437" t="s">
        <v>10</v>
      </c>
      <c r="E6" s="435" t="s">
        <v>314</v>
      </c>
      <c r="F6" s="436" t="s">
        <v>9</v>
      </c>
      <c r="G6" s="438" t="s">
        <v>10</v>
      </c>
      <c r="H6" s="435" t="s">
        <v>10</v>
      </c>
      <c r="I6" s="438" t="s">
        <v>11</v>
      </c>
      <c r="J6" s="439" t="s">
        <v>314</v>
      </c>
      <c r="K6" s="436" t="s">
        <v>9</v>
      </c>
      <c r="L6" s="911" t="s">
        <v>10</v>
      </c>
      <c r="M6" s="435" t="s">
        <v>10</v>
      </c>
      <c r="N6" s="438" t="s">
        <v>11</v>
      </c>
    </row>
    <row r="7" spans="1:14" s="96" customFormat="1" ht="10.5" customHeight="1" thickBot="1">
      <c r="A7" s="931"/>
      <c r="B7" s="440" t="s">
        <v>12</v>
      </c>
      <c r="C7" s="441" t="s">
        <v>12</v>
      </c>
      <c r="D7" s="442"/>
      <c r="E7" s="440" t="s">
        <v>12</v>
      </c>
      <c r="F7" s="441" t="s">
        <v>12</v>
      </c>
      <c r="G7" s="443"/>
      <c r="H7" s="444" t="s">
        <v>13</v>
      </c>
      <c r="I7" s="443" t="s">
        <v>14</v>
      </c>
      <c r="J7" s="445" t="s">
        <v>12</v>
      </c>
      <c r="K7" s="441" t="s">
        <v>12</v>
      </c>
      <c r="L7" s="912"/>
      <c r="M7" s="444" t="s">
        <v>13</v>
      </c>
      <c r="N7" s="443" t="s">
        <v>14</v>
      </c>
    </row>
    <row r="8" spans="1:14" s="2" customFormat="1" ht="15.75" customHeight="1" thickTop="1">
      <c r="A8" s="446" t="s">
        <v>15</v>
      </c>
      <c r="B8" s="27">
        <v>0</v>
      </c>
      <c r="C8" s="28">
        <v>0</v>
      </c>
      <c r="D8" s="288">
        <f aca="true" t="shared" si="0" ref="D8:D16">SUM(B8:C8)</f>
        <v>0</v>
      </c>
      <c r="E8" s="72">
        <v>986</v>
      </c>
      <c r="F8" s="73">
        <v>0</v>
      </c>
      <c r="G8" s="74">
        <f aca="true" t="shared" si="1" ref="G8:G16">SUM(E8:F8)</f>
        <v>986</v>
      </c>
      <c r="H8" s="30"/>
      <c r="I8" s="34"/>
      <c r="J8" s="447">
        <v>1100</v>
      </c>
      <c r="K8" s="448">
        <v>0</v>
      </c>
      <c r="L8" s="449">
        <f aca="true" t="shared" si="2" ref="L8:L16">J8+K8</f>
        <v>1100</v>
      </c>
      <c r="M8" s="376"/>
      <c r="N8" s="450"/>
    </row>
    <row r="9" spans="1:14" s="2" customFormat="1" ht="14.25" customHeight="1">
      <c r="A9" s="451" t="s">
        <v>16</v>
      </c>
      <c r="B9" s="36">
        <v>443885.433</v>
      </c>
      <c r="C9" s="37">
        <v>752.919</v>
      </c>
      <c r="D9" s="288">
        <f t="shared" si="0"/>
        <v>444638.352</v>
      </c>
      <c r="E9" s="44">
        <v>457589</v>
      </c>
      <c r="F9" s="37">
        <v>992</v>
      </c>
      <c r="G9" s="49">
        <f t="shared" si="1"/>
        <v>458581</v>
      </c>
      <c r="H9" s="380">
        <f aca="true" t="shared" si="3" ref="H9:H36">+G9-D9</f>
        <v>13942.647999999986</v>
      </c>
      <c r="I9" s="381">
        <f>+G9/D9</f>
        <v>1.031357277070872</v>
      </c>
      <c r="J9" s="105">
        <v>458000</v>
      </c>
      <c r="K9" s="106">
        <v>908</v>
      </c>
      <c r="L9" s="452">
        <f t="shared" si="2"/>
        <v>458908</v>
      </c>
      <c r="M9" s="380">
        <f aca="true" t="shared" si="4" ref="M9:M36">+L9-G9</f>
        <v>327</v>
      </c>
      <c r="N9" s="381">
        <f>+L9/G9</f>
        <v>1.0007130692287731</v>
      </c>
    </row>
    <row r="10" spans="1:14" s="2" customFormat="1" ht="14.25" customHeight="1">
      <c r="A10" s="451" t="s">
        <v>17</v>
      </c>
      <c r="B10" s="36">
        <v>23520.303</v>
      </c>
      <c r="C10" s="37">
        <v>2541.429</v>
      </c>
      <c r="D10" s="288">
        <f t="shared" si="0"/>
        <v>26061.732</v>
      </c>
      <c r="E10" s="44">
        <v>33913</v>
      </c>
      <c r="F10" s="37">
        <v>3400</v>
      </c>
      <c r="G10" s="49">
        <f t="shared" si="1"/>
        <v>37313</v>
      </c>
      <c r="H10" s="380">
        <f t="shared" si="3"/>
        <v>11251.268</v>
      </c>
      <c r="I10" s="381">
        <f>+G10/D10</f>
        <v>1.4317160501842319</v>
      </c>
      <c r="J10" s="105">
        <v>37500</v>
      </c>
      <c r="K10" s="106">
        <v>23</v>
      </c>
      <c r="L10" s="452">
        <f t="shared" si="2"/>
        <v>37523</v>
      </c>
      <c r="M10" s="380">
        <f t="shared" si="4"/>
        <v>210</v>
      </c>
      <c r="N10" s="381">
        <f>+L10/G10</f>
        <v>1.0056280652855574</v>
      </c>
    </row>
    <row r="11" spans="1:14" s="2" customFormat="1" ht="14.25" customHeight="1">
      <c r="A11" s="451" t="s">
        <v>18</v>
      </c>
      <c r="B11" s="36">
        <v>108.321</v>
      </c>
      <c r="C11" s="37">
        <v>0</v>
      </c>
      <c r="D11" s="288">
        <f t="shared" si="0"/>
        <v>108.321</v>
      </c>
      <c r="E11" s="44">
        <v>129.93</v>
      </c>
      <c r="F11" s="37"/>
      <c r="G11" s="49">
        <f t="shared" si="1"/>
        <v>129.93</v>
      </c>
      <c r="H11" s="380">
        <f t="shared" si="3"/>
        <v>21.60900000000001</v>
      </c>
      <c r="I11" s="381">
        <f>+G11/D11</f>
        <v>1.1994904035228626</v>
      </c>
      <c r="J11" s="105">
        <v>133</v>
      </c>
      <c r="K11" s="106">
        <v>0</v>
      </c>
      <c r="L11" s="452">
        <f t="shared" si="2"/>
        <v>133</v>
      </c>
      <c r="M11" s="380">
        <f t="shared" si="4"/>
        <v>3.069999999999993</v>
      </c>
      <c r="N11" s="381">
        <f>+L11/G11</f>
        <v>1.023628107442469</v>
      </c>
    </row>
    <row r="12" spans="1:14" s="2" customFormat="1" ht="14.25" customHeight="1">
      <c r="A12" s="451" t="s">
        <v>19</v>
      </c>
      <c r="B12" s="36">
        <v>2491.3990000000003</v>
      </c>
      <c r="C12" s="37">
        <v>0</v>
      </c>
      <c r="D12" s="288">
        <f t="shared" si="0"/>
        <v>2491.3990000000003</v>
      </c>
      <c r="E12" s="44">
        <f>71.72+209.23+558.74+635.18</f>
        <v>1474.87</v>
      </c>
      <c r="F12" s="37">
        <v>0</v>
      </c>
      <c r="G12" s="49">
        <f t="shared" si="1"/>
        <v>1474.87</v>
      </c>
      <c r="H12" s="380">
        <f t="shared" si="3"/>
        <v>-1016.5290000000005</v>
      </c>
      <c r="I12" s="381">
        <f>+G12/D12</f>
        <v>0.5919846640381567</v>
      </c>
      <c r="J12" s="105">
        <v>1471</v>
      </c>
      <c r="K12" s="106">
        <v>0</v>
      </c>
      <c r="L12" s="452">
        <f t="shared" si="2"/>
        <v>1471</v>
      </c>
      <c r="M12" s="380">
        <f t="shared" si="4"/>
        <v>-3.869999999999891</v>
      </c>
      <c r="N12" s="381">
        <f>+L12/G12</f>
        <v>0.9973760399221627</v>
      </c>
    </row>
    <row r="13" spans="1:14" s="2" customFormat="1" ht="14.25" customHeight="1">
      <c r="A13" s="451" t="s">
        <v>20</v>
      </c>
      <c r="B13" s="36">
        <v>1180.212</v>
      </c>
      <c r="C13" s="37">
        <v>0</v>
      </c>
      <c r="D13" s="288">
        <f t="shared" si="0"/>
        <v>1180.212</v>
      </c>
      <c r="E13" s="44">
        <v>559</v>
      </c>
      <c r="F13" s="37">
        <v>0</v>
      </c>
      <c r="G13" s="49">
        <f t="shared" si="1"/>
        <v>559</v>
      </c>
      <c r="H13" s="380">
        <f t="shared" si="3"/>
        <v>-621.212</v>
      </c>
      <c r="I13" s="381">
        <f>+G13/D13</f>
        <v>0.47364371824723017</v>
      </c>
      <c r="J13" s="105">
        <v>600</v>
      </c>
      <c r="K13" s="106">
        <v>0</v>
      </c>
      <c r="L13" s="452">
        <f t="shared" si="2"/>
        <v>600</v>
      </c>
      <c r="M13" s="380">
        <f t="shared" si="4"/>
        <v>41</v>
      </c>
      <c r="N13" s="381">
        <f>+L13/G13</f>
        <v>1.073345259391771</v>
      </c>
    </row>
    <row r="14" spans="1:14" s="2" customFormat="1" ht="14.25" customHeight="1">
      <c r="A14" s="451" t="s">
        <v>21</v>
      </c>
      <c r="B14" s="36">
        <v>0</v>
      </c>
      <c r="C14" s="37">
        <v>0</v>
      </c>
      <c r="D14" s="288">
        <f t="shared" si="0"/>
        <v>0</v>
      </c>
      <c r="E14" s="44">
        <v>0</v>
      </c>
      <c r="F14" s="37"/>
      <c r="G14" s="49">
        <f t="shared" si="1"/>
        <v>0</v>
      </c>
      <c r="H14" s="380">
        <f t="shared" si="3"/>
        <v>0</v>
      </c>
      <c r="I14" s="381"/>
      <c r="J14" s="105">
        <v>0</v>
      </c>
      <c r="K14" s="106">
        <v>0</v>
      </c>
      <c r="L14" s="452">
        <f t="shared" si="2"/>
        <v>0</v>
      </c>
      <c r="M14" s="380">
        <f t="shared" si="4"/>
        <v>0</v>
      </c>
      <c r="N14" s="381"/>
    </row>
    <row r="15" spans="1:14" s="2" customFormat="1" ht="21" customHeight="1">
      <c r="A15" s="451" t="s">
        <v>22</v>
      </c>
      <c r="B15" s="36">
        <v>0</v>
      </c>
      <c r="C15" s="37">
        <v>0</v>
      </c>
      <c r="D15" s="288">
        <f t="shared" si="0"/>
        <v>0</v>
      </c>
      <c r="E15" s="44">
        <v>0</v>
      </c>
      <c r="F15" s="37"/>
      <c r="G15" s="49">
        <f t="shared" si="1"/>
        <v>0</v>
      </c>
      <c r="H15" s="380">
        <f t="shared" si="3"/>
        <v>0</v>
      </c>
      <c r="I15" s="381"/>
      <c r="J15" s="105">
        <v>0</v>
      </c>
      <c r="K15" s="106">
        <v>0</v>
      </c>
      <c r="L15" s="452">
        <f t="shared" si="2"/>
        <v>0</v>
      </c>
      <c r="M15" s="380">
        <f t="shared" si="4"/>
        <v>0</v>
      </c>
      <c r="N15" s="381"/>
    </row>
    <row r="16" spans="1:14" s="2" customFormat="1" ht="14.25" customHeight="1" thickBot="1">
      <c r="A16" s="453" t="s">
        <v>23</v>
      </c>
      <c r="B16" s="52">
        <v>10658.791</v>
      </c>
      <c r="C16" s="53">
        <v>0</v>
      </c>
      <c r="D16" s="454">
        <f t="shared" si="0"/>
        <v>10658.791</v>
      </c>
      <c r="E16" s="54">
        <v>3786</v>
      </c>
      <c r="F16" s="53">
        <v>0</v>
      </c>
      <c r="G16" s="56">
        <f t="shared" si="1"/>
        <v>3786</v>
      </c>
      <c r="H16" s="455">
        <f t="shared" si="3"/>
        <v>-6872.790999999999</v>
      </c>
      <c r="I16" s="456">
        <f>+G16/D16</f>
        <v>0.3551997595224449</v>
      </c>
      <c r="J16" s="457">
        <f>1457</f>
        <v>1457</v>
      </c>
      <c r="K16" s="458">
        <v>0</v>
      </c>
      <c r="L16" s="459">
        <f t="shared" si="2"/>
        <v>1457</v>
      </c>
      <c r="M16" s="455">
        <f t="shared" si="4"/>
        <v>-2329</v>
      </c>
      <c r="N16" s="456">
        <f>+L16/G16</f>
        <v>0.38483888008452194</v>
      </c>
    </row>
    <row r="17" spans="1:14" s="2" customFormat="1" ht="14.25" customHeight="1" thickBot="1">
      <c r="A17" s="460" t="s">
        <v>24</v>
      </c>
      <c r="B17" s="66">
        <f aca="true" t="shared" si="5" ref="B17:G17">SUM(B8+B9+B10+B11+B12+B14+B16)</f>
        <v>480664.24700000003</v>
      </c>
      <c r="C17" s="62">
        <f t="shared" si="5"/>
        <v>3294.348</v>
      </c>
      <c r="D17" s="62">
        <f t="shared" si="5"/>
        <v>483958.59500000003</v>
      </c>
      <c r="E17" s="61">
        <f t="shared" si="5"/>
        <v>497878.8</v>
      </c>
      <c r="F17" s="132">
        <f t="shared" si="5"/>
        <v>4392</v>
      </c>
      <c r="G17" s="461">
        <f t="shared" si="5"/>
        <v>502270.8</v>
      </c>
      <c r="H17" s="462">
        <f t="shared" si="3"/>
        <v>18312.204999999958</v>
      </c>
      <c r="I17" s="463">
        <f>+G17/D17</f>
        <v>1.037838371276369</v>
      </c>
      <c r="J17" s="61">
        <f>SUM(J8+J9+J10+J11+J12+J14+J16)</f>
        <v>499661</v>
      </c>
      <c r="K17" s="132">
        <f>SUM(K8+K9+K10+K11+K12+K14+K16)</f>
        <v>931</v>
      </c>
      <c r="L17" s="461">
        <f>SUM(L8+L9+L10+L11+L12+L14+L16)</f>
        <v>500592</v>
      </c>
      <c r="M17" s="462">
        <f t="shared" si="4"/>
        <v>-1678.7999999999884</v>
      </c>
      <c r="N17" s="463">
        <f>+L17/G17</f>
        <v>0.9966575799349674</v>
      </c>
    </row>
    <row r="18" spans="1:14" s="162" customFormat="1" ht="14.25" customHeight="1">
      <c r="A18" s="446" t="s">
        <v>25</v>
      </c>
      <c r="B18" s="27">
        <v>111842.985</v>
      </c>
      <c r="C18" s="28">
        <v>63.132</v>
      </c>
      <c r="D18" s="378">
        <f aca="true" t="shared" si="6" ref="D18:D35">SUM(B18:C18)</f>
        <v>111906.117</v>
      </c>
      <c r="E18" s="32">
        <v>108885.82</v>
      </c>
      <c r="F18" s="28">
        <v>92.8</v>
      </c>
      <c r="G18" s="74">
        <f aca="true" t="shared" si="7" ref="G18:G35">SUM(E18:F18)</f>
        <v>108978.62000000001</v>
      </c>
      <c r="H18" s="376">
        <f t="shared" si="3"/>
        <v>-2927.4969999999885</v>
      </c>
      <c r="I18" s="464">
        <f>+G18/D18</f>
        <v>0.9738397052951092</v>
      </c>
      <c r="J18" s="140">
        <f>(37444+8969+33487)+27100</f>
        <v>107000</v>
      </c>
      <c r="K18" s="139">
        <v>90</v>
      </c>
      <c r="L18" s="465">
        <f aca="true" t="shared" si="8" ref="L18:L35">SUM(J18:K18)</f>
        <v>107090</v>
      </c>
      <c r="M18" s="376">
        <f t="shared" si="4"/>
        <v>-1888.62000000001</v>
      </c>
      <c r="N18" s="464">
        <f>+L18/G18</f>
        <v>0.9826698117483961</v>
      </c>
    </row>
    <row r="19" spans="1:14" s="2" customFormat="1" ht="14.25" customHeight="1">
      <c r="A19" s="451" t="s">
        <v>26</v>
      </c>
      <c r="B19" s="27">
        <v>1430.68</v>
      </c>
      <c r="C19" s="28">
        <v>6.59</v>
      </c>
      <c r="D19" s="466">
        <f t="shared" si="6"/>
        <v>1437.27</v>
      </c>
      <c r="E19" s="44">
        <v>3509</v>
      </c>
      <c r="F19" s="37">
        <v>4</v>
      </c>
      <c r="G19" s="74">
        <f t="shared" si="7"/>
        <v>3513</v>
      </c>
      <c r="H19" s="380">
        <f t="shared" si="3"/>
        <v>2075.73</v>
      </c>
      <c r="I19" s="381">
        <f>+G19/D19</f>
        <v>2.4442171617023942</v>
      </c>
      <c r="J19" s="467">
        <v>2500</v>
      </c>
      <c r="K19" s="203">
        <v>5</v>
      </c>
      <c r="L19" s="465">
        <f t="shared" si="8"/>
        <v>2505</v>
      </c>
      <c r="M19" s="376">
        <f t="shared" si="4"/>
        <v>-1008</v>
      </c>
      <c r="N19" s="464">
        <f>+L19/G19</f>
        <v>0.713065755764304</v>
      </c>
    </row>
    <row r="20" spans="1:14" s="2" customFormat="1" ht="14.25" customHeight="1">
      <c r="A20" s="451" t="s">
        <v>27</v>
      </c>
      <c r="B20" s="36">
        <v>17576.864</v>
      </c>
      <c r="C20" s="37">
        <v>0</v>
      </c>
      <c r="D20" s="466">
        <f t="shared" si="6"/>
        <v>17576.864</v>
      </c>
      <c r="E20" s="44">
        <v>18584.04</v>
      </c>
      <c r="F20" s="37">
        <v>9.98</v>
      </c>
      <c r="G20" s="74">
        <f t="shared" si="7"/>
        <v>18594.02</v>
      </c>
      <c r="H20" s="380">
        <f t="shared" si="3"/>
        <v>1017.155999999999</v>
      </c>
      <c r="I20" s="381">
        <f>+G20/D20</f>
        <v>1.0578690260105557</v>
      </c>
      <c r="J20" s="468">
        <v>17000</v>
      </c>
      <c r="K20" s="186">
        <v>10</v>
      </c>
      <c r="L20" s="465">
        <f t="shared" si="8"/>
        <v>17010</v>
      </c>
      <c r="M20" s="376">
        <f t="shared" si="4"/>
        <v>-1584.0200000000004</v>
      </c>
      <c r="N20" s="464">
        <f>+L20/G20</f>
        <v>0.9148102454445031</v>
      </c>
    </row>
    <row r="21" spans="1:14" s="2" customFormat="1" ht="14.25" customHeight="1">
      <c r="A21" s="451" t="s">
        <v>28</v>
      </c>
      <c r="B21" s="36">
        <v>0</v>
      </c>
      <c r="C21" s="37">
        <v>0</v>
      </c>
      <c r="D21" s="466">
        <f t="shared" si="6"/>
        <v>0</v>
      </c>
      <c r="E21" s="44">
        <v>0</v>
      </c>
      <c r="F21" s="37">
        <v>0</v>
      </c>
      <c r="G21" s="74">
        <f t="shared" si="7"/>
        <v>0</v>
      </c>
      <c r="H21" s="380">
        <f t="shared" si="3"/>
        <v>0</v>
      </c>
      <c r="I21" s="381"/>
      <c r="J21" s="185">
        <v>0</v>
      </c>
      <c r="K21" s="186">
        <v>0</v>
      </c>
      <c r="L21" s="465">
        <f t="shared" si="8"/>
        <v>0</v>
      </c>
      <c r="M21" s="376">
        <f t="shared" si="4"/>
        <v>0</v>
      </c>
      <c r="N21" s="464"/>
    </row>
    <row r="22" spans="1:14" s="2" customFormat="1" ht="14.25" customHeight="1">
      <c r="A22" s="451" t="s">
        <v>29</v>
      </c>
      <c r="B22" s="36">
        <v>19485.471</v>
      </c>
      <c r="C22" s="37">
        <v>2269.419</v>
      </c>
      <c r="D22" s="466">
        <f t="shared" si="6"/>
        <v>21754.89</v>
      </c>
      <c r="E22" s="44">
        <v>28223.25</v>
      </c>
      <c r="F22" s="37">
        <v>2842.12</v>
      </c>
      <c r="G22" s="74">
        <f t="shared" si="7"/>
        <v>31065.37</v>
      </c>
      <c r="H22" s="380">
        <f t="shared" si="3"/>
        <v>9310.48</v>
      </c>
      <c r="I22" s="381">
        <f aca="true" t="shared" si="9" ref="I22:I36">+G22/D22</f>
        <v>1.427971826104384</v>
      </c>
      <c r="J22" s="185">
        <v>29500</v>
      </c>
      <c r="K22" s="186">
        <v>18</v>
      </c>
      <c r="L22" s="465">
        <f t="shared" si="8"/>
        <v>29518</v>
      </c>
      <c r="M22" s="376">
        <f t="shared" si="4"/>
        <v>-1547.369999999999</v>
      </c>
      <c r="N22" s="464">
        <f aca="true" t="shared" si="10" ref="N22:N36">+L22/G22</f>
        <v>0.9501898738048187</v>
      </c>
    </row>
    <row r="23" spans="1:14" s="2" customFormat="1" ht="14.25" customHeight="1">
      <c r="A23" s="451" t="s">
        <v>30</v>
      </c>
      <c r="B23" s="44">
        <v>66720.667</v>
      </c>
      <c r="C23" s="37">
        <v>205.79100000000003</v>
      </c>
      <c r="D23" s="466">
        <f t="shared" si="6"/>
        <v>66926.458</v>
      </c>
      <c r="E23" s="44">
        <f>11840.14+476.51+66.52+59215.32</f>
        <v>71598.49</v>
      </c>
      <c r="F23" s="37">
        <f>145.92+14.89</f>
        <v>160.81</v>
      </c>
      <c r="G23" s="74">
        <f t="shared" si="7"/>
        <v>71759.3</v>
      </c>
      <c r="H23" s="380">
        <f t="shared" si="3"/>
        <v>4832.842000000004</v>
      </c>
      <c r="I23" s="381">
        <f t="shared" si="9"/>
        <v>1.0722112322155164</v>
      </c>
      <c r="J23" s="185">
        <v>70810</v>
      </c>
      <c r="K23" s="186">
        <f>K24+K25</f>
        <v>160</v>
      </c>
      <c r="L23" s="465">
        <f t="shared" si="8"/>
        <v>70970</v>
      </c>
      <c r="M23" s="376">
        <f t="shared" si="4"/>
        <v>-789.3000000000029</v>
      </c>
      <c r="N23" s="464">
        <f t="shared" si="10"/>
        <v>0.9890007288253926</v>
      </c>
    </row>
    <row r="24" spans="1:14" s="2" customFormat="1" ht="14.25" customHeight="1">
      <c r="A24" s="451" t="s">
        <v>31</v>
      </c>
      <c r="B24" s="36">
        <v>10136.291</v>
      </c>
      <c r="C24" s="37">
        <v>13.461</v>
      </c>
      <c r="D24" s="466">
        <f t="shared" si="6"/>
        <v>10149.751999999999</v>
      </c>
      <c r="E24" s="47">
        <v>11840</v>
      </c>
      <c r="F24" s="37">
        <v>15</v>
      </c>
      <c r="G24" s="74">
        <f t="shared" si="7"/>
        <v>11855</v>
      </c>
      <c r="H24" s="380">
        <f t="shared" si="3"/>
        <v>1705.2480000000014</v>
      </c>
      <c r="I24" s="381">
        <f t="shared" si="9"/>
        <v>1.168008834107474</v>
      </c>
      <c r="J24" s="469">
        <v>12000</v>
      </c>
      <c r="K24" s="186">
        <v>10</v>
      </c>
      <c r="L24" s="465">
        <f t="shared" si="8"/>
        <v>12010</v>
      </c>
      <c r="M24" s="376">
        <f t="shared" si="4"/>
        <v>155</v>
      </c>
      <c r="N24" s="464">
        <f t="shared" si="10"/>
        <v>1.0130746520455505</v>
      </c>
    </row>
    <row r="25" spans="1:14" s="2" customFormat="1" ht="14.25" customHeight="1">
      <c r="A25" s="451" t="s">
        <v>32</v>
      </c>
      <c r="B25" s="36">
        <v>56214.07</v>
      </c>
      <c r="C25" s="37">
        <v>192.33</v>
      </c>
      <c r="D25" s="466">
        <f t="shared" si="6"/>
        <v>56406.4</v>
      </c>
      <c r="E25" s="47">
        <v>59215</v>
      </c>
      <c r="F25" s="37">
        <v>146</v>
      </c>
      <c r="G25" s="74">
        <f t="shared" si="7"/>
        <v>59361</v>
      </c>
      <c r="H25" s="380">
        <f t="shared" si="3"/>
        <v>2954.5999999999985</v>
      </c>
      <c r="I25" s="381">
        <f t="shared" si="9"/>
        <v>1.052380580926987</v>
      </c>
      <c r="J25" s="469">
        <v>58386</v>
      </c>
      <c r="K25" s="186">
        <v>150</v>
      </c>
      <c r="L25" s="465">
        <f t="shared" si="8"/>
        <v>58536</v>
      </c>
      <c r="M25" s="376">
        <f t="shared" si="4"/>
        <v>-825</v>
      </c>
      <c r="N25" s="464">
        <f t="shared" si="10"/>
        <v>0.9861019861525244</v>
      </c>
    </row>
    <row r="26" spans="1:14" s="2" customFormat="1" ht="14.25" customHeight="1">
      <c r="A26" s="470" t="s">
        <v>33</v>
      </c>
      <c r="B26" s="44">
        <v>264438.189</v>
      </c>
      <c r="C26" s="37">
        <v>100.798</v>
      </c>
      <c r="D26" s="466">
        <f t="shared" si="6"/>
        <v>264538.987</v>
      </c>
      <c r="E26" s="44">
        <f>191157.96+66850.57+3804.31+22.33</f>
        <v>261835.16999999998</v>
      </c>
      <c r="F26" s="37">
        <f>93.52+32.89+1.88</f>
        <v>128.29</v>
      </c>
      <c r="G26" s="74">
        <f t="shared" si="7"/>
        <v>261963.46</v>
      </c>
      <c r="H26" s="380">
        <f t="shared" si="3"/>
        <v>-2575.527000000031</v>
      </c>
      <c r="I26" s="381">
        <f t="shared" si="9"/>
        <v>0.9902640929066534</v>
      </c>
      <c r="J26" s="468">
        <f>J27+J30</f>
        <v>269619.24340000004</v>
      </c>
      <c r="K26" s="186">
        <f>SUM(K27,K30)</f>
        <v>137</v>
      </c>
      <c r="L26" s="465">
        <f t="shared" si="8"/>
        <v>269756.24340000004</v>
      </c>
      <c r="M26" s="376">
        <f t="shared" si="4"/>
        <v>7792.783400000044</v>
      </c>
      <c r="N26" s="464">
        <f t="shared" si="10"/>
        <v>1.0297475968595011</v>
      </c>
    </row>
    <row r="27" spans="1:14" s="2" customFormat="1" ht="14.25" customHeight="1">
      <c r="A27" s="451" t="s">
        <v>34</v>
      </c>
      <c r="B27" s="36">
        <v>193363.285</v>
      </c>
      <c r="C27" s="37">
        <v>70.254</v>
      </c>
      <c r="D27" s="466">
        <f t="shared" si="6"/>
        <v>193433.539</v>
      </c>
      <c r="E27" s="47">
        <v>191158</v>
      </c>
      <c r="F27" s="48">
        <v>94</v>
      </c>
      <c r="G27" s="74">
        <f t="shared" si="7"/>
        <v>191252</v>
      </c>
      <c r="H27" s="380">
        <f t="shared" si="3"/>
        <v>-2181.5389999999898</v>
      </c>
      <c r="I27" s="381">
        <f t="shared" si="9"/>
        <v>0.98872202302001</v>
      </c>
      <c r="J27" s="471">
        <f>SUM(J28:J29)</f>
        <v>197154.477</v>
      </c>
      <c r="K27" s="472">
        <f>SUM(K28:K29)</f>
        <v>100</v>
      </c>
      <c r="L27" s="465">
        <f t="shared" si="8"/>
        <v>197254.477</v>
      </c>
      <c r="M27" s="376">
        <f t="shared" si="4"/>
        <v>6002.4770000000135</v>
      </c>
      <c r="N27" s="464">
        <f t="shared" si="10"/>
        <v>1.0313851724426413</v>
      </c>
    </row>
    <row r="28" spans="1:14" s="2" customFormat="1" ht="14.25" customHeight="1">
      <c r="A28" s="470" t="s">
        <v>35</v>
      </c>
      <c r="B28" s="36">
        <v>191913.58</v>
      </c>
      <c r="C28" s="37">
        <v>70.254</v>
      </c>
      <c r="D28" s="466">
        <f t="shared" si="6"/>
        <v>191983.83399999997</v>
      </c>
      <c r="E28" s="44">
        <v>189780</v>
      </c>
      <c r="F28" s="37"/>
      <c r="G28" s="74">
        <f t="shared" si="7"/>
        <v>189780</v>
      </c>
      <c r="H28" s="380">
        <f t="shared" si="3"/>
        <v>-2203.8339999999735</v>
      </c>
      <c r="I28" s="381">
        <f t="shared" si="9"/>
        <v>0.9885207313861647</v>
      </c>
      <c r="J28" s="468">
        <v>195850.72</v>
      </c>
      <c r="K28" s="186">
        <v>100</v>
      </c>
      <c r="L28" s="465">
        <f t="shared" si="8"/>
        <v>195950.72</v>
      </c>
      <c r="M28" s="376">
        <f t="shared" si="4"/>
        <v>6170.720000000001</v>
      </c>
      <c r="N28" s="464">
        <f t="shared" si="10"/>
        <v>1.032515122773738</v>
      </c>
    </row>
    <row r="29" spans="1:14" s="2" customFormat="1" ht="14.25" customHeight="1">
      <c r="A29" s="451" t="s">
        <v>36</v>
      </c>
      <c r="B29" s="36">
        <v>1449.705</v>
      </c>
      <c r="C29" s="37">
        <v>0</v>
      </c>
      <c r="D29" s="466">
        <f t="shared" si="6"/>
        <v>1449.705</v>
      </c>
      <c r="E29" s="44">
        <v>1378</v>
      </c>
      <c r="F29" s="37"/>
      <c r="G29" s="74">
        <f t="shared" si="7"/>
        <v>1378</v>
      </c>
      <c r="H29" s="380">
        <f t="shared" si="3"/>
        <v>-71.70499999999993</v>
      </c>
      <c r="I29" s="381">
        <f t="shared" si="9"/>
        <v>0.950538212946772</v>
      </c>
      <c r="J29" s="468">
        <v>1303.757</v>
      </c>
      <c r="K29" s="186">
        <v>0</v>
      </c>
      <c r="L29" s="465">
        <f t="shared" si="8"/>
        <v>1303.757</v>
      </c>
      <c r="M29" s="376">
        <f t="shared" si="4"/>
        <v>-74.24299999999994</v>
      </c>
      <c r="N29" s="464">
        <f t="shared" si="10"/>
        <v>0.946122641509434</v>
      </c>
    </row>
    <row r="30" spans="1:14" s="2" customFormat="1" ht="14.25" customHeight="1">
      <c r="A30" s="451" t="s">
        <v>37</v>
      </c>
      <c r="B30" s="36">
        <v>71074.904</v>
      </c>
      <c r="C30" s="37">
        <v>30.544</v>
      </c>
      <c r="D30" s="466">
        <f t="shared" si="6"/>
        <v>71105.44799999999</v>
      </c>
      <c r="E30" s="44">
        <f>66850.57+3804.31+22.33</f>
        <v>70677.21</v>
      </c>
      <c r="F30" s="37">
        <f>32.89+1.88</f>
        <v>34.77</v>
      </c>
      <c r="G30" s="74">
        <f t="shared" si="7"/>
        <v>70711.98000000001</v>
      </c>
      <c r="H30" s="380">
        <f t="shared" si="3"/>
        <v>-393.46799999997893</v>
      </c>
      <c r="I30" s="381">
        <f t="shared" si="9"/>
        <v>0.9944664155691701</v>
      </c>
      <c r="J30" s="468">
        <f>(J28*0.35)+(J28*0.02)</f>
        <v>72464.7664</v>
      </c>
      <c r="K30" s="186">
        <f>(K28*0.35)+(K28*0.02)</f>
        <v>37</v>
      </c>
      <c r="L30" s="465">
        <f t="shared" si="8"/>
        <v>72501.7664</v>
      </c>
      <c r="M30" s="376">
        <f t="shared" si="4"/>
        <v>1789.7863999999827</v>
      </c>
      <c r="N30" s="464">
        <f t="shared" si="10"/>
        <v>1.0253109359969836</v>
      </c>
    </row>
    <row r="31" spans="1:14" s="2" customFormat="1" ht="14.25" customHeight="1">
      <c r="A31" s="470" t="s">
        <v>38</v>
      </c>
      <c r="B31" s="36">
        <v>0.174</v>
      </c>
      <c r="C31" s="37">
        <v>0</v>
      </c>
      <c r="D31" s="466">
        <f t="shared" si="6"/>
        <v>0.174</v>
      </c>
      <c r="E31" s="44">
        <v>0.89</v>
      </c>
      <c r="F31" s="37">
        <v>0</v>
      </c>
      <c r="G31" s="74">
        <f t="shared" si="7"/>
        <v>0.89</v>
      </c>
      <c r="H31" s="380">
        <f t="shared" si="3"/>
        <v>0.716</v>
      </c>
      <c r="I31" s="381">
        <f t="shared" si="9"/>
        <v>5.114942528735632</v>
      </c>
      <c r="J31" s="185">
        <v>1</v>
      </c>
      <c r="K31" s="186">
        <v>0</v>
      </c>
      <c r="L31" s="465">
        <f t="shared" si="8"/>
        <v>1</v>
      </c>
      <c r="M31" s="376">
        <f t="shared" si="4"/>
        <v>0.10999999999999999</v>
      </c>
      <c r="N31" s="464">
        <f t="shared" si="10"/>
        <v>1.1235955056179776</v>
      </c>
    </row>
    <row r="32" spans="1:14" s="2" customFormat="1" ht="14.25" customHeight="1">
      <c r="A32" s="470" t="s">
        <v>39</v>
      </c>
      <c r="B32" s="36">
        <v>3781.2169999999996</v>
      </c>
      <c r="C32" s="37">
        <v>7.138999999999999</v>
      </c>
      <c r="D32" s="466">
        <f t="shared" si="6"/>
        <v>3788.3559999999998</v>
      </c>
      <c r="E32" s="44">
        <f>45.66+1.46+200.05+937.76+3847.41</f>
        <v>5032.34</v>
      </c>
      <c r="F32" s="37">
        <v>6</v>
      </c>
      <c r="G32" s="74">
        <f t="shared" si="7"/>
        <v>5038.34</v>
      </c>
      <c r="H32" s="380">
        <f t="shared" si="3"/>
        <v>1249.9840000000004</v>
      </c>
      <c r="I32" s="381">
        <f t="shared" si="9"/>
        <v>1.3299542070491792</v>
      </c>
      <c r="J32" s="185">
        <v>2444</v>
      </c>
      <c r="K32" s="186">
        <v>5</v>
      </c>
      <c r="L32" s="465">
        <f t="shared" si="8"/>
        <v>2449</v>
      </c>
      <c r="M32" s="376">
        <f t="shared" si="4"/>
        <v>-2589.34</v>
      </c>
      <c r="N32" s="464">
        <f t="shared" si="10"/>
        <v>0.48607279381701113</v>
      </c>
    </row>
    <row r="33" spans="1:14" s="2" customFormat="1" ht="14.25" customHeight="1">
      <c r="A33" s="451" t="s">
        <v>40</v>
      </c>
      <c r="B33" s="36">
        <v>2340.866</v>
      </c>
      <c r="C33" s="37">
        <v>0</v>
      </c>
      <c r="D33" s="466">
        <f t="shared" si="6"/>
        <v>2340.866</v>
      </c>
      <c r="E33" s="47">
        <v>3359.6</v>
      </c>
      <c r="F33" s="37"/>
      <c r="G33" s="74">
        <f t="shared" si="7"/>
        <v>3359.6</v>
      </c>
      <c r="H33" s="380">
        <f t="shared" si="3"/>
        <v>1018.7339999999999</v>
      </c>
      <c r="I33" s="381">
        <f t="shared" si="9"/>
        <v>1.4351953507804376</v>
      </c>
      <c r="J33" s="469">
        <v>2998</v>
      </c>
      <c r="K33" s="186">
        <f>SUM(K34)</f>
        <v>0</v>
      </c>
      <c r="L33" s="465">
        <f t="shared" si="8"/>
        <v>2998</v>
      </c>
      <c r="M33" s="376">
        <f t="shared" si="4"/>
        <v>-361.5999999999999</v>
      </c>
      <c r="N33" s="464">
        <f t="shared" si="10"/>
        <v>0.8923681390641743</v>
      </c>
    </row>
    <row r="34" spans="1:14" s="2" customFormat="1" ht="14.25" customHeight="1">
      <c r="A34" s="451" t="s">
        <v>41</v>
      </c>
      <c r="B34" s="36">
        <v>2340.866</v>
      </c>
      <c r="C34" s="37">
        <v>0</v>
      </c>
      <c r="D34" s="466">
        <f t="shared" si="6"/>
        <v>2340.866</v>
      </c>
      <c r="E34" s="47">
        <v>3360</v>
      </c>
      <c r="F34" s="37">
        <v>0</v>
      </c>
      <c r="G34" s="74">
        <f t="shared" si="7"/>
        <v>3360</v>
      </c>
      <c r="H34" s="380">
        <f t="shared" si="3"/>
        <v>1019.134</v>
      </c>
      <c r="I34" s="381">
        <f t="shared" si="9"/>
        <v>1.4353662277123083</v>
      </c>
      <c r="J34" s="469">
        <v>2998</v>
      </c>
      <c r="K34" s="186">
        <v>0</v>
      </c>
      <c r="L34" s="473">
        <f t="shared" si="8"/>
        <v>2998</v>
      </c>
      <c r="M34" s="376">
        <f t="shared" si="4"/>
        <v>-362</v>
      </c>
      <c r="N34" s="464">
        <f t="shared" si="10"/>
        <v>0.8922619047619048</v>
      </c>
    </row>
    <row r="35" spans="1:14" s="2" customFormat="1" ht="14.25" customHeight="1" thickBot="1">
      <c r="A35" s="474" t="s">
        <v>42</v>
      </c>
      <c r="B35" s="52">
        <v>1120.818</v>
      </c>
      <c r="C35" s="53">
        <v>0</v>
      </c>
      <c r="D35" s="475">
        <f t="shared" si="6"/>
        <v>1120.818</v>
      </c>
      <c r="E35" s="77">
        <f>1304.4-62.32</f>
        <v>1242.0800000000002</v>
      </c>
      <c r="F35" s="53">
        <v>0</v>
      </c>
      <c r="G35" s="476">
        <f t="shared" si="7"/>
        <v>1242.0800000000002</v>
      </c>
      <c r="H35" s="455">
        <f t="shared" si="3"/>
        <v>121.26200000000017</v>
      </c>
      <c r="I35" s="456">
        <f t="shared" si="9"/>
        <v>1.1081906250613394</v>
      </c>
      <c r="J35" s="194">
        <v>800</v>
      </c>
      <c r="K35" s="193">
        <v>0</v>
      </c>
      <c r="L35" s="477">
        <f t="shared" si="8"/>
        <v>800</v>
      </c>
      <c r="M35" s="376">
        <f t="shared" si="4"/>
        <v>-442.08000000000015</v>
      </c>
      <c r="N35" s="464">
        <f t="shared" si="10"/>
        <v>0.644080896560608</v>
      </c>
    </row>
    <row r="36" spans="1:14" s="2" customFormat="1" ht="14.25" customHeight="1" thickBot="1">
      <c r="A36" s="460" t="s">
        <v>43</v>
      </c>
      <c r="B36" s="66">
        <f aca="true" t="shared" si="11" ref="B36:G36">SUM(B18+B20+B21+B22+B23+B26+B31+B32+B33+B35)</f>
        <v>487307.25100000005</v>
      </c>
      <c r="C36" s="62">
        <f t="shared" si="11"/>
        <v>2646.2790000000005</v>
      </c>
      <c r="D36" s="63">
        <f t="shared" si="11"/>
        <v>489953.53</v>
      </c>
      <c r="E36" s="66">
        <f t="shared" si="11"/>
        <v>498761.68000000005</v>
      </c>
      <c r="F36" s="62">
        <f t="shared" si="11"/>
        <v>3240</v>
      </c>
      <c r="G36" s="63">
        <f t="shared" si="11"/>
        <v>502001.68000000005</v>
      </c>
      <c r="H36" s="462">
        <f t="shared" si="3"/>
        <v>12048.150000000023</v>
      </c>
      <c r="I36" s="463">
        <f t="shared" si="9"/>
        <v>1.024590393297095</v>
      </c>
      <c r="J36" s="66">
        <f>SUM(J18+J20+J21+J22+J23+J26+J31+J32+J33+J35)</f>
        <v>500172.24340000004</v>
      </c>
      <c r="K36" s="62">
        <f>SUM(K18+K20+K21+K22+K23+K26+K31+K32+K33+K35)</f>
        <v>420</v>
      </c>
      <c r="L36" s="63">
        <f>SUM(L18+L20+L21+L22+L23+L26+L31+L32+L33+L35)</f>
        <v>500592.24340000004</v>
      </c>
      <c r="M36" s="462">
        <f t="shared" si="4"/>
        <v>-1409.4366000000155</v>
      </c>
      <c r="N36" s="463">
        <f t="shared" si="10"/>
        <v>0.9971923667665813</v>
      </c>
    </row>
    <row r="37" spans="1:14" s="2" customFormat="1" ht="14.25" customHeight="1" thickBot="1">
      <c r="A37" s="460" t="s">
        <v>44</v>
      </c>
      <c r="B37" s="782">
        <f>+D17-D36</f>
        <v>-5994.934999999998</v>
      </c>
      <c r="C37" s="946"/>
      <c r="D37" s="947"/>
      <c r="E37" s="782">
        <f>+G17-G36</f>
        <v>269.11999999993714</v>
      </c>
      <c r="F37" s="946"/>
      <c r="G37" s="947"/>
      <c r="H37" s="302"/>
      <c r="I37" s="303"/>
      <c r="J37" s="782">
        <f>+L36-L17</f>
        <v>0.2434000000357628</v>
      </c>
      <c r="K37" s="946">
        <v>717.25</v>
      </c>
      <c r="L37" s="947">
        <v>0.358040000020992</v>
      </c>
      <c r="M37" s="302"/>
      <c r="N37" s="303"/>
    </row>
    <row r="38" spans="1:34" ht="19.5" customHeight="1" thickBot="1">
      <c r="A38" s="80" t="s">
        <v>45</v>
      </c>
      <c r="B38" s="782">
        <v>-54949.87</v>
      </c>
      <c r="C38" s="783"/>
      <c r="D38" s="784"/>
      <c r="E38" s="782">
        <v>-52907.81</v>
      </c>
      <c r="F38" s="831"/>
      <c r="G38" s="83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3.5" customHeight="1" thickBot="1">
      <c r="A39" s="81" t="s">
        <v>46</v>
      </c>
      <c r="B39" s="782">
        <f>SUM(B37:D38)</f>
        <v>-60944.805</v>
      </c>
      <c r="C39" s="783"/>
      <c r="D39" s="784"/>
      <c r="E39" s="944">
        <f>SUM(E37:G38)</f>
        <v>-52638.69000000006</v>
      </c>
      <c r="F39" s="945"/>
      <c r="G39" s="83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ht="7.5" customHeight="1" thickBot="1">
      <c r="A40" s="2"/>
    </row>
    <row r="41" spans="1:34" ht="17.25" customHeight="1" thickBot="1">
      <c r="A41" s="830" t="s">
        <v>47</v>
      </c>
      <c r="B41" s="740"/>
      <c r="C41" s="740"/>
      <c r="D41" s="740"/>
      <c r="E41" s="740"/>
      <c r="F41" s="740"/>
      <c r="G41" s="740"/>
      <c r="H41" s="740"/>
      <c r="I41" s="741"/>
      <c r="K41" s="716" t="s">
        <v>48</v>
      </c>
      <c r="L41" s="785"/>
      <c r="M41" s="785"/>
      <c r="N41" s="786"/>
      <c r="AD41"/>
      <c r="AE41"/>
      <c r="AF41"/>
      <c r="AG41"/>
      <c r="AH41"/>
    </row>
    <row r="42" spans="1:29" s="85" customFormat="1" ht="19.5" customHeight="1">
      <c r="A42" s="797" t="s">
        <v>49</v>
      </c>
      <c r="B42" s="799" t="s">
        <v>439</v>
      </c>
      <c r="C42" s="799"/>
      <c r="D42" s="799"/>
      <c r="E42" s="800"/>
      <c r="F42" s="801" t="s">
        <v>440</v>
      </c>
      <c r="G42" s="799"/>
      <c r="H42" s="799"/>
      <c r="I42" s="800"/>
      <c r="K42" s="304" t="s">
        <v>51</v>
      </c>
      <c r="L42" s="305" t="s">
        <v>52</v>
      </c>
      <c r="M42" s="306" t="s">
        <v>53</v>
      </c>
      <c r="N42" s="307" t="s">
        <v>54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34" ht="19.5" customHeight="1" thickBot="1">
      <c r="A43" s="798"/>
      <c r="B43" s="95">
        <v>2004</v>
      </c>
      <c r="C43" s="92">
        <v>2005</v>
      </c>
      <c r="D43" s="93" t="s">
        <v>13</v>
      </c>
      <c r="E43" s="94" t="s">
        <v>55</v>
      </c>
      <c r="F43" s="95">
        <v>2004</v>
      </c>
      <c r="G43" s="92">
        <v>2005</v>
      </c>
      <c r="H43" s="93" t="s">
        <v>13</v>
      </c>
      <c r="I43" s="94" t="s">
        <v>55</v>
      </c>
      <c r="K43" s="97">
        <v>2004</v>
      </c>
      <c r="L43" s="98">
        <f>+F45+B45</f>
        <v>22300000</v>
      </c>
      <c r="M43" s="99">
        <v>15000000</v>
      </c>
      <c r="N43" s="100">
        <v>7300000</v>
      </c>
      <c r="AD43"/>
      <c r="AE43"/>
      <c r="AF43"/>
      <c r="AG43"/>
      <c r="AH43"/>
    </row>
    <row r="44" spans="1:29" s="85" customFormat="1" ht="21" customHeight="1">
      <c r="A44" s="559" t="s">
        <v>389</v>
      </c>
      <c r="B44" s="308">
        <v>1457000</v>
      </c>
      <c r="C44" s="103">
        <v>1457000</v>
      </c>
      <c r="D44" s="73">
        <f aca="true" t="shared" si="12" ref="D44:D52">+C44-B44</f>
        <v>0</v>
      </c>
      <c r="E44" s="104">
        <f>+C44/B44</f>
        <v>1</v>
      </c>
      <c r="F44" s="105"/>
      <c r="G44" s="106"/>
      <c r="H44" s="73">
        <f aca="true" t="shared" si="13" ref="H44:H52">+G44-F44</f>
        <v>0</v>
      </c>
      <c r="I44" s="104"/>
      <c r="K44" s="97">
        <v>2005</v>
      </c>
      <c r="L44" s="106">
        <f>+G45+C45</f>
        <v>24400000</v>
      </c>
      <c r="M44" s="106">
        <v>17000000</v>
      </c>
      <c r="N44" s="107">
        <v>7400000</v>
      </c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s="85" customFormat="1" ht="21" customHeight="1" thickBot="1">
      <c r="A45" s="558" t="s">
        <v>390</v>
      </c>
      <c r="B45" s="105">
        <v>1232000</v>
      </c>
      <c r="C45" s="103"/>
      <c r="D45" s="110">
        <f t="shared" si="12"/>
        <v>-1232000</v>
      </c>
      <c r="E45" s="111"/>
      <c r="F45" s="105">
        <v>21068000</v>
      </c>
      <c r="G45" s="106">
        <f>+D79</f>
        <v>24400000</v>
      </c>
      <c r="H45" s="110">
        <f t="shared" si="13"/>
        <v>3332000</v>
      </c>
      <c r="I45" s="111">
        <f>+G45/F45</f>
        <v>1.158154547180558</v>
      </c>
      <c r="K45" s="112" t="s">
        <v>56</v>
      </c>
      <c r="L45" s="113">
        <f>+L44-L43</f>
        <v>2100000</v>
      </c>
      <c r="M45" s="114">
        <f>+M44-M43</f>
        <v>2000000</v>
      </c>
      <c r="N45" s="115">
        <f>+N44-N43</f>
        <v>100000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s="85" customFormat="1" ht="21" customHeight="1">
      <c r="A46" s="127" t="s">
        <v>391</v>
      </c>
      <c r="B46" s="105">
        <v>775240.42</v>
      </c>
      <c r="C46" s="103"/>
      <c r="D46" s="37">
        <f t="shared" si="12"/>
        <v>-775240.42</v>
      </c>
      <c r="E46" s="111"/>
      <c r="F46" s="105">
        <v>1690747.04</v>
      </c>
      <c r="G46" s="106">
        <f>+F79</f>
        <v>1630000</v>
      </c>
      <c r="H46" s="37">
        <f t="shared" si="13"/>
        <v>-60747.04000000004</v>
      </c>
      <c r="I46" s="111">
        <f>+G46/F46</f>
        <v>0.9640708878603153</v>
      </c>
      <c r="J46"/>
      <c r="K46" s="802" t="s">
        <v>434</v>
      </c>
      <c r="L46" s="803"/>
      <c r="M46" s="803"/>
      <c r="N46" s="804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s="85" customFormat="1" ht="21" customHeight="1">
      <c r="A47" s="127" t="s">
        <v>392</v>
      </c>
      <c r="B47" s="105">
        <v>68651</v>
      </c>
      <c r="C47" s="103"/>
      <c r="D47" s="37">
        <f t="shared" si="12"/>
        <v>-68651</v>
      </c>
      <c r="E47" s="111"/>
      <c r="F47" s="105">
        <v>83322</v>
      </c>
      <c r="G47" s="106">
        <f>+H79</f>
        <v>40000</v>
      </c>
      <c r="H47" s="37">
        <f t="shared" si="13"/>
        <v>-43322</v>
      </c>
      <c r="I47" s="111"/>
      <c r="J47"/>
      <c r="K47" s="805">
        <v>2004</v>
      </c>
      <c r="L47" s="806"/>
      <c r="M47" s="806"/>
      <c r="N47" s="807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s="85" customFormat="1" ht="18" customHeight="1">
      <c r="A48" s="310" t="s">
        <v>57</v>
      </c>
      <c r="B48" s="117"/>
      <c r="C48" s="103"/>
      <c r="D48" s="37">
        <f t="shared" si="12"/>
        <v>0</v>
      </c>
      <c r="E48" s="111"/>
      <c r="F48" s="117">
        <v>1575000</v>
      </c>
      <c r="G48" s="118"/>
      <c r="H48" s="37">
        <f t="shared" si="13"/>
        <v>-1575000</v>
      </c>
      <c r="I48" s="111"/>
      <c r="J48"/>
      <c r="K48" s="119" t="s">
        <v>58</v>
      </c>
      <c r="L48" s="120" t="s">
        <v>60</v>
      </c>
      <c r="M48" s="121" t="s">
        <v>59</v>
      </c>
      <c r="N48" s="122" t="s">
        <v>61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</row>
    <row r="49" spans="1:29" s="85" customFormat="1" ht="18" customHeight="1" thickBot="1">
      <c r="A49" s="309" t="s">
        <v>315</v>
      </c>
      <c r="B49" s="105"/>
      <c r="C49" s="103"/>
      <c r="D49" s="37">
        <f t="shared" si="12"/>
        <v>0</v>
      </c>
      <c r="E49" s="111"/>
      <c r="F49" s="105"/>
      <c r="G49" s="106">
        <f>+K56</f>
        <v>7743000</v>
      </c>
      <c r="H49" s="37">
        <f t="shared" si="13"/>
        <v>7743000</v>
      </c>
      <c r="I49" s="111"/>
      <c r="J49"/>
      <c r="K49" s="123">
        <f>+F45/L43</f>
        <v>0.9447533632286995</v>
      </c>
      <c r="L49" s="125">
        <f>+(6566795-1575000)/L43</f>
        <v>0.22384730941704037</v>
      </c>
      <c r="M49" s="124">
        <f>+(17767402.04+83322-1690747.04-83772)/L43</f>
        <v>0.7209060538116592</v>
      </c>
      <c r="N49" s="126">
        <f>+B45/L43</f>
        <v>0.05524663677130045</v>
      </c>
      <c r="O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</row>
    <row r="50" spans="1:29" s="85" customFormat="1" ht="21" customHeight="1">
      <c r="A50" s="517" t="s">
        <v>441</v>
      </c>
      <c r="B50" s="105"/>
      <c r="C50" s="103"/>
      <c r="D50" s="37">
        <f t="shared" si="12"/>
        <v>0</v>
      </c>
      <c r="E50" s="111"/>
      <c r="F50" s="105"/>
      <c r="G50" s="106">
        <f>+I79</f>
        <v>38425000</v>
      </c>
      <c r="H50" s="37">
        <f t="shared" si="13"/>
        <v>38425000</v>
      </c>
      <c r="I50" s="111"/>
      <c r="J50"/>
      <c r="K50" s="767">
        <v>2005</v>
      </c>
      <c r="L50" s="768"/>
      <c r="M50" s="768"/>
      <c r="N50" s="769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s="85" customFormat="1" ht="17.25" customHeight="1" thickBot="1">
      <c r="A51" s="75" t="s">
        <v>62</v>
      </c>
      <c r="B51" s="105">
        <f>53143+200000</f>
        <v>253143</v>
      </c>
      <c r="C51" s="103"/>
      <c r="D51" s="37">
        <f t="shared" si="12"/>
        <v>-253143</v>
      </c>
      <c r="E51" s="111"/>
      <c r="F51" s="105"/>
      <c r="G51" s="129"/>
      <c r="H51" s="37">
        <f t="shared" si="13"/>
        <v>0</v>
      </c>
      <c r="I51" s="111"/>
      <c r="J51"/>
      <c r="K51" s="119" t="s">
        <v>52</v>
      </c>
      <c r="L51" s="120" t="s">
        <v>60</v>
      </c>
      <c r="M51" s="121" t="s">
        <v>59</v>
      </c>
      <c r="N51" s="122" t="s">
        <v>61</v>
      </c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</row>
    <row r="52" spans="1:29" s="85" customFormat="1" ht="18.75" customHeight="1" thickBot="1">
      <c r="A52" s="311" t="s">
        <v>64</v>
      </c>
      <c r="B52" s="66">
        <f>SUM(B44:B51)</f>
        <v>3786034.42</v>
      </c>
      <c r="C52" s="132">
        <f>SUM(C44:C51)</f>
        <v>1457000</v>
      </c>
      <c r="D52" s="133">
        <f t="shared" si="12"/>
        <v>-2329034.42</v>
      </c>
      <c r="E52" s="134">
        <f>+C52/B52</f>
        <v>0.384835381396242</v>
      </c>
      <c r="F52" s="66">
        <f>SUM(F44:F51)</f>
        <v>24417069.04</v>
      </c>
      <c r="G52" s="132">
        <f>SUM(G44:G51)</f>
        <v>72238000</v>
      </c>
      <c r="H52" s="133">
        <f t="shared" si="13"/>
        <v>47820930.96</v>
      </c>
      <c r="I52" s="134">
        <f>+G52/F52</f>
        <v>2.958504146491122</v>
      </c>
      <c r="K52" s="123">
        <f>+G45/L44</f>
        <v>1</v>
      </c>
      <c r="L52" s="124">
        <f>+D63/L44</f>
        <v>0.7834520081967213</v>
      </c>
      <c r="M52" s="125">
        <f>+D77/L44</f>
        <v>0.2165479918032787</v>
      </c>
      <c r="N52" s="126">
        <f>+C45/L44</f>
        <v>0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</row>
    <row r="53" spans="1:34" ht="5.25" customHeight="1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14" ht="29.25" customHeight="1">
      <c r="A54" s="884" t="s">
        <v>449</v>
      </c>
      <c r="B54" s="772" t="s">
        <v>65</v>
      </c>
      <c r="C54" s="772"/>
      <c r="D54" s="772" t="s">
        <v>66</v>
      </c>
      <c r="E54" s="730"/>
      <c r="F54" s="772" t="s">
        <v>67</v>
      </c>
      <c r="G54" s="772"/>
      <c r="H54" s="645"/>
      <c r="I54" s="730" t="s">
        <v>80</v>
      </c>
      <c r="J54" s="809"/>
      <c r="K54" s="772" t="s">
        <v>316</v>
      </c>
      <c r="L54" s="772"/>
      <c r="M54" s="772" t="s">
        <v>68</v>
      </c>
      <c r="N54" s="733"/>
    </row>
    <row r="55" spans="1:14" ht="14.25" customHeight="1" thickBot="1">
      <c r="A55" s="737"/>
      <c r="B55" s="808" t="s">
        <v>317</v>
      </c>
      <c r="C55" s="735"/>
      <c r="D55" s="735" t="s">
        <v>70</v>
      </c>
      <c r="E55" s="736"/>
      <c r="F55" s="792" t="s">
        <v>71</v>
      </c>
      <c r="G55" s="792"/>
      <c r="H55" s="478" t="s">
        <v>72</v>
      </c>
      <c r="I55" s="735" t="s">
        <v>318</v>
      </c>
      <c r="J55" s="735"/>
      <c r="K55" s="735" t="s">
        <v>73</v>
      </c>
      <c r="L55" s="735"/>
      <c r="M55" s="735" t="s">
        <v>74</v>
      </c>
      <c r="N55" s="738"/>
    </row>
    <row r="56" spans="1:34" ht="20.25" customHeight="1">
      <c r="A56" s="413" t="s">
        <v>349</v>
      </c>
      <c r="B56" s="819">
        <f>3043438.64-20230+83322-80</f>
        <v>3106450.64</v>
      </c>
      <c r="C56" s="819"/>
      <c r="D56" s="819">
        <f>15051580-H56+B61</f>
        <v>15031810</v>
      </c>
      <c r="E56" s="819"/>
      <c r="F56" s="819"/>
      <c r="G56" s="819"/>
      <c r="H56" s="151">
        <v>40000</v>
      </c>
      <c r="I56" s="819">
        <f>19584920</f>
        <v>19584920</v>
      </c>
      <c r="J56" s="819"/>
      <c r="K56" s="819">
        <v>7743000</v>
      </c>
      <c r="L56" s="819"/>
      <c r="M56" s="819">
        <f aca="true" t="shared" si="14" ref="M56:M62">SUM(B56:K56)</f>
        <v>45506180.64</v>
      </c>
      <c r="N56" s="827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4.25" customHeight="1">
      <c r="A57" s="479" t="s">
        <v>319</v>
      </c>
      <c r="B57" s="948"/>
      <c r="C57" s="948"/>
      <c r="D57" s="948"/>
      <c r="E57" s="948"/>
      <c r="F57" s="948"/>
      <c r="G57" s="948"/>
      <c r="H57" s="480"/>
      <c r="I57" s="948">
        <v>175000</v>
      </c>
      <c r="J57" s="948"/>
      <c r="K57" s="948"/>
      <c r="L57" s="948"/>
      <c r="M57" s="948">
        <f t="shared" si="14"/>
        <v>175000</v>
      </c>
      <c r="N57" s="950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4.25" customHeight="1">
      <c r="A58" s="479" t="s">
        <v>320</v>
      </c>
      <c r="B58" s="948"/>
      <c r="C58" s="948"/>
      <c r="D58" s="948">
        <v>100000</v>
      </c>
      <c r="E58" s="948"/>
      <c r="F58" s="948"/>
      <c r="G58" s="948"/>
      <c r="H58" s="480"/>
      <c r="I58" s="948"/>
      <c r="J58" s="948"/>
      <c r="K58" s="948"/>
      <c r="L58" s="948"/>
      <c r="M58" s="948">
        <f t="shared" si="14"/>
        <v>100000</v>
      </c>
      <c r="N58" s="950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4.25" customHeight="1">
      <c r="A59" s="479" t="s">
        <v>321</v>
      </c>
      <c r="B59" s="948"/>
      <c r="C59" s="948"/>
      <c r="D59" s="948">
        <v>138438</v>
      </c>
      <c r="E59" s="948"/>
      <c r="F59" s="948"/>
      <c r="G59" s="948"/>
      <c r="H59" s="480"/>
      <c r="I59" s="948"/>
      <c r="J59" s="948"/>
      <c r="K59" s="948"/>
      <c r="L59" s="948"/>
      <c r="M59" s="948">
        <f t="shared" si="14"/>
        <v>138438</v>
      </c>
      <c r="N59" s="95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4.25" customHeight="1">
      <c r="A60" s="479" t="s">
        <v>322</v>
      </c>
      <c r="B60" s="948"/>
      <c r="C60" s="948"/>
      <c r="D60" s="948">
        <v>2179031</v>
      </c>
      <c r="E60" s="948"/>
      <c r="F60" s="948"/>
      <c r="G60" s="948"/>
      <c r="H60" s="480"/>
      <c r="I60" s="948"/>
      <c r="J60" s="948"/>
      <c r="K60" s="948"/>
      <c r="L60" s="948"/>
      <c r="M60" s="948">
        <f t="shared" si="14"/>
        <v>2179031</v>
      </c>
      <c r="N60" s="95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4.25" customHeight="1">
      <c r="A61" s="479" t="s">
        <v>323</v>
      </c>
      <c r="B61" s="948">
        <f>20230</f>
        <v>20230</v>
      </c>
      <c r="C61" s="948"/>
      <c r="D61" s="948">
        <v>48460</v>
      </c>
      <c r="E61" s="948"/>
      <c r="F61" s="948"/>
      <c r="G61" s="948"/>
      <c r="H61" s="480"/>
      <c r="I61" s="948"/>
      <c r="J61" s="948"/>
      <c r="K61" s="948"/>
      <c r="L61" s="948"/>
      <c r="M61" s="948">
        <f t="shared" si="14"/>
        <v>68690</v>
      </c>
      <c r="N61" s="950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4.25" customHeight="1" thickBot="1">
      <c r="A62" s="481" t="s">
        <v>324</v>
      </c>
      <c r="B62" s="949"/>
      <c r="C62" s="949"/>
      <c r="D62" s="949">
        <f>4393290-1630000-1900+317100-1500000+H56</f>
        <v>1618490</v>
      </c>
      <c r="E62" s="949"/>
      <c r="F62" s="952">
        <v>1630000</v>
      </c>
      <c r="G62" s="952"/>
      <c r="H62" s="482"/>
      <c r="I62" s="949"/>
      <c r="J62" s="949"/>
      <c r="K62" s="949"/>
      <c r="L62" s="949"/>
      <c r="M62" s="949">
        <f t="shared" si="14"/>
        <v>3248490</v>
      </c>
      <c r="N62" s="951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21" customHeight="1" thickBot="1">
      <c r="A63" s="142" t="s">
        <v>451</v>
      </c>
      <c r="B63" s="726">
        <f>+B56+B61</f>
        <v>3126680.64</v>
      </c>
      <c r="C63" s="726"/>
      <c r="D63" s="726">
        <f>SUM(D56:D62)</f>
        <v>19116229</v>
      </c>
      <c r="E63" s="726"/>
      <c r="F63" s="726">
        <f>SUM(F56:F62)</f>
        <v>1630000</v>
      </c>
      <c r="G63" s="726"/>
      <c r="H63" s="143">
        <f>SUM(H56:H62)</f>
        <v>40000</v>
      </c>
      <c r="I63" s="726">
        <f>SUM(I56:I62)</f>
        <v>19759920</v>
      </c>
      <c r="J63" s="726"/>
      <c r="K63" s="726">
        <f>SUM(K56:K62)</f>
        <v>7743000</v>
      </c>
      <c r="L63" s="726"/>
      <c r="M63" s="726">
        <f>+M56+M57+M58+M59+M60+M61+M62</f>
        <v>51415829.64</v>
      </c>
      <c r="N63" s="72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ht="3.75" customHeight="1" thickBot="1"/>
    <row r="65" spans="1:14" ht="30.75" customHeight="1">
      <c r="A65" s="884" t="s">
        <v>450</v>
      </c>
      <c r="B65" s="772" t="s">
        <v>65</v>
      </c>
      <c r="C65" s="772"/>
      <c r="D65" s="772" t="s">
        <v>66</v>
      </c>
      <c r="E65" s="730"/>
      <c r="F65" s="730" t="s">
        <v>67</v>
      </c>
      <c r="G65" s="731"/>
      <c r="H65" s="904"/>
      <c r="I65" s="809" t="s">
        <v>80</v>
      </c>
      <c r="J65" s="772"/>
      <c r="K65" s="772" t="s">
        <v>325</v>
      </c>
      <c r="L65" s="772"/>
      <c r="M65" s="772" t="s">
        <v>81</v>
      </c>
      <c r="N65" s="733"/>
    </row>
    <row r="66" spans="1:14" ht="12" customHeight="1" thickBot="1">
      <c r="A66" s="737" t="s">
        <v>82</v>
      </c>
      <c r="B66" s="808" t="s">
        <v>317</v>
      </c>
      <c r="C66" s="735"/>
      <c r="D66" s="735" t="s">
        <v>70</v>
      </c>
      <c r="E66" s="736"/>
      <c r="F66" s="734" t="s">
        <v>83</v>
      </c>
      <c r="G66" s="735"/>
      <c r="H66" s="478" t="s">
        <v>72</v>
      </c>
      <c r="I66" s="735" t="s">
        <v>318</v>
      </c>
      <c r="J66" s="735"/>
      <c r="K66" s="735" t="s">
        <v>73</v>
      </c>
      <c r="L66" s="735"/>
      <c r="M66" s="735" t="s">
        <v>74</v>
      </c>
      <c r="N66" s="738"/>
    </row>
    <row r="67" spans="1:14" ht="20.25" customHeight="1">
      <c r="A67" s="483" t="s">
        <v>350</v>
      </c>
      <c r="B67" s="891"/>
      <c r="C67" s="819"/>
      <c r="D67" s="819"/>
      <c r="E67" s="819"/>
      <c r="F67" s="819"/>
      <c r="G67" s="819"/>
      <c r="H67" s="484"/>
      <c r="I67" s="819">
        <f>19647451-982371</f>
        <v>18665080</v>
      </c>
      <c r="J67" s="819"/>
      <c r="K67" s="819"/>
      <c r="L67" s="819"/>
      <c r="M67" s="819">
        <f aca="true" t="shared" si="15" ref="M67:M76">SUM(B67:L67)</f>
        <v>18665080</v>
      </c>
      <c r="N67" s="827"/>
    </row>
    <row r="68" spans="1:14" ht="17.25" customHeight="1">
      <c r="A68" s="479" t="s">
        <v>326</v>
      </c>
      <c r="B68" s="891"/>
      <c r="C68" s="819"/>
      <c r="D68" s="819">
        <v>664411.5</v>
      </c>
      <c r="E68" s="819"/>
      <c r="F68" s="819"/>
      <c r="G68" s="819"/>
      <c r="H68" s="480"/>
      <c r="I68" s="819"/>
      <c r="J68" s="819"/>
      <c r="K68" s="819"/>
      <c r="L68" s="819"/>
      <c r="M68" s="819">
        <f t="shared" si="15"/>
        <v>664411.5</v>
      </c>
      <c r="N68" s="827"/>
    </row>
    <row r="69" spans="1:14" ht="14.25" customHeight="1">
      <c r="A69" s="479" t="s">
        <v>327</v>
      </c>
      <c r="B69" s="891">
        <v>1459080</v>
      </c>
      <c r="C69" s="819"/>
      <c r="D69" s="819">
        <f>1900+638820</f>
        <v>640720</v>
      </c>
      <c r="E69" s="819"/>
      <c r="F69" s="819"/>
      <c r="G69" s="819"/>
      <c r="H69" s="480"/>
      <c r="I69" s="819"/>
      <c r="J69" s="819"/>
      <c r="K69" s="819"/>
      <c r="L69" s="819"/>
      <c r="M69" s="819">
        <f t="shared" si="15"/>
        <v>2099800</v>
      </c>
      <c r="N69" s="827"/>
    </row>
    <row r="70" spans="1:14" ht="14.25" customHeight="1">
      <c r="A70" s="479" t="s">
        <v>328</v>
      </c>
      <c r="B70" s="891"/>
      <c r="C70" s="819"/>
      <c r="D70" s="819">
        <v>1000</v>
      </c>
      <c r="E70" s="819"/>
      <c r="F70" s="819"/>
      <c r="G70" s="819"/>
      <c r="H70" s="480"/>
      <c r="I70" s="819"/>
      <c r="J70" s="819"/>
      <c r="K70" s="819"/>
      <c r="L70" s="819"/>
      <c r="M70" s="819">
        <f t="shared" si="15"/>
        <v>1000</v>
      </c>
      <c r="N70" s="827"/>
    </row>
    <row r="71" spans="1:14" ht="15.75" customHeight="1">
      <c r="A71" s="479" t="s">
        <v>329</v>
      </c>
      <c r="B71" s="891">
        <v>656716</v>
      </c>
      <c r="C71" s="819"/>
      <c r="D71" s="819"/>
      <c r="E71" s="819"/>
      <c r="F71" s="819"/>
      <c r="G71" s="819"/>
      <c r="H71" s="480"/>
      <c r="I71" s="819"/>
      <c r="J71" s="819"/>
      <c r="K71" s="819"/>
      <c r="L71" s="819"/>
      <c r="M71" s="819">
        <f t="shared" si="15"/>
        <v>656716</v>
      </c>
      <c r="N71" s="827"/>
    </row>
    <row r="72" spans="1:14" ht="14.25" customHeight="1">
      <c r="A72" s="479" t="s">
        <v>330</v>
      </c>
      <c r="B72" s="891"/>
      <c r="C72" s="819"/>
      <c r="D72" s="819">
        <v>1000</v>
      </c>
      <c r="E72" s="819"/>
      <c r="F72" s="819"/>
      <c r="G72" s="819"/>
      <c r="H72" s="480"/>
      <c r="I72" s="819"/>
      <c r="J72" s="819"/>
      <c r="K72" s="819"/>
      <c r="L72" s="819"/>
      <c r="M72" s="819">
        <f t="shared" si="15"/>
        <v>1000</v>
      </c>
      <c r="N72" s="827"/>
    </row>
    <row r="73" spans="1:14" ht="17.25" customHeight="1">
      <c r="A73" s="479" t="s">
        <v>331</v>
      </c>
      <c r="B73" s="891"/>
      <c r="C73" s="819"/>
      <c r="D73" s="819">
        <v>300000</v>
      </c>
      <c r="E73" s="819"/>
      <c r="F73" s="819"/>
      <c r="G73" s="819"/>
      <c r="H73" s="480"/>
      <c r="I73" s="819"/>
      <c r="J73" s="819"/>
      <c r="K73" s="819"/>
      <c r="L73" s="819"/>
      <c r="M73" s="819">
        <f t="shared" si="15"/>
        <v>300000</v>
      </c>
      <c r="N73" s="827"/>
    </row>
    <row r="74" spans="1:14" ht="17.25" customHeight="1">
      <c r="A74" s="479" t="s">
        <v>332</v>
      </c>
      <c r="B74" s="891"/>
      <c r="C74" s="819"/>
      <c r="D74" s="819">
        <v>100000</v>
      </c>
      <c r="E74" s="819"/>
      <c r="F74" s="819"/>
      <c r="G74" s="819"/>
      <c r="H74" s="480"/>
      <c r="I74" s="819"/>
      <c r="J74" s="819"/>
      <c r="K74" s="819"/>
      <c r="L74" s="819"/>
      <c r="M74" s="819">
        <f t="shared" si="15"/>
        <v>100000</v>
      </c>
      <c r="N74" s="827"/>
    </row>
    <row r="75" spans="1:14" ht="17.25" customHeight="1">
      <c r="A75" s="479" t="s">
        <v>452</v>
      </c>
      <c r="B75" s="891"/>
      <c r="C75" s="819"/>
      <c r="D75" s="819">
        <v>146418</v>
      </c>
      <c r="E75" s="819"/>
      <c r="F75" s="819"/>
      <c r="G75" s="819"/>
      <c r="H75" s="480"/>
      <c r="I75" s="819"/>
      <c r="J75" s="819"/>
      <c r="K75" s="819"/>
      <c r="L75" s="819"/>
      <c r="M75" s="819">
        <f>SUM(B75:L75)</f>
        <v>146418</v>
      </c>
      <c r="N75" s="827"/>
    </row>
    <row r="76" spans="1:14" ht="15.75" customHeight="1" thickBot="1">
      <c r="A76" s="479" t="s">
        <v>333</v>
      </c>
      <c r="B76" s="891"/>
      <c r="C76" s="819"/>
      <c r="D76" s="819">
        <f>3576639.5-146418</f>
        <v>3430221.5</v>
      </c>
      <c r="E76" s="819"/>
      <c r="F76" s="819"/>
      <c r="G76" s="819"/>
      <c r="H76" s="480"/>
      <c r="I76" s="819"/>
      <c r="J76" s="819"/>
      <c r="K76" s="819"/>
      <c r="L76" s="819"/>
      <c r="M76" s="819">
        <f t="shared" si="15"/>
        <v>3430221.5</v>
      </c>
      <c r="N76" s="827"/>
    </row>
    <row r="77" spans="1:14" s="319" customFormat="1" ht="15.75" customHeight="1" thickBot="1">
      <c r="A77" s="142" t="s">
        <v>446</v>
      </c>
      <c r="B77" s="810">
        <f>+B71+B69</f>
        <v>2115796</v>
      </c>
      <c r="C77" s="726"/>
      <c r="D77" s="726">
        <f>SUM(D67:E76)</f>
        <v>5283771</v>
      </c>
      <c r="E77" s="726"/>
      <c r="F77" s="726">
        <f>SUM(F67:F74)</f>
        <v>0</v>
      </c>
      <c r="G77" s="726"/>
      <c r="H77" s="485">
        <f>SUM(H67:H74)</f>
        <v>0</v>
      </c>
      <c r="I77" s="726">
        <f>SUM(I67:I74)</f>
        <v>18665080</v>
      </c>
      <c r="J77" s="726"/>
      <c r="K77" s="726">
        <f>SUM(K67:K74)</f>
        <v>0</v>
      </c>
      <c r="L77" s="726"/>
      <c r="M77" s="726">
        <f>+M67+M68+M69+M71+M73+M74+M76+M70+M72</f>
        <v>25918229</v>
      </c>
      <c r="N77" s="729"/>
    </row>
    <row r="78" ht="3.75" customHeight="1" thickBot="1">
      <c r="H78"/>
    </row>
    <row r="79" spans="1:14" s="486" customFormat="1" ht="13.5" customHeight="1" thickBot="1">
      <c r="A79" s="147" t="s">
        <v>95</v>
      </c>
      <c r="B79" s="726">
        <f>+B77+B63</f>
        <v>5242476.640000001</v>
      </c>
      <c r="C79" s="726"/>
      <c r="D79" s="810">
        <f>+D77+D63</f>
        <v>24400000</v>
      </c>
      <c r="E79" s="727"/>
      <c r="F79" s="726">
        <f>+F77+F63</f>
        <v>1630000</v>
      </c>
      <c r="G79" s="726"/>
      <c r="H79" s="143">
        <f>+H77+H63</f>
        <v>40000</v>
      </c>
      <c r="I79" s="810">
        <f>+I77+I63</f>
        <v>38425000</v>
      </c>
      <c r="J79" s="727"/>
      <c r="K79" s="726">
        <f>+K77+K63</f>
        <v>7743000</v>
      </c>
      <c r="L79" s="726"/>
      <c r="M79" s="810">
        <f>+M77+M63</f>
        <v>77334058.64</v>
      </c>
      <c r="N79" s="729"/>
    </row>
    <row r="80" ht="3.75" customHeight="1"/>
    <row r="81" ht="3.75" customHeight="1" thickBot="1"/>
    <row r="82" spans="1:34" ht="24" customHeight="1" thickBot="1">
      <c r="A82" s="919" t="s">
        <v>334</v>
      </c>
      <c r="B82" s="920"/>
      <c r="C82" s="921"/>
      <c r="D82" s="913" t="s">
        <v>335</v>
      </c>
      <c r="E82" s="914"/>
      <c r="G82"/>
      <c r="H82"/>
      <c r="I82"/>
      <c r="J82"/>
      <c r="K82"/>
      <c r="L82"/>
      <c r="M82"/>
      <c r="N82" s="1"/>
      <c r="AE82"/>
      <c r="AF82"/>
      <c r="AG82"/>
      <c r="AH82"/>
    </row>
    <row r="83" spans="1:34" ht="14.25" customHeight="1">
      <c r="A83" s="922" t="s">
        <v>336</v>
      </c>
      <c r="B83" s="923"/>
      <c r="C83" s="923"/>
      <c r="D83" s="907">
        <v>600</v>
      </c>
      <c r="E83" s="908"/>
      <c r="G83"/>
      <c r="H83"/>
      <c r="I83"/>
      <c r="J83"/>
      <c r="K83"/>
      <c r="L83"/>
      <c r="M83"/>
      <c r="N83" s="1"/>
      <c r="AE83"/>
      <c r="AF83"/>
      <c r="AG83"/>
      <c r="AH83"/>
    </row>
    <row r="84" spans="1:34" ht="14.25" customHeight="1">
      <c r="A84" s="899" t="s">
        <v>337</v>
      </c>
      <c r="B84" s="900"/>
      <c r="C84" s="900"/>
      <c r="D84" s="915">
        <v>600</v>
      </c>
      <c r="E84" s="916"/>
      <c r="G84"/>
      <c r="H84"/>
      <c r="I84"/>
      <c r="J84"/>
      <c r="K84"/>
      <c r="L84"/>
      <c r="M84"/>
      <c r="N84" s="1"/>
      <c r="AE84"/>
      <c r="AF84"/>
      <c r="AG84"/>
      <c r="AH84"/>
    </row>
    <row r="85" spans="1:34" ht="14.25" customHeight="1">
      <c r="A85" s="899" t="s">
        <v>338</v>
      </c>
      <c r="B85" s="900"/>
      <c r="C85" s="900"/>
      <c r="D85" s="915">
        <v>500</v>
      </c>
      <c r="E85" s="916"/>
      <c r="G85"/>
      <c r="H85"/>
      <c r="I85"/>
      <c r="J85"/>
      <c r="K85"/>
      <c r="L85"/>
      <c r="M85"/>
      <c r="N85" s="1"/>
      <c r="AE85"/>
      <c r="AF85"/>
      <c r="AG85"/>
      <c r="AH85"/>
    </row>
    <row r="86" spans="1:34" ht="14.25" customHeight="1">
      <c r="A86" s="899" t="s">
        <v>339</v>
      </c>
      <c r="B86" s="900"/>
      <c r="C86" s="900"/>
      <c r="D86" s="915">
        <v>400</v>
      </c>
      <c r="E86" s="916"/>
      <c r="G86"/>
      <c r="H86"/>
      <c r="I86"/>
      <c r="J86"/>
      <c r="K86"/>
      <c r="L86"/>
      <c r="M86"/>
      <c r="N86" s="1"/>
      <c r="AE86"/>
      <c r="AF86"/>
      <c r="AG86"/>
      <c r="AH86"/>
    </row>
    <row r="87" spans="1:5" ht="14.25" customHeight="1">
      <c r="A87" s="899" t="s">
        <v>340</v>
      </c>
      <c r="B87" s="900"/>
      <c r="C87" s="900"/>
      <c r="D87" s="915">
        <v>30</v>
      </c>
      <c r="E87" s="916"/>
    </row>
    <row r="88" spans="1:5" ht="14.25" customHeight="1">
      <c r="A88" s="899" t="s">
        <v>341</v>
      </c>
      <c r="B88" s="900"/>
      <c r="C88" s="900"/>
      <c r="D88" s="915">
        <v>70</v>
      </c>
      <c r="E88" s="916"/>
    </row>
    <row r="89" spans="1:5" ht="14.25" customHeight="1">
      <c r="A89" s="899" t="s">
        <v>342</v>
      </c>
      <c r="B89" s="900"/>
      <c r="C89" s="900"/>
      <c r="D89" s="915">
        <v>200</v>
      </c>
      <c r="E89" s="916"/>
    </row>
    <row r="90" spans="1:5" ht="14.25" customHeight="1" thickBot="1">
      <c r="A90" s="917" t="s">
        <v>343</v>
      </c>
      <c r="B90" s="918"/>
      <c r="C90" s="918"/>
      <c r="D90" s="942">
        <v>300</v>
      </c>
      <c r="E90" s="943"/>
    </row>
    <row r="91" spans="1:34" s="85" customFormat="1" ht="14.25" customHeight="1" thickBot="1">
      <c r="A91" s="640" t="s">
        <v>10</v>
      </c>
      <c r="B91" s="642"/>
      <c r="C91" s="642"/>
      <c r="D91" s="905">
        <f>SUM(D83:D90)</f>
        <v>2700</v>
      </c>
      <c r="E91" s="906"/>
      <c r="F91" s="84"/>
      <c r="G91" s="84"/>
      <c r="H91" s="84"/>
      <c r="I91" s="84"/>
      <c r="J91" s="84"/>
      <c r="K91" s="84"/>
      <c r="L91" s="84"/>
      <c r="M91" s="84"/>
      <c r="N91" s="84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</row>
    <row r="92" ht="3.75" customHeight="1"/>
    <row r="93" ht="3.75" customHeight="1" thickBot="1"/>
    <row r="94" spans="1:9" ht="17.25" customHeight="1">
      <c r="A94" s="762" t="s">
        <v>119</v>
      </c>
      <c r="B94" s="935" t="s">
        <v>308</v>
      </c>
      <c r="C94" s="757" t="s">
        <v>309</v>
      </c>
      <c r="D94" s="758"/>
      <c r="E94" s="758"/>
      <c r="F94" s="758"/>
      <c r="G94" s="758"/>
      <c r="H94" s="759"/>
      <c r="I94" s="754" t="s">
        <v>344</v>
      </c>
    </row>
    <row r="95" spans="1:9" ht="17.25" customHeight="1">
      <c r="A95" s="763"/>
      <c r="B95" s="936"/>
      <c r="C95" s="938" t="s">
        <v>52</v>
      </c>
      <c r="D95" s="940" t="s">
        <v>123</v>
      </c>
      <c r="E95" s="941"/>
      <c r="F95" s="941"/>
      <c r="G95" s="941"/>
      <c r="H95" s="941"/>
      <c r="I95" s="755"/>
    </row>
    <row r="96" spans="1:9" ht="9.75" customHeight="1" thickBot="1">
      <c r="A96" s="764"/>
      <c r="B96" s="937"/>
      <c r="C96" s="939"/>
      <c r="D96" s="487">
        <v>1</v>
      </c>
      <c r="E96" s="487">
        <v>2</v>
      </c>
      <c r="F96" s="487">
        <v>3</v>
      </c>
      <c r="G96" s="487">
        <v>4</v>
      </c>
      <c r="H96" s="488">
        <v>5</v>
      </c>
      <c r="I96" s="756"/>
    </row>
    <row r="97" spans="1:9" s="141" customFormat="1" ht="12" thickBot="1">
      <c r="A97" s="489">
        <v>93112</v>
      </c>
      <c r="B97" s="165">
        <v>13182</v>
      </c>
      <c r="C97" s="165">
        <f>SUM(D97:H97)</f>
        <v>2998</v>
      </c>
      <c r="D97" s="165">
        <v>1422</v>
      </c>
      <c r="E97" s="165">
        <v>1254</v>
      </c>
      <c r="F97" s="165"/>
      <c r="G97" s="165"/>
      <c r="H97" s="165">
        <v>322</v>
      </c>
      <c r="I97" s="167">
        <f>SUM(A97-B97-C97)</f>
        <v>76932</v>
      </c>
    </row>
    <row r="98" ht="6" customHeight="1" thickBot="1"/>
    <row r="99" spans="1:12" ht="12.75">
      <c r="A99" s="719" t="s">
        <v>124</v>
      </c>
      <c r="B99" s="822" t="s">
        <v>125</v>
      </c>
      <c r="C99" s="722" t="s">
        <v>126</v>
      </c>
      <c r="D99" s="723"/>
      <c r="E99" s="723"/>
      <c r="F99" s="724"/>
      <c r="G99" s="721" t="s">
        <v>127</v>
      </c>
      <c r="H99" s="836" t="s">
        <v>128</v>
      </c>
      <c r="I99" s="716" t="s">
        <v>345</v>
      </c>
      <c r="J99" s="833"/>
      <c r="K99" s="833"/>
      <c r="L99" s="834"/>
    </row>
    <row r="100" spans="1:12" ht="18.75" thickBot="1">
      <c r="A100" s="818"/>
      <c r="B100" s="823"/>
      <c r="C100" s="168" t="s">
        <v>130</v>
      </c>
      <c r="D100" s="169" t="s">
        <v>131</v>
      </c>
      <c r="E100" s="169" t="s">
        <v>132</v>
      </c>
      <c r="F100" s="170" t="s">
        <v>133</v>
      </c>
      <c r="G100" s="835"/>
      <c r="H100" s="837"/>
      <c r="I100" s="168" t="s">
        <v>134</v>
      </c>
      <c r="J100" s="169" t="s">
        <v>131</v>
      </c>
      <c r="K100" s="169" t="s">
        <v>132</v>
      </c>
      <c r="L100" s="170" t="s">
        <v>135</v>
      </c>
    </row>
    <row r="101" spans="1:12" ht="12.75">
      <c r="A101" s="331" t="s">
        <v>136</v>
      </c>
      <c r="B101" s="174">
        <v>22404.17</v>
      </c>
      <c r="C101" s="332"/>
      <c r="D101" s="176"/>
      <c r="E101" s="176"/>
      <c r="F101" s="182" t="s">
        <v>137</v>
      </c>
      <c r="G101" s="179">
        <v>28590.2</v>
      </c>
      <c r="H101" s="180" t="s">
        <v>137</v>
      </c>
      <c r="I101" s="332" t="s">
        <v>137</v>
      </c>
      <c r="J101" s="176" t="s">
        <v>137</v>
      </c>
      <c r="K101" s="176" t="s">
        <v>137</v>
      </c>
      <c r="L101" s="182" t="s">
        <v>137</v>
      </c>
    </row>
    <row r="102" spans="1:12" ht="12.75">
      <c r="A102" s="333" t="s">
        <v>138</v>
      </c>
      <c r="B102" s="184">
        <v>0</v>
      </c>
      <c r="C102" s="185">
        <v>1404</v>
      </c>
      <c r="D102" s="186">
        <v>0</v>
      </c>
      <c r="E102" s="186">
        <v>0</v>
      </c>
      <c r="F102" s="187">
        <f>+C102+D102-E102</f>
        <v>1404</v>
      </c>
      <c r="G102" s="188">
        <v>0</v>
      </c>
      <c r="H102" s="189">
        <f>+G102-F102</f>
        <v>-1404</v>
      </c>
      <c r="I102" s="185">
        <f>+F102</f>
        <v>1404</v>
      </c>
      <c r="J102" s="186">
        <v>0</v>
      </c>
      <c r="K102" s="186">
        <v>0</v>
      </c>
      <c r="L102" s="187">
        <f>+I102+J102-K102</f>
        <v>1404</v>
      </c>
    </row>
    <row r="103" spans="1:12" ht="12.75">
      <c r="A103" s="333" t="s">
        <v>139</v>
      </c>
      <c r="B103" s="184">
        <v>0</v>
      </c>
      <c r="C103" s="185">
        <v>242</v>
      </c>
      <c r="D103" s="186">
        <v>272</v>
      </c>
      <c r="E103" s="186">
        <v>307</v>
      </c>
      <c r="F103" s="187">
        <f>+C103+D103-E103</f>
        <v>207</v>
      </c>
      <c r="G103" s="188">
        <v>0</v>
      </c>
      <c r="H103" s="189">
        <f>+G103-F103</f>
        <v>-207</v>
      </c>
      <c r="I103" s="185">
        <f>+F103</f>
        <v>207</v>
      </c>
      <c r="J103" s="186">
        <v>400</v>
      </c>
      <c r="K103" s="186">
        <v>500</v>
      </c>
      <c r="L103" s="187">
        <f>+I103+J103-K103</f>
        <v>107</v>
      </c>
    </row>
    <row r="104" spans="1:12" ht="12.75">
      <c r="A104" s="333" t="s">
        <v>140</v>
      </c>
      <c r="B104" s="184">
        <f>+B101-B102-B103</f>
        <v>22404.17</v>
      </c>
      <c r="C104" s="175"/>
      <c r="D104" s="176"/>
      <c r="E104" s="177"/>
      <c r="F104" s="178" t="s">
        <v>137</v>
      </c>
      <c r="G104" s="188">
        <f>+G101-G102-G103</f>
        <v>28590.2</v>
      </c>
      <c r="H104" s="490" t="s">
        <v>137</v>
      </c>
      <c r="I104" s="332" t="s">
        <v>137</v>
      </c>
      <c r="J104" s="176" t="s">
        <v>137</v>
      </c>
      <c r="K104" s="176" t="s">
        <v>137</v>
      </c>
      <c r="L104" s="178" t="s">
        <v>137</v>
      </c>
    </row>
    <row r="105" spans="1:12" ht="12.75">
      <c r="A105" s="333" t="s">
        <v>141</v>
      </c>
      <c r="B105" s="184">
        <v>0</v>
      </c>
      <c r="C105" s="185">
        <v>33673</v>
      </c>
      <c r="D105" s="186">
        <v>29842</v>
      </c>
      <c r="E105" s="186">
        <v>19511</v>
      </c>
      <c r="F105" s="187">
        <f>+C105+D105-E105</f>
        <v>44004</v>
      </c>
      <c r="G105" s="188">
        <v>0</v>
      </c>
      <c r="H105" s="189">
        <f>+G105-F105</f>
        <v>-44004</v>
      </c>
      <c r="I105" s="491">
        <f>+F105</f>
        <v>44004</v>
      </c>
      <c r="J105" s="191">
        <v>75636</v>
      </c>
      <c r="K105" s="191">
        <v>77880</v>
      </c>
      <c r="L105" s="187">
        <f>+I105+J105-K105</f>
        <v>41760</v>
      </c>
    </row>
    <row r="106" spans="1:12" ht="13.5" thickBot="1">
      <c r="A106" s="335" t="s">
        <v>142</v>
      </c>
      <c r="B106" s="193">
        <v>2569.45</v>
      </c>
      <c r="C106" s="194">
        <v>3117</v>
      </c>
      <c r="D106" s="195">
        <v>3812</v>
      </c>
      <c r="E106" s="195">
        <v>4075</v>
      </c>
      <c r="F106" s="196">
        <f>+C106+D106-E106</f>
        <v>2854</v>
      </c>
      <c r="G106" s="197">
        <v>2412.33</v>
      </c>
      <c r="H106" s="198">
        <f>+G106-F106</f>
        <v>-441.6700000000001</v>
      </c>
      <c r="I106" s="194">
        <f>+F106</f>
        <v>2854</v>
      </c>
      <c r="J106" s="195">
        <v>3919</v>
      </c>
      <c r="K106" s="195">
        <v>3848</v>
      </c>
      <c r="L106" s="196">
        <f>+I106+J106-K106</f>
        <v>2925</v>
      </c>
    </row>
    <row r="107" spans="1:12" ht="5.25" customHeight="1" thickBot="1">
      <c r="A107" s="336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</row>
    <row r="108" spans="1:9" s="86" customFormat="1" ht="19.5" customHeight="1" thickBot="1">
      <c r="A108" s="416" t="s">
        <v>143</v>
      </c>
      <c r="B108" s="417">
        <v>2004</v>
      </c>
      <c r="C108" s="418">
        <v>2005</v>
      </c>
      <c r="E108" s="872" t="s">
        <v>144</v>
      </c>
      <c r="F108" s="873"/>
      <c r="G108" s="873"/>
      <c r="H108" s="417">
        <v>2004</v>
      </c>
      <c r="I108" s="418">
        <v>2005</v>
      </c>
    </row>
    <row r="109" spans="1:34" ht="12.75">
      <c r="A109" s="202" t="s">
        <v>145</v>
      </c>
      <c r="B109" s="203">
        <f>+C105</f>
        <v>33673</v>
      </c>
      <c r="C109" s="204">
        <f>+B119</f>
        <v>44004.3</v>
      </c>
      <c r="D109" s="2"/>
      <c r="E109" s="676" t="s">
        <v>146</v>
      </c>
      <c r="F109" s="677"/>
      <c r="G109" s="678"/>
      <c r="H109" s="203">
        <f>+C103</f>
        <v>242</v>
      </c>
      <c r="I109" s="204">
        <f>+H119</f>
        <v>207</v>
      </c>
      <c r="J109" s="1"/>
      <c r="K109" s="1"/>
      <c r="L109" s="1"/>
      <c r="M109" s="1"/>
      <c r="N109" s="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 s="205" t="s">
        <v>131</v>
      </c>
      <c r="B110" s="186">
        <f>+B111+B112+B113+B114+B115+1781</f>
        <v>29842</v>
      </c>
      <c r="C110" s="187">
        <f>+C111+C112+C114+C115</f>
        <v>75636</v>
      </c>
      <c r="D110" s="2"/>
      <c r="E110" s="703" t="s">
        <v>131</v>
      </c>
      <c r="F110" s="680"/>
      <c r="G110" s="681"/>
      <c r="H110" s="186">
        <f>+H111+H112</f>
        <v>272</v>
      </c>
      <c r="I110" s="187">
        <f>+I111+I112</f>
        <v>400</v>
      </c>
      <c r="J110" s="1"/>
      <c r="K110" s="1"/>
      <c r="L110" s="1"/>
      <c r="M110" s="1"/>
      <c r="N110" s="1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 s="205" t="s">
        <v>147</v>
      </c>
      <c r="B111" s="186">
        <v>3360</v>
      </c>
      <c r="C111" s="187">
        <v>2998</v>
      </c>
      <c r="D111" s="2"/>
      <c r="E111" s="703" t="s">
        <v>148</v>
      </c>
      <c r="F111" s="680"/>
      <c r="G111" s="681"/>
      <c r="H111" s="186"/>
      <c r="I111" s="187"/>
      <c r="J111" s="1"/>
      <c r="K111" s="1"/>
      <c r="L111" s="1"/>
      <c r="M111" s="1"/>
      <c r="N111" s="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 s="205" t="s">
        <v>149</v>
      </c>
      <c r="B112" s="186">
        <v>24417</v>
      </c>
      <c r="C112" s="187">
        <v>72238</v>
      </c>
      <c r="D112" s="2"/>
      <c r="E112" s="703" t="s">
        <v>150</v>
      </c>
      <c r="F112" s="680"/>
      <c r="G112" s="681"/>
      <c r="H112" s="186">
        <v>272</v>
      </c>
      <c r="I112" s="187">
        <v>400</v>
      </c>
      <c r="J112" s="1"/>
      <c r="K112" s="1"/>
      <c r="L112" s="1"/>
      <c r="M112" s="1"/>
      <c r="N112" s="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 s="205" t="s">
        <v>151</v>
      </c>
      <c r="B113" s="186"/>
      <c r="C113" s="187"/>
      <c r="D113" s="2"/>
      <c r="E113" s="703"/>
      <c r="F113" s="680"/>
      <c r="G113" s="681"/>
      <c r="H113" s="186"/>
      <c r="I113" s="187"/>
      <c r="J113" s="1"/>
      <c r="K113" s="1"/>
      <c r="L113" s="1"/>
      <c r="M113" s="1"/>
      <c r="N113" s="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 s="205" t="s">
        <v>150</v>
      </c>
      <c r="B114" s="186">
        <v>244</v>
      </c>
      <c r="C114" s="187">
        <v>200</v>
      </c>
      <c r="D114" s="2"/>
      <c r="E114" s="703"/>
      <c r="F114" s="680"/>
      <c r="G114" s="681"/>
      <c r="H114" s="186"/>
      <c r="I114" s="187"/>
      <c r="J114" s="1"/>
      <c r="K114" s="1"/>
      <c r="L114" s="1"/>
      <c r="M114" s="1"/>
      <c r="N114" s="1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 s="209" t="s">
        <v>152</v>
      </c>
      <c r="B115" s="186">
        <v>40</v>
      </c>
      <c r="C115" s="187">
        <v>200</v>
      </c>
      <c r="D115" s="2"/>
      <c r="E115" s="206" t="s">
        <v>132</v>
      </c>
      <c r="F115" s="207"/>
      <c r="G115" s="208"/>
      <c r="H115" s="186">
        <f>+H116+H117+H118</f>
        <v>614</v>
      </c>
      <c r="I115" s="187">
        <f>+I116+I117+I118</f>
        <v>500</v>
      </c>
      <c r="J115" s="1"/>
      <c r="K115" s="1"/>
      <c r="L115" s="1"/>
      <c r="M115" s="1"/>
      <c r="N115" s="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 s="205" t="s">
        <v>132</v>
      </c>
      <c r="B116" s="186">
        <f>+B117+B118</f>
        <v>19510.7</v>
      </c>
      <c r="C116" s="187">
        <f>+C117+C118</f>
        <v>77881</v>
      </c>
      <c r="D116" s="2"/>
      <c r="E116" s="206" t="s">
        <v>153</v>
      </c>
      <c r="F116" s="207"/>
      <c r="G116" s="208"/>
      <c r="H116" s="186">
        <f>+H117+H118</f>
        <v>307</v>
      </c>
      <c r="I116" s="187">
        <v>300</v>
      </c>
      <c r="J116" s="1"/>
      <c r="K116" s="1"/>
      <c r="L116" s="1"/>
      <c r="M116" s="1"/>
      <c r="N116" s="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 s="205" t="s">
        <v>154</v>
      </c>
      <c r="B117" s="186">
        <v>12944</v>
      </c>
      <c r="C117" s="187">
        <v>26465</v>
      </c>
      <c r="D117" s="2"/>
      <c r="E117" s="703" t="s">
        <v>155</v>
      </c>
      <c r="F117" s="680"/>
      <c r="G117" s="681"/>
      <c r="H117" s="186">
        <v>267</v>
      </c>
      <c r="I117" s="187"/>
      <c r="J117" s="1"/>
      <c r="K117" s="1"/>
      <c r="L117" s="1"/>
      <c r="M117" s="1"/>
      <c r="N117" s="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 s="205" t="s">
        <v>156</v>
      </c>
      <c r="B118" s="186">
        <v>6566.7</v>
      </c>
      <c r="C118" s="187">
        <v>51416</v>
      </c>
      <c r="D118" s="2"/>
      <c r="E118" s="703" t="s">
        <v>346</v>
      </c>
      <c r="F118" s="680"/>
      <c r="G118" s="681"/>
      <c r="H118" s="186">
        <v>40</v>
      </c>
      <c r="I118" s="187">
        <v>200</v>
      </c>
      <c r="J118" s="1"/>
      <c r="K118" s="1"/>
      <c r="L118" s="1"/>
      <c r="M118" s="1"/>
      <c r="N118" s="1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3.5" thickBot="1">
      <c r="A119" s="210" t="s">
        <v>158</v>
      </c>
      <c r="B119" s="195">
        <f>+B109+B110-B116</f>
        <v>44004.3</v>
      </c>
      <c r="C119" s="196">
        <f>+C109+C110-C116</f>
        <v>41759.3</v>
      </c>
      <c r="D119" s="2"/>
      <c r="E119" s="682" t="s">
        <v>158</v>
      </c>
      <c r="F119" s="683"/>
      <c r="G119" s="673"/>
      <c r="H119" s="195">
        <f>+H109+H110-H116</f>
        <v>207</v>
      </c>
      <c r="I119" s="196">
        <f>+I109+I110-I115</f>
        <v>107</v>
      </c>
      <c r="J119" s="1"/>
      <c r="K119" s="1"/>
      <c r="L119" s="1"/>
      <c r="M119" s="1"/>
      <c r="N119" s="1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12" ht="29.25" customHeight="1" thickBot="1">
      <c r="A120" s="211" t="s">
        <v>159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</row>
    <row r="121" spans="1:34" ht="12.75">
      <c r="A121" s="924" t="s">
        <v>160</v>
      </c>
      <c r="B121" s="926" t="s">
        <v>10</v>
      </c>
      <c r="C121" s="928" t="s">
        <v>161</v>
      </c>
      <c r="D121" s="714"/>
      <c r="E121" s="714"/>
      <c r="F121" s="714"/>
      <c r="G121" s="714"/>
      <c r="H121" s="715"/>
      <c r="I121" s="212"/>
      <c r="M121" s="1"/>
      <c r="N121" s="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 s="925"/>
      <c r="B122" s="927"/>
      <c r="C122" s="492" t="s">
        <v>162</v>
      </c>
      <c r="D122" s="493" t="s">
        <v>163</v>
      </c>
      <c r="E122" s="493" t="s">
        <v>164</v>
      </c>
      <c r="F122" s="493" t="s">
        <v>165</v>
      </c>
      <c r="G122" s="494" t="s">
        <v>166</v>
      </c>
      <c r="H122" s="495" t="s">
        <v>52</v>
      </c>
      <c r="I122" s="212"/>
      <c r="M122" s="1"/>
      <c r="N122" s="1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9" s="2" customFormat="1" ht="12.75" customHeight="1">
      <c r="A123" s="496" t="s">
        <v>296</v>
      </c>
      <c r="B123" s="186">
        <v>63581</v>
      </c>
      <c r="C123" s="497">
        <v>10403</v>
      </c>
      <c r="D123" s="282">
        <v>15082</v>
      </c>
      <c r="E123" s="282">
        <v>9479</v>
      </c>
      <c r="F123" s="282">
        <v>0</v>
      </c>
      <c r="G123" s="282">
        <v>0</v>
      </c>
      <c r="H123" s="279">
        <f>SUM(C123:G123)</f>
        <v>34964</v>
      </c>
      <c r="I123" s="212"/>
    </row>
    <row r="124" spans="1:9" s="2" customFormat="1" ht="12.75" customHeight="1" thickBot="1">
      <c r="A124" s="498" t="s">
        <v>167</v>
      </c>
      <c r="B124" s="499">
        <v>70261</v>
      </c>
      <c r="C124" s="500">
        <v>4746</v>
      </c>
      <c r="D124" s="224">
        <v>653</v>
      </c>
      <c r="E124" s="224">
        <v>125</v>
      </c>
      <c r="F124" s="224">
        <v>76</v>
      </c>
      <c r="G124" s="224">
        <v>425</v>
      </c>
      <c r="H124" s="501">
        <f>SUM(C124:G124)</f>
        <v>6025</v>
      </c>
      <c r="I124" s="212"/>
    </row>
    <row r="125" ht="2.25" customHeight="1" thickBot="1"/>
    <row r="126" spans="1:34" ht="11.25" customHeight="1" thickBot="1">
      <c r="A126" s="902" t="s">
        <v>169</v>
      </c>
      <c r="B126" s="748" t="s">
        <v>347</v>
      </c>
      <c r="C126" s="740"/>
      <c r="D126" s="740"/>
      <c r="E126" s="740"/>
      <c r="F126" s="741"/>
      <c r="G126" s="748" t="s">
        <v>171</v>
      </c>
      <c r="H126" s="740"/>
      <c r="I126" s="740"/>
      <c r="J126" s="740"/>
      <c r="K126" s="741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3.5" thickBot="1">
      <c r="A127" s="903"/>
      <c r="B127" s="227">
        <v>2002</v>
      </c>
      <c r="C127" s="136">
        <v>2003</v>
      </c>
      <c r="D127" s="226" t="s">
        <v>13</v>
      </c>
      <c r="E127" s="137">
        <v>2004</v>
      </c>
      <c r="F127" s="423" t="s">
        <v>13</v>
      </c>
      <c r="G127" s="227">
        <v>2002</v>
      </c>
      <c r="H127" s="137">
        <v>2003</v>
      </c>
      <c r="I127" s="226" t="s">
        <v>13</v>
      </c>
      <c r="J127" s="146">
        <v>2004</v>
      </c>
      <c r="K127" s="423" t="s">
        <v>13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11" s="505" customFormat="1" ht="14.25" customHeight="1">
      <c r="A128" s="632" t="s">
        <v>172</v>
      </c>
      <c r="B128" s="351">
        <v>100</v>
      </c>
      <c r="C128" s="424">
        <v>100</v>
      </c>
      <c r="D128" s="425">
        <f aca="true" t="shared" si="16" ref="D128:D141">+C128-B128</f>
        <v>0</v>
      </c>
      <c r="E128" s="233">
        <v>100</v>
      </c>
      <c r="F128" s="627">
        <f aca="true" t="shared" si="17" ref="F128:F146">+E128-C128</f>
        <v>0</v>
      </c>
      <c r="G128" s="502">
        <f>30373/36500*100</f>
        <v>83.21369863013699</v>
      </c>
      <c r="H128" s="503">
        <v>84.3</v>
      </c>
      <c r="I128" s="503">
        <f aca="true" t="shared" si="18" ref="I128:I141">+H128-G128</f>
        <v>1.0863013698630084</v>
      </c>
      <c r="J128" s="504">
        <v>83.5</v>
      </c>
      <c r="K128" s="237">
        <f aca="true" t="shared" si="19" ref="K128:K146">+J128-H128</f>
        <v>-0.7999999999999972</v>
      </c>
    </row>
    <row r="129" spans="1:11" s="505" customFormat="1" ht="14.25" customHeight="1">
      <c r="A129" s="624" t="s">
        <v>173</v>
      </c>
      <c r="B129" s="352">
        <v>28</v>
      </c>
      <c r="C129" s="354">
        <v>28</v>
      </c>
      <c r="D129" s="427">
        <f t="shared" si="16"/>
        <v>0</v>
      </c>
      <c r="E129" s="242">
        <v>28</v>
      </c>
      <c r="F129" s="627">
        <f t="shared" si="17"/>
        <v>0</v>
      </c>
      <c r="G129" s="506">
        <f>0.653679653679654*100</f>
        <v>65.36796536796537</v>
      </c>
      <c r="H129" s="507">
        <v>69.8</v>
      </c>
      <c r="I129" s="507">
        <f t="shared" si="18"/>
        <v>4.432034632034629</v>
      </c>
      <c r="J129" s="508">
        <v>64.31</v>
      </c>
      <c r="K129" s="237">
        <f t="shared" si="19"/>
        <v>-5.489999999999995</v>
      </c>
    </row>
    <row r="130" spans="1:11" s="505" customFormat="1" ht="14.25" customHeight="1">
      <c r="A130" s="624" t="s">
        <v>174</v>
      </c>
      <c r="B130" s="352">
        <v>21</v>
      </c>
      <c r="C130" s="354">
        <v>24</v>
      </c>
      <c r="D130" s="427">
        <f t="shared" si="16"/>
        <v>3</v>
      </c>
      <c r="E130" s="242">
        <v>24</v>
      </c>
      <c r="F130" s="627">
        <f t="shared" si="17"/>
        <v>0</v>
      </c>
      <c r="G130" s="506">
        <f>0.713474990101623*100</f>
        <v>71.34749901016232</v>
      </c>
      <c r="H130" s="507">
        <v>74.8</v>
      </c>
      <c r="I130" s="507">
        <f t="shared" si="18"/>
        <v>3.4525009898376737</v>
      </c>
      <c r="J130" s="508">
        <v>77.96</v>
      </c>
      <c r="K130" s="237">
        <f t="shared" si="19"/>
        <v>3.1599999999999966</v>
      </c>
    </row>
    <row r="131" spans="1:11" s="505" customFormat="1" ht="14.25" customHeight="1">
      <c r="A131" s="624" t="s">
        <v>175</v>
      </c>
      <c r="B131" s="352">
        <v>30</v>
      </c>
      <c r="C131" s="354">
        <v>30</v>
      </c>
      <c r="D131" s="427">
        <f t="shared" si="16"/>
        <v>0</v>
      </c>
      <c r="E131" s="242">
        <v>30</v>
      </c>
      <c r="F131" s="627">
        <f t="shared" si="17"/>
        <v>0</v>
      </c>
      <c r="G131" s="506">
        <f>0.764075067024129*100</f>
        <v>76.4075067024129</v>
      </c>
      <c r="H131" s="507">
        <v>78.9</v>
      </c>
      <c r="I131" s="507">
        <f t="shared" si="18"/>
        <v>2.492493297587103</v>
      </c>
      <c r="J131" s="508">
        <v>78.65</v>
      </c>
      <c r="K131" s="237">
        <f t="shared" si="19"/>
        <v>-0.25</v>
      </c>
    </row>
    <row r="132" spans="1:11" s="505" customFormat="1" ht="14.25" customHeight="1">
      <c r="A132" s="624" t="s">
        <v>176</v>
      </c>
      <c r="B132" s="352">
        <v>60</v>
      </c>
      <c r="C132" s="354">
        <v>60</v>
      </c>
      <c r="D132" s="427">
        <f t="shared" si="16"/>
        <v>0</v>
      </c>
      <c r="E132" s="242">
        <v>50</v>
      </c>
      <c r="F132" s="627">
        <f t="shared" si="17"/>
        <v>-10</v>
      </c>
      <c r="G132" s="506">
        <f>0.855586206896552*100</f>
        <v>85.55862068965517</v>
      </c>
      <c r="H132" s="507">
        <v>76.9</v>
      </c>
      <c r="I132" s="507">
        <f t="shared" si="18"/>
        <v>-8.658620689655166</v>
      </c>
      <c r="J132" s="508">
        <v>91.01</v>
      </c>
      <c r="K132" s="237">
        <f t="shared" si="19"/>
        <v>14.11</v>
      </c>
    </row>
    <row r="133" spans="1:11" s="505" customFormat="1" ht="14.25" customHeight="1">
      <c r="A133" s="624" t="s">
        <v>177</v>
      </c>
      <c r="B133" s="352">
        <v>52</v>
      </c>
      <c r="C133" s="354">
        <v>52</v>
      </c>
      <c r="D133" s="427">
        <f t="shared" si="16"/>
        <v>0</v>
      </c>
      <c r="E133" s="242">
        <v>52</v>
      </c>
      <c r="F133" s="627">
        <f t="shared" si="17"/>
        <v>0</v>
      </c>
      <c r="G133" s="506">
        <f>0.621974522292994*100</f>
        <v>62.197452229299365</v>
      </c>
      <c r="H133" s="507">
        <v>63.6</v>
      </c>
      <c r="I133" s="507">
        <f t="shared" si="18"/>
        <v>1.402547770700636</v>
      </c>
      <c r="J133" s="508">
        <v>59.12</v>
      </c>
      <c r="K133" s="237">
        <f t="shared" si="19"/>
        <v>-4.480000000000004</v>
      </c>
    </row>
    <row r="134" spans="1:11" s="505" customFormat="1" ht="14.25" customHeight="1">
      <c r="A134" s="624" t="s">
        <v>178</v>
      </c>
      <c r="B134" s="352">
        <v>84</v>
      </c>
      <c r="C134" s="354">
        <v>84</v>
      </c>
      <c r="D134" s="427">
        <f t="shared" si="16"/>
        <v>0</v>
      </c>
      <c r="E134" s="242">
        <v>63</v>
      </c>
      <c r="F134" s="627">
        <f t="shared" si="17"/>
        <v>-21</v>
      </c>
      <c r="G134" s="506">
        <f>0.694053325344518*100</f>
        <v>69.40533253445177</v>
      </c>
      <c r="H134" s="507">
        <v>49.9</v>
      </c>
      <c r="I134" s="507">
        <f t="shared" si="18"/>
        <v>-19.505332534451775</v>
      </c>
      <c r="J134" s="508">
        <v>66.42</v>
      </c>
      <c r="K134" s="237">
        <f t="shared" si="19"/>
        <v>16.520000000000003</v>
      </c>
    </row>
    <row r="135" spans="1:11" s="505" customFormat="1" ht="14.25" customHeight="1">
      <c r="A135" s="624" t="s">
        <v>179</v>
      </c>
      <c r="B135" s="352">
        <v>102</v>
      </c>
      <c r="C135" s="354">
        <v>102</v>
      </c>
      <c r="D135" s="427">
        <f t="shared" si="16"/>
        <v>0</v>
      </c>
      <c r="E135" s="242">
        <v>102</v>
      </c>
      <c r="F135" s="627">
        <f t="shared" si="17"/>
        <v>0</v>
      </c>
      <c r="G135" s="506">
        <f>27519/37102*100</f>
        <v>74.17120370869495</v>
      </c>
      <c r="H135" s="507">
        <v>78.8</v>
      </c>
      <c r="I135" s="507">
        <f t="shared" si="18"/>
        <v>4.628796291305051</v>
      </c>
      <c r="J135" s="508">
        <v>76.67</v>
      </c>
      <c r="K135" s="237">
        <f t="shared" si="19"/>
        <v>-2.1299999999999955</v>
      </c>
    </row>
    <row r="136" spans="1:11" s="505" customFormat="1" ht="14.25" customHeight="1">
      <c r="A136" s="624" t="s">
        <v>180</v>
      </c>
      <c r="B136" s="352">
        <v>5</v>
      </c>
      <c r="C136" s="354">
        <v>5</v>
      </c>
      <c r="D136" s="427">
        <f t="shared" si="16"/>
        <v>0</v>
      </c>
      <c r="E136" s="242">
        <v>5</v>
      </c>
      <c r="F136" s="627">
        <f t="shared" si="17"/>
        <v>0</v>
      </c>
      <c r="G136" s="506">
        <f>0.649861495844875*100</f>
        <v>64.98614958448753</v>
      </c>
      <c r="H136" s="507">
        <v>65.5</v>
      </c>
      <c r="I136" s="507">
        <f t="shared" si="18"/>
        <v>0.513850415512465</v>
      </c>
      <c r="J136" s="508">
        <v>56.66</v>
      </c>
      <c r="K136" s="237">
        <f t="shared" si="19"/>
        <v>-8.840000000000003</v>
      </c>
    </row>
    <row r="137" spans="1:11" s="505" customFormat="1" ht="14.25" customHeight="1">
      <c r="A137" s="624" t="s">
        <v>181</v>
      </c>
      <c r="B137" s="352">
        <v>42</v>
      </c>
      <c r="C137" s="354">
        <v>42</v>
      </c>
      <c r="D137" s="427">
        <f t="shared" si="16"/>
        <v>0</v>
      </c>
      <c r="E137" s="242">
        <v>42</v>
      </c>
      <c r="F137" s="627">
        <f t="shared" si="17"/>
        <v>0</v>
      </c>
      <c r="G137" s="506">
        <f>0.85184679456544*100</f>
        <v>85.184679456544</v>
      </c>
      <c r="H137" s="507">
        <v>89.5</v>
      </c>
      <c r="I137" s="507">
        <f t="shared" si="18"/>
        <v>4.3153205434559965</v>
      </c>
      <c r="J137" s="508">
        <v>91.64</v>
      </c>
      <c r="K137" s="237">
        <f t="shared" si="19"/>
        <v>2.1400000000000006</v>
      </c>
    </row>
    <row r="138" spans="1:11" s="505" customFormat="1" ht="14.25" customHeight="1">
      <c r="A138" s="624" t="s">
        <v>182</v>
      </c>
      <c r="B138" s="352">
        <v>32</v>
      </c>
      <c r="C138" s="354">
        <v>32</v>
      </c>
      <c r="D138" s="427">
        <f t="shared" si="16"/>
        <v>0</v>
      </c>
      <c r="E138" s="242">
        <v>32</v>
      </c>
      <c r="F138" s="627">
        <f t="shared" si="17"/>
        <v>0</v>
      </c>
      <c r="G138" s="506">
        <f>0.721901422973809*100</f>
        <v>72.1901422973809</v>
      </c>
      <c r="H138" s="507">
        <v>75.1</v>
      </c>
      <c r="I138" s="507">
        <f t="shared" si="18"/>
        <v>2.9098577026190924</v>
      </c>
      <c r="J138" s="508">
        <v>72.95</v>
      </c>
      <c r="K138" s="237">
        <f t="shared" si="19"/>
        <v>-2.1499999999999915</v>
      </c>
    </row>
    <row r="139" spans="1:11" s="505" customFormat="1" ht="14.25" customHeight="1">
      <c r="A139" s="624" t="s">
        <v>183</v>
      </c>
      <c r="B139" s="352">
        <v>15</v>
      </c>
      <c r="C139" s="354">
        <v>15</v>
      </c>
      <c r="D139" s="427">
        <f t="shared" si="16"/>
        <v>0</v>
      </c>
      <c r="E139" s="242">
        <v>15</v>
      </c>
      <c r="F139" s="627">
        <f t="shared" si="17"/>
        <v>0</v>
      </c>
      <c r="G139" s="506">
        <f>0.813150684931507*100</f>
        <v>81.31506849315069</v>
      </c>
      <c r="H139" s="507">
        <v>80.5</v>
      </c>
      <c r="I139" s="507">
        <f t="shared" si="18"/>
        <v>-0.8150684931506902</v>
      </c>
      <c r="J139" s="508">
        <v>78.87</v>
      </c>
      <c r="K139" s="237">
        <f t="shared" si="19"/>
        <v>-1.6299999999999955</v>
      </c>
    </row>
    <row r="140" spans="1:11" s="505" customFormat="1" ht="14.25" customHeight="1">
      <c r="A140" s="624" t="s">
        <v>184</v>
      </c>
      <c r="B140" s="352">
        <v>18</v>
      </c>
      <c r="C140" s="354">
        <v>18</v>
      </c>
      <c r="D140" s="427">
        <f t="shared" si="16"/>
        <v>0</v>
      </c>
      <c r="E140" s="242">
        <v>18</v>
      </c>
      <c r="F140" s="627">
        <f t="shared" si="17"/>
        <v>0</v>
      </c>
      <c r="G140" s="506">
        <f>0.649771689497717*100</f>
        <v>64.9771689497717</v>
      </c>
      <c r="H140" s="507">
        <v>69</v>
      </c>
      <c r="I140" s="507">
        <f t="shared" si="18"/>
        <v>4.022831050228305</v>
      </c>
      <c r="J140" s="508">
        <v>74.49</v>
      </c>
      <c r="K140" s="237">
        <f t="shared" si="19"/>
        <v>5.489999999999995</v>
      </c>
    </row>
    <row r="141" spans="1:11" s="505" customFormat="1" ht="14.25" customHeight="1">
      <c r="A141" s="624" t="s">
        <v>185</v>
      </c>
      <c r="B141" s="352">
        <v>27</v>
      </c>
      <c r="C141" s="354">
        <v>20</v>
      </c>
      <c r="D141" s="427">
        <f t="shared" si="16"/>
        <v>-7</v>
      </c>
      <c r="E141" s="242">
        <v>20</v>
      </c>
      <c r="F141" s="627">
        <f t="shared" si="17"/>
        <v>0</v>
      </c>
      <c r="G141" s="506">
        <f>0.78889938096737*100</f>
        <v>78.88993809673697</v>
      </c>
      <c r="H141" s="507">
        <v>85.2</v>
      </c>
      <c r="I141" s="507">
        <f t="shared" si="18"/>
        <v>6.310061903263033</v>
      </c>
      <c r="J141" s="508">
        <v>89.73</v>
      </c>
      <c r="K141" s="237">
        <f t="shared" si="19"/>
        <v>4.530000000000001</v>
      </c>
    </row>
    <row r="142" spans="1:11" s="505" customFormat="1" ht="14.25" customHeight="1">
      <c r="A142" s="624" t="s">
        <v>186</v>
      </c>
      <c r="B142" s="352"/>
      <c r="C142" s="354"/>
      <c r="D142" s="427"/>
      <c r="E142" s="242"/>
      <c r="F142" s="627">
        <f t="shared" si="17"/>
        <v>0</v>
      </c>
      <c r="G142" s="506"/>
      <c r="H142" s="507"/>
      <c r="I142" s="507"/>
      <c r="J142" s="508"/>
      <c r="K142" s="237">
        <f t="shared" si="19"/>
        <v>0</v>
      </c>
    </row>
    <row r="143" spans="1:11" s="505" customFormat="1" ht="14.25" customHeight="1">
      <c r="A143" s="624" t="s">
        <v>187</v>
      </c>
      <c r="B143" s="352">
        <v>15</v>
      </c>
      <c r="C143" s="354">
        <v>15</v>
      </c>
      <c r="D143" s="427">
        <f>+C143-B143</f>
        <v>0</v>
      </c>
      <c r="E143" s="242">
        <v>21</v>
      </c>
      <c r="F143" s="627">
        <f t="shared" si="17"/>
        <v>6</v>
      </c>
      <c r="G143" s="506">
        <f>0.919601990049751*100</f>
        <v>91.96019900497512</v>
      </c>
      <c r="H143" s="507">
        <v>87.9</v>
      </c>
      <c r="I143" s="507">
        <f>+H143-G143</f>
        <v>-4.060199004975118</v>
      </c>
      <c r="J143" s="508">
        <v>80.95</v>
      </c>
      <c r="K143" s="237">
        <f t="shared" si="19"/>
        <v>-6.950000000000003</v>
      </c>
    </row>
    <row r="144" spans="1:11" s="505" customFormat="1" ht="14.25" customHeight="1">
      <c r="A144" s="624" t="s">
        <v>188</v>
      </c>
      <c r="B144" s="352">
        <v>20</v>
      </c>
      <c r="C144" s="354">
        <v>20</v>
      </c>
      <c r="D144" s="427">
        <f>+C144-B144</f>
        <v>0</v>
      </c>
      <c r="E144" s="242">
        <v>41</v>
      </c>
      <c r="F144" s="627">
        <f t="shared" si="17"/>
        <v>21</v>
      </c>
      <c r="G144" s="506">
        <f>0.938098859315589*100</f>
        <v>93.80988593155894</v>
      </c>
      <c r="H144" s="507">
        <v>94.1</v>
      </c>
      <c r="I144" s="507">
        <f>+H144-G144</f>
        <v>0.29011406844105636</v>
      </c>
      <c r="J144" s="508">
        <v>99.25</v>
      </c>
      <c r="K144" s="237">
        <f t="shared" si="19"/>
        <v>5.150000000000006</v>
      </c>
    </row>
    <row r="145" spans="1:11" s="505" customFormat="1" ht="14.25" customHeight="1" thickBot="1">
      <c r="A145" s="625" t="s">
        <v>189</v>
      </c>
      <c r="B145" s="633"/>
      <c r="C145" s="634"/>
      <c r="D145" s="635"/>
      <c r="E145" s="636"/>
      <c r="F145" s="637">
        <f t="shared" si="17"/>
        <v>0</v>
      </c>
      <c r="G145" s="509"/>
      <c r="H145" s="510"/>
      <c r="I145" s="510"/>
      <c r="J145" s="511"/>
      <c r="K145" s="237">
        <f t="shared" si="19"/>
        <v>0</v>
      </c>
    </row>
    <row r="146" spans="1:11" s="505" customFormat="1" ht="14.25" customHeight="1" thickBot="1">
      <c r="A146" s="255" t="s">
        <v>10</v>
      </c>
      <c r="B146" s="256">
        <f>SUM(B128:B145)</f>
        <v>651</v>
      </c>
      <c r="C146" s="257">
        <f>SUM(C128:C145)</f>
        <v>647</v>
      </c>
      <c r="D146" s="258">
        <f>+C146-B146</f>
        <v>-4</v>
      </c>
      <c r="E146" s="259">
        <f>SUM(E128:E145)</f>
        <v>643</v>
      </c>
      <c r="F146" s="258">
        <f t="shared" si="17"/>
        <v>-4</v>
      </c>
      <c r="G146" s="512">
        <f>174446/228318*100</f>
        <v>76.40483886509168</v>
      </c>
      <c r="H146" s="513">
        <v>75</v>
      </c>
      <c r="I146" s="513">
        <f>+H146-G146</f>
        <v>-1.4048388650916763</v>
      </c>
      <c r="J146" s="361">
        <v>77.82</v>
      </c>
      <c r="K146" s="263">
        <f t="shared" si="19"/>
        <v>2.819999999999993</v>
      </c>
    </row>
    <row r="147" spans="1:11" s="505" customFormat="1" ht="14.25" customHeight="1" thickBot="1">
      <c r="A147" s="901" t="s">
        <v>453</v>
      </c>
      <c r="B147" s="740"/>
      <c r="C147" s="740"/>
      <c r="D147" s="740"/>
      <c r="E147" s="740"/>
      <c r="F147" s="740"/>
      <c r="G147" s="740"/>
      <c r="H147" s="740"/>
      <c r="I147" s="740"/>
      <c r="J147" s="740"/>
      <c r="K147" s="741"/>
    </row>
    <row r="148" spans="1:7" ht="4.5" customHeight="1" thickBot="1">
      <c r="A148"/>
      <c r="B148"/>
      <c r="C148"/>
      <c r="D148"/>
      <c r="E148"/>
      <c r="F148"/>
      <c r="G148"/>
    </row>
    <row r="149" spans="1:34" ht="15.75" customHeight="1">
      <c r="A149" s="689" t="s">
        <v>348</v>
      </c>
      <c r="B149" s="659" t="s">
        <v>191</v>
      </c>
      <c r="C149" s="660"/>
      <c r="D149" s="653"/>
      <c r="E149" s="643" t="s">
        <v>190</v>
      </c>
      <c r="F149" s="644"/>
      <c r="G149" s="645"/>
      <c r="H149" s="652" t="s">
        <v>192</v>
      </c>
      <c r="I149" s="660"/>
      <c r="J149" s="653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27.75" thickBot="1">
      <c r="A150" s="898"/>
      <c r="B150" s="264" t="s">
        <v>194</v>
      </c>
      <c r="C150" s="265" t="s">
        <v>195</v>
      </c>
      <c r="D150" s="172" t="s">
        <v>196</v>
      </c>
      <c r="E150" s="646"/>
      <c r="F150" s="647"/>
      <c r="G150" s="648"/>
      <c r="H150" s="267" t="s">
        <v>194</v>
      </c>
      <c r="I150" s="265" t="s">
        <v>195</v>
      </c>
      <c r="J150" s="172" t="s">
        <v>196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7.25" customHeight="1">
      <c r="A151" s="514" t="s">
        <v>197</v>
      </c>
      <c r="B151" s="362">
        <v>120.98</v>
      </c>
      <c r="C151" s="515">
        <v>51550901</v>
      </c>
      <c r="D151" s="274">
        <f aca="true" t="shared" si="20" ref="D151:D157">+IF(B151&gt;0,C151/B151/12,"")</f>
        <v>35509.24464098749</v>
      </c>
      <c r="E151" s="909" t="s">
        <v>197</v>
      </c>
      <c r="F151" s="910"/>
      <c r="G151" s="910"/>
      <c r="H151" s="272">
        <v>121.23</v>
      </c>
      <c r="I151" s="516">
        <v>53467097</v>
      </c>
      <c r="J151" s="274">
        <f aca="true" t="shared" si="21" ref="J151:J161">+IF(H151&gt;0,I151/H151/12,"")</f>
        <v>36753.20808930683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7.25" customHeight="1">
      <c r="A152" s="517" t="s">
        <v>198</v>
      </c>
      <c r="B152" s="283">
        <v>4.32</v>
      </c>
      <c r="C152" s="518">
        <v>1492945</v>
      </c>
      <c r="D152" s="279">
        <f t="shared" si="20"/>
        <v>28799.093364197528</v>
      </c>
      <c r="E152" s="892" t="s">
        <v>198</v>
      </c>
      <c r="F152" s="893"/>
      <c r="G152" s="893"/>
      <c r="H152" s="278">
        <v>4.39</v>
      </c>
      <c r="I152" s="519">
        <v>1742169</v>
      </c>
      <c r="J152" s="279">
        <f t="shared" si="21"/>
        <v>33070.78587699317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7.25" customHeight="1">
      <c r="A153" s="517" t="s">
        <v>199</v>
      </c>
      <c r="B153" s="283">
        <v>10.96</v>
      </c>
      <c r="C153" s="518">
        <v>2236467</v>
      </c>
      <c r="D153" s="279">
        <f t="shared" si="20"/>
        <v>17004.76733576642</v>
      </c>
      <c r="E153" s="892" t="s">
        <v>200</v>
      </c>
      <c r="F153" s="893"/>
      <c r="G153" s="893"/>
      <c r="H153" s="278">
        <v>430.78</v>
      </c>
      <c r="I153" s="519">
        <v>84231304</v>
      </c>
      <c r="J153" s="279">
        <f t="shared" si="21"/>
        <v>16294.338951050035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7.25" customHeight="1">
      <c r="A154" s="517" t="s">
        <v>201</v>
      </c>
      <c r="B154" s="283">
        <v>9.33</v>
      </c>
      <c r="C154" s="518">
        <v>1557713</v>
      </c>
      <c r="D154" s="279">
        <f t="shared" si="20"/>
        <v>13913.12075741336</v>
      </c>
      <c r="E154" s="892" t="s">
        <v>202</v>
      </c>
      <c r="F154" s="893"/>
      <c r="G154" s="893"/>
      <c r="H154" s="278">
        <v>50.99</v>
      </c>
      <c r="I154" s="519">
        <v>10719487</v>
      </c>
      <c r="J154" s="279">
        <f t="shared" si="21"/>
        <v>17518.936719618225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7.25" customHeight="1">
      <c r="A155" s="517" t="s">
        <v>203</v>
      </c>
      <c r="B155" s="283">
        <v>497.57</v>
      </c>
      <c r="C155" s="518">
        <v>97572834</v>
      </c>
      <c r="D155" s="279">
        <f t="shared" si="20"/>
        <v>16341.558976626404</v>
      </c>
      <c r="E155" s="892" t="s">
        <v>204</v>
      </c>
      <c r="F155" s="893"/>
      <c r="G155" s="893"/>
      <c r="H155" s="278">
        <v>13.29</v>
      </c>
      <c r="I155" s="519">
        <v>2396532</v>
      </c>
      <c r="J155" s="279">
        <f t="shared" si="21"/>
        <v>15027.163280662155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7.25" customHeight="1">
      <c r="A156" s="517" t="s">
        <v>205</v>
      </c>
      <c r="B156" s="283">
        <v>17.28</v>
      </c>
      <c r="C156" s="518">
        <v>2418514</v>
      </c>
      <c r="D156" s="279">
        <f t="shared" si="20"/>
        <v>11663.358410493827</v>
      </c>
      <c r="E156" s="892" t="s">
        <v>206</v>
      </c>
      <c r="F156" s="893"/>
      <c r="G156" s="893"/>
      <c r="H156" s="278">
        <v>110.97</v>
      </c>
      <c r="I156" s="519">
        <v>13547918</v>
      </c>
      <c r="J156" s="279">
        <f t="shared" si="21"/>
        <v>10173.859301312668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7.25" customHeight="1">
      <c r="A157" s="517" t="s">
        <v>207</v>
      </c>
      <c r="B157" s="283">
        <v>91.07</v>
      </c>
      <c r="C157" s="518">
        <v>11021584</v>
      </c>
      <c r="D157" s="279">
        <f t="shared" si="20"/>
        <v>10085.267742761978</v>
      </c>
      <c r="E157" s="892" t="s">
        <v>208</v>
      </c>
      <c r="F157" s="893"/>
      <c r="G157" s="893"/>
      <c r="H157" s="278">
        <v>15.2</v>
      </c>
      <c r="I157" s="519">
        <v>2940578</v>
      </c>
      <c r="J157" s="279">
        <f t="shared" si="21"/>
        <v>16121.589912280702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7.25" customHeight="1">
      <c r="A158" s="517"/>
      <c r="B158" s="283"/>
      <c r="C158" s="518"/>
      <c r="D158" s="279"/>
      <c r="E158" s="892" t="s">
        <v>209</v>
      </c>
      <c r="F158" s="893"/>
      <c r="G158" s="893"/>
      <c r="H158" s="278">
        <v>0.08</v>
      </c>
      <c r="I158" s="519">
        <v>23151</v>
      </c>
      <c r="J158" s="279">
        <f t="shared" si="21"/>
        <v>24115.625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7.25" customHeight="1">
      <c r="A159" s="517" t="s">
        <v>211</v>
      </c>
      <c r="B159" s="283">
        <v>62.1</v>
      </c>
      <c r="C159" s="518">
        <v>12259800</v>
      </c>
      <c r="D159" s="279">
        <f>+IF(B159&gt;0,C159/B159/12,"")</f>
        <v>16451.690821256037</v>
      </c>
      <c r="E159" s="892" t="s">
        <v>211</v>
      </c>
      <c r="F159" s="893"/>
      <c r="G159" s="893"/>
      <c r="H159" s="281">
        <v>60.36</v>
      </c>
      <c r="I159" s="518">
        <v>12421848</v>
      </c>
      <c r="J159" s="279">
        <f t="shared" si="21"/>
        <v>17149.668654738238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7.25" customHeight="1" thickBot="1">
      <c r="A160" s="520" t="s">
        <v>212</v>
      </c>
      <c r="B160" s="283">
        <v>92.63</v>
      </c>
      <c r="C160" s="518">
        <v>11834393</v>
      </c>
      <c r="D160" s="279">
        <f>+IF(B160&gt;0,C160/B160/12,"")</f>
        <v>10646.652452409227</v>
      </c>
      <c r="E160" s="896" t="s">
        <v>213</v>
      </c>
      <c r="F160" s="897"/>
      <c r="G160" s="897"/>
      <c r="H160" s="272">
        <v>70.07</v>
      </c>
      <c r="I160" s="516">
        <v>8966609</v>
      </c>
      <c r="J160" s="274">
        <f t="shared" si="21"/>
        <v>10663.870653156368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11" s="85" customFormat="1" ht="18" customHeight="1" thickBot="1">
      <c r="A161" s="160" t="s">
        <v>10</v>
      </c>
      <c r="B161" s="285">
        <f>SUM(B151:B160)</f>
        <v>906.24</v>
      </c>
      <c r="C161" s="365">
        <f>SUM(C151:C160)</f>
        <v>191945151</v>
      </c>
      <c r="D161" s="145">
        <f>+IF(B161&gt;0,C161/B161/12,"")</f>
        <v>17650.32358977754</v>
      </c>
      <c r="E161" s="640" t="s">
        <v>10</v>
      </c>
      <c r="F161" s="641"/>
      <c r="G161" s="641"/>
      <c r="H161" s="286">
        <f>SUM(H151:H160)</f>
        <v>877.3600000000001</v>
      </c>
      <c r="I161" s="365">
        <f>SUM(I151:I160)</f>
        <v>190456693</v>
      </c>
      <c r="J161" s="145">
        <f t="shared" si="21"/>
        <v>18089.94151013647</v>
      </c>
      <c r="K161"/>
    </row>
    <row r="162" spans="1:34" ht="11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6.5" thickBot="1">
      <c r="A163" s="211" t="s">
        <v>214</v>
      </c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7.25" customHeight="1" thickBot="1">
      <c r="A164" s="748" t="s">
        <v>215</v>
      </c>
      <c r="B164" s="749"/>
      <c r="C164" s="749"/>
      <c r="D164" s="750"/>
      <c r="E164" s="2"/>
      <c r="F164" s="2"/>
      <c r="G164" s="2"/>
      <c r="H164" s="2"/>
      <c r="I164" s="1"/>
      <c r="J164" s="1"/>
      <c r="K164" s="1"/>
      <c r="L164" s="1"/>
      <c r="M164" s="1"/>
      <c r="N164" s="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4" s="1" customFormat="1" ht="15.75" customHeight="1">
      <c r="A165" s="744" t="s">
        <v>216</v>
      </c>
      <c r="B165" s="745"/>
      <c r="C165" s="770">
        <f>+C52/1000</f>
        <v>1457</v>
      </c>
      <c r="D165" s="771"/>
    </row>
    <row r="166" spans="1:4" s="1" customFormat="1" ht="15.75" customHeight="1">
      <c r="A166" s="811" t="s">
        <v>50</v>
      </c>
      <c r="B166" s="812"/>
      <c r="C166" s="742">
        <f>+G52/1000</f>
        <v>72238</v>
      </c>
      <c r="D166" s="743"/>
    </row>
    <row r="167" spans="1:4" s="1" customFormat="1" ht="15.75" customHeight="1" thickBot="1">
      <c r="A167" s="813" t="s">
        <v>217</v>
      </c>
      <c r="B167" s="814"/>
      <c r="C167" s="894">
        <f>+J28</f>
        <v>195850.72</v>
      </c>
      <c r="D167" s="895"/>
    </row>
  </sheetData>
  <mergeCells count="237">
    <mergeCell ref="B58:C58"/>
    <mergeCell ref="M70:N70"/>
    <mergeCell ref="B72:C72"/>
    <mergeCell ref="D72:E72"/>
    <mergeCell ref="F72:G72"/>
    <mergeCell ref="I72:J72"/>
    <mergeCell ref="K72:L72"/>
    <mergeCell ref="M72:N72"/>
    <mergeCell ref="D70:E70"/>
    <mergeCell ref="F70:G70"/>
    <mergeCell ref="I54:J54"/>
    <mergeCell ref="I56:J56"/>
    <mergeCell ref="K54:L54"/>
    <mergeCell ref="F54:H54"/>
    <mergeCell ref="K55:L55"/>
    <mergeCell ref="B54:C54"/>
    <mergeCell ref="B56:C56"/>
    <mergeCell ref="D54:E54"/>
    <mergeCell ref="D56:E56"/>
    <mergeCell ref="B55:C55"/>
    <mergeCell ref="M54:N54"/>
    <mergeCell ref="B63:C63"/>
    <mergeCell ref="D57:E57"/>
    <mergeCell ref="D58:E58"/>
    <mergeCell ref="D59:E59"/>
    <mergeCell ref="D60:E60"/>
    <mergeCell ref="D61:E61"/>
    <mergeCell ref="D62:E62"/>
    <mergeCell ref="D63:E63"/>
    <mergeCell ref="B57:C57"/>
    <mergeCell ref="F57:G57"/>
    <mergeCell ref="F58:G58"/>
    <mergeCell ref="F59:G59"/>
    <mergeCell ref="F60:G60"/>
    <mergeCell ref="I57:J57"/>
    <mergeCell ref="I58:J58"/>
    <mergeCell ref="I59:J59"/>
    <mergeCell ref="I60:J60"/>
    <mergeCell ref="M63:N63"/>
    <mergeCell ref="K59:L59"/>
    <mergeCell ref="K60:L60"/>
    <mergeCell ref="K61:L61"/>
    <mergeCell ref="K62:L62"/>
    <mergeCell ref="M59:N59"/>
    <mergeCell ref="M60:N60"/>
    <mergeCell ref="M61:N61"/>
    <mergeCell ref="M62:N62"/>
    <mergeCell ref="M56:N56"/>
    <mergeCell ref="M57:N57"/>
    <mergeCell ref="M58:N58"/>
    <mergeCell ref="D55:E55"/>
    <mergeCell ref="F55:G55"/>
    <mergeCell ref="I55:J55"/>
    <mergeCell ref="K56:L56"/>
    <mergeCell ref="K57:L57"/>
    <mergeCell ref="K58:L58"/>
    <mergeCell ref="F56:G56"/>
    <mergeCell ref="B60:C60"/>
    <mergeCell ref="I65:J65"/>
    <mergeCell ref="K65:L65"/>
    <mergeCell ref="K63:L63"/>
    <mergeCell ref="F63:G63"/>
    <mergeCell ref="I61:J61"/>
    <mergeCell ref="I62:J62"/>
    <mergeCell ref="I63:J63"/>
    <mergeCell ref="F61:G61"/>
    <mergeCell ref="F62:G62"/>
    <mergeCell ref="M66:N66"/>
    <mergeCell ref="A54:A55"/>
    <mergeCell ref="A65:A66"/>
    <mergeCell ref="B65:C65"/>
    <mergeCell ref="D65:E65"/>
    <mergeCell ref="B66:C66"/>
    <mergeCell ref="D66:E66"/>
    <mergeCell ref="B61:C61"/>
    <mergeCell ref="B62:C62"/>
    <mergeCell ref="B59:C59"/>
    <mergeCell ref="B67:C67"/>
    <mergeCell ref="B68:C68"/>
    <mergeCell ref="B69:C69"/>
    <mergeCell ref="B71:C71"/>
    <mergeCell ref="B70:C70"/>
    <mergeCell ref="D69:E69"/>
    <mergeCell ref="F68:G68"/>
    <mergeCell ref="I73:J73"/>
    <mergeCell ref="K73:L73"/>
    <mergeCell ref="F71:G71"/>
    <mergeCell ref="F73:G73"/>
    <mergeCell ref="I71:J71"/>
    <mergeCell ref="K71:L71"/>
    <mergeCell ref="B42:E42"/>
    <mergeCell ref="F42:I42"/>
    <mergeCell ref="A41:I41"/>
    <mergeCell ref="A42:A43"/>
    <mergeCell ref="M79:N79"/>
    <mergeCell ref="I76:J76"/>
    <mergeCell ref="K76:L76"/>
    <mergeCell ref="M76:N76"/>
    <mergeCell ref="K79:L79"/>
    <mergeCell ref="I79:J79"/>
    <mergeCell ref="J37:L37"/>
    <mergeCell ref="F69:G69"/>
    <mergeCell ref="I69:J69"/>
    <mergeCell ref="K69:L69"/>
    <mergeCell ref="I68:J68"/>
    <mergeCell ref="K68:L68"/>
    <mergeCell ref="I67:J67"/>
    <mergeCell ref="K67:L67"/>
    <mergeCell ref="F66:G66"/>
    <mergeCell ref="I66:J66"/>
    <mergeCell ref="B37:D37"/>
    <mergeCell ref="E37:G37"/>
    <mergeCell ref="B38:D38"/>
    <mergeCell ref="E38:G38"/>
    <mergeCell ref="B126:F126"/>
    <mergeCell ref="B39:D39"/>
    <mergeCell ref="E39:G39"/>
    <mergeCell ref="A99:A100"/>
    <mergeCell ref="B99:B100"/>
    <mergeCell ref="C99:F99"/>
    <mergeCell ref="G99:G100"/>
    <mergeCell ref="B74:C74"/>
    <mergeCell ref="B77:C77"/>
    <mergeCell ref="F67:G67"/>
    <mergeCell ref="C95:C96"/>
    <mergeCell ref="D95:H95"/>
    <mergeCell ref="H99:H100"/>
    <mergeCell ref="F77:G77"/>
    <mergeCell ref="D77:E77"/>
    <mergeCell ref="D89:E89"/>
    <mergeCell ref="D90:E90"/>
    <mergeCell ref="A91:C91"/>
    <mergeCell ref="A87:C87"/>
    <mergeCell ref="A88:C88"/>
    <mergeCell ref="A121:A122"/>
    <mergeCell ref="B121:B122"/>
    <mergeCell ref="C121:H121"/>
    <mergeCell ref="A4:A7"/>
    <mergeCell ref="H5:I5"/>
    <mergeCell ref="B4:N4"/>
    <mergeCell ref="A94:A96"/>
    <mergeCell ref="B94:B96"/>
    <mergeCell ref="C94:H94"/>
    <mergeCell ref="I94:I96"/>
    <mergeCell ref="A89:C89"/>
    <mergeCell ref="A90:C90"/>
    <mergeCell ref="F76:G76"/>
    <mergeCell ref="A85:C85"/>
    <mergeCell ref="A86:C86"/>
    <mergeCell ref="D84:E84"/>
    <mergeCell ref="D85:E85"/>
    <mergeCell ref="D87:E87"/>
    <mergeCell ref="A82:C82"/>
    <mergeCell ref="A83:C83"/>
    <mergeCell ref="H149:J149"/>
    <mergeCell ref="D82:E82"/>
    <mergeCell ref="F74:G74"/>
    <mergeCell ref="I74:J74"/>
    <mergeCell ref="E108:G108"/>
    <mergeCell ref="E109:G109"/>
    <mergeCell ref="E110:G110"/>
    <mergeCell ref="E117:G117"/>
    <mergeCell ref="D88:E88"/>
    <mergeCell ref="D86:E86"/>
    <mergeCell ref="K41:N41"/>
    <mergeCell ref="M55:N55"/>
    <mergeCell ref="B79:C79"/>
    <mergeCell ref="D79:E79"/>
    <mergeCell ref="F79:G79"/>
    <mergeCell ref="B73:C73"/>
    <mergeCell ref="D74:E74"/>
    <mergeCell ref="B76:C76"/>
    <mergeCell ref="D76:E76"/>
    <mergeCell ref="K74:L74"/>
    <mergeCell ref="E151:G151"/>
    <mergeCell ref="E152:G152"/>
    <mergeCell ref="M5:N5"/>
    <mergeCell ref="L6:L7"/>
    <mergeCell ref="K77:L77"/>
    <mergeCell ref="M77:N77"/>
    <mergeCell ref="M74:N74"/>
    <mergeCell ref="M68:N68"/>
    <mergeCell ref="M69:N69"/>
    <mergeCell ref="M71:N71"/>
    <mergeCell ref="I70:J70"/>
    <mergeCell ref="I77:J77"/>
    <mergeCell ref="E118:G118"/>
    <mergeCell ref="F65:H65"/>
    <mergeCell ref="D91:E91"/>
    <mergeCell ref="D83:E83"/>
    <mergeCell ref="D71:E71"/>
    <mergeCell ref="D73:E73"/>
    <mergeCell ref="D67:E67"/>
    <mergeCell ref="D68:E68"/>
    <mergeCell ref="K46:N46"/>
    <mergeCell ref="K47:N47"/>
    <mergeCell ref="K50:N50"/>
    <mergeCell ref="K75:L75"/>
    <mergeCell ref="M75:N75"/>
    <mergeCell ref="M65:N65"/>
    <mergeCell ref="K70:L70"/>
    <mergeCell ref="M73:N73"/>
    <mergeCell ref="M67:N67"/>
    <mergeCell ref="K66:L66"/>
    <mergeCell ref="E112:G112"/>
    <mergeCell ref="E113:G113"/>
    <mergeCell ref="E114:G114"/>
    <mergeCell ref="I99:L99"/>
    <mergeCell ref="A84:C84"/>
    <mergeCell ref="G126:K126"/>
    <mergeCell ref="E149:G150"/>
    <mergeCell ref="E155:G155"/>
    <mergeCell ref="E153:G153"/>
    <mergeCell ref="E154:G154"/>
    <mergeCell ref="E119:G119"/>
    <mergeCell ref="A147:K147"/>
    <mergeCell ref="A126:A127"/>
    <mergeCell ref="E111:G111"/>
    <mergeCell ref="A164:D164"/>
    <mergeCell ref="A165:B165"/>
    <mergeCell ref="C165:D165"/>
    <mergeCell ref="A149:A150"/>
    <mergeCell ref="B149:D149"/>
    <mergeCell ref="E156:G156"/>
    <mergeCell ref="E159:G159"/>
    <mergeCell ref="E157:G157"/>
    <mergeCell ref="A167:B167"/>
    <mergeCell ref="C167:D167"/>
    <mergeCell ref="E160:G160"/>
    <mergeCell ref="E161:G161"/>
    <mergeCell ref="A166:B166"/>
    <mergeCell ref="C166:D166"/>
    <mergeCell ref="E158:G158"/>
    <mergeCell ref="B75:C75"/>
    <mergeCell ref="D75:E75"/>
    <mergeCell ref="F75:G75"/>
    <mergeCell ref="I75:J75"/>
  </mergeCells>
  <printOptions horizontalCentered="1"/>
  <pageMargins left="0.2362204724409449" right="0.2755905511811024" top="0.25" bottom="0.1968503937007874" header="0.2362204724409449" footer="0.196850393700787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5"/>
  <sheetViews>
    <sheetView workbookViewId="0" topLeftCell="C1">
      <selection activeCell="L1" sqref="L1"/>
    </sheetView>
  </sheetViews>
  <sheetFormatPr defaultColWidth="9.00390625" defaultRowHeight="12.75"/>
  <cols>
    <col min="1" max="1" width="26.125" style="319" customWidth="1"/>
    <col min="2" max="4" width="10.00390625" style="141" customWidth="1"/>
    <col min="5" max="7" width="8.875" style="141" customWidth="1"/>
    <col min="8" max="8" width="9.00390625" style="521" customWidth="1"/>
    <col min="9" max="9" width="8.875" style="521" customWidth="1"/>
    <col min="10" max="10" width="9.375" style="319" customWidth="1"/>
    <col min="11" max="11" width="9.625" style="319" customWidth="1"/>
    <col min="12" max="14" width="8.875" style="319" customWidth="1"/>
  </cols>
  <sheetData>
    <row r="1" spans="12:14" ht="15.75">
      <c r="L1" s="3" t="s">
        <v>456</v>
      </c>
      <c r="N1" s="4"/>
    </row>
    <row r="2" spans="1:14" ht="15.75" customHeight="1" thickBot="1">
      <c r="A2" s="434" t="s">
        <v>393</v>
      </c>
      <c r="B2" s="6"/>
      <c r="C2" s="6"/>
      <c r="D2" s="6"/>
      <c r="E2" s="6"/>
      <c r="F2" s="6"/>
      <c r="G2" s="6"/>
      <c r="H2" s="433"/>
      <c r="L2" s="3" t="s">
        <v>374</v>
      </c>
      <c r="N2" s="4"/>
    </row>
    <row r="3" spans="1:14" ht="23.25" customHeight="1" thickBot="1">
      <c r="A3" s="929" t="s">
        <v>1</v>
      </c>
      <c r="B3" s="932" t="s">
        <v>351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70"/>
    </row>
    <row r="4" spans="1:34" ht="10.5" customHeight="1">
      <c r="A4" s="963"/>
      <c r="B4" s="7" t="s">
        <v>3</v>
      </c>
      <c r="C4" s="8"/>
      <c r="D4" s="12"/>
      <c r="E4" s="7" t="s">
        <v>4</v>
      </c>
      <c r="F4" s="8"/>
      <c r="G4" s="9"/>
      <c r="H4" s="778" t="s">
        <v>5</v>
      </c>
      <c r="I4" s="779"/>
      <c r="J4" s="8" t="s">
        <v>6</v>
      </c>
      <c r="K4" s="11"/>
      <c r="L4" s="12"/>
      <c r="M4" s="778" t="s">
        <v>7</v>
      </c>
      <c r="N4" s="77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4" s="96" customFormat="1" ht="9.75">
      <c r="A5" s="963"/>
      <c r="B5" s="435" t="s">
        <v>314</v>
      </c>
      <c r="C5" s="436" t="s">
        <v>9</v>
      </c>
      <c r="D5" s="437" t="s">
        <v>10</v>
      </c>
      <c r="E5" s="435" t="s">
        <v>314</v>
      </c>
      <c r="F5" s="436" t="s">
        <v>9</v>
      </c>
      <c r="G5" s="438" t="s">
        <v>10</v>
      </c>
      <c r="H5" s="435" t="s">
        <v>10</v>
      </c>
      <c r="I5" s="438" t="s">
        <v>11</v>
      </c>
      <c r="J5" s="439" t="s">
        <v>314</v>
      </c>
      <c r="K5" s="436" t="s">
        <v>9</v>
      </c>
      <c r="L5" s="911" t="s">
        <v>10</v>
      </c>
      <c r="M5" s="435" t="s">
        <v>10</v>
      </c>
      <c r="N5" s="438" t="s">
        <v>11</v>
      </c>
    </row>
    <row r="6" spans="1:14" s="96" customFormat="1" ht="10.5" customHeight="1" thickBot="1">
      <c r="A6" s="964"/>
      <c r="B6" s="440" t="s">
        <v>12</v>
      </c>
      <c r="C6" s="441" t="s">
        <v>12</v>
      </c>
      <c r="D6" s="442"/>
      <c r="E6" s="440" t="s">
        <v>12</v>
      </c>
      <c r="F6" s="441" t="s">
        <v>12</v>
      </c>
      <c r="G6" s="443"/>
      <c r="H6" s="444" t="s">
        <v>13</v>
      </c>
      <c r="I6" s="443" t="s">
        <v>14</v>
      </c>
      <c r="J6" s="445" t="s">
        <v>12</v>
      </c>
      <c r="K6" s="441" t="s">
        <v>12</v>
      </c>
      <c r="L6" s="912"/>
      <c r="M6" s="444" t="s">
        <v>13</v>
      </c>
      <c r="N6" s="443" t="s">
        <v>14</v>
      </c>
    </row>
    <row r="7" spans="1:14" s="2" customFormat="1" ht="15" customHeight="1" thickTop="1">
      <c r="A7" s="522" t="s">
        <v>15</v>
      </c>
      <c r="B7" s="27"/>
      <c r="C7" s="28"/>
      <c r="D7" s="288">
        <v>0</v>
      </c>
      <c r="E7" s="523"/>
      <c r="F7" s="103"/>
      <c r="G7" s="465">
        <v>0</v>
      </c>
      <c r="H7" s="30"/>
      <c r="I7" s="34"/>
      <c r="J7" s="308"/>
      <c r="K7" s="103"/>
      <c r="L7" s="524">
        <v>0</v>
      </c>
      <c r="M7" s="376"/>
      <c r="N7" s="450"/>
    </row>
    <row r="8" spans="1:14" s="2" customFormat="1" ht="15" customHeight="1">
      <c r="A8" s="525" t="s">
        <v>16</v>
      </c>
      <c r="B8" s="36">
        <v>430441</v>
      </c>
      <c r="C8" s="37">
        <v>1129</v>
      </c>
      <c r="D8" s="288">
        <f aca="true" t="shared" si="0" ref="D8:D15">SUM(B8:C8)</f>
        <v>431570</v>
      </c>
      <c r="E8" s="44">
        <v>438443</v>
      </c>
      <c r="F8" s="37">
        <v>977.29</v>
      </c>
      <c r="G8" s="465">
        <f aca="true" t="shared" si="1" ref="G8:G15">SUM(E8:F8)</f>
        <v>439420.29</v>
      </c>
      <c r="H8" s="380">
        <f aca="true" t="shared" si="2" ref="H8:H35">+G8-D8</f>
        <v>7850.289999999979</v>
      </c>
      <c r="I8" s="381">
        <f>+G8/D8</f>
        <v>1.0181900734527423</v>
      </c>
      <c r="J8" s="105">
        <v>452617</v>
      </c>
      <c r="K8" s="106">
        <v>1000</v>
      </c>
      <c r="L8" s="465">
        <f aca="true" t="shared" si="3" ref="L8:L15">SUM(J8:K8)</f>
        <v>453617</v>
      </c>
      <c r="M8" s="380">
        <f aca="true" t="shared" si="4" ref="M8:M35">+L8-G8</f>
        <v>14196.710000000021</v>
      </c>
      <c r="N8" s="381">
        <f>+L8/G8</f>
        <v>1.0323078162822203</v>
      </c>
    </row>
    <row r="9" spans="1:14" s="2" customFormat="1" ht="15" customHeight="1">
      <c r="A9" s="525" t="s">
        <v>17</v>
      </c>
      <c r="B9" s="36">
        <v>39929</v>
      </c>
      <c r="C9" s="37">
        <v>1098</v>
      </c>
      <c r="D9" s="288">
        <f t="shared" si="0"/>
        <v>41027</v>
      </c>
      <c r="E9" s="47">
        <v>47780</v>
      </c>
      <c r="F9" s="48">
        <v>1652.27</v>
      </c>
      <c r="G9" s="465">
        <f t="shared" si="1"/>
        <v>49432.27</v>
      </c>
      <c r="H9" s="380">
        <f t="shared" si="2"/>
        <v>8405.269999999997</v>
      </c>
      <c r="I9" s="381">
        <f>+G9/D9</f>
        <v>1.2048716698759352</v>
      </c>
      <c r="J9" s="105">
        <v>47300</v>
      </c>
      <c r="K9" s="106">
        <v>1700</v>
      </c>
      <c r="L9" s="465">
        <f t="shared" si="3"/>
        <v>49000</v>
      </c>
      <c r="M9" s="380">
        <f t="shared" si="4"/>
        <v>-432.2699999999968</v>
      </c>
      <c r="N9" s="381">
        <f>+L9/G9</f>
        <v>0.9912553075147066</v>
      </c>
    </row>
    <row r="10" spans="1:14" s="2" customFormat="1" ht="15" customHeight="1">
      <c r="A10" s="525" t="s">
        <v>18</v>
      </c>
      <c r="B10" s="36">
        <v>13827</v>
      </c>
      <c r="C10" s="37">
        <v>0</v>
      </c>
      <c r="D10" s="288">
        <f t="shared" si="0"/>
        <v>13827</v>
      </c>
      <c r="E10" s="47">
        <v>13075.16</v>
      </c>
      <c r="F10" s="48">
        <v>0</v>
      </c>
      <c r="G10" s="465">
        <f t="shared" si="1"/>
        <v>13075.16</v>
      </c>
      <c r="H10" s="380">
        <f t="shared" si="2"/>
        <v>-751.8400000000001</v>
      </c>
      <c r="I10" s="381">
        <f>+G10/D10</f>
        <v>0.9456252260070875</v>
      </c>
      <c r="J10" s="105">
        <v>13000</v>
      </c>
      <c r="K10" s="106"/>
      <c r="L10" s="465">
        <f t="shared" si="3"/>
        <v>13000</v>
      </c>
      <c r="M10" s="380">
        <f t="shared" si="4"/>
        <v>-75.15999999999985</v>
      </c>
      <c r="N10" s="381">
        <f>+L10/G10</f>
        <v>0.9942516955815455</v>
      </c>
    </row>
    <row r="11" spans="1:14" s="2" customFormat="1" ht="15" customHeight="1">
      <c r="A11" s="525" t="s">
        <v>19</v>
      </c>
      <c r="B11" s="36">
        <v>4920</v>
      </c>
      <c r="C11" s="37">
        <v>299</v>
      </c>
      <c r="D11" s="288">
        <f t="shared" si="0"/>
        <v>5219</v>
      </c>
      <c r="E11" s="47">
        <v>1837.65</v>
      </c>
      <c r="F11" s="48">
        <v>302.1</v>
      </c>
      <c r="G11" s="465">
        <f t="shared" si="1"/>
        <v>2139.75</v>
      </c>
      <c r="H11" s="380">
        <f t="shared" si="2"/>
        <v>-3079.25</v>
      </c>
      <c r="I11" s="381">
        <f>+G11/D11</f>
        <v>0.40999233569649357</v>
      </c>
      <c r="J11" s="105">
        <v>1800</v>
      </c>
      <c r="K11" s="106">
        <v>300</v>
      </c>
      <c r="L11" s="465">
        <f t="shared" si="3"/>
        <v>2100</v>
      </c>
      <c r="M11" s="380">
        <f t="shared" si="4"/>
        <v>-39.75</v>
      </c>
      <c r="N11" s="381">
        <f>+L11/G11</f>
        <v>0.9814230634419909</v>
      </c>
    </row>
    <row r="12" spans="1:14" s="2" customFormat="1" ht="15" customHeight="1">
      <c r="A12" s="525" t="s">
        <v>20</v>
      </c>
      <c r="B12" s="36">
        <v>0</v>
      </c>
      <c r="C12" s="37">
        <v>0</v>
      </c>
      <c r="D12" s="288">
        <f t="shared" si="0"/>
        <v>0</v>
      </c>
      <c r="E12" s="47"/>
      <c r="F12" s="48"/>
      <c r="G12" s="465">
        <f t="shared" si="1"/>
        <v>0</v>
      </c>
      <c r="H12" s="380">
        <f t="shared" si="2"/>
        <v>0</v>
      </c>
      <c r="I12" s="381"/>
      <c r="J12" s="105"/>
      <c r="K12" s="106"/>
      <c r="L12" s="465">
        <f t="shared" si="3"/>
        <v>0</v>
      </c>
      <c r="M12" s="380">
        <f t="shared" si="4"/>
        <v>0</v>
      </c>
      <c r="N12" s="381"/>
    </row>
    <row r="13" spans="1:14" s="2" customFormat="1" ht="15" customHeight="1">
      <c r="A13" s="525" t="s">
        <v>21</v>
      </c>
      <c r="B13" s="36">
        <v>6026</v>
      </c>
      <c r="C13" s="37">
        <v>55</v>
      </c>
      <c r="D13" s="288">
        <f t="shared" si="0"/>
        <v>6081</v>
      </c>
      <c r="E13" s="47">
        <v>4788</v>
      </c>
      <c r="F13" s="48">
        <v>43.66</v>
      </c>
      <c r="G13" s="465">
        <f t="shared" si="1"/>
        <v>4831.66</v>
      </c>
      <c r="H13" s="380">
        <f t="shared" si="2"/>
        <v>-1249.3400000000001</v>
      </c>
      <c r="I13" s="381">
        <f>+G13/D13</f>
        <v>0.7945502384476237</v>
      </c>
      <c r="J13" s="105">
        <v>4460</v>
      </c>
      <c r="K13" s="106">
        <v>40</v>
      </c>
      <c r="L13" s="465">
        <f t="shared" si="3"/>
        <v>4500</v>
      </c>
      <c r="M13" s="380">
        <f t="shared" si="4"/>
        <v>-331.65999999999985</v>
      </c>
      <c r="N13" s="381">
        <f>+L13/G13</f>
        <v>0.9313569249491893</v>
      </c>
    </row>
    <row r="14" spans="1:14" s="2" customFormat="1" ht="15" customHeight="1">
      <c r="A14" s="525" t="s">
        <v>22</v>
      </c>
      <c r="B14" s="36">
        <v>0</v>
      </c>
      <c r="C14" s="37">
        <v>0</v>
      </c>
      <c r="D14" s="288">
        <f t="shared" si="0"/>
        <v>0</v>
      </c>
      <c r="E14" s="47"/>
      <c r="F14" s="48"/>
      <c r="G14" s="465">
        <f t="shared" si="1"/>
        <v>0</v>
      </c>
      <c r="H14" s="380">
        <f t="shared" si="2"/>
        <v>0</v>
      </c>
      <c r="I14" s="381"/>
      <c r="J14" s="105"/>
      <c r="K14" s="106"/>
      <c r="L14" s="465">
        <f t="shared" si="3"/>
        <v>0</v>
      </c>
      <c r="M14" s="380">
        <f t="shared" si="4"/>
        <v>0</v>
      </c>
      <c r="N14" s="381"/>
    </row>
    <row r="15" spans="1:14" s="2" customFormat="1" ht="15" customHeight="1" thickBot="1">
      <c r="A15" s="526" t="s">
        <v>23</v>
      </c>
      <c r="B15" s="52">
        <v>24713</v>
      </c>
      <c r="C15" s="53">
        <v>0</v>
      </c>
      <c r="D15" s="288">
        <f t="shared" si="0"/>
        <v>24713</v>
      </c>
      <c r="E15" s="54">
        <v>25252</v>
      </c>
      <c r="F15" s="53">
        <v>0</v>
      </c>
      <c r="G15" s="465">
        <f t="shared" si="1"/>
        <v>25252</v>
      </c>
      <c r="H15" s="380">
        <f t="shared" si="2"/>
        <v>539</v>
      </c>
      <c r="I15" s="527">
        <f aca="true" t="shared" si="5" ref="I15:I33">+G15/D15</f>
        <v>1.0218103831991259</v>
      </c>
      <c r="J15" s="457">
        <v>21200</v>
      </c>
      <c r="K15" s="458"/>
      <c r="L15" s="465">
        <f t="shared" si="3"/>
        <v>21200</v>
      </c>
      <c r="M15" s="380">
        <f t="shared" si="4"/>
        <v>-4052</v>
      </c>
      <c r="N15" s="527">
        <f aca="true" t="shared" si="6" ref="N15:N29">+L15/G15</f>
        <v>0.8395374623792174</v>
      </c>
    </row>
    <row r="16" spans="1:14" s="2" customFormat="1" ht="15" customHeight="1" thickBot="1">
      <c r="A16" s="460" t="s">
        <v>24</v>
      </c>
      <c r="B16" s="294">
        <f>SUM(B7+B8+B9+B10+B11+B13+B15)</f>
        <v>519856</v>
      </c>
      <c r="C16" s="62">
        <f>SUM(C7+C8+C9+C10+C11+C13+C15)</f>
        <v>2581</v>
      </c>
      <c r="D16" s="62">
        <f>SUM(D7+D8+D9+D10+D11+D13+D15)</f>
        <v>522437</v>
      </c>
      <c r="E16" s="61">
        <v>519856</v>
      </c>
      <c r="F16" s="62">
        <v>2581</v>
      </c>
      <c r="G16" s="62">
        <f>SUM(G7+G8+G9+G10+G11+G13+G15)</f>
        <v>534151.1299999999</v>
      </c>
      <c r="H16" s="462">
        <f t="shared" si="2"/>
        <v>11714.129999999888</v>
      </c>
      <c r="I16" s="528">
        <f t="shared" si="5"/>
        <v>1.0224220910846664</v>
      </c>
      <c r="J16" s="294">
        <f>SUM(J7+J8+J9+J10+J11+J13+J15)</f>
        <v>540377</v>
      </c>
      <c r="K16" s="132">
        <f>SUM(K7+K8+K9+K10+K11+K13+K15)</f>
        <v>3040</v>
      </c>
      <c r="L16" s="62">
        <f>SUM(L7+L8+L9+L10+L11+L13+L15)</f>
        <v>543417</v>
      </c>
      <c r="M16" s="462">
        <f t="shared" si="4"/>
        <v>9265.870000000112</v>
      </c>
      <c r="N16" s="528">
        <f t="shared" si="6"/>
        <v>1.0173469070448284</v>
      </c>
    </row>
    <row r="17" spans="1:14" s="2" customFormat="1" ht="15" customHeight="1">
      <c r="A17" s="529" t="s">
        <v>25</v>
      </c>
      <c r="B17" s="27">
        <v>138640</v>
      </c>
      <c r="C17" s="28">
        <v>571</v>
      </c>
      <c r="D17" s="288">
        <f aca="true" t="shared" si="7" ref="D17:D34">SUM(B17:C17)</f>
        <v>139211</v>
      </c>
      <c r="E17" s="395">
        <v>135467.04</v>
      </c>
      <c r="F17" s="296">
        <v>488.16</v>
      </c>
      <c r="G17" s="465">
        <f aca="true" t="shared" si="8" ref="G17:G34">SUM(E17:F17)</f>
        <v>135955.2</v>
      </c>
      <c r="H17" s="376">
        <f t="shared" si="2"/>
        <v>-3255.7999999999884</v>
      </c>
      <c r="I17" s="464">
        <f t="shared" si="5"/>
        <v>0.9766124803356058</v>
      </c>
      <c r="J17" s="308">
        <v>130047</v>
      </c>
      <c r="K17" s="103">
        <v>470</v>
      </c>
      <c r="L17" s="465">
        <f aca="true" t="shared" si="9" ref="L17:L34">SUM(J17:K17)</f>
        <v>130517</v>
      </c>
      <c r="M17" s="380">
        <f t="shared" si="4"/>
        <v>-5438.200000000012</v>
      </c>
      <c r="N17" s="464">
        <f t="shared" si="6"/>
        <v>0.9600000588429128</v>
      </c>
    </row>
    <row r="18" spans="1:14" s="2" customFormat="1" ht="15" customHeight="1">
      <c r="A18" s="525" t="s">
        <v>26</v>
      </c>
      <c r="B18" s="27">
        <v>4365</v>
      </c>
      <c r="C18" s="28">
        <v>0</v>
      </c>
      <c r="D18" s="288">
        <f t="shared" si="7"/>
        <v>4365</v>
      </c>
      <c r="E18" s="32">
        <v>5266</v>
      </c>
      <c r="F18" s="28">
        <v>0</v>
      </c>
      <c r="G18" s="465">
        <f t="shared" si="8"/>
        <v>5266</v>
      </c>
      <c r="H18" s="376">
        <f t="shared" si="2"/>
        <v>901</v>
      </c>
      <c r="I18" s="381">
        <f t="shared" si="5"/>
        <v>1.206414662084765</v>
      </c>
      <c r="J18" s="308">
        <v>5000</v>
      </c>
      <c r="K18" s="103"/>
      <c r="L18" s="465">
        <f t="shared" si="9"/>
        <v>5000</v>
      </c>
      <c r="M18" s="380">
        <f t="shared" si="4"/>
        <v>-266</v>
      </c>
      <c r="N18" s="381">
        <f t="shared" si="6"/>
        <v>0.94948727687049</v>
      </c>
    </row>
    <row r="19" spans="1:14" s="2" customFormat="1" ht="15" customHeight="1">
      <c r="A19" s="525" t="s">
        <v>27</v>
      </c>
      <c r="B19" s="36">
        <v>5475</v>
      </c>
      <c r="C19" s="37">
        <v>7</v>
      </c>
      <c r="D19" s="288">
        <f t="shared" si="7"/>
        <v>5482</v>
      </c>
      <c r="E19" s="300">
        <v>5792.23</v>
      </c>
      <c r="F19" s="48">
        <v>5.08</v>
      </c>
      <c r="G19" s="465">
        <f t="shared" si="8"/>
        <v>5797.3099999999995</v>
      </c>
      <c r="H19" s="376">
        <f t="shared" si="2"/>
        <v>315.3099999999995</v>
      </c>
      <c r="I19" s="381">
        <f t="shared" si="5"/>
        <v>1.0575173294418094</v>
      </c>
      <c r="J19" s="530">
        <v>5695</v>
      </c>
      <c r="K19" s="106">
        <v>5</v>
      </c>
      <c r="L19" s="465">
        <f t="shared" si="9"/>
        <v>5700</v>
      </c>
      <c r="M19" s="380">
        <f t="shared" si="4"/>
        <v>-97.30999999999949</v>
      </c>
      <c r="N19" s="381">
        <f t="shared" si="6"/>
        <v>0.9832146288537271</v>
      </c>
    </row>
    <row r="20" spans="1:14" s="2" customFormat="1" ht="15" customHeight="1">
      <c r="A20" s="525" t="s">
        <v>28</v>
      </c>
      <c r="B20" s="36">
        <v>12602</v>
      </c>
      <c r="C20" s="37">
        <v>103</v>
      </c>
      <c r="D20" s="288">
        <f t="shared" si="7"/>
        <v>12705</v>
      </c>
      <c r="E20" s="47">
        <v>13452.52</v>
      </c>
      <c r="F20" s="48">
        <v>95.09</v>
      </c>
      <c r="G20" s="465">
        <f t="shared" si="8"/>
        <v>13547.61</v>
      </c>
      <c r="H20" s="376">
        <f t="shared" si="2"/>
        <v>842.6100000000006</v>
      </c>
      <c r="I20" s="381">
        <f t="shared" si="5"/>
        <v>1.0663211334120426</v>
      </c>
      <c r="J20" s="105">
        <v>13402</v>
      </c>
      <c r="K20" s="106">
        <v>98</v>
      </c>
      <c r="L20" s="465">
        <f t="shared" si="9"/>
        <v>13500</v>
      </c>
      <c r="M20" s="380">
        <f t="shared" si="4"/>
        <v>-47.61000000000058</v>
      </c>
      <c r="N20" s="381">
        <f t="shared" si="6"/>
        <v>0.9964857270027702</v>
      </c>
    </row>
    <row r="21" spans="1:14" s="2" customFormat="1" ht="15" customHeight="1">
      <c r="A21" s="525" t="s">
        <v>29</v>
      </c>
      <c r="B21" s="36">
        <v>31407</v>
      </c>
      <c r="C21" s="37">
        <v>849</v>
      </c>
      <c r="D21" s="288">
        <f t="shared" si="7"/>
        <v>32256</v>
      </c>
      <c r="E21" s="47">
        <v>39685.7</v>
      </c>
      <c r="F21" s="48">
        <v>1409.77</v>
      </c>
      <c r="G21" s="465">
        <f t="shared" si="8"/>
        <v>41095.469999999994</v>
      </c>
      <c r="H21" s="376">
        <f t="shared" si="2"/>
        <v>8839.469999999994</v>
      </c>
      <c r="I21" s="381">
        <f t="shared" si="5"/>
        <v>1.2740411086309522</v>
      </c>
      <c r="J21" s="105">
        <v>39650</v>
      </c>
      <c r="K21" s="106">
        <v>1450</v>
      </c>
      <c r="L21" s="465">
        <f t="shared" si="9"/>
        <v>41100</v>
      </c>
      <c r="M21" s="380">
        <f t="shared" si="4"/>
        <v>4.530000000006112</v>
      </c>
      <c r="N21" s="381">
        <f t="shared" si="6"/>
        <v>1.0001102311276646</v>
      </c>
    </row>
    <row r="22" spans="1:14" s="2" customFormat="1" ht="15" customHeight="1">
      <c r="A22" s="525" t="s">
        <v>30</v>
      </c>
      <c r="B22" s="44">
        <v>56025</v>
      </c>
      <c r="C22" s="37">
        <v>45</v>
      </c>
      <c r="D22" s="288">
        <f t="shared" si="7"/>
        <v>56070</v>
      </c>
      <c r="E22" s="47">
        <v>58907.1</v>
      </c>
      <c r="F22" s="48">
        <v>48.69</v>
      </c>
      <c r="G22" s="465">
        <f t="shared" si="8"/>
        <v>58955.79</v>
      </c>
      <c r="H22" s="376">
        <f t="shared" si="2"/>
        <v>2885.790000000001</v>
      </c>
      <c r="I22" s="381">
        <f t="shared" si="5"/>
        <v>1.0514676297485286</v>
      </c>
      <c r="J22" s="105">
        <v>57752</v>
      </c>
      <c r="K22" s="106">
        <v>48</v>
      </c>
      <c r="L22" s="465">
        <f t="shared" si="9"/>
        <v>57800</v>
      </c>
      <c r="M22" s="380">
        <f t="shared" si="4"/>
        <v>-1155.7900000000009</v>
      </c>
      <c r="N22" s="381">
        <f t="shared" si="6"/>
        <v>0.9803956490108944</v>
      </c>
    </row>
    <row r="23" spans="1:14" s="2" customFormat="1" ht="15" customHeight="1">
      <c r="A23" s="525" t="s">
        <v>31</v>
      </c>
      <c r="B23" s="36">
        <v>5527</v>
      </c>
      <c r="C23" s="37">
        <v>5</v>
      </c>
      <c r="D23" s="288">
        <f t="shared" si="7"/>
        <v>5532</v>
      </c>
      <c r="E23" s="47">
        <v>7199.92</v>
      </c>
      <c r="F23" s="48">
        <v>1.78</v>
      </c>
      <c r="G23" s="465">
        <f t="shared" si="8"/>
        <v>7201.7</v>
      </c>
      <c r="H23" s="376">
        <f t="shared" si="2"/>
        <v>1669.6999999999998</v>
      </c>
      <c r="I23" s="381">
        <f t="shared" si="5"/>
        <v>1.3018257411424439</v>
      </c>
      <c r="J23" s="531">
        <v>5748</v>
      </c>
      <c r="K23" s="106">
        <v>2</v>
      </c>
      <c r="L23" s="465">
        <f t="shared" si="9"/>
        <v>5750</v>
      </c>
      <c r="M23" s="380">
        <f t="shared" si="4"/>
        <v>-1451.6999999999998</v>
      </c>
      <c r="N23" s="381">
        <f t="shared" si="6"/>
        <v>0.7984225946651485</v>
      </c>
    </row>
    <row r="24" spans="1:14" s="2" customFormat="1" ht="15" customHeight="1">
      <c r="A24" s="525" t="s">
        <v>32</v>
      </c>
      <c r="B24" s="36">
        <v>49843</v>
      </c>
      <c r="C24" s="37">
        <v>40</v>
      </c>
      <c r="D24" s="288">
        <f t="shared" si="7"/>
        <v>49883</v>
      </c>
      <c r="E24" s="47">
        <v>50931.18</v>
      </c>
      <c r="F24" s="48">
        <v>37.78</v>
      </c>
      <c r="G24" s="465">
        <f t="shared" si="8"/>
        <v>50968.96</v>
      </c>
      <c r="H24" s="376">
        <f t="shared" si="2"/>
        <v>1085.9599999999991</v>
      </c>
      <c r="I24" s="381">
        <f t="shared" si="5"/>
        <v>1.0217701421325902</v>
      </c>
      <c r="J24" s="531">
        <f>50962+4300</f>
        <v>55262</v>
      </c>
      <c r="K24" s="106">
        <v>38</v>
      </c>
      <c r="L24" s="465">
        <f t="shared" si="9"/>
        <v>55300</v>
      </c>
      <c r="M24" s="380">
        <f t="shared" si="4"/>
        <v>4331.040000000001</v>
      </c>
      <c r="N24" s="381">
        <f t="shared" si="6"/>
        <v>1.0849740704931001</v>
      </c>
    </row>
    <row r="25" spans="1:14" s="2" customFormat="1" ht="15" customHeight="1">
      <c r="A25" s="532" t="s">
        <v>33</v>
      </c>
      <c r="B25" s="44">
        <v>269881</v>
      </c>
      <c r="C25" s="37">
        <v>140</v>
      </c>
      <c r="D25" s="288">
        <f t="shared" si="7"/>
        <v>270021</v>
      </c>
      <c r="E25" s="300">
        <v>266879.15</v>
      </c>
      <c r="F25" s="48">
        <v>108.61</v>
      </c>
      <c r="G25" s="465">
        <f t="shared" si="8"/>
        <v>266987.76</v>
      </c>
      <c r="H25" s="376">
        <f t="shared" si="2"/>
        <v>-3033.2399999999907</v>
      </c>
      <c r="I25" s="381">
        <f t="shared" si="5"/>
        <v>0.9887666514826625</v>
      </c>
      <c r="J25" s="530">
        <v>281277</v>
      </c>
      <c r="K25" s="106">
        <v>123</v>
      </c>
      <c r="L25" s="465">
        <f t="shared" si="9"/>
        <v>281400</v>
      </c>
      <c r="M25" s="380">
        <f t="shared" si="4"/>
        <v>14412.23999999999</v>
      </c>
      <c r="N25" s="381">
        <f t="shared" si="6"/>
        <v>1.0539809015963877</v>
      </c>
    </row>
    <row r="26" spans="1:14" s="2" customFormat="1" ht="15" customHeight="1">
      <c r="A26" s="525" t="s">
        <v>34</v>
      </c>
      <c r="B26" s="36">
        <v>196951</v>
      </c>
      <c r="C26" s="37">
        <v>101</v>
      </c>
      <c r="D26" s="288">
        <f t="shared" si="7"/>
        <v>197052</v>
      </c>
      <c r="E26" s="300">
        <v>194866.08</v>
      </c>
      <c r="F26" s="48">
        <v>79.04</v>
      </c>
      <c r="G26" s="465">
        <f t="shared" si="8"/>
        <v>194945.12</v>
      </c>
      <c r="H26" s="376">
        <f t="shared" si="2"/>
        <v>-2106.8800000000047</v>
      </c>
      <c r="I26" s="381">
        <f t="shared" si="5"/>
        <v>0.9893079999188031</v>
      </c>
      <c r="J26" s="533">
        <v>205340</v>
      </c>
      <c r="K26" s="477">
        <v>90</v>
      </c>
      <c r="L26" s="465">
        <f t="shared" si="9"/>
        <v>205430</v>
      </c>
      <c r="M26" s="380">
        <f t="shared" si="4"/>
        <v>10484.880000000005</v>
      </c>
      <c r="N26" s="381">
        <f t="shared" si="6"/>
        <v>1.0537837520631448</v>
      </c>
    </row>
    <row r="27" spans="1:14" s="2" customFormat="1" ht="15" customHeight="1">
      <c r="A27" s="532" t="s">
        <v>35</v>
      </c>
      <c r="B27" s="36">
        <v>196247</v>
      </c>
      <c r="C27" s="37">
        <v>101</v>
      </c>
      <c r="D27" s="288">
        <f t="shared" si="7"/>
        <v>196348</v>
      </c>
      <c r="E27" s="300">
        <v>193645</v>
      </c>
      <c r="F27" s="48">
        <v>79</v>
      </c>
      <c r="G27" s="465">
        <f t="shared" si="8"/>
        <v>193724</v>
      </c>
      <c r="H27" s="376">
        <f t="shared" si="2"/>
        <v>-2624</v>
      </c>
      <c r="I27" s="381">
        <f t="shared" si="5"/>
        <v>0.9866359728645059</v>
      </c>
      <c r="J27" s="530">
        <v>204090</v>
      </c>
      <c r="K27" s="106"/>
      <c r="L27" s="465">
        <f t="shared" si="9"/>
        <v>204090</v>
      </c>
      <c r="M27" s="380">
        <f t="shared" si="4"/>
        <v>10366</v>
      </c>
      <c r="N27" s="381">
        <f t="shared" si="6"/>
        <v>1.0535091160620265</v>
      </c>
    </row>
    <row r="28" spans="1:14" s="2" customFormat="1" ht="15" customHeight="1">
      <c r="A28" s="525" t="s">
        <v>36</v>
      </c>
      <c r="B28" s="36">
        <v>704</v>
      </c>
      <c r="C28" s="37">
        <v>0</v>
      </c>
      <c r="D28" s="288">
        <f t="shared" si="7"/>
        <v>704</v>
      </c>
      <c r="E28" s="300">
        <v>1221</v>
      </c>
      <c r="F28" s="48"/>
      <c r="G28" s="465">
        <f t="shared" si="8"/>
        <v>1221</v>
      </c>
      <c r="H28" s="376">
        <f t="shared" si="2"/>
        <v>517</v>
      </c>
      <c r="I28" s="381">
        <f t="shared" si="5"/>
        <v>1.734375</v>
      </c>
      <c r="J28" s="530">
        <v>1250</v>
      </c>
      <c r="K28" s="106"/>
      <c r="L28" s="465">
        <f t="shared" si="9"/>
        <v>1250</v>
      </c>
      <c r="M28" s="380">
        <f t="shared" si="4"/>
        <v>29</v>
      </c>
      <c r="N28" s="381">
        <f t="shared" si="6"/>
        <v>1.0237510237510237</v>
      </c>
    </row>
    <row r="29" spans="1:14" s="2" customFormat="1" ht="15" customHeight="1">
      <c r="A29" s="525" t="s">
        <v>37</v>
      </c>
      <c r="B29" s="36">
        <v>73230</v>
      </c>
      <c r="C29" s="37">
        <v>39</v>
      </c>
      <c r="D29" s="288">
        <f t="shared" si="7"/>
        <v>73269</v>
      </c>
      <c r="E29" s="300">
        <v>72013.07</v>
      </c>
      <c r="F29" s="48">
        <v>29.57</v>
      </c>
      <c r="G29" s="465">
        <f t="shared" si="8"/>
        <v>72042.64000000001</v>
      </c>
      <c r="H29" s="376">
        <f t="shared" si="2"/>
        <v>-1226.359999999986</v>
      </c>
      <c r="I29" s="381">
        <f t="shared" si="5"/>
        <v>0.9832622254978233</v>
      </c>
      <c r="J29" s="530">
        <v>75937</v>
      </c>
      <c r="K29" s="106">
        <v>33</v>
      </c>
      <c r="L29" s="465">
        <f t="shared" si="9"/>
        <v>75970</v>
      </c>
      <c r="M29" s="380">
        <f t="shared" si="4"/>
        <v>3927.359999999986</v>
      </c>
      <c r="N29" s="381">
        <f t="shared" si="6"/>
        <v>1.0545143820381928</v>
      </c>
    </row>
    <row r="30" spans="1:14" s="2" customFormat="1" ht="15" customHeight="1">
      <c r="A30" s="532" t="s">
        <v>38</v>
      </c>
      <c r="B30" s="36">
        <v>0</v>
      </c>
      <c r="C30" s="37">
        <v>0</v>
      </c>
      <c r="D30" s="288">
        <f t="shared" si="7"/>
        <v>0</v>
      </c>
      <c r="E30" s="47"/>
      <c r="F30" s="48"/>
      <c r="G30" s="465">
        <f t="shared" si="8"/>
        <v>0</v>
      </c>
      <c r="H30" s="376">
        <f t="shared" si="2"/>
        <v>0</v>
      </c>
      <c r="I30" s="381" t="e">
        <f t="shared" si="5"/>
        <v>#DIV/0!</v>
      </c>
      <c r="J30" s="105"/>
      <c r="K30" s="106"/>
      <c r="L30" s="465">
        <f t="shared" si="9"/>
        <v>0</v>
      </c>
      <c r="M30" s="380">
        <f t="shared" si="4"/>
        <v>0</v>
      </c>
      <c r="N30" s="381"/>
    </row>
    <row r="31" spans="1:14" s="2" customFormat="1" ht="15" customHeight="1">
      <c r="A31" s="532" t="s">
        <v>39</v>
      </c>
      <c r="B31" s="36">
        <v>1891</v>
      </c>
      <c r="C31" s="37">
        <v>1</v>
      </c>
      <c r="D31" s="288">
        <f t="shared" si="7"/>
        <v>1892</v>
      </c>
      <c r="E31" s="47">
        <v>2328.73</v>
      </c>
      <c r="F31" s="48">
        <v>0.13</v>
      </c>
      <c r="G31" s="465">
        <f t="shared" si="8"/>
        <v>2328.86</v>
      </c>
      <c r="H31" s="376">
        <f t="shared" si="2"/>
        <v>436.8600000000001</v>
      </c>
      <c r="I31" s="381">
        <f t="shared" si="5"/>
        <v>1.2308985200845666</v>
      </c>
      <c r="J31" s="105">
        <v>2330</v>
      </c>
      <c r="K31" s="106">
        <v>70</v>
      </c>
      <c r="L31" s="465">
        <f t="shared" si="9"/>
        <v>2400</v>
      </c>
      <c r="M31" s="380">
        <f t="shared" si="4"/>
        <v>71.13999999999987</v>
      </c>
      <c r="N31" s="381">
        <f>+L31/G31</f>
        <v>1.030547134649571</v>
      </c>
    </row>
    <row r="32" spans="1:14" s="2" customFormat="1" ht="15" customHeight="1">
      <c r="A32" s="525" t="s">
        <v>40</v>
      </c>
      <c r="B32" s="36">
        <v>7057</v>
      </c>
      <c r="C32" s="37">
        <v>46</v>
      </c>
      <c r="D32" s="288">
        <f t="shared" si="7"/>
        <v>7103</v>
      </c>
      <c r="E32" s="47">
        <v>9277.76</v>
      </c>
      <c r="F32" s="48">
        <v>73.37</v>
      </c>
      <c r="G32" s="465">
        <f t="shared" si="8"/>
        <v>9351.130000000001</v>
      </c>
      <c r="H32" s="376">
        <f t="shared" si="2"/>
        <v>2248.130000000001</v>
      </c>
      <c r="I32" s="381">
        <f t="shared" si="5"/>
        <v>1.3165042939602987</v>
      </c>
      <c r="J32" s="531">
        <f>11000-4300</f>
        <v>6700</v>
      </c>
      <c r="K32" s="106"/>
      <c r="L32" s="465">
        <f t="shared" si="9"/>
        <v>6700</v>
      </c>
      <c r="M32" s="380">
        <f t="shared" si="4"/>
        <v>-2651.130000000001</v>
      </c>
      <c r="N32" s="381">
        <f>+L32/G32</f>
        <v>0.71649094815279</v>
      </c>
    </row>
    <row r="33" spans="1:14" s="2" customFormat="1" ht="15" customHeight="1">
      <c r="A33" s="525" t="s">
        <v>41</v>
      </c>
      <c r="B33" s="36">
        <v>1418</v>
      </c>
      <c r="C33" s="37">
        <v>0</v>
      </c>
      <c r="D33" s="288">
        <f t="shared" si="7"/>
        <v>1418</v>
      </c>
      <c r="E33" s="47">
        <v>4904.71</v>
      </c>
      <c r="F33" s="37">
        <v>0.43</v>
      </c>
      <c r="G33" s="465">
        <f t="shared" si="8"/>
        <v>4905.14</v>
      </c>
      <c r="H33" s="376">
        <f t="shared" si="2"/>
        <v>3487.1400000000003</v>
      </c>
      <c r="I33" s="381">
        <f t="shared" si="5"/>
        <v>3.459196050775741</v>
      </c>
      <c r="J33" s="531">
        <f>6500-4300</f>
        <v>2200</v>
      </c>
      <c r="K33" s="106"/>
      <c r="L33" s="465">
        <f t="shared" si="9"/>
        <v>2200</v>
      </c>
      <c r="M33" s="380">
        <f t="shared" si="4"/>
        <v>-2705.1400000000003</v>
      </c>
      <c r="N33" s="381">
        <f>+L33/G33</f>
        <v>0.448509114928422</v>
      </c>
    </row>
    <row r="34" spans="1:14" s="2" customFormat="1" ht="15" customHeight="1" thickBot="1">
      <c r="A34" s="534" t="s">
        <v>42</v>
      </c>
      <c r="B34" s="52">
        <v>0</v>
      </c>
      <c r="C34" s="53">
        <v>0</v>
      </c>
      <c r="D34" s="288">
        <f t="shared" si="7"/>
        <v>0</v>
      </c>
      <c r="E34" s="77"/>
      <c r="F34" s="53"/>
      <c r="G34" s="465">
        <f t="shared" si="8"/>
        <v>0</v>
      </c>
      <c r="H34" s="376">
        <f t="shared" si="2"/>
        <v>0</v>
      </c>
      <c r="I34" s="527"/>
      <c r="J34" s="117"/>
      <c r="K34" s="458"/>
      <c r="L34" s="465">
        <f t="shared" si="9"/>
        <v>0</v>
      </c>
      <c r="M34" s="380">
        <f t="shared" si="4"/>
        <v>0</v>
      </c>
      <c r="N34" s="527"/>
    </row>
    <row r="35" spans="1:14" s="2" customFormat="1" ht="15" customHeight="1" thickBot="1">
      <c r="A35" s="460" t="s">
        <v>43</v>
      </c>
      <c r="B35" s="61">
        <v>522978</v>
      </c>
      <c r="C35" s="62">
        <v>1762</v>
      </c>
      <c r="D35" s="62">
        <f>SUM(D17+D19+D20+D21+D22+D25+D30+D31+D32+D34)</f>
        <v>524740</v>
      </c>
      <c r="E35" s="61">
        <v>522978</v>
      </c>
      <c r="F35" s="62">
        <v>1762</v>
      </c>
      <c r="G35" s="62">
        <f>SUM(G17+G19+G20+G21+G22+G25+G30+G31+G32+G34)</f>
        <v>534019.13</v>
      </c>
      <c r="H35" s="462">
        <f t="shared" si="2"/>
        <v>9279.130000000005</v>
      </c>
      <c r="I35" s="528">
        <f>+G35/D35</f>
        <v>1.017683290772573</v>
      </c>
      <c r="J35" s="294">
        <f>SUM(J17+J19+J20+J21+J22+J25+J30+J31+J32+J34)</f>
        <v>536853</v>
      </c>
      <c r="K35" s="132">
        <f>SUM(K17+K19+K20+K21+K22+K25+K30+K31+K32+K34)</f>
        <v>2264</v>
      </c>
      <c r="L35" s="62">
        <f>SUM(L17+L19+L20+L21+L22+L25+L30+L31+L32+L34)</f>
        <v>539117</v>
      </c>
      <c r="M35" s="462">
        <f t="shared" si="4"/>
        <v>5097.869999999995</v>
      </c>
      <c r="N35" s="464">
        <f>+L35/G35</f>
        <v>1.0095462310498127</v>
      </c>
    </row>
    <row r="36" spans="1:14" ht="15" customHeight="1" thickBot="1">
      <c r="A36" s="460" t="s">
        <v>44</v>
      </c>
      <c r="B36" s="782">
        <f>+D16-D35</f>
        <v>-2303</v>
      </c>
      <c r="C36" s="946"/>
      <c r="D36" s="947"/>
      <c r="E36" s="782">
        <f>+G16-G35</f>
        <v>131.99999999988358</v>
      </c>
      <c r="F36" s="946"/>
      <c r="G36" s="947"/>
      <c r="H36" s="535"/>
      <c r="I36" s="536"/>
      <c r="J36" s="968">
        <v>0</v>
      </c>
      <c r="K36" s="783"/>
      <c r="L36" s="784"/>
      <c r="M36" s="537"/>
      <c r="N36" s="538"/>
    </row>
    <row r="37" spans="1:14" ht="20.25" customHeight="1" thickBot="1">
      <c r="A37" s="60" t="s">
        <v>45</v>
      </c>
      <c r="B37" s="782">
        <v>-16728.18</v>
      </c>
      <c r="C37" s="783"/>
      <c r="D37" s="784"/>
      <c r="E37" s="965">
        <v>-19030.78</v>
      </c>
      <c r="F37" s="966"/>
      <c r="G37" s="967"/>
      <c r="H37"/>
      <c r="I37"/>
      <c r="J37"/>
      <c r="K37"/>
      <c r="L37"/>
      <c r="M37"/>
      <c r="N37"/>
    </row>
    <row r="38" spans="1:14" ht="19.5" customHeight="1" thickBot="1">
      <c r="A38" s="81" t="s">
        <v>46</v>
      </c>
      <c r="B38" s="790">
        <f>SUM(B36:D37)</f>
        <v>-19031.18</v>
      </c>
      <c r="C38" s="791"/>
      <c r="D38" s="791"/>
      <c r="E38" s="782">
        <f>SUM(E36:G37)</f>
        <v>-18898.780000000115</v>
      </c>
      <c r="F38" s="783"/>
      <c r="G38" s="784"/>
      <c r="H38"/>
      <c r="I38"/>
      <c r="J38"/>
      <c r="K38"/>
      <c r="L38"/>
      <c r="M38"/>
      <c r="N38"/>
    </row>
    <row r="39" spans="1:14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.75" customHeight="1">
      <c r="A40" s="141"/>
      <c r="M40" s="521"/>
      <c r="N40" s="521"/>
    </row>
    <row r="41" spans="1:10" ht="2.25" customHeight="1" thickBot="1">
      <c r="A41" s="539"/>
      <c r="B41" s="539"/>
      <c r="C41" s="539"/>
      <c r="D41" s="539"/>
      <c r="E41" s="539"/>
      <c r="F41" s="539"/>
      <c r="G41" s="539"/>
      <c r="H41" s="336"/>
      <c r="I41" s="336"/>
      <c r="J41" s="322"/>
    </row>
    <row r="42" spans="1:30" ht="17.25" customHeight="1" thickBot="1">
      <c r="A42" s="830" t="s">
        <v>47</v>
      </c>
      <c r="B42" s="740"/>
      <c r="C42" s="740"/>
      <c r="D42" s="740"/>
      <c r="E42" s="740"/>
      <c r="F42" s="740"/>
      <c r="G42" s="740"/>
      <c r="H42" s="740"/>
      <c r="I42" s="741"/>
      <c r="J42" s="96"/>
      <c r="K42" s="716" t="s">
        <v>48</v>
      </c>
      <c r="L42" s="785"/>
      <c r="M42" s="785"/>
      <c r="N42" s="78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85" customFormat="1" ht="15.75" customHeight="1">
      <c r="A43" s="797" t="s">
        <v>49</v>
      </c>
      <c r="B43" s="799" t="s">
        <v>439</v>
      </c>
      <c r="C43" s="799"/>
      <c r="D43" s="799"/>
      <c r="E43" s="800"/>
      <c r="F43" s="801" t="s">
        <v>440</v>
      </c>
      <c r="G43" s="799"/>
      <c r="H43" s="799"/>
      <c r="I43" s="800"/>
      <c r="K43" s="304" t="s">
        <v>51</v>
      </c>
      <c r="L43" s="305" t="s">
        <v>52</v>
      </c>
      <c r="M43" s="306" t="s">
        <v>53</v>
      </c>
      <c r="N43" s="307" t="s">
        <v>54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ht="18" customHeight="1" thickBot="1">
      <c r="A44" s="798"/>
      <c r="B44" s="95">
        <v>2004</v>
      </c>
      <c r="C44" s="92">
        <v>2005</v>
      </c>
      <c r="D44" s="93" t="s">
        <v>13</v>
      </c>
      <c r="E44" s="94" t="s">
        <v>55</v>
      </c>
      <c r="F44" s="95">
        <v>2004</v>
      </c>
      <c r="G44" s="92">
        <v>2005</v>
      </c>
      <c r="H44" s="93" t="s">
        <v>13</v>
      </c>
      <c r="I44" s="94" t="s">
        <v>55</v>
      </c>
      <c r="J44" s="96"/>
      <c r="K44" s="97">
        <v>2004</v>
      </c>
      <c r="L44" s="98">
        <f>+M44+N44</f>
        <v>30600000</v>
      </c>
      <c r="M44" s="99">
        <f>23800000-800000</f>
        <v>23000000</v>
      </c>
      <c r="N44" s="100">
        <v>7600000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85" customFormat="1" ht="19.5" customHeight="1">
      <c r="A45" s="559" t="s">
        <v>389</v>
      </c>
      <c r="B45" s="308">
        <v>1535000</v>
      </c>
      <c r="C45" s="103">
        <v>920000</v>
      </c>
      <c r="D45" s="73">
        <f aca="true" t="shared" si="10" ref="D45:D53">+C45-B45</f>
        <v>-615000</v>
      </c>
      <c r="E45" s="104">
        <f>+C45/B45</f>
        <v>0.5993485342019544</v>
      </c>
      <c r="F45" s="105"/>
      <c r="G45" s="106"/>
      <c r="H45" s="73">
        <f aca="true" t="shared" si="11" ref="H45:H53">+G45-F45</f>
        <v>0</v>
      </c>
      <c r="I45" s="104"/>
      <c r="K45" s="97">
        <v>2005</v>
      </c>
      <c r="L45" s="106">
        <f>+C46+G46</f>
        <v>35700000</v>
      </c>
      <c r="M45" s="106">
        <v>27300000</v>
      </c>
      <c r="N45" s="107">
        <v>8400000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s="85" customFormat="1" ht="21" customHeight="1" thickBot="1">
      <c r="A46" s="558" t="s">
        <v>390</v>
      </c>
      <c r="B46" s="105">
        <v>21334000</v>
      </c>
      <c r="C46" s="103">
        <f>35700000-G46</f>
        <v>19805000</v>
      </c>
      <c r="D46" s="110">
        <f t="shared" si="10"/>
        <v>-1529000</v>
      </c>
      <c r="E46" s="111"/>
      <c r="F46" s="105">
        <v>9266000</v>
      </c>
      <c r="G46" s="106">
        <f>+D84</f>
        <v>15895000</v>
      </c>
      <c r="H46" s="110">
        <f t="shared" si="11"/>
        <v>6629000</v>
      </c>
      <c r="I46" s="111">
        <f>+G46/F46</f>
        <v>1.7154111806604793</v>
      </c>
      <c r="K46" s="112" t="s">
        <v>56</v>
      </c>
      <c r="L46" s="113">
        <f>+L45-L44</f>
        <v>5100000</v>
      </c>
      <c r="M46" s="114">
        <f>+M45-M44</f>
        <v>4300000</v>
      </c>
      <c r="N46" s="115">
        <f>+N45-N44</f>
        <v>800000</v>
      </c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s="85" customFormat="1" ht="21" customHeight="1">
      <c r="A47" s="127" t="s">
        <v>391</v>
      </c>
      <c r="B47" s="105">
        <v>1351724</v>
      </c>
      <c r="C47" s="103">
        <v>475000</v>
      </c>
      <c r="D47" s="37">
        <f t="shared" si="10"/>
        <v>-876724</v>
      </c>
      <c r="E47" s="111"/>
      <c r="F47" s="105"/>
      <c r="G47" s="106"/>
      <c r="H47" s="37">
        <f t="shared" si="11"/>
        <v>0</v>
      </c>
      <c r="I47" s="111"/>
      <c r="J47"/>
      <c r="K47" s="802" t="s">
        <v>434</v>
      </c>
      <c r="L47" s="803"/>
      <c r="M47" s="803"/>
      <c r="N47" s="804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s="85" customFormat="1" ht="21" customHeight="1">
      <c r="A48" s="127" t="s">
        <v>392</v>
      </c>
      <c r="B48" s="105">
        <v>12500</v>
      </c>
      <c r="C48" s="103"/>
      <c r="D48" s="37">
        <f t="shared" si="10"/>
        <v>-12500</v>
      </c>
      <c r="E48" s="111"/>
      <c r="F48" s="105"/>
      <c r="G48" s="106"/>
      <c r="H48" s="37">
        <f t="shared" si="11"/>
        <v>0</v>
      </c>
      <c r="I48" s="111"/>
      <c r="J48"/>
      <c r="K48" s="805">
        <v>2004</v>
      </c>
      <c r="L48" s="806"/>
      <c r="M48" s="806"/>
      <c r="N48" s="807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s="85" customFormat="1" ht="21" customHeight="1">
      <c r="A49" s="310" t="s">
        <v>57</v>
      </c>
      <c r="B49" s="117"/>
      <c r="C49" s="103"/>
      <c r="D49" s="37">
        <f t="shared" si="10"/>
        <v>0</v>
      </c>
      <c r="E49" s="111"/>
      <c r="F49" s="117">
        <v>18526000</v>
      </c>
      <c r="G49" s="118"/>
      <c r="H49" s="37">
        <f t="shared" si="11"/>
        <v>-18526000</v>
      </c>
      <c r="I49" s="111"/>
      <c r="J49"/>
      <c r="K49" s="119" t="s">
        <v>58</v>
      </c>
      <c r="L49" s="120" t="s">
        <v>60</v>
      </c>
      <c r="M49" s="121" t="s">
        <v>59</v>
      </c>
      <c r="N49" s="122" t="s">
        <v>61</v>
      </c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s="85" customFormat="1" ht="21" customHeight="1" thickBot="1">
      <c r="A50" s="309" t="s">
        <v>63</v>
      </c>
      <c r="B50" s="105"/>
      <c r="C50" s="103"/>
      <c r="D50" s="37">
        <f t="shared" si="10"/>
        <v>0</v>
      </c>
      <c r="E50" s="111"/>
      <c r="F50" s="105"/>
      <c r="G50" s="106">
        <f>+J84</f>
        <v>17240000</v>
      </c>
      <c r="H50" s="37">
        <f t="shared" si="11"/>
        <v>17240000</v>
      </c>
      <c r="I50" s="111"/>
      <c r="J50"/>
      <c r="K50" s="123">
        <f>+F46/L44</f>
        <v>0.3028104575163399</v>
      </c>
      <c r="L50" s="125">
        <f>+(10441044.74-6530373)/L44</f>
        <v>0.1277997300653595</v>
      </c>
      <c r="M50" s="124">
        <f>(17548912.2-11995627-197956.5)/L44</f>
        <v>0.17501074183006535</v>
      </c>
      <c r="N50" s="126">
        <f>+B46/L44</f>
        <v>0.6971895424836602</v>
      </c>
      <c r="O50" s="86"/>
      <c r="P50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s="85" customFormat="1" ht="21" customHeight="1">
      <c r="A51" s="309"/>
      <c r="B51" s="105"/>
      <c r="C51" s="103"/>
      <c r="D51" s="37">
        <f t="shared" si="10"/>
        <v>0</v>
      </c>
      <c r="E51" s="111"/>
      <c r="F51" s="105"/>
      <c r="G51" s="106"/>
      <c r="H51" s="37">
        <f t="shared" si="11"/>
        <v>0</v>
      </c>
      <c r="I51" s="111"/>
      <c r="J51"/>
      <c r="K51" s="767">
        <v>2005</v>
      </c>
      <c r="L51" s="768"/>
      <c r="M51" s="768"/>
      <c r="N51" s="769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s="85" customFormat="1" ht="21" customHeight="1" thickBot="1">
      <c r="A52" s="309" t="s">
        <v>62</v>
      </c>
      <c r="B52" s="105">
        <v>1019047</v>
      </c>
      <c r="C52" s="103"/>
      <c r="D52" s="37">
        <f t="shared" si="10"/>
        <v>-1019047</v>
      </c>
      <c r="E52" s="111"/>
      <c r="F52" s="105">
        <v>197957</v>
      </c>
      <c r="G52" s="129"/>
      <c r="H52" s="37">
        <f t="shared" si="11"/>
        <v>-197957</v>
      </c>
      <c r="I52" s="111"/>
      <c r="J52"/>
      <c r="K52" s="119" t="s">
        <v>52</v>
      </c>
      <c r="L52" s="120" t="s">
        <v>60</v>
      </c>
      <c r="M52" s="121" t="s">
        <v>59</v>
      </c>
      <c r="N52" s="122" t="s">
        <v>61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s="85" customFormat="1" ht="18.75" customHeight="1" thickBot="1">
      <c r="A53" s="311" t="s">
        <v>64</v>
      </c>
      <c r="B53" s="66">
        <f>SUM(B45:B52)</f>
        <v>25252271</v>
      </c>
      <c r="C53" s="132">
        <f>SUM(C45:C52)</f>
        <v>21200000</v>
      </c>
      <c r="D53" s="133">
        <f t="shared" si="10"/>
        <v>-4052271</v>
      </c>
      <c r="E53" s="134">
        <f>+C53/B53</f>
        <v>0.8395284527082733</v>
      </c>
      <c r="F53" s="66">
        <f>SUM(F45:F52)</f>
        <v>27989957</v>
      </c>
      <c r="G53" s="132">
        <f>SUM(G45:G52)</f>
        <v>33135000</v>
      </c>
      <c r="H53" s="133">
        <f t="shared" si="11"/>
        <v>5145043</v>
      </c>
      <c r="I53" s="134">
        <f>+G53/F53</f>
        <v>1.183817467100789</v>
      </c>
      <c r="K53" s="123">
        <f>+G46/L45</f>
        <v>0.4452380952380952</v>
      </c>
      <c r="L53" s="124">
        <f>+D64/L45</f>
        <v>0.15815126050420167</v>
      </c>
      <c r="M53" s="125">
        <f>+D82/L45</f>
        <v>0.28708683473389357</v>
      </c>
      <c r="N53" s="126">
        <f>+C46/L45</f>
        <v>0.5547619047619048</v>
      </c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3.75" customHeight="1" thickBo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33" ht="33" customHeight="1">
      <c r="A56" s="884" t="s">
        <v>449</v>
      </c>
      <c r="B56" s="772" t="s">
        <v>352</v>
      </c>
      <c r="C56" s="772"/>
      <c r="D56" s="772" t="s">
        <v>66</v>
      </c>
      <c r="E56" s="730"/>
      <c r="F56" s="730" t="s">
        <v>67</v>
      </c>
      <c r="G56" s="731"/>
      <c r="H56" s="776"/>
      <c r="I56" s="777"/>
      <c r="J56" s="730" t="s">
        <v>63</v>
      </c>
      <c r="K56" s="809"/>
      <c r="L56" s="772" t="s">
        <v>353</v>
      </c>
      <c r="M56" s="73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1.75" customHeight="1" thickBot="1">
      <c r="A57" s="737"/>
      <c r="B57" s="808" t="s">
        <v>354</v>
      </c>
      <c r="C57" s="735"/>
      <c r="D57" s="735" t="s">
        <v>70</v>
      </c>
      <c r="E57" s="736"/>
      <c r="F57" s="792" t="s">
        <v>71</v>
      </c>
      <c r="G57" s="792"/>
      <c r="H57" s="735" t="s">
        <v>72</v>
      </c>
      <c r="I57" s="735"/>
      <c r="J57" s="735" t="s">
        <v>73</v>
      </c>
      <c r="K57" s="735"/>
      <c r="L57" s="735" t="s">
        <v>74</v>
      </c>
      <c r="M57" s="73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19" ht="29.25" customHeight="1">
      <c r="A58" s="540" t="s">
        <v>355</v>
      </c>
      <c r="B58" s="948"/>
      <c r="C58" s="948"/>
      <c r="D58" s="948"/>
      <c r="E58" s="948"/>
      <c r="F58" s="948"/>
      <c r="G58" s="948"/>
      <c r="H58" s="948"/>
      <c r="I58" s="948"/>
      <c r="J58" s="948">
        <v>4600000</v>
      </c>
      <c r="K58" s="948"/>
      <c r="L58" s="948">
        <f>+B58+D58+F58+H58+J58</f>
        <v>4600000</v>
      </c>
      <c r="M58" s="950"/>
      <c r="N58" s="1"/>
      <c r="P58" s="1"/>
      <c r="Q58" s="1"/>
      <c r="R58" s="1"/>
      <c r="S58" s="1"/>
    </row>
    <row r="59" spans="1:19" ht="28.5" customHeight="1">
      <c r="A59" s="541" t="s">
        <v>356</v>
      </c>
      <c r="B59" s="819"/>
      <c r="C59" s="819"/>
      <c r="D59" s="819">
        <v>2046000</v>
      </c>
      <c r="E59" s="819"/>
      <c r="F59" s="819"/>
      <c r="G59" s="819"/>
      <c r="H59" s="819"/>
      <c r="I59" s="819"/>
      <c r="J59" s="819"/>
      <c r="K59" s="819"/>
      <c r="L59" s="819">
        <f>SUM(B59:J59)</f>
        <v>2046000</v>
      </c>
      <c r="M59" s="827"/>
      <c r="N59" s="1"/>
      <c r="P59" s="1"/>
      <c r="Q59" s="1"/>
      <c r="R59" s="1"/>
      <c r="S59" s="1"/>
    </row>
    <row r="60" spans="1:19" ht="23.25" customHeight="1">
      <c r="A60" s="542" t="s">
        <v>357</v>
      </c>
      <c r="B60" s="948"/>
      <c r="C60" s="948"/>
      <c r="D60" s="948">
        <v>1000000</v>
      </c>
      <c r="E60" s="948"/>
      <c r="F60" s="948"/>
      <c r="G60" s="948"/>
      <c r="H60" s="948"/>
      <c r="I60" s="948"/>
      <c r="J60" s="948"/>
      <c r="K60" s="948"/>
      <c r="L60" s="948">
        <f>SUM(B60:J60)</f>
        <v>1000000</v>
      </c>
      <c r="M60" s="950"/>
      <c r="N60" s="1"/>
      <c r="P60" s="1"/>
      <c r="Q60" s="1"/>
      <c r="R60" s="1"/>
      <c r="S60" s="1"/>
    </row>
    <row r="61" spans="1:19" ht="14.25" customHeight="1">
      <c r="A61" s="543" t="s">
        <v>358</v>
      </c>
      <c r="B61" s="948"/>
      <c r="C61" s="948"/>
      <c r="D61" s="948">
        <v>2400000</v>
      </c>
      <c r="E61" s="948"/>
      <c r="F61" s="948"/>
      <c r="G61" s="948"/>
      <c r="H61" s="948"/>
      <c r="I61" s="948"/>
      <c r="J61" s="948"/>
      <c r="K61" s="948"/>
      <c r="L61" s="948">
        <f>SUM(B61:J61)</f>
        <v>2400000</v>
      </c>
      <c r="M61" s="950"/>
      <c r="N61" s="1"/>
      <c r="P61" s="1"/>
      <c r="Q61" s="1"/>
      <c r="R61" s="1"/>
      <c r="S61" s="1"/>
    </row>
    <row r="62" spans="1:19" ht="14.25" customHeight="1">
      <c r="A62" s="543" t="s">
        <v>359</v>
      </c>
      <c r="B62" s="948">
        <v>500000</v>
      </c>
      <c r="C62" s="948"/>
      <c r="D62" s="948">
        <v>200000</v>
      </c>
      <c r="E62" s="948"/>
      <c r="F62" s="948"/>
      <c r="G62" s="948"/>
      <c r="H62" s="948"/>
      <c r="I62" s="948"/>
      <c r="J62" s="948"/>
      <c r="K62" s="948"/>
      <c r="L62" s="948">
        <f>SUM(C62:J62)</f>
        <v>200000</v>
      </c>
      <c r="M62" s="950"/>
      <c r="N62" s="1"/>
      <c r="P62" s="1"/>
      <c r="Q62" s="1"/>
      <c r="R62" s="1"/>
      <c r="S62" s="1"/>
    </row>
    <row r="63" spans="1:19" ht="30" customHeight="1" thickBot="1">
      <c r="A63" s="543" t="s">
        <v>360</v>
      </c>
      <c r="B63" s="948">
        <v>11000000</v>
      </c>
      <c r="C63" s="948"/>
      <c r="D63" s="948"/>
      <c r="E63" s="948"/>
      <c r="F63" s="948"/>
      <c r="G63" s="948"/>
      <c r="H63" s="948"/>
      <c r="I63" s="948"/>
      <c r="J63" s="948"/>
      <c r="K63" s="948"/>
      <c r="L63" s="948">
        <f>SUM(C63:J63)</f>
        <v>0</v>
      </c>
      <c r="M63" s="950"/>
      <c r="N63" s="1"/>
      <c r="P63" s="1"/>
      <c r="Q63" s="1"/>
      <c r="R63" s="1"/>
      <c r="S63" s="1"/>
    </row>
    <row r="64" spans="1:19" ht="18.75" customHeight="1" thickBot="1">
      <c r="A64" s="142" t="s">
        <v>451</v>
      </c>
      <c r="B64" s="726">
        <f>SUM(B59:B62)</f>
        <v>500000</v>
      </c>
      <c r="C64" s="726"/>
      <c r="D64" s="726">
        <f>+D59+D60+D61+D62</f>
        <v>5646000</v>
      </c>
      <c r="E64" s="726"/>
      <c r="F64" s="726">
        <f>SUM(F59:F62)</f>
        <v>0</v>
      </c>
      <c r="G64" s="726"/>
      <c r="H64" s="726">
        <f>SUM(H59:H62)</f>
        <v>0</v>
      </c>
      <c r="I64" s="726"/>
      <c r="J64" s="726">
        <f>+J58+J59+J60+J61+J62</f>
        <v>4600000</v>
      </c>
      <c r="K64" s="726"/>
      <c r="L64" s="726">
        <f>+L58+L59+L60+L61+L62+L63</f>
        <v>10246000</v>
      </c>
      <c r="M64" s="729"/>
      <c r="N64" s="1"/>
      <c r="P64" s="1"/>
      <c r="Q64" s="1"/>
      <c r="R64" s="1"/>
      <c r="S64" s="1"/>
    </row>
    <row r="65" spans="1:14" ht="13.5" thickBo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33" ht="33.75" customHeight="1">
      <c r="A66" s="884" t="s">
        <v>450</v>
      </c>
      <c r="B66" s="772" t="s">
        <v>65</v>
      </c>
      <c r="C66" s="772"/>
      <c r="D66" s="772" t="s">
        <v>66</v>
      </c>
      <c r="E66" s="730"/>
      <c r="F66" s="730" t="s">
        <v>67</v>
      </c>
      <c r="G66" s="731"/>
      <c r="H66" s="776" t="s">
        <v>80</v>
      </c>
      <c r="I66" s="777"/>
      <c r="J66" s="730" t="s">
        <v>63</v>
      </c>
      <c r="K66" s="809"/>
      <c r="L66" s="772" t="s">
        <v>81</v>
      </c>
      <c r="M66" s="73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2.5" customHeight="1" thickBot="1">
      <c r="A67" s="737" t="s">
        <v>82</v>
      </c>
      <c r="B67" s="808" t="s">
        <v>69</v>
      </c>
      <c r="C67" s="735"/>
      <c r="D67" s="735" t="s">
        <v>70</v>
      </c>
      <c r="E67" s="736"/>
      <c r="F67" s="734" t="s">
        <v>83</v>
      </c>
      <c r="G67" s="735"/>
      <c r="H67" s="735" t="s">
        <v>72</v>
      </c>
      <c r="I67" s="735"/>
      <c r="J67" s="735" t="s">
        <v>73</v>
      </c>
      <c r="K67" s="735"/>
      <c r="L67" s="735" t="s">
        <v>74</v>
      </c>
      <c r="M67" s="73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>
      <c r="A68" s="543" t="s">
        <v>361</v>
      </c>
      <c r="B68" s="891"/>
      <c r="C68" s="819"/>
      <c r="D68" s="819">
        <v>464000</v>
      </c>
      <c r="E68" s="819"/>
      <c r="F68" s="819"/>
      <c r="G68" s="819"/>
      <c r="H68" s="819"/>
      <c r="I68" s="819"/>
      <c r="J68" s="819"/>
      <c r="K68" s="819"/>
      <c r="L68" s="819">
        <f>+B68+D68+F68+H68+J68</f>
        <v>464000</v>
      </c>
      <c r="M68" s="82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9.5" customHeight="1">
      <c r="A69" s="543" t="s">
        <v>362</v>
      </c>
      <c r="B69" s="891"/>
      <c r="C69" s="819"/>
      <c r="D69" s="819">
        <v>0</v>
      </c>
      <c r="E69" s="819"/>
      <c r="F69" s="819"/>
      <c r="G69" s="819"/>
      <c r="H69" s="819"/>
      <c r="I69" s="819"/>
      <c r="J69" s="819">
        <v>12640000</v>
      </c>
      <c r="K69" s="819"/>
      <c r="L69" s="819">
        <f>SUM(B69:K69)</f>
        <v>12640000</v>
      </c>
      <c r="M69" s="82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" customHeight="1">
      <c r="A70" s="543" t="s">
        <v>363</v>
      </c>
      <c r="B70" s="891"/>
      <c r="C70" s="819"/>
      <c r="D70" s="819">
        <v>110000</v>
      </c>
      <c r="E70" s="819"/>
      <c r="F70" s="819"/>
      <c r="G70" s="819"/>
      <c r="H70" s="819"/>
      <c r="I70" s="819"/>
      <c r="J70" s="819"/>
      <c r="K70" s="819"/>
      <c r="L70" s="819">
        <f>+B70+D70+F70+H70+J70</f>
        <v>110000</v>
      </c>
      <c r="M70" s="82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" customHeight="1">
      <c r="A71" s="543" t="s">
        <v>364</v>
      </c>
      <c r="B71" s="891"/>
      <c r="C71" s="819"/>
      <c r="D71" s="819">
        <v>250000</v>
      </c>
      <c r="E71" s="819"/>
      <c r="F71" s="819"/>
      <c r="G71" s="819"/>
      <c r="H71" s="819"/>
      <c r="I71" s="819"/>
      <c r="J71" s="819"/>
      <c r="K71" s="819"/>
      <c r="L71" s="819">
        <f>+B71+D71+F71+H71+J71</f>
        <v>250000</v>
      </c>
      <c r="M71" s="82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" customHeight="1">
      <c r="A72" s="543" t="s">
        <v>365</v>
      </c>
      <c r="B72" s="891"/>
      <c r="C72" s="819"/>
      <c r="D72" s="819">
        <v>75000</v>
      </c>
      <c r="E72" s="819"/>
      <c r="F72" s="819"/>
      <c r="G72" s="819"/>
      <c r="H72" s="819"/>
      <c r="I72" s="819"/>
      <c r="J72" s="819"/>
      <c r="K72" s="819"/>
      <c r="L72" s="819">
        <f>+B72+D72+F72+H72+J72</f>
        <v>75000</v>
      </c>
      <c r="M72" s="82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" customHeight="1">
      <c r="A73" s="543" t="s">
        <v>366</v>
      </c>
      <c r="B73" s="891"/>
      <c r="C73" s="819"/>
      <c r="D73" s="819">
        <v>450000</v>
      </c>
      <c r="E73" s="819"/>
      <c r="F73" s="819"/>
      <c r="G73" s="819"/>
      <c r="H73" s="819"/>
      <c r="I73" s="819"/>
      <c r="J73" s="819"/>
      <c r="K73" s="819"/>
      <c r="L73" s="819">
        <f aca="true" t="shared" si="12" ref="L73:L81">SUM(B73:K73)</f>
        <v>450000</v>
      </c>
      <c r="M73" s="82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" customHeight="1">
      <c r="A74" s="543" t="s">
        <v>367</v>
      </c>
      <c r="B74" s="891"/>
      <c r="C74" s="819"/>
      <c r="D74" s="819">
        <v>200000</v>
      </c>
      <c r="E74" s="819"/>
      <c r="F74" s="819"/>
      <c r="G74" s="819"/>
      <c r="H74" s="819"/>
      <c r="I74" s="819"/>
      <c r="J74" s="819"/>
      <c r="K74" s="819"/>
      <c r="L74" s="819">
        <f t="shared" si="12"/>
        <v>200000</v>
      </c>
      <c r="M74" s="82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" customHeight="1">
      <c r="A75" s="543" t="s">
        <v>368</v>
      </c>
      <c r="B75" s="891"/>
      <c r="C75" s="819"/>
      <c r="D75" s="819">
        <v>800000</v>
      </c>
      <c r="E75" s="819"/>
      <c r="F75" s="819"/>
      <c r="G75" s="819"/>
      <c r="H75" s="819"/>
      <c r="I75" s="819"/>
      <c r="J75" s="819"/>
      <c r="K75" s="819"/>
      <c r="L75" s="819">
        <f t="shared" si="12"/>
        <v>800000</v>
      </c>
      <c r="M75" s="82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" customHeight="1">
      <c r="A76" s="543" t="s">
        <v>369</v>
      </c>
      <c r="B76" s="891"/>
      <c r="C76" s="819"/>
      <c r="D76" s="819">
        <v>800000</v>
      </c>
      <c r="E76" s="819"/>
      <c r="F76" s="819"/>
      <c r="G76" s="819"/>
      <c r="H76" s="819"/>
      <c r="I76" s="819"/>
      <c r="J76" s="819"/>
      <c r="K76" s="819"/>
      <c r="L76" s="819">
        <f t="shared" si="12"/>
        <v>800000</v>
      </c>
      <c r="M76" s="82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" customHeight="1">
      <c r="A77" s="543" t="s">
        <v>370</v>
      </c>
      <c r="B77" s="891"/>
      <c r="C77" s="819"/>
      <c r="D77" s="819">
        <v>1000000</v>
      </c>
      <c r="E77" s="819"/>
      <c r="F77" s="819"/>
      <c r="G77" s="819"/>
      <c r="H77" s="819"/>
      <c r="I77" s="819"/>
      <c r="J77" s="819"/>
      <c r="K77" s="819"/>
      <c r="L77" s="819">
        <f t="shared" si="12"/>
        <v>1000000</v>
      </c>
      <c r="M77" s="82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" customHeight="1">
      <c r="A78" s="542" t="s">
        <v>357</v>
      </c>
      <c r="B78" s="891"/>
      <c r="C78" s="819"/>
      <c r="D78" s="819">
        <v>100000</v>
      </c>
      <c r="E78" s="819"/>
      <c r="F78" s="819"/>
      <c r="G78" s="819"/>
      <c r="H78" s="819"/>
      <c r="I78" s="819"/>
      <c r="J78" s="819"/>
      <c r="K78" s="819"/>
      <c r="L78" s="819">
        <f t="shared" si="12"/>
        <v>100000</v>
      </c>
      <c r="M78" s="82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" customHeight="1">
      <c r="A79" s="543" t="s">
        <v>358</v>
      </c>
      <c r="B79" s="891"/>
      <c r="C79" s="819"/>
      <c r="D79" s="819">
        <v>600000</v>
      </c>
      <c r="E79" s="819"/>
      <c r="F79" s="819"/>
      <c r="G79" s="819"/>
      <c r="H79" s="819"/>
      <c r="I79" s="819"/>
      <c r="J79" s="819"/>
      <c r="K79" s="819"/>
      <c r="L79" s="819">
        <f t="shared" si="12"/>
        <v>600000</v>
      </c>
      <c r="M79" s="82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" customHeight="1">
      <c r="A80" s="543" t="s">
        <v>359</v>
      </c>
      <c r="B80" s="891"/>
      <c r="C80" s="819"/>
      <c r="D80" s="819">
        <v>1100000</v>
      </c>
      <c r="E80" s="819"/>
      <c r="F80" s="819"/>
      <c r="G80" s="819"/>
      <c r="H80" s="819"/>
      <c r="I80" s="819"/>
      <c r="J80" s="819"/>
      <c r="K80" s="819"/>
      <c r="L80" s="819">
        <f t="shared" si="12"/>
        <v>1100000</v>
      </c>
      <c r="M80" s="82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" customHeight="1" thickBot="1">
      <c r="A81" s="543" t="s">
        <v>371</v>
      </c>
      <c r="B81" s="891"/>
      <c r="C81" s="819"/>
      <c r="D81" s="819">
        <v>4300000</v>
      </c>
      <c r="E81" s="819"/>
      <c r="F81" s="819"/>
      <c r="G81" s="819"/>
      <c r="H81" s="819"/>
      <c r="I81" s="819"/>
      <c r="J81" s="819"/>
      <c r="K81" s="819"/>
      <c r="L81" s="819">
        <f t="shared" si="12"/>
        <v>4300000</v>
      </c>
      <c r="M81" s="82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13" s="319" customFormat="1" ht="18" customHeight="1" thickBot="1">
      <c r="A82" s="142" t="s">
        <v>446</v>
      </c>
      <c r="B82" s="810">
        <f>SUM(B68:B73)</f>
        <v>0</v>
      </c>
      <c r="C82" s="726"/>
      <c r="D82" s="726">
        <f>+D68+D69+D70+D71+D72+D73+D74+D75+D76+D77+D78+D79+D80+D81</f>
        <v>10249000</v>
      </c>
      <c r="E82" s="726"/>
      <c r="F82" s="726">
        <f>SUM(F68:F73)</f>
        <v>0</v>
      </c>
      <c r="G82" s="726"/>
      <c r="H82" s="726">
        <f>SUM(H68:H73)</f>
        <v>0</v>
      </c>
      <c r="I82" s="726"/>
      <c r="J82" s="726">
        <f>SUM(J68:J73)</f>
        <v>12640000</v>
      </c>
      <c r="K82" s="726"/>
      <c r="L82" s="726">
        <f>SUM(L70:L81,L68:L69)</f>
        <v>22889000</v>
      </c>
      <c r="M82" s="729"/>
    </row>
    <row r="83" spans="1:33" ht="3.75" customHeight="1" thickBot="1">
      <c r="A83" s="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13" s="319" customFormat="1" ht="18" customHeight="1" thickBot="1">
      <c r="A84" s="147" t="s">
        <v>95</v>
      </c>
      <c r="B84" s="726">
        <f>+B82+B64</f>
        <v>500000</v>
      </c>
      <c r="C84" s="726"/>
      <c r="D84" s="810">
        <f>+D82+D64</f>
        <v>15895000</v>
      </c>
      <c r="E84" s="727"/>
      <c r="F84" s="726">
        <f>+F82+F64</f>
        <v>0</v>
      </c>
      <c r="G84" s="726"/>
      <c r="H84" s="810">
        <f>+H82+H64</f>
        <v>0</v>
      </c>
      <c r="I84" s="727"/>
      <c r="J84" s="726">
        <f>+J82+J64</f>
        <v>17240000</v>
      </c>
      <c r="K84" s="726"/>
      <c r="L84" s="810">
        <f>+L82+L64</f>
        <v>33135000</v>
      </c>
      <c r="M84" s="729"/>
    </row>
    <row r="85" ht="14.25" customHeight="1" thickBot="1"/>
    <row r="86" spans="1:14" ht="25.5" customHeight="1" thickBot="1">
      <c r="A86" s="148" t="s">
        <v>96</v>
      </c>
      <c r="B86" s="149" t="s">
        <v>97</v>
      </c>
      <c r="C86" s="684" t="s">
        <v>98</v>
      </c>
      <c r="D86" s="685"/>
      <c r="E86" s="686"/>
      <c r="F86" s="138" t="s">
        <v>97</v>
      </c>
      <c r="G86"/>
      <c r="H86"/>
      <c r="I86"/>
      <c r="J86"/>
      <c r="K86"/>
      <c r="L86"/>
      <c r="M86"/>
      <c r="N86"/>
    </row>
    <row r="87" spans="1:6" s="85" customFormat="1" ht="14.25" customHeight="1">
      <c r="A87" s="150" t="s">
        <v>375</v>
      </c>
      <c r="B87" s="151">
        <v>700</v>
      </c>
      <c r="C87" s="978" t="s">
        <v>384</v>
      </c>
      <c r="D87" s="979"/>
      <c r="E87" s="980"/>
      <c r="F87" s="152">
        <v>600</v>
      </c>
    </row>
    <row r="88" spans="1:6" s="85" customFormat="1" ht="14.25" customHeight="1">
      <c r="A88" s="153" t="s">
        <v>376</v>
      </c>
      <c r="B88" s="154">
        <v>100</v>
      </c>
      <c r="C88" s="981" t="s">
        <v>385</v>
      </c>
      <c r="D88" s="982"/>
      <c r="E88" s="812"/>
      <c r="F88" s="155">
        <v>3500</v>
      </c>
    </row>
    <row r="89" spans="1:6" s="85" customFormat="1" ht="14.25" customHeight="1">
      <c r="A89" s="153" t="s">
        <v>377</v>
      </c>
      <c r="B89" s="154">
        <v>250</v>
      </c>
      <c r="C89" s="981" t="s">
        <v>386</v>
      </c>
      <c r="D89" s="982"/>
      <c r="E89" s="812"/>
      <c r="F89" s="155">
        <v>350</v>
      </c>
    </row>
    <row r="90" spans="1:6" s="85" customFormat="1" ht="14.25" customHeight="1">
      <c r="A90" s="153" t="s">
        <v>378</v>
      </c>
      <c r="B90" s="154">
        <v>30</v>
      </c>
      <c r="C90" s="691"/>
      <c r="D90" s="692"/>
      <c r="E90" s="693"/>
      <c r="F90" s="155"/>
    </row>
    <row r="91" spans="1:6" s="85" customFormat="1" ht="14.25" customHeight="1">
      <c r="A91" s="153" t="s">
        <v>379</v>
      </c>
      <c r="B91" s="154">
        <v>60</v>
      </c>
      <c r="C91" s="691"/>
      <c r="D91" s="692"/>
      <c r="E91" s="693"/>
      <c r="F91" s="155"/>
    </row>
    <row r="92" spans="1:6" s="85" customFormat="1" ht="14.25" customHeight="1">
      <c r="A92" s="153" t="s">
        <v>380</v>
      </c>
      <c r="B92" s="154">
        <v>70</v>
      </c>
      <c r="C92" s="691"/>
      <c r="D92" s="692"/>
      <c r="E92" s="693"/>
      <c r="F92" s="155"/>
    </row>
    <row r="93" spans="1:6" s="85" customFormat="1" ht="14.25" customHeight="1">
      <c r="A93" s="153" t="s">
        <v>381</v>
      </c>
      <c r="B93" s="154">
        <v>20</v>
      </c>
      <c r="C93" s="691"/>
      <c r="D93" s="692"/>
      <c r="E93" s="693"/>
      <c r="F93" s="155"/>
    </row>
    <row r="94" spans="1:6" s="85" customFormat="1" ht="14.25" customHeight="1">
      <c r="A94" s="153" t="s">
        <v>382</v>
      </c>
      <c r="B94" s="154">
        <v>10</v>
      </c>
      <c r="C94" s="691"/>
      <c r="D94" s="692"/>
      <c r="E94" s="693"/>
      <c r="F94" s="155"/>
    </row>
    <row r="95" spans="1:6" s="85" customFormat="1" ht="14.25" customHeight="1" thickBot="1">
      <c r="A95" s="153" t="s">
        <v>383</v>
      </c>
      <c r="B95" s="154">
        <v>60</v>
      </c>
      <c r="C95" s="691"/>
      <c r="D95" s="692"/>
      <c r="E95" s="693"/>
      <c r="F95" s="156"/>
    </row>
    <row r="96" spans="1:6" s="161" customFormat="1" ht="12" thickBot="1">
      <c r="A96" s="160" t="s">
        <v>118</v>
      </c>
      <c r="B96" s="143">
        <f>SUM(B87:B95)</f>
        <v>1300</v>
      </c>
      <c r="C96" s="697" t="s">
        <v>10</v>
      </c>
      <c r="D96" s="698"/>
      <c r="E96" s="699"/>
      <c r="F96" s="145">
        <f>SUM(F87:F95)</f>
        <v>4450</v>
      </c>
    </row>
    <row r="97" ht="6" customHeight="1" thickBot="1"/>
    <row r="98" ht="13.5" hidden="1" thickBot="1"/>
    <row r="99" spans="1:9" ht="12.75">
      <c r="A99" s="762" t="s">
        <v>119</v>
      </c>
      <c r="B99" s="935" t="s">
        <v>120</v>
      </c>
      <c r="C99" s="757" t="s">
        <v>121</v>
      </c>
      <c r="D99" s="758"/>
      <c r="E99" s="758"/>
      <c r="F99" s="758"/>
      <c r="G99" s="758"/>
      <c r="H99" s="759"/>
      <c r="I99" s="754" t="s">
        <v>372</v>
      </c>
    </row>
    <row r="100" spans="1:9" ht="12.75">
      <c r="A100" s="972"/>
      <c r="B100" s="974"/>
      <c r="C100" s="760" t="s">
        <v>52</v>
      </c>
      <c r="D100" s="773" t="s">
        <v>123</v>
      </c>
      <c r="E100" s="962"/>
      <c r="F100" s="962"/>
      <c r="G100" s="962"/>
      <c r="H100" s="962"/>
      <c r="I100" s="960"/>
    </row>
    <row r="101" spans="1:9" ht="12.75" customHeight="1" thickBot="1">
      <c r="A101" s="973"/>
      <c r="B101" s="975"/>
      <c r="C101" s="971"/>
      <c r="D101" s="163">
        <v>1</v>
      </c>
      <c r="E101" s="163">
        <v>2</v>
      </c>
      <c r="F101" s="163">
        <v>3</v>
      </c>
      <c r="G101" s="163">
        <v>4</v>
      </c>
      <c r="H101" s="488">
        <v>5</v>
      </c>
      <c r="I101" s="961"/>
    </row>
    <row r="102" spans="1:14" s="2" customFormat="1" ht="15.75" customHeight="1" thickBot="1">
      <c r="A102" s="164">
        <v>19048</v>
      </c>
      <c r="B102" s="165">
        <v>3850.88</v>
      </c>
      <c r="C102" s="165">
        <f>SUM(D102:H102)</f>
        <v>2200</v>
      </c>
      <c r="D102" s="165">
        <v>1825.368</v>
      </c>
      <c r="E102" s="165">
        <v>354.232</v>
      </c>
      <c r="F102" s="165"/>
      <c r="G102" s="165"/>
      <c r="H102" s="329">
        <v>20.4</v>
      </c>
      <c r="I102" s="167">
        <f>SUM(A102-B102-C102)</f>
        <v>12997.119999999999</v>
      </c>
      <c r="J102" s="141"/>
      <c r="K102" s="141"/>
      <c r="L102" s="141"/>
      <c r="M102" s="141"/>
      <c r="N102" s="141"/>
    </row>
    <row r="103" ht="3.75" customHeight="1"/>
    <row r="104" ht="5.25" customHeight="1" thickBot="1"/>
    <row r="105" spans="1:12" ht="12.75" customHeight="1">
      <c r="A105" s="719" t="s">
        <v>124</v>
      </c>
      <c r="B105" s="721" t="s">
        <v>125</v>
      </c>
      <c r="C105" s="722" t="s">
        <v>126</v>
      </c>
      <c r="D105" s="723"/>
      <c r="E105" s="723"/>
      <c r="F105" s="724"/>
      <c r="G105" s="721" t="s">
        <v>127</v>
      </c>
      <c r="H105" s="836" t="s">
        <v>128</v>
      </c>
      <c r="I105" s="716" t="s">
        <v>345</v>
      </c>
      <c r="J105" s="833"/>
      <c r="K105" s="833"/>
      <c r="L105" s="834"/>
    </row>
    <row r="106" spans="1:12" ht="18.75" thickBot="1">
      <c r="A106" s="818"/>
      <c r="B106" s="835"/>
      <c r="C106" s="168" t="s">
        <v>130</v>
      </c>
      <c r="D106" s="169" t="s">
        <v>131</v>
      </c>
      <c r="E106" s="169" t="s">
        <v>132</v>
      </c>
      <c r="F106" s="170" t="s">
        <v>133</v>
      </c>
      <c r="G106" s="835"/>
      <c r="H106" s="837"/>
      <c r="I106" s="330" t="s">
        <v>134</v>
      </c>
      <c r="J106" s="169" t="s">
        <v>131</v>
      </c>
      <c r="K106" s="169" t="s">
        <v>132</v>
      </c>
      <c r="L106" s="170" t="s">
        <v>135</v>
      </c>
    </row>
    <row r="107" spans="1:12" ht="12.75">
      <c r="A107" s="331" t="s">
        <v>136</v>
      </c>
      <c r="B107" s="179">
        <v>21804.85</v>
      </c>
      <c r="C107" s="639" t="s">
        <v>137</v>
      </c>
      <c r="D107" s="638" t="s">
        <v>137</v>
      </c>
      <c r="E107" s="638" t="s">
        <v>137</v>
      </c>
      <c r="F107" s="190" t="s">
        <v>137</v>
      </c>
      <c r="G107" s="179">
        <v>27184.29</v>
      </c>
      <c r="H107" s="180" t="s">
        <v>137</v>
      </c>
      <c r="I107" s="176" t="s">
        <v>137</v>
      </c>
      <c r="J107" s="176" t="s">
        <v>137</v>
      </c>
      <c r="K107" s="176" t="s">
        <v>137</v>
      </c>
      <c r="L107" s="182" t="s">
        <v>137</v>
      </c>
    </row>
    <row r="108" spans="1:12" ht="12.75">
      <c r="A108" s="333" t="s">
        <v>138</v>
      </c>
      <c r="B108" s="188">
        <v>0</v>
      </c>
      <c r="C108" s="185">
        <v>543</v>
      </c>
      <c r="D108" s="186"/>
      <c r="E108" s="186"/>
      <c r="F108" s="187">
        <f>+C108+D108-E108</f>
        <v>543</v>
      </c>
      <c r="G108" s="188">
        <v>0</v>
      </c>
      <c r="H108" s="189">
        <f>+G108-F108</f>
        <v>-543</v>
      </c>
      <c r="I108" s="186">
        <f>+F108</f>
        <v>543</v>
      </c>
      <c r="J108" s="186">
        <v>0</v>
      </c>
      <c r="K108" s="186">
        <v>0</v>
      </c>
      <c r="L108" s="187">
        <f>+I108+J108-K108</f>
        <v>543</v>
      </c>
    </row>
    <row r="109" spans="1:12" ht="12.75">
      <c r="A109" s="333" t="s">
        <v>139</v>
      </c>
      <c r="B109" s="188">
        <v>0</v>
      </c>
      <c r="C109" s="185">
        <v>1278</v>
      </c>
      <c r="D109" s="186">
        <v>291</v>
      </c>
      <c r="E109" s="186">
        <v>580</v>
      </c>
      <c r="F109" s="187">
        <f>+C109+D109-E109</f>
        <v>989</v>
      </c>
      <c r="G109" s="188">
        <v>0</v>
      </c>
      <c r="H109" s="188">
        <f>+G109-F109</f>
        <v>-989</v>
      </c>
      <c r="I109" s="186">
        <f>+F109</f>
        <v>989</v>
      </c>
      <c r="J109" s="186">
        <v>432</v>
      </c>
      <c r="K109" s="186">
        <v>432</v>
      </c>
      <c r="L109" s="187">
        <f>+I109+J109-K109</f>
        <v>989</v>
      </c>
    </row>
    <row r="110" spans="1:12" ht="12.75">
      <c r="A110" s="333" t="s">
        <v>140</v>
      </c>
      <c r="B110" s="188">
        <f>+B107-B108-B109</f>
        <v>21804.85</v>
      </c>
      <c r="C110" s="639" t="s">
        <v>137</v>
      </c>
      <c r="D110" s="181" t="s">
        <v>137</v>
      </c>
      <c r="E110" s="181" t="s">
        <v>137</v>
      </c>
      <c r="F110" s="190" t="s">
        <v>137</v>
      </c>
      <c r="G110" s="188">
        <f>+G107-G108-G109</f>
        <v>27184.29</v>
      </c>
      <c r="H110" s="190" t="s">
        <v>137</v>
      </c>
      <c r="I110" s="176" t="s">
        <v>137</v>
      </c>
      <c r="J110" s="176" t="s">
        <v>137</v>
      </c>
      <c r="K110" s="176" t="s">
        <v>137</v>
      </c>
      <c r="L110" s="182" t="s">
        <v>137</v>
      </c>
    </row>
    <row r="111" spans="1:12" ht="12.75">
      <c r="A111" s="333" t="s">
        <v>141</v>
      </c>
      <c r="B111" s="188">
        <f>+B107-B108-B109-B110</f>
        <v>0</v>
      </c>
      <c r="C111" s="185">
        <v>79181</v>
      </c>
      <c r="D111" s="186">
        <v>33393</v>
      </c>
      <c r="E111" s="186">
        <v>28241</v>
      </c>
      <c r="F111" s="187">
        <f>+C111+D111-E111</f>
        <v>84333</v>
      </c>
      <c r="G111" s="188">
        <v>0</v>
      </c>
      <c r="H111" s="189">
        <f>+G111-F111</f>
        <v>-84333</v>
      </c>
      <c r="I111" s="191">
        <f>+F111</f>
        <v>84333</v>
      </c>
      <c r="J111" s="191">
        <f>+C116</f>
        <v>35585</v>
      </c>
      <c r="K111" s="191">
        <f>+C122</f>
        <v>33135</v>
      </c>
      <c r="L111" s="187">
        <f>+I111+J111-K111</f>
        <v>86783</v>
      </c>
    </row>
    <row r="112" spans="1:12" ht="13.5" thickBot="1">
      <c r="A112" s="335" t="s">
        <v>142</v>
      </c>
      <c r="B112" s="197">
        <v>270.88</v>
      </c>
      <c r="C112" s="194">
        <v>1343</v>
      </c>
      <c r="D112" s="195">
        <v>3944</v>
      </c>
      <c r="E112" s="195">
        <v>4099</v>
      </c>
      <c r="F112" s="196">
        <f>+C112+D112-E112</f>
        <v>1188</v>
      </c>
      <c r="G112" s="197">
        <v>206.75</v>
      </c>
      <c r="H112" s="198">
        <f>+G112-F112</f>
        <v>-981.25</v>
      </c>
      <c r="I112" s="195">
        <f>+F112</f>
        <v>1188</v>
      </c>
      <c r="J112" s="195">
        <v>4109</v>
      </c>
      <c r="K112" s="195">
        <v>4100</v>
      </c>
      <c r="L112" s="196">
        <f>+I112+J112-K112</f>
        <v>1197</v>
      </c>
    </row>
    <row r="113" spans="1:12" ht="6.75" customHeight="1" thickBot="1">
      <c r="A113" s="336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</row>
    <row r="114" spans="1:9" s="86" customFormat="1" ht="13.5" customHeight="1" thickBot="1">
      <c r="A114" s="416" t="s">
        <v>143</v>
      </c>
      <c r="B114" s="417">
        <v>2004</v>
      </c>
      <c r="C114" s="418">
        <v>2005</v>
      </c>
      <c r="E114" s="872" t="s">
        <v>144</v>
      </c>
      <c r="F114" s="873"/>
      <c r="G114" s="873"/>
      <c r="H114" s="417">
        <v>2004</v>
      </c>
      <c r="I114" s="418">
        <v>2005</v>
      </c>
    </row>
    <row r="115" spans="1:16" ht="12.75">
      <c r="A115" s="202" t="s">
        <v>145</v>
      </c>
      <c r="B115" s="203">
        <f>+C111</f>
        <v>79181</v>
      </c>
      <c r="C115" s="204">
        <f>+B125</f>
        <v>84332.957</v>
      </c>
      <c r="D115" s="2"/>
      <c r="E115" s="676" t="s">
        <v>146</v>
      </c>
      <c r="F115" s="677"/>
      <c r="G115" s="678"/>
      <c r="H115" s="203">
        <f>+C109</f>
        <v>1278</v>
      </c>
      <c r="I115" s="204">
        <f>+H125</f>
        <v>989</v>
      </c>
      <c r="J115" s="1"/>
      <c r="K115" s="1"/>
      <c r="L115" s="1"/>
      <c r="M115" s="1"/>
      <c r="N115" s="1"/>
      <c r="O115" s="1"/>
      <c r="P115" s="1"/>
    </row>
    <row r="116" spans="1:16" ht="12.75">
      <c r="A116" s="205" t="s">
        <v>131</v>
      </c>
      <c r="B116" s="186">
        <f>+B117+B118+B119+B120+B121</f>
        <v>33392.957</v>
      </c>
      <c r="C116" s="187">
        <f>+C117+C118+C121</f>
        <v>35585</v>
      </c>
      <c r="D116" s="2"/>
      <c r="E116" s="703" t="s">
        <v>131</v>
      </c>
      <c r="F116" s="680"/>
      <c r="G116" s="681"/>
      <c r="H116" s="186">
        <f>+H117+H118</f>
        <v>291</v>
      </c>
      <c r="I116" s="187">
        <f>+I117+I118</f>
        <v>432</v>
      </c>
      <c r="J116" s="1"/>
      <c r="K116" s="1"/>
      <c r="L116" s="1"/>
      <c r="M116" s="1"/>
      <c r="N116" s="1"/>
      <c r="O116" s="1"/>
      <c r="P116" s="1"/>
    </row>
    <row r="117" spans="1:16" ht="12.75">
      <c r="A117" s="205" t="s">
        <v>147</v>
      </c>
      <c r="B117" s="186">
        <v>4905</v>
      </c>
      <c r="C117" s="187">
        <f>6500-4300</f>
        <v>2200</v>
      </c>
      <c r="D117" s="2"/>
      <c r="E117" s="703" t="s">
        <v>148</v>
      </c>
      <c r="F117" s="680"/>
      <c r="G117" s="681"/>
      <c r="H117" s="186"/>
      <c r="I117" s="187">
        <v>132</v>
      </c>
      <c r="J117" s="1"/>
      <c r="K117" s="1"/>
      <c r="L117" s="1"/>
      <c r="M117" s="1"/>
      <c r="N117" s="1"/>
      <c r="O117" s="1"/>
      <c r="P117" s="1"/>
    </row>
    <row r="118" spans="1:16" ht="12.75">
      <c r="A118" s="205" t="s">
        <v>149</v>
      </c>
      <c r="B118" s="186">
        <f>+F46/1000+F52/1000</f>
        <v>9463.957</v>
      </c>
      <c r="C118" s="187">
        <f>+G53/1000</f>
        <v>33135</v>
      </c>
      <c r="D118" s="2"/>
      <c r="E118" s="703" t="s">
        <v>150</v>
      </c>
      <c r="F118" s="680"/>
      <c r="G118" s="681"/>
      <c r="H118" s="186">
        <v>291</v>
      </c>
      <c r="I118" s="187">
        <v>300</v>
      </c>
      <c r="J118" s="1"/>
      <c r="K118" s="1"/>
      <c r="L118" s="1"/>
      <c r="M118" s="1"/>
      <c r="N118" s="1"/>
      <c r="O118" s="1"/>
      <c r="P118" s="1"/>
    </row>
    <row r="119" spans="1:16" ht="12.75">
      <c r="A119" s="205" t="s">
        <v>151</v>
      </c>
      <c r="B119" s="186">
        <f>+F49/1000</f>
        <v>18526</v>
      </c>
      <c r="C119" s="187"/>
      <c r="D119" s="2"/>
      <c r="E119" s="703"/>
      <c r="F119" s="680"/>
      <c r="G119" s="681"/>
      <c r="H119" s="186"/>
      <c r="I119" s="187"/>
      <c r="J119" s="1"/>
      <c r="K119" s="1"/>
      <c r="L119" s="1"/>
      <c r="M119" s="1"/>
      <c r="N119" s="1"/>
      <c r="O119" s="1"/>
      <c r="P119" s="1"/>
    </row>
    <row r="120" spans="1:16" ht="12.75">
      <c r="A120" s="205" t="s">
        <v>150</v>
      </c>
      <c r="B120" s="186"/>
      <c r="C120" s="187"/>
      <c r="D120" s="2"/>
      <c r="E120" s="703"/>
      <c r="F120" s="680"/>
      <c r="G120" s="681"/>
      <c r="H120" s="186"/>
      <c r="I120" s="187"/>
      <c r="J120" s="1"/>
      <c r="K120" s="1"/>
      <c r="L120" s="1"/>
      <c r="M120" s="1"/>
      <c r="N120" s="1"/>
      <c r="O120" s="1"/>
      <c r="P120" s="1"/>
    </row>
    <row r="121" spans="1:16" ht="12.75">
      <c r="A121" s="209" t="s">
        <v>152</v>
      </c>
      <c r="B121" s="186">
        <v>498</v>
      </c>
      <c r="C121" s="187">
        <v>250</v>
      </c>
      <c r="D121" s="2"/>
      <c r="E121" s="206" t="s">
        <v>132</v>
      </c>
      <c r="F121" s="207"/>
      <c r="G121" s="208"/>
      <c r="H121" s="186">
        <f>+H122+H123+H124</f>
        <v>580</v>
      </c>
      <c r="I121" s="187">
        <f>+I122+I123+I124</f>
        <v>432</v>
      </c>
      <c r="J121" s="1"/>
      <c r="K121" s="1"/>
      <c r="L121" s="1"/>
      <c r="M121" s="1"/>
      <c r="N121" s="1"/>
      <c r="O121" s="1"/>
      <c r="P121" s="1"/>
    </row>
    <row r="122" spans="1:16" ht="12.75">
      <c r="A122" s="205" t="s">
        <v>132</v>
      </c>
      <c r="B122" s="186">
        <f>+B123+B124</f>
        <v>28241</v>
      </c>
      <c r="C122" s="187">
        <f>+C123+C124</f>
        <v>33135</v>
      </c>
      <c r="D122" s="2"/>
      <c r="E122" s="206" t="s">
        <v>153</v>
      </c>
      <c r="F122" s="207"/>
      <c r="G122" s="208"/>
      <c r="H122" s="186">
        <v>82</v>
      </c>
      <c r="I122" s="187">
        <v>50</v>
      </c>
      <c r="J122" s="1"/>
      <c r="K122" s="1"/>
      <c r="L122" s="1"/>
      <c r="M122" s="1"/>
      <c r="N122" s="1"/>
      <c r="O122" s="1"/>
      <c r="P122" s="1"/>
    </row>
    <row r="123" spans="1:16" ht="12.75">
      <c r="A123" s="205" t="s">
        <v>154</v>
      </c>
      <c r="B123" s="186">
        <v>17800</v>
      </c>
      <c r="C123" s="187">
        <f>+(D82+J82)/1000</f>
        <v>22889</v>
      </c>
      <c r="D123" s="2"/>
      <c r="E123" s="703" t="s">
        <v>155</v>
      </c>
      <c r="F123" s="680"/>
      <c r="G123" s="681"/>
      <c r="H123" s="186"/>
      <c r="I123" s="187">
        <v>132</v>
      </c>
      <c r="J123" s="1"/>
      <c r="K123" s="1"/>
      <c r="L123" s="1"/>
      <c r="M123" s="1"/>
      <c r="N123" s="1"/>
      <c r="O123" s="1"/>
      <c r="P123" s="1"/>
    </row>
    <row r="124" spans="1:16" ht="12.75">
      <c r="A124" s="205" t="s">
        <v>156</v>
      </c>
      <c r="B124" s="186">
        <v>10441</v>
      </c>
      <c r="C124" s="187">
        <f>+(D64+J64)/1000</f>
        <v>10246</v>
      </c>
      <c r="D124" s="2"/>
      <c r="E124" s="703" t="s">
        <v>157</v>
      </c>
      <c r="F124" s="680"/>
      <c r="G124" s="681"/>
      <c r="H124" s="186">
        <v>498</v>
      </c>
      <c r="I124" s="187">
        <v>250</v>
      </c>
      <c r="J124" s="1"/>
      <c r="K124" s="1"/>
      <c r="L124" s="1"/>
      <c r="M124" s="1"/>
      <c r="N124" s="1"/>
      <c r="O124" s="1"/>
      <c r="P124" s="1"/>
    </row>
    <row r="125" spans="1:16" ht="13.5" thickBot="1">
      <c r="A125" s="210" t="s">
        <v>158</v>
      </c>
      <c r="B125" s="195">
        <f>+B115+B116-B122</f>
        <v>84332.957</v>
      </c>
      <c r="C125" s="196">
        <f>+C115+C116-C122</f>
        <v>86782.957</v>
      </c>
      <c r="D125" s="2"/>
      <c r="E125" s="682" t="s">
        <v>158</v>
      </c>
      <c r="F125" s="683"/>
      <c r="G125" s="673"/>
      <c r="H125" s="195">
        <f>+H115+H116-H121</f>
        <v>989</v>
      </c>
      <c r="I125" s="196">
        <f>+I115+I116-I121</f>
        <v>989</v>
      </c>
      <c r="J125" s="1"/>
      <c r="K125" s="1"/>
      <c r="L125" s="1"/>
      <c r="M125" s="1"/>
      <c r="N125" s="1"/>
      <c r="O125" s="1"/>
      <c r="P125" s="1"/>
    </row>
    <row r="126" spans="1:12" ht="9" customHeight="1">
      <c r="A126" s="336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</row>
    <row r="127" spans="1:34" ht="18.75" customHeight="1" thickBot="1">
      <c r="A127" s="211" t="s">
        <v>159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96"/>
      <c r="N127" s="9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14" ht="12.75">
      <c r="A128" s="924" t="s">
        <v>160</v>
      </c>
      <c r="B128" s="926" t="s">
        <v>10</v>
      </c>
      <c r="C128" s="928" t="s">
        <v>161</v>
      </c>
      <c r="D128" s="714"/>
      <c r="E128" s="714"/>
      <c r="F128" s="714"/>
      <c r="G128" s="714"/>
      <c r="H128" s="715"/>
      <c r="I128" s="212"/>
      <c r="J128" s="96"/>
      <c r="K128" s="96"/>
      <c r="L128" s="96"/>
      <c r="M128" s="1"/>
      <c r="N128" s="1"/>
    </row>
    <row r="129" spans="1:14" ht="13.5" thickBot="1">
      <c r="A129" s="976"/>
      <c r="B129" s="977"/>
      <c r="C129" s="544" t="s">
        <v>162</v>
      </c>
      <c r="D129" s="214" t="s">
        <v>163</v>
      </c>
      <c r="E129" s="214" t="s">
        <v>164</v>
      </c>
      <c r="F129" s="214" t="s">
        <v>165</v>
      </c>
      <c r="G129" s="215" t="s">
        <v>166</v>
      </c>
      <c r="H129" s="216" t="s">
        <v>52</v>
      </c>
      <c r="I129" s="212"/>
      <c r="J129" s="96"/>
      <c r="K129" s="96"/>
      <c r="L129" s="96"/>
      <c r="M129" s="1"/>
      <c r="N129" s="1"/>
    </row>
    <row r="130" spans="1:9" s="2" customFormat="1" ht="11.25">
      <c r="A130" s="343" t="s">
        <v>167</v>
      </c>
      <c r="B130" s="545">
        <v>83432</v>
      </c>
      <c r="C130" s="219">
        <v>17754</v>
      </c>
      <c r="D130" s="219">
        <v>1263</v>
      </c>
      <c r="E130" s="219">
        <v>938</v>
      </c>
      <c r="F130" s="219">
        <v>201</v>
      </c>
      <c r="G130" s="219">
        <v>268</v>
      </c>
      <c r="H130" s="346">
        <f>SUM(C130:G130)</f>
        <v>20424</v>
      </c>
      <c r="I130" s="212"/>
    </row>
    <row r="131" spans="1:9" s="2" customFormat="1" ht="12" thickBot="1">
      <c r="A131" s="347" t="s">
        <v>296</v>
      </c>
      <c r="B131" s="223">
        <v>22848</v>
      </c>
      <c r="C131" s="224">
        <v>49</v>
      </c>
      <c r="D131" s="224">
        <v>0</v>
      </c>
      <c r="E131" s="224">
        <v>0</v>
      </c>
      <c r="F131" s="224">
        <v>0</v>
      </c>
      <c r="G131" s="224">
        <v>-3</v>
      </c>
      <c r="H131" s="350">
        <f>SUM(C131:G131)</f>
        <v>46</v>
      </c>
      <c r="I131" s="212"/>
    </row>
    <row r="132" spans="1:14" ht="4.5" customHeight="1" thickBo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1" s="2" customFormat="1" ht="11.25" customHeight="1" thickBot="1">
      <c r="A133" s="953" t="s">
        <v>169</v>
      </c>
      <c r="B133" s="958" t="s">
        <v>170</v>
      </c>
      <c r="C133" s="959"/>
      <c r="D133" s="959"/>
      <c r="E133" s="959"/>
      <c r="F133" s="668"/>
      <c r="G133" s="958" t="s">
        <v>171</v>
      </c>
      <c r="H133" s="959"/>
      <c r="I133" s="959"/>
      <c r="J133" s="959"/>
      <c r="K133" s="668"/>
    </row>
    <row r="134" spans="1:11" s="2" customFormat="1" ht="11.25" customHeight="1" thickBot="1">
      <c r="A134" s="954"/>
      <c r="B134" s="227">
        <v>2002</v>
      </c>
      <c r="C134" s="136">
        <v>2003</v>
      </c>
      <c r="D134" s="226" t="s">
        <v>13</v>
      </c>
      <c r="E134" s="137">
        <v>2004</v>
      </c>
      <c r="F134" s="423" t="s">
        <v>13</v>
      </c>
      <c r="G134" s="227">
        <v>2002</v>
      </c>
      <c r="H134" s="137">
        <v>2003</v>
      </c>
      <c r="I134" s="226" t="s">
        <v>13</v>
      </c>
      <c r="J134" s="146">
        <v>2004</v>
      </c>
      <c r="K134" s="423" t="s">
        <v>13</v>
      </c>
    </row>
    <row r="135" spans="1:11" s="505" customFormat="1" ht="11.25">
      <c r="A135" s="624" t="s">
        <v>172</v>
      </c>
      <c r="B135" s="351">
        <v>122</v>
      </c>
      <c r="C135" s="424">
        <v>122</v>
      </c>
      <c r="D135" s="425">
        <v>0</v>
      </c>
      <c r="E135" s="426">
        <v>122</v>
      </c>
      <c r="F135" s="627">
        <v>0</v>
      </c>
      <c r="G135" s="234">
        <v>75.17853132719516</v>
      </c>
      <c r="H135" s="235">
        <v>74</v>
      </c>
      <c r="I135" s="235">
        <v>-1.1785313271951594</v>
      </c>
      <c r="J135" s="236">
        <v>71.48615963450685</v>
      </c>
      <c r="K135" s="237">
        <v>-2.5138403654931523</v>
      </c>
    </row>
    <row r="136" spans="1:11" s="505" customFormat="1" ht="11.25">
      <c r="A136" s="624" t="s">
        <v>173</v>
      </c>
      <c r="B136" s="352">
        <v>22</v>
      </c>
      <c r="C136" s="354">
        <v>22</v>
      </c>
      <c r="D136" s="427">
        <v>0</v>
      </c>
      <c r="E136" s="428">
        <v>22</v>
      </c>
      <c r="F136" s="627">
        <v>0</v>
      </c>
      <c r="G136" s="243">
        <v>55.15566625155667</v>
      </c>
      <c r="H136" s="244">
        <v>57</v>
      </c>
      <c r="I136" s="244">
        <v>1.8443337484433329</v>
      </c>
      <c r="J136" s="245">
        <v>49.51564828614009</v>
      </c>
      <c r="K136" s="237">
        <v>-7.484351713859908</v>
      </c>
    </row>
    <row r="137" spans="1:11" s="505" customFormat="1" ht="11.25">
      <c r="A137" s="624" t="s">
        <v>174</v>
      </c>
      <c r="B137" s="352"/>
      <c r="C137" s="354"/>
      <c r="D137" s="427"/>
      <c r="E137" s="428"/>
      <c r="F137" s="627">
        <v>0</v>
      </c>
      <c r="G137" s="243"/>
      <c r="H137" s="244"/>
      <c r="I137" s="244"/>
      <c r="J137" s="245"/>
      <c r="K137" s="237">
        <v>0</v>
      </c>
    </row>
    <row r="138" spans="1:11" s="505" customFormat="1" ht="11.25">
      <c r="A138" s="624" t="s">
        <v>175</v>
      </c>
      <c r="B138" s="352">
        <v>44</v>
      </c>
      <c r="C138" s="354">
        <v>44</v>
      </c>
      <c r="D138" s="427">
        <v>0</v>
      </c>
      <c r="E138" s="428">
        <v>44</v>
      </c>
      <c r="F138" s="627">
        <v>0</v>
      </c>
      <c r="G138" s="243">
        <v>71.58597242334571</v>
      </c>
      <c r="H138" s="244">
        <v>66.2</v>
      </c>
      <c r="I138" s="244">
        <v>-5.385972423345706</v>
      </c>
      <c r="J138" s="245">
        <v>61.829359165424734</v>
      </c>
      <c r="K138" s="237">
        <v>-4.370640834575269</v>
      </c>
    </row>
    <row r="139" spans="1:11" s="505" customFormat="1" ht="11.25">
      <c r="A139" s="624" t="s">
        <v>176</v>
      </c>
      <c r="B139" s="352"/>
      <c r="C139" s="354"/>
      <c r="D139" s="427"/>
      <c r="E139" s="428"/>
      <c r="F139" s="627">
        <v>0</v>
      </c>
      <c r="G139" s="243"/>
      <c r="H139" s="244"/>
      <c r="I139" s="244"/>
      <c r="J139" s="245"/>
      <c r="K139" s="237">
        <v>0</v>
      </c>
    </row>
    <row r="140" spans="1:11" s="505" customFormat="1" ht="11.25">
      <c r="A140" s="624" t="s">
        <v>177</v>
      </c>
      <c r="B140" s="352">
        <v>50</v>
      </c>
      <c r="C140" s="354">
        <v>50</v>
      </c>
      <c r="D140" s="427">
        <v>0</v>
      </c>
      <c r="E140" s="428">
        <v>50</v>
      </c>
      <c r="F140" s="627">
        <v>0</v>
      </c>
      <c r="G140" s="243">
        <v>69.95562516314278</v>
      </c>
      <c r="H140" s="244">
        <v>75.8</v>
      </c>
      <c r="I140" s="244">
        <v>5.844374836857213</v>
      </c>
      <c r="J140" s="245">
        <v>68.06557377049181</v>
      </c>
      <c r="K140" s="237">
        <v>-7.734426229508188</v>
      </c>
    </row>
    <row r="141" spans="1:11" s="505" customFormat="1" ht="11.25">
      <c r="A141" s="624" t="s">
        <v>178</v>
      </c>
      <c r="B141" s="352">
        <v>59</v>
      </c>
      <c r="C141" s="354">
        <v>59</v>
      </c>
      <c r="D141" s="427">
        <v>0</v>
      </c>
      <c r="E141" s="428">
        <v>59</v>
      </c>
      <c r="F141" s="627">
        <v>0</v>
      </c>
      <c r="G141" s="243">
        <v>78.24471790109125</v>
      </c>
      <c r="H141" s="244">
        <v>70.8</v>
      </c>
      <c r="I141" s="244">
        <v>-7.444717901091252</v>
      </c>
      <c r="J141" s="245">
        <v>67.06492544225247</v>
      </c>
      <c r="K141" s="237">
        <v>-3.7350745577475237</v>
      </c>
    </row>
    <row r="142" spans="1:11" s="505" customFormat="1" ht="11.25">
      <c r="A142" s="624" t="s">
        <v>179</v>
      </c>
      <c r="B142" s="352">
        <v>82</v>
      </c>
      <c r="C142" s="354">
        <v>82</v>
      </c>
      <c r="D142" s="427">
        <v>0</v>
      </c>
      <c r="E142" s="428">
        <v>82</v>
      </c>
      <c r="F142" s="627">
        <v>0</v>
      </c>
      <c r="G142" s="243">
        <v>79.164717674574</v>
      </c>
      <c r="H142" s="244">
        <v>82.4</v>
      </c>
      <c r="I142" s="244">
        <v>3.235282325425999</v>
      </c>
      <c r="J142" s="245">
        <v>77.99546847927495</v>
      </c>
      <c r="K142" s="237">
        <v>-4.404531520725058</v>
      </c>
    </row>
    <row r="143" spans="1:11" s="505" customFormat="1" ht="11.25">
      <c r="A143" s="624" t="s">
        <v>180</v>
      </c>
      <c r="B143" s="352">
        <v>6</v>
      </c>
      <c r="C143" s="354">
        <v>6</v>
      </c>
      <c r="D143" s="427">
        <v>0</v>
      </c>
      <c r="E143" s="428">
        <v>6</v>
      </c>
      <c r="F143" s="627">
        <v>0</v>
      </c>
      <c r="G143" s="243">
        <v>72.1917808219178</v>
      </c>
      <c r="H143" s="244">
        <v>77.8</v>
      </c>
      <c r="I143" s="244">
        <v>5.608219178082194</v>
      </c>
      <c r="J143" s="245">
        <v>74.81785063752277</v>
      </c>
      <c r="K143" s="237">
        <v>-2.98214936247723</v>
      </c>
    </row>
    <row r="144" spans="1:11" s="505" customFormat="1" ht="11.25">
      <c r="A144" s="624" t="s">
        <v>181</v>
      </c>
      <c r="B144" s="352">
        <v>27</v>
      </c>
      <c r="C144" s="354">
        <v>27</v>
      </c>
      <c r="D144" s="427">
        <v>0</v>
      </c>
      <c r="E144" s="428">
        <v>30</v>
      </c>
      <c r="F144" s="627">
        <v>3</v>
      </c>
      <c r="G144" s="243">
        <v>78.24</v>
      </c>
      <c r="H144" s="244">
        <v>80.9</v>
      </c>
      <c r="I144" s="244">
        <v>2.660000000000011</v>
      </c>
      <c r="J144" s="245">
        <v>79.22614945357881</v>
      </c>
      <c r="K144" s="237">
        <v>-1.6738505464211926</v>
      </c>
    </row>
    <row r="145" spans="1:11" s="505" customFormat="1" ht="11.25">
      <c r="A145" s="624" t="s">
        <v>182</v>
      </c>
      <c r="B145" s="352">
        <v>21</v>
      </c>
      <c r="C145" s="354">
        <v>21</v>
      </c>
      <c r="D145" s="427">
        <v>0</v>
      </c>
      <c r="E145" s="428">
        <v>21</v>
      </c>
      <c r="F145" s="627">
        <v>0</v>
      </c>
      <c r="G145" s="243">
        <v>68.12123817712812</v>
      </c>
      <c r="H145" s="244">
        <v>76.7</v>
      </c>
      <c r="I145" s="244">
        <v>8.578761822871883</v>
      </c>
      <c r="J145" s="245">
        <v>72.78168097840229</v>
      </c>
      <c r="K145" s="237">
        <v>-3.9183190215977106</v>
      </c>
    </row>
    <row r="146" spans="1:11" s="505" customFormat="1" ht="11.25">
      <c r="A146" s="624" t="s">
        <v>183</v>
      </c>
      <c r="B146" s="352">
        <v>20</v>
      </c>
      <c r="C146" s="354">
        <v>20</v>
      </c>
      <c r="D146" s="427">
        <v>0</v>
      </c>
      <c r="E146" s="428">
        <v>11</v>
      </c>
      <c r="F146" s="627">
        <v>-9</v>
      </c>
      <c r="G146" s="243">
        <v>61.630136986301366</v>
      </c>
      <c r="H146" s="244">
        <v>69.8</v>
      </c>
      <c r="I146" s="244">
        <v>8.169863013698631</v>
      </c>
      <c r="J146" s="245">
        <v>68.96657939319267</v>
      </c>
      <c r="K146" s="237">
        <v>-0.8334206068073229</v>
      </c>
    </row>
    <row r="147" spans="1:11" s="505" customFormat="1" ht="11.25">
      <c r="A147" s="624" t="s">
        <v>184</v>
      </c>
      <c r="B147" s="352">
        <v>12</v>
      </c>
      <c r="C147" s="354">
        <v>12</v>
      </c>
      <c r="D147" s="427">
        <v>0</v>
      </c>
      <c r="E147" s="428">
        <v>11</v>
      </c>
      <c r="F147" s="627">
        <v>-1</v>
      </c>
      <c r="G147" s="243">
        <v>72.62557077625571</v>
      </c>
      <c r="H147" s="244">
        <v>76.3</v>
      </c>
      <c r="I147" s="244">
        <v>3.6744292237442835</v>
      </c>
      <c r="J147" s="245">
        <v>70.90697674418604</v>
      </c>
      <c r="K147" s="237">
        <v>-5.393023255813958</v>
      </c>
    </row>
    <row r="148" spans="1:11" s="505" customFormat="1" ht="11.25">
      <c r="A148" s="624" t="s">
        <v>185</v>
      </c>
      <c r="B148" s="352">
        <v>20</v>
      </c>
      <c r="C148" s="354">
        <v>20</v>
      </c>
      <c r="D148" s="427">
        <v>0</v>
      </c>
      <c r="E148" s="428">
        <v>20</v>
      </c>
      <c r="F148" s="627">
        <v>0</v>
      </c>
      <c r="G148" s="243">
        <v>52.37704918032787</v>
      </c>
      <c r="H148" s="244">
        <v>70.9</v>
      </c>
      <c r="I148" s="244">
        <v>18.522950819672133</v>
      </c>
      <c r="J148" s="245">
        <v>65.98360655737704</v>
      </c>
      <c r="K148" s="237">
        <v>-4.916393442622962</v>
      </c>
    </row>
    <row r="149" spans="1:11" s="505" customFormat="1" ht="11.25">
      <c r="A149" s="624" t="s">
        <v>186</v>
      </c>
      <c r="B149" s="352"/>
      <c r="C149" s="354"/>
      <c r="D149" s="427"/>
      <c r="E149" s="428"/>
      <c r="F149" s="627">
        <v>0</v>
      </c>
      <c r="G149" s="243"/>
      <c r="H149" s="244"/>
      <c r="I149" s="244"/>
      <c r="J149" s="245"/>
      <c r="K149" s="237">
        <v>0</v>
      </c>
    </row>
    <row r="150" spans="1:11" s="505" customFormat="1" ht="11.25">
      <c r="A150" s="624" t="s">
        <v>187</v>
      </c>
      <c r="B150" s="352"/>
      <c r="C150" s="354"/>
      <c r="D150" s="427"/>
      <c r="E150" s="428"/>
      <c r="F150" s="627">
        <v>0</v>
      </c>
      <c r="G150" s="243"/>
      <c r="H150" s="244"/>
      <c r="I150" s="244"/>
      <c r="J150" s="245"/>
      <c r="K150" s="237">
        <v>0</v>
      </c>
    </row>
    <row r="151" spans="1:11" s="505" customFormat="1" ht="11.25">
      <c r="A151" s="624" t="s">
        <v>188</v>
      </c>
      <c r="B151" s="352"/>
      <c r="C151" s="354"/>
      <c r="D151" s="427"/>
      <c r="E151" s="428"/>
      <c r="F151" s="627">
        <v>0</v>
      </c>
      <c r="G151" s="243"/>
      <c r="H151" s="244"/>
      <c r="I151" s="244"/>
      <c r="J151" s="245"/>
      <c r="K151" s="237">
        <v>0</v>
      </c>
    </row>
    <row r="152" spans="1:11" s="505" customFormat="1" ht="12" thickBot="1">
      <c r="A152" s="625" t="s">
        <v>189</v>
      </c>
      <c r="B152" s="355"/>
      <c r="C152" s="356"/>
      <c r="D152" s="429"/>
      <c r="E152" s="430"/>
      <c r="F152" s="628">
        <v>0</v>
      </c>
      <c r="G152" s="252"/>
      <c r="H152" s="253"/>
      <c r="I152" s="253"/>
      <c r="J152" s="546"/>
      <c r="K152" s="358">
        <v>0</v>
      </c>
    </row>
    <row r="153" spans="1:11" s="505" customFormat="1" ht="11.25" customHeight="1" thickBot="1">
      <c r="A153" s="626" t="s">
        <v>10</v>
      </c>
      <c r="B153" s="629">
        <v>485</v>
      </c>
      <c r="C153" s="257">
        <v>485</v>
      </c>
      <c r="D153" s="258">
        <v>0</v>
      </c>
      <c r="E153" s="259">
        <v>478</v>
      </c>
      <c r="F153" s="630">
        <v>-7</v>
      </c>
      <c r="G153" s="260">
        <v>76.11129062038404</v>
      </c>
      <c r="H153" s="261">
        <v>74.1</v>
      </c>
      <c r="I153" s="261">
        <v>-2.0112906203840453</v>
      </c>
      <c r="J153" s="550">
        <v>70.02532991077992</v>
      </c>
      <c r="K153" s="263">
        <v>-4.074670089220078</v>
      </c>
    </row>
    <row r="154" spans="1:11" s="547" customFormat="1" ht="14.25" customHeight="1" thickBot="1">
      <c r="A154" s="955" t="s">
        <v>373</v>
      </c>
      <c r="B154" s="956"/>
      <c r="C154" s="956"/>
      <c r="D154" s="956"/>
      <c r="E154" s="956"/>
      <c r="F154" s="956"/>
      <c r="G154" s="956"/>
      <c r="H154" s="956"/>
      <c r="I154" s="956"/>
      <c r="J154" s="956"/>
      <c r="K154" s="957"/>
    </row>
    <row r="155" spans="1:14" ht="8.25" customHeight="1" thickBo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1.75" customHeight="1">
      <c r="A156" s="643" t="s">
        <v>190</v>
      </c>
      <c r="B156" s="850"/>
      <c r="C156" s="716" t="s">
        <v>191</v>
      </c>
      <c r="D156" s="833"/>
      <c r="E156" s="834"/>
      <c r="F156" s="643" t="s">
        <v>190</v>
      </c>
      <c r="G156" s="644"/>
      <c r="H156" s="645"/>
      <c r="I156" s="651" t="s">
        <v>192</v>
      </c>
      <c r="J156" s="833"/>
      <c r="K156" s="834"/>
      <c r="L156" s="657" t="s">
        <v>193</v>
      </c>
      <c r="M156"/>
      <c r="N156"/>
    </row>
    <row r="157" spans="1:14" ht="18" customHeight="1" thickBot="1">
      <c r="A157" s="646"/>
      <c r="B157" s="851"/>
      <c r="C157" s="264" t="s">
        <v>194</v>
      </c>
      <c r="D157" s="265" t="s">
        <v>195</v>
      </c>
      <c r="E157" s="172" t="s">
        <v>196</v>
      </c>
      <c r="F157" s="646"/>
      <c r="G157" s="647"/>
      <c r="H157" s="648"/>
      <c r="I157" s="267" t="s">
        <v>194</v>
      </c>
      <c r="J157" s="265" t="s">
        <v>195</v>
      </c>
      <c r="K157" s="172" t="s">
        <v>196</v>
      </c>
      <c r="L157" s="658"/>
      <c r="M157"/>
      <c r="N157"/>
    </row>
    <row r="158" spans="1:14" ht="18.75" customHeight="1">
      <c r="A158" s="848" t="s">
        <v>197</v>
      </c>
      <c r="B158" s="849"/>
      <c r="C158" s="362">
        <v>124.31</v>
      </c>
      <c r="D158" s="363">
        <v>52608681</v>
      </c>
      <c r="E158" s="274">
        <v>35267.128549593755</v>
      </c>
      <c r="F158" s="649" t="s">
        <v>197</v>
      </c>
      <c r="G158" s="650"/>
      <c r="H158" s="650"/>
      <c r="I158" s="272">
        <v>124.07</v>
      </c>
      <c r="J158" s="273">
        <v>54139056</v>
      </c>
      <c r="K158" s="274">
        <v>36363.24655436447</v>
      </c>
      <c r="L158" s="275">
        <v>1096.1180047707167</v>
      </c>
      <c r="M158"/>
      <c r="N158"/>
    </row>
    <row r="159" spans="1:14" ht="18.75" customHeight="1">
      <c r="A159" s="848" t="s">
        <v>198</v>
      </c>
      <c r="B159" s="849"/>
      <c r="C159" s="283">
        <v>4.68</v>
      </c>
      <c r="D159" s="364">
        <v>1286992</v>
      </c>
      <c r="E159" s="279">
        <v>22916.52421652422</v>
      </c>
      <c r="F159" s="654" t="s">
        <v>198</v>
      </c>
      <c r="G159" s="655"/>
      <c r="H159" s="655"/>
      <c r="I159" s="278">
        <v>4</v>
      </c>
      <c r="J159" s="270">
        <v>1298831</v>
      </c>
      <c r="K159" s="279">
        <v>27058.979166666668</v>
      </c>
      <c r="L159" s="280"/>
      <c r="M159"/>
      <c r="N159"/>
    </row>
    <row r="160" spans="1:14" ht="18.75" customHeight="1">
      <c r="A160" s="848" t="s">
        <v>199</v>
      </c>
      <c r="B160" s="849"/>
      <c r="C160" s="283">
        <v>7.43</v>
      </c>
      <c r="D160" s="364">
        <v>2017292</v>
      </c>
      <c r="E160" s="279">
        <v>22625.527142216244</v>
      </c>
      <c r="F160" s="654" t="s">
        <v>200</v>
      </c>
      <c r="G160" s="655"/>
      <c r="H160" s="655"/>
      <c r="I160" s="278">
        <v>403.1</v>
      </c>
      <c r="J160" s="270">
        <v>80148124</v>
      </c>
      <c r="K160" s="279">
        <v>16569.115190606135</v>
      </c>
      <c r="L160" s="280"/>
      <c r="M160"/>
      <c r="N160"/>
    </row>
    <row r="161" spans="1:14" ht="18.75" customHeight="1">
      <c r="A161" s="848" t="s">
        <v>201</v>
      </c>
      <c r="B161" s="849"/>
      <c r="C161" s="283">
        <v>1</v>
      </c>
      <c r="D161" s="364">
        <v>124306</v>
      </c>
      <c r="E161" s="279">
        <v>10358.833333333334</v>
      </c>
      <c r="F161" s="654" t="s">
        <v>202</v>
      </c>
      <c r="G161" s="655"/>
      <c r="H161" s="655"/>
      <c r="I161" s="278">
        <v>68.57</v>
      </c>
      <c r="J161" s="270">
        <v>14472306</v>
      </c>
      <c r="K161" s="279">
        <v>17588.23829663118</v>
      </c>
      <c r="L161" s="280"/>
      <c r="M161"/>
      <c r="N161"/>
    </row>
    <row r="162" spans="1:14" ht="18.75" customHeight="1">
      <c r="A162" s="848" t="s">
        <v>203</v>
      </c>
      <c r="B162" s="849"/>
      <c r="C162" s="283">
        <v>493.89</v>
      </c>
      <c r="D162" s="364">
        <v>100074495</v>
      </c>
      <c r="E162" s="279">
        <v>16885.422361254532</v>
      </c>
      <c r="F162" s="654" t="s">
        <v>204</v>
      </c>
      <c r="G162" s="655"/>
      <c r="H162" s="655"/>
      <c r="I162" s="278">
        <v>14.47</v>
      </c>
      <c r="J162" s="270">
        <v>2499355</v>
      </c>
      <c r="K162" s="279">
        <v>14393.889656761115</v>
      </c>
      <c r="L162" s="280"/>
      <c r="M162"/>
      <c r="N162"/>
    </row>
    <row r="163" spans="1:14" ht="18.75" customHeight="1">
      <c r="A163" s="848" t="s">
        <v>205</v>
      </c>
      <c r="B163" s="849"/>
      <c r="C163" s="283">
        <v>2</v>
      </c>
      <c r="D163" s="364">
        <v>338499</v>
      </c>
      <c r="E163" s="279">
        <v>14104.125</v>
      </c>
      <c r="F163" s="654" t="s">
        <v>206</v>
      </c>
      <c r="G163" s="655"/>
      <c r="H163" s="655"/>
      <c r="I163" s="278">
        <v>86.54</v>
      </c>
      <c r="J163" s="270">
        <v>11215137</v>
      </c>
      <c r="K163" s="279">
        <v>10799.569563207764</v>
      </c>
      <c r="L163" s="280"/>
      <c r="M163"/>
      <c r="N163"/>
    </row>
    <row r="164" spans="1:14" ht="18.75" customHeight="1">
      <c r="A164" s="848" t="s">
        <v>207</v>
      </c>
      <c r="B164" s="849"/>
      <c r="C164" s="283">
        <v>73.86</v>
      </c>
      <c r="D164" s="364">
        <v>9580536</v>
      </c>
      <c r="E164" s="279">
        <v>10809.341998375305</v>
      </c>
      <c r="F164" s="654" t="s">
        <v>208</v>
      </c>
      <c r="G164" s="655"/>
      <c r="H164" s="655"/>
      <c r="I164" s="278">
        <v>7.11</v>
      </c>
      <c r="J164" s="270">
        <v>1915073</v>
      </c>
      <c r="K164" s="279">
        <v>22445.76887013596</v>
      </c>
      <c r="L164" s="280"/>
      <c r="M164"/>
      <c r="N164"/>
    </row>
    <row r="165" spans="1:14" ht="18.75" customHeight="1">
      <c r="A165" s="848"/>
      <c r="B165" s="849"/>
      <c r="C165" s="283"/>
      <c r="D165" s="364"/>
      <c r="E165" s="279"/>
      <c r="F165" s="654" t="s">
        <v>209</v>
      </c>
      <c r="G165" s="655"/>
      <c r="H165" s="655"/>
      <c r="I165" s="278">
        <v>0</v>
      </c>
      <c r="J165" s="270">
        <v>0</v>
      </c>
      <c r="K165" s="279" t="s">
        <v>210</v>
      </c>
      <c r="L165" s="280"/>
      <c r="M165"/>
      <c r="N165"/>
    </row>
    <row r="166" spans="1:14" ht="18.75" customHeight="1">
      <c r="A166" s="848" t="s">
        <v>211</v>
      </c>
      <c r="B166" s="849"/>
      <c r="C166" s="283">
        <v>65.3</v>
      </c>
      <c r="D166" s="364">
        <v>11189804</v>
      </c>
      <c r="E166" s="279">
        <v>14279.994895354774</v>
      </c>
      <c r="F166" s="654" t="s">
        <v>211</v>
      </c>
      <c r="G166" s="655"/>
      <c r="H166" s="655"/>
      <c r="I166" s="281">
        <v>60.42</v>
      </c>
      <c r="J166" s="282">
        <v>10358807</v>
      </c>
      <c r="K166" s="279">
        <v>14287.221394681672</v>
      </c>
      <c r="L166" s="280">
        <v>7.2264993268981925</v>
      </c>
      <c r="M166"/>
      <c r="N166"/>
    </row>
    <row r="167" spans="1:14" ht="18.75" customHeight="1" thickBot="1">
      <c r="A167" s="848" t="s">
        <v>212</v>
      </c>
      <c r="B167" s="849"/>
      <c r="C167" s="283">
        <v>170.9</v>
      </c>
      <c r="D167" s="364">
        <v>19160133</v>
      </c>
      <c r="E167" s="279">
        <v>9342.760386190754</v>
      </c>
      <c r="F167" s="704" t="s">
        <v>213</v>
      </c>
      <c r="G167" s="705"/>
      <c r="H167" s="705"/>
      <c r="I167" s="272">
        <v>160.03</v>
      </c>
      <c r="J167" s="273">
        <v>17706729</v>
      </c>
      <c r="K167" s="274">
        <v>9220.525838905205</v>
      </c>
      <c r="L167" s="284">
        <v>-122.23454728554862</v>
      </c>
      <c r="M167"/>
      <c r="N167"/>
    </row>
    <row r="168" spans="1:14" ht="14.25" customHeight="1" thickBot="1">
      <c r="A168" s="640" t="s">
        <v>10</v>
      </c>
      <c r="B168" s="852"/>
      <c r="C168" s="285">
        <v>943.37</v>
      </c>
      <c r="D168" s="548">
        <v>196380738</v>
      </c>
      <c r="E168" s="145">
        <v>17347.447449039086</v>
      </c>
      <c r="F168" s="640" t="s">
        <v>10</v>
      </c>
      <c r="G168" s="641"/>
      <c r="H168" s="642"/>
      <c r="I168" s="286">
        <v>928.31</v>
      </c>
      <c r="J168" s="143">
        <v>193753418</v>
      </c>
      <c r="K168" s="145">
        <v>17393.024061646076</v>
      </c>
      <c r="L168" s="287">
        <v>45.57661260699024</v>
      </c>
      <c r="M168"/>
      <c r="N168"/>
    </row>
    <row r="169" spans="1:14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6.5" thickBot="1">
      <c r="A171" s="211" t="s">
        <v>214</v>
      </c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</row>
    <row r="172" spans="1:16" ht="17.25" customHeight="1" thickBot="1">
      <c r="A172" s="748" t="s">
        <v>215</v>
      </c>
      <c r="B172" s="749"/>
      <c r="C172" s="749"/>
      <c r="D172" s="750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</row>
    <row r="173" spans="1:4" s="1" customFormat="1" ht="15.75" customHeight="1">
      <c r="A173" s="744" t="s">
        <v>216</v>
      </c>
      <c r="B173" s="745"/>
      <c r="C173" s="770">
        <f>+C53/1000</f>
        <v>21200</v>
      </c>
      <c r="D173" s="771"/>
    </row>
    <row r="174" spans="1:4" s="1" customFormat="1" ht="15.75" customHeight="1">
      <c r="A174" s="811" t="s">
        <v>50</v>
      </c>
      <c r="B174" s="812"/>
      <c r="C174" s="742">
        <f>+G53/1000</f>
        <v>33135</v>
      </c>
      <c r="D174" s="743"/>
    </row>
    <row r="175" spans="1:4" s="1" customFormat="1" ht="15.75" customHeight="1" thickBot="1">
      <c r="A175" s="813" t="s">
        <v>217</v>
      </c>
      <c r="B175" s="814"/>
      <c r="C175" s="815">
        <f>+J27</f>
        <v>204090</v>
      </c>
      <c r="D175" s="816"/>
    </row>
  </sheetData>
  <mergeCells count="256">
    <mergeCell ref="C96:E96"/>
    <mergeCell ref="L156:L157"/>
    <mergeCell ref="I156:K156"/>
    <mergeCell ref="C94:E94"/>
    <mergeCell ref="C95:E95"/>
    <mergeCell ref="B133:F133"/>
    <mergeCell ref="H105:H106"/>
    <mergeCell ref="E118:G118"/>
    <mergeCell ref="E119:G119"/>
    <mergeCell ref="E120:G120"/>
    <mergeCell ref="C90:E90"/>
    <mergeCell ref="C91:E91"/>
    <mergeCell ref="C92:E92"/>
    <mergeCell ref="C93:E93"/>
    <mergeCell ref="C86:E86"/>
    <mergeCell ref="C87:E87"/>
    <mergeCell ref="C88:E88"/>
    <mergeCell ref="C89:E89"/>
    <mergeCell ref="J56:K56"/>
    <mergeCell ref="B57:C57"/>
    <mergeCell ref="D57:E57"/>
    <mergeCell ref="F57:G57"/>
    <mergeCell ref="H57:I57"/>
    <mergeCell ref="J57:K57"/>
    <mergeCell ref="A128:A129"/>
    <mergeCell ref="B128:B129"/>
    <mergeCell ref="C128:H128"/>
    <mergeCell ref="A56:A57"/>
    <mergeCell ref="B56:C56"/>
    <mergeCell ref="D56:E56"/>
    <mergeCell ref="F56:I56"/>
    <mergeCell ref="I105:L105"/>
    <mergeCell ref="L56:M56"/>
    <mergeCell ref="L57:M57"/>
    <mergeCell ref="E38:G38"/>
    <mergeCell ref="A105:A106"/>
    <mergeCell ref="B105:B106"/>
    <mergeCell ref="C105:F105"/>
    <mergeCell ref="G105:G106"/>
    <mergeCell ref="C100:C101"/>
    <mergeCell ref="A99:A101"/>
    <mergeCell ref="B99:B101"/>
    <mergeCell ref="A43:A44"/>
    <mergeCell ref="B43:E43"/>
    <mergeCell ref="J36:L36"/>
    <mergeCell ref="H4:I4"/>
    <mergeCell ref="B3:N3"/>
    <mergeCell ref="L5:L6"/>
    <mergeCell ref="M4:N4"/>
    <mergeCell ref="A3:A6"/>
    <mergeCell ref="B36:D36"/>
    <mergeCell ref="B37:D37"/>
    <mergeCell ref="C99:H99"/>
    <mergeCell ref="B59:C59"/>
    <mergeCell ref="D59:E59"/>
    <mergeCell ref="A42:I42"/>
    <mergeCell ref="E36:G36"/>
    <mergeCell ref="E37:G37"/>
    <mergeCell ref="B38:D38"/>
    <mergeCell ref="J59:K59"/>
    <mergeCell ref="J60:K60"/>
    <mergeCell ref="D100:H100"/>
    <mergeCell ref="H59:I59"/>
    <mergeCell ref="J61:K61"/>
    <mergeCell ref="H69:I69"/>
    <mergeCell ref="H68:I68"/>
    <mergeCell ref="J70:K70"/>
    <mergeCell ref="H73:I73"/>
    <mergeCell ref="H72:I72"/>
    <mergeCell ref="E115:G115"/>
    <mergeCell ref="E116:G116"/>
    <mergeCell ref="E117:G117"/>
    <mergeCell ref="F59:G59"/>
    <mergeCell ref="F69:G69"/>
    <mergeCell ref="F68:G68"/>
    <mergeCell ref="F73:G73"/>
    <mergeCell ref="F72:G72"/>
    <mergeCell ref="F76:G76"/>
    <mergeCell ref="F77:G77"/>
    <mergeCell ref="L61:M61"/>
    <mergeCell ref="I99:I101"/>
    <mergeCell ref="L59:M59"/>
    <mergeCell ref="L60:M60"/>
    <mergeCell ref="J67:K67"/>
    <mergeCell ref="L67:M67"/>
    <mergeCell ref="J69:K69"/>
    <mergeCell ref="L69:M69"/>
    <mergeCell ref="J72:K72"/>
    <mergeCell ref="L72:M72"/>
    <mergeCell ref="F43:I43"/>
    <mergeCell ref="K47:N47"/>
    <mergeCell ref="G133:K133"/>
    <mergeCell ref="F64:G64"/>
    <mergeCell ref="H64:I64"/>
    <mergeCell ref="J68:K68"/>
    <mergeCell ref="L68:M68"/>
    <mergeCell ref="J66:K66"/>
    <mergeCell ref="L66:M66"/>
    <mergeCell ref="H61:I61"/>
    <mergeCell ref="A166:B166"/>
    <mergeCell ref="A168:B168"/>
    <mergeCell ref="A167:B167"/>
    <mergeCell ref="F166:H166"/>
    <mergeCell ref="F167:H167"/>
    <mergeCell ref="F168:H168"/>
    <mergeCell ref="A164:B164"/>
    <mergeCell ref="A165:B165"/>
    <mergeCell ref="A162:B162"/>
    <mergeCell ref="A163:B163"/>
    <mergeCell ref="F162:H162"/>
    <mergeCell ref="F163:H163"/>
    <mergeCell ref="A158:B158"/>
    <mergeCell ref="A159:B159"/>
    <mergeCell ref="F158:H158"/>
    <mergeCell ref="F159:H159"/>
    <mergeCell ref="A156:B157"/>
    <mergeCell ref="C156:E156"/>
    <mergeCell ref="F156:H157"/>
    <mergeCell ref="B60:C60"/>
    <mergeCell ref="D60:E60"/>
    <mergeCell ref="F60:G60"/>
    <mergeCell ref="H60:I60"/>
    <mergeCell ref="B61:C61"/>
    <mergeCell ref="D61:E61"/>
    <mergeCell ref="F61:G61"/>
    <mergeCell ref="B62:C62"/>
    <mergeCell ref="D62:E62"/>
    <mergeCell ref="F62:G62"/>
    <mergeCell ref="H62:I62"/>
    <mergeCell ref="B64:C64"/>
    <mergeCell ref="D64:E64"/>
    <mergeCell ref="J58:K58"/>
    <mergeCell ref="L58:M58"/>
    <mergeCell ref="J63:K63"/>
    <mergeCell ref="L63:M63"/>
    <mergeCell ref="J62:K62"/>
    <mergeCell ref="L62:M62"/>
    <mergeCell ref="J64:K64"/>
    <mergeCell ref="L64:M64"/>
    <mergeCell ref="B58:C58"/>
    <mergeCell ref="D58:E58"/>
    <mergeCell ref="F58:G58"/>
    <mergeCell ref="H58:I58"/>
    <mergeCell ref="B63:C63"/>
    <mergeCell ref="D63:E63"/>
    <mergeCell ref="F63:G63"/>
    <mergeCell ref="H63:I63"/>
    <mergeCell ref="A66:A67"/>
    <mergeCell ref="B66:C66"/>
    <mergeCell ref="D66:E66"/>
    <mergeCell ref="F66:I66"/>
    <mergeCell ref="B67:C67"/>
    <mergeCell ref="D67:E67"/>
    <mergeCell ref="F67:G67"/>
    <mergeCell ref="H67:I67"/>
    <mergeCell ref="B68:C68"/>
    <mergeCell ref="D68:E68"/>
    <mergeCell ref="B69:C69"/>
    <mergeCell ref="D69:E69"/>
    <mergeCell ref="B70:C70"/>
    <mergeCell ref="D70:E70"/>
    <mergeCell ref="F70:G70"/>
    <mergeCell ref="H70:I70"/>
    <mergeCell ref="B71:C71"/>
    <mergeCell ref="D71:E71"/>
    <mergeCell ref="F71:G71"/>
    <mergeCell ref="H71:I71"/>
    <mergeCell ref="L70:M70"/>
    <mergeCell ref="J71:K71"/>
    <mergeCell ref="L71:M71"/>
    <mergeCell ref="J73:K73"/>
    <mergeCell ref="L73:M73"/>
    <mergeCell ref="B72:C72"/>
    <mergeCell ref="D72:E72"/>
    <mergeCell ref="B73:C73"/>
    <mergeCell ref="D73:E73"/>
    <mergeCell ref="B74:C74"/>
    <mergeCell ref="D74:E74"/>
    <mergeCell ref="F74:G74"/>
    <mergeCell ref="H74:I74"/>
    <mergeCell ref="B75:C75"/>
    <mergeCell ref="D75:E75"/>
    <mergeCell ref="F75:G75"/>
    <mergeCell ref="H75:I75"/>
    <mergeCell ref="H76:I76"/>
    <mergeCell ref="J74:K74"/>
    <mergeCell ref="L74:M74"/>
    <mergeCell ref="J75:K75"/>
    <mergeCell ref="L75:M75"/>
    <mergeCell ref="J76:K76"/>
    <mergeCell ref="L76:M76"/>
    <mergeCell ref="B76:C76"/>
    <mergeCell ref="D76:E76"/>
    <mergeCell ref="B82:C82"/>
    <mergeCell ref="D82:E82"/>
    <mergeCell ref="B77:C77"/>
    <mergeCell ref="D77:E77"/>
    <mergeCell ref="B78:C78"/>
    <mergeCell ref="D78:E78"/>
    <mergeCell ref="B79:C79"/>
    <mergeCell ref="D79:E79"/>
    <mergeCell ref="B84:C84"/>
    <mergeCell ref="D84:E84"/>
    <mergeCell ref="F84:G84"/>
    <mergeCell ref="H84:I84"/>
    <mergeCell ref="K42:N42"/>
    <mergeCell ref="K48:N48"/>
    <mergeCell ref="K51:N51"/>
    <mergeCell ref="E114:G114"/>
    <mergeCell ref="J84:K84"/>
    <mergeCell ref="L84:M84"/>
    <mergeCell ref="J82:K82"/>
    <mergeCell ref="L82:M82"/>
    <mergeCell ref="F82:G82"/>
    <mergeCell ref="H82:I82"/>
    <mergeCell ref="E123:G123"/>
    <mergeCell ref="E124:G124"/>
    <mergeCell ref="E125:G125"/>
    <mergeCell ref="A172:D172"/>
    <mergeCell ref="A160:B160"/>
    <mergeCell ref="A161:B161"/>
    <mergeCell ref="F160:H160"/>
    <mergeCell ref="F161:H161"/>
    <mergeCell ref="F164:H164"/>
    <mergeCell ref="F165:H165"/>
    <mergeCell ref="A175:B175"/>
    <mergeCell ref="C175:D175"/>
    <mergeCell ref="A173:B173"/>
    <mergeCell ref="C173:D173"/>
    <mergeCell ref="A174:B174"/>
    <mergeCell ref="C174:D174"/>
    <mergeCell ref="H77:I77"/>
    <mergeCell ref="J77:K77"/>
    <mergeCell ref="L77:M77"/>
    <mergeCell ref="F78:G78"/>
    <mergeCell ref="H78:I78"/>
    <mergeCell ref="J78:K78"/>
    <mergeCell ref="L78:M78"/>
    <mergeCell ref="F79:G79"/>
    <mergeCell ref="H79:I79"/>
    <mergeCell ref="J79:K79"/>
    <mergeCell ref="L79:M79"/>
    <mergeCell ref="B80:C80"/>
    <mergeCell ref="D80:E80"/>
    <mergeCell ref="F80:G80"/>
    <mergeCell ref="H80:I80"/>
    <mergeCell ref="A133:A134"/>
    <mergeCell ref="A154:K154"/>
    <mergeCell ref="J80:K80"/>
    <mergeCell ref="L80:M80"/>
    <mergeCell ref="B81:C81"/>
    <mergeCell ref="D81:E81"/>
    <mergeCell ref="F81:G81"/>
    <mergeCell ref="H81:I81"/>
    <mergeCell ref="J81:K81"/>
    <mergeCell ref="L81:M81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8" r:id="rId1"/>
  <rowBreaks count="2" manualBreakCount="2">
    <brk id="65" max="255" man="1"/>
    <brk id="1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B1">
      <selection activeCell="H2" sqref="H2"/>
    </sheetView>
  </sheetViews>
  <sheetFormatPr defaultColWidth="9.00390625" defaultRowHeight="12.75"/>
  <cols>
    <col min="1" max="1" width="28.125" style="1" customWidth="1"/>
    <col min="2" max="7" width="9.75390625" style="2" customWidth="1"/>
    <col min="8" max="8" width="8.125" style="2" customWidth="1"/>
    <col min="9" max="9" width="8.875" style="1" customWidth="1"/>
    <col min="10" max="12" width="9.125" style="1" customWidth="1"/>
    <col min="13" max="14" width="9.25390625" style="1" bestFit="1" customWidth="1"/>
    <col min="15" max="16" width="9.125" style="1" customWidth="1"/>
  </cols>
  <sheetData>
    <row r="1" spans="12:14" ht="15.75">
      <c r="L1" s="3" t="s">
        <v>455</v>
      </c>
      <c r="N1" s="4"/>
    </row>
    <row r="2" spans="1:14" ht="16.5" thickBot="1">
      <c r="A2" s="434" t="s">
        <v>393</v>
      </c>
      <c r="B2" s="6"/>
      <c r="C2" s="6"/>
      <c r="D2" s="6"/>
      <c r="E2" s="6"/>
      <c r="F2" s="6"/>
      <c r="G2" s="6"/>
      <c r="H2" s="6"/>
      <c r="L2" s="3" t="s">
        <v>394</v>
      </c>
      <c r="N2" s="4"/>
    </row>
    <row r="3" spans="1:14" ht="24" customHeight="1" thickBot="1">
      <c r="A3" s="793" t="s">
        <v>1</v>
      </c>
      <c r="B3" s="796" t="s">
        <v>424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1"/>
    </row>
    <row r="4" spans="1:16" ht="12.75">
      <c r="A4" s="794"/>
      <c r="B4" s="7" t="s">
        <v>396</v>
      </c>
      <c r="C4" s="8"/>
      <c r="D4" s="9"/>
      <c r="E4" s="8" t="s">
        <v>425</v>
      </c>
      <c r="F4" s="11"/>
      <c r="G4" s="9"/>
      <c r="H4" s="716" t="s">
        <v>5</v>
      </c>
      <c r="I4" s="834"/>
      <c r="J4" s="8" t="s">
        <v>6</v>
      </c>
      <c r="K4" s="11"/>
      <c r="L4" s="9"/>
      <c r="M4" s="716" t="s">
        <v>7</v>
      </c>
      <c r="N4" s="834"/>
      <c r="O4"/>
      <c r="P4"/>
    </row>
    <row r="5" spans="1:16" ht="12.75">
      <c r="A5" s="794"/>
      <c r="B5" s="13" t="s">
        <v>8</v>
      </c>
      <c r="C5" s="14" t="s">
        <v>9</v>
      </c>
      <c r="D5" s="15" t="s">
        <v>10</v>
      </c>
      <c r="E5" s="18" t="s">
        <v>8</v>
      </c>
      <c r="F5" s="14" t="s">
        <v>9</v>
      </c>
      <c r="G5" s="15" t="s">
        <v>10</v>
      </c>
      <c r="H5" s="17" t="s">
        <v>10</v>
      </c>
      <c r="I5" s="15" t="s">
        <v>11</v>
      </c>
      <c r="J5" s="18" t="s">
        <v>8</v>
      </c>
      <c r="K5" s="14" t="s">
        <v>9</v>
      </c>
      <c r="L5" s="15" t="s">
        <v>10</v>
      </c>
      <c r="M5" s="17" t="s">
        <v>10</v>
      </c>
      <c r="N5" s="15" t="s">
        <v>11</v>
      </c>
      <c r="O5"/>
      <c r="P5"/>
    </row>
    <row r="6" spans="1:16" ht="13.5" thickBot="1">
      <c r="A6" s="795"/>
      <c r="B6" s="368" t="s">
        <v>12</v>
      </c>
      <c r="C6" s="369" t="s">
        <v>12</v>
      </c>
      <c r="D6" s="372"/>
      <c r="E6" s="560" t="s">
        <v>12</v>
      </c>
      <c r="F6" s="369" t="s">
        <v>12</v>
      </c>
      <c r="G6" s="372"/>
      <c r="H6" s="561" t="s">
        <v>13</v>
      </c>
      <c r="I6" s="372" t="s">
        <v>14</v>
      </c>
      <c r="J6" s="560" t="s">
        <v>12</v>
      </c>
      <c r="K6" s="369" t="s">
        <v>12</v>
      </c>
      <c r="L6" s="372"/>
      <c r="M6" s="561" t="s">
        <v>13</v>
      </c>
      <c r="N6" s="372" t="s">
        <v>14</v>
      </c>
      <c r="O6"/>
      <c r="P6"/>
    </row>
    <row r="7" spans="1:16" ht="13.5" customHeight="1" thickTop="1">
      <c r="A7" s="26" t="s">
        <v>15</v>
      </c>
      <c r="B7" s="27">
        <v>0</v>
      </c>
      <c r="C7" s="28"/>
      <c r="D7" s="29"/>
      <c r="E7" s="32">
        <v>0</v>
      </c>
      <c r="F7" s="28"/>
      <c r="G7" s="33"/>
      <c r="H7" s="30"/>
      <c r="I7" s="34"/>
      <c r="J7" s="32"/>
      <c r="K7" s="28"/>
      <c r="L7" s="33"/>
      <c r="M7" s="30"/>
      <c r="N7" s="34"/>
      <c r="O7"/>
      <c r="P7"/>
    </row>
    <row r="8" spans="1:16" ht="13.5" customHeight="1">
      <c r="A8" s="35" t="s">
        <v>16</v>
      </c>
      <c r="B8" s="36">
        <v>0</v>
      </c>
      <c r="C8" s="37"/>
      <c r="D8" s="38">
        <f aca="true" t="shared" si="0" ref="D8:D15">SUM(B8:C8)</f>
        <v>0</v>
      </c>
      <c r="E8" s="44">
        <v>0</v>
      </c>
      <c r="F8" s="37"/>
      <c r="G8" s="45">
        <f aca="true" t="shared" si="1" ref="G8:G15">SUM(E8:F8)</f>
        <v>0</v>
      </c>
      <c r="H8" s="42">
        <f>+G8-D8</f>
        <v>0</v>
      </c>
      <c r="I8" s="46"/>
      <c r="J8" s="44"/>
      <c r="K8" s="37"/>
      <c r="L8" s="45"/>
      <c r="M8" s="42"/>
      <c r="N8" s="46"/>
      <c r="O8"/>
      <c r="P8"/>
    </row>
    <row r="9" spans="1:16" ht="13.5" customHeight="1">
      <c r="A9" s="35" t="s">
        <v>17</v>
      </c>
      <c r="B9" s="36">
        <v>0</v>
      </c>
      <c r="C9" s="37"/>
      <c r="D9" s="38">
        <f t="shared" si="0"/>
        <v>0</v>
      </c>
      <c r="E9" s="44">
        <v>0</v>
      </c>
      <c r="F9" s="37"/>
      <c r="G9" s="45">
        <f t="shared" si="1"/>
        <v>0</v>
      </c>
      <c r="H9" s="42">
        <f>+G9-D9</f>
        <v>0</v>
      </c>
      <c r="I9" s="46"/>
      <c r="J9" s="44"/>
      <c r="K9" s="37"/>
      <c r="L9" s="45"/>
      <c r="M9" s="42"/>
      <c r="N9" s="46"/>
      <c r="O9"/>
      <c r="P9"/>
    </row>
    <row r="10" spans="1:16" ht="13.5" customHeight="1">
      <c r="A10" s="35" t="s">
        <v>18</v>
      </c>
      <c r="B10" s="36">
        <v>0</v>
      </c>
      <c r="C10" s="37"/>
      <c r="D10" s="38">
        <f t="shared" si="0"/>
        <v>0</v>
      </c>
      <c r="E10" s="44">
        <v>0</v>
      </c>
      <c r="F10" s="37"/>
      <c r="G10" s="45">
        <f t="shared" si="1"/>
        <v>0</v>
      </c>
      <c r="H10" s="42">
        <f>+G10-D10</f>
        <v>0</v>
      </c>
      <c r="I10" s="46"/>
      <c r="J10" s="44"/>
      <c r="K10" s="37"/>
      <c r="L10" s="45"/>
      <c r="M10" s="42"/>
      <c r="N10" s="46"/>
      <c r="O10"/>
      <c r="P10"/>
    </row>
    <row r="11" spans="1:16" ht="13.5" customHeight="1">
      <c r="A11" s="35" t="s">
        <v>19</v>
      </c>
      <c r="B11" s="36">
        <v>472</v>
      </c>
      <c r="C11" s="37"/>
      <c r="D11" s="38">
        <f t="shared" si="0"/>
        <v>472</v>
      </c>
      <c r="E11" s="44">
        <v>553</v>
      </c>
      <c r="F11" s="37"/>
      <c r="G11" s="45">
        <f t="shared" si="1"/>
        <v>553</v>
      </c>
      <c r="H11" s="42">
        <f>+L11-G11</f>
        <v>-303</v>
      </c>
      <c r="I11" s="46">
        <f>+G11/D11</f>
        <v>1.1716101694915255</v>
      </c>
      <c r="J11" s="44">
        <v>250</v>
      </c>
      <c r="K11" s="37"/>
      <c r="L11" s="45">
        <f>SUM(J11:K11)</f>
        <v>250</v>
      </c>
      <c r="M11" s="42">
        <f aca="true" t="shared" si="2" ref="M11:M34">+L11-G11</f>
        <v>-303</v>
      </c>
      <c r="N11" s="46">
        <f>+L11/G11</f>
        <v>0.45207956600361665</v>
      </c>
      <c r="O11"/>
      <c r="P11"/>
    </row>
    <row r="12" spans="1:16" ht="13.5" customHeight="1">
      <c r="A12" s="50" t="s">
        <v>20</v>
      </c>
      <c r="B12" s="36">
        <v>0</v>
      </c>
      <c r="C12" s="37"/>
      <c r="D12" s="38">
        <f t="shared" si="0"/>
        <v>0</v>
      </c>
      <c r="E12" s="44">
        <v>0</v>
      </c>
      <c r="F12" s="37"/>
      <c r="G12" s="45">
        <f t="shared" si="1"/>
        <v>0</v>
      </c>
      <c r="H12" s="42">
        <f aca="true" t="shared" si="3" ref="H12:H35">+G12-D12</f>
        <v>0</v>
      </c>
      <c r="I12" s="46"/>
      <c r="J12" s="44">
        <v>0</v>
      </c>
      <c r="K12" s="37"/>
      <c r="L12" s="45">
        <f>SUM(J12:K12)</f>
        <v>0</v>
      </c>
      <c r="M12" s="42">
        <f t="shared" si="2"/>
        <v>0</v>
      </c>
      <c r="N12" s="46"/>
      <c r="O12"/>
      <c r="P12"/>
    </row>
    <row r="13" spans="1:16" ht="13.5" customHeight="1">
      <c r="A13" s="50" t="s">
        <v>21</v>
      </c>
      <c r="B13" s="36">
        <v>0</v>
      </c>
      <c r="C13" s="37"/>
      <c r="D13" s="38">
        <f t="shared" si="0"/>
        <v>0</v>
      </c>
      <c r="E13" s="44">
        <v>0</v>
      </c>
      <c r="F13" s="37"/>
      <c r="G13" s="45">
        <f t="shared" si="1"/>
        <v>0</v>
      </c>
      <c r="H13" s="42">
        <f t="shared" si="3"/>
        <v>0</v>
      </c>
      <c r="I13" s="46"/>
      <c r="J13" s="44">
        <v>0</v>
      </c>
      <c r="K13" s="37"/>
      <c r="L13" s="45">
        <f>SUM(J13:K13)</f>
        <v>0</v>
      </c>
      <c r="M13" s="42">
        <f t="shared" si="2"/>
        <v>0</v>
      </c>
      <c r="N13" s="46"/>
      <c r="O13"/>
      <c r="P13"/>
    </row>
    <row r="14" spans="1:16" ht="20.25" customHeight="1">
      <c r="A14" s="50" t="s">
        <v>22</v>
      </c>
      <c r="B14" s="36">
        <v>0</v>
      </c>
      <c r="C14" s="37"/>
      <c r="D14" s="38">
        <f t="shared" si="0"/>
        <v>0</v>
      </c>
      <c r="E14" s="44">
        <v>0</v>
      </c>
      <c r="F14" s="37"/>
      <c r="G14" s="45">
        <f t="shared" si="1"/>
        <v>0</v>
      </c>
      <c r="H14" s="42">
        <f t="shared" si="3"/>
        <v>0</v>
      </c>
      <c r="I14" s="46"/>
      <c r="J14" s="44">
        <v>0</v>
      </c>
      <c r="K14" s="37"/>
      <c r="L14" s="45">
        <f>SUM(J14:K14)</f>
        <v>0</v>
      </c>
      <c r="M14" s="42">
        <f t="shared" si="2"/>
        <v>0</v>
      </c>
      <c r="N14" s="46"/>
      <c r="O14"/>
      <c r="P14"/>
    </row>
    <row r="15" spans="1:16" ht="13.5" customHeight="1" thickBot="1">
      <c r="A15" s="51" t="s">
        <v>23</v>
      </c>
      <c r="B15" s="52">
        <v>11425</v>
      </c>
      <c r="C15" s="53"/>
      <c r="D15" s="38">
        <f t="shared" si="0"/>
        <v>11425</v>
      </c>
      <c r="E15" s="54">
        <v>11929</v>
      </c>
      <c r="F15" s="53"/>
      <c r="G15" s="45">
        <f t="shared" si="1"/>
        <v>11929</v>
      </c>
      <c r="H15" s="57">
        <f t="shared" si="3"/>
        <v>504</v>
      </c>
      <c r="I15" s="59">
        <f>+G15/D15</f>
        <v>1.044113785557987</v>
      </c>
      <c r="J15" s="54">
        <v>12230</v>
      </c>
      <c r="K15" s="53"/>
      <c r="L15" s="45">
        <f>SUM(J15:K15)</f>
        <v>12230</v>
      </c>
      <c r="M15" s="57">
        <f t="shared" si="2"/>
        <v>301</v>
      </c>
      <c r="N15" s="59">
        <f>+L15/G15</f>
        <v>1.0252326263727052</v>
      </c>
      <c r="O15"/>
      <c r="P15"/>
    </row>
    <row r="16" spans="1:16" ht="13.5" customHeight="1" thickBot="1">
      <c r="A16" s="60" t="s">
        <v>24</v>
      </c>
      <c r="B16" s="61">
        <f aca="true" t="shared" si="4" ref="B16:G16">SUM(B7+B8+B9+B10+B11+B13+B15)</f>
        <v>11897</v>
      </c>
      <c r="C16" s="62">
        <f t="shared" si="4"/>
        <v>0</v>
      </c>
      <c r="D16" s="63">
        <f t="shared" si="4"/>
        <v>11897</v>
      </c>
      <c r="E16" s="66">
        <f t="shared" si="4"/>
        <v>12482</v>
      </c>
      <c r="F16" s="62">
        <f t="shared" si="4"/>
        <v>0</v>
      </c>
      <c r="G16" s="63">
        <f t="shared" si="4"/>
        <v>12482</v>
      </c>
      <c r="H16" s="64">
        <f t="shared" si="3"/>
        <v>585</v>
      </c>
      <c r="I16" s="67">
        <f>+G16/D16</f>
        <v>1.0491720601832395</v>
      </c>
      <c r="J16" s="61">
        <f>SUM(J7+J8+J9+J10+J11+J13+J15)</f>
        <v>12480</v>
      </c>
      <c r="K16" s="62"/>
      <c r="L16" s="63">
        <f>SUM(L7+L8+L9+L10+L11+L13+L15)</f>
        <v>12480</v>
      </c>
      <c r="M16" s="64">
        <f t="shared" si="2"/>
        <v>-2</v>
      </c>
      <c r="N16" s="67">
        <f>+L16/G16</f>
        <v>0.9998397692677455</v>
      </c>
      <c r="O16"/>
      <c r="P16"/>
    </row>
    <row r="17" spans="1:16" ht="13.5" customHeight="1">
      <c r="A17" s="68" t="s">
        <v>25</v>
      </c>
      <c r="B17" s="27">
        <v>1332</v>
      </c>
      <c r="C17" s="28"/>
      <c r="D17" s="29">
        <f aca="true" t="shared" si="5" ref="D17:D34">SUM(B17:C17)</f>
        <v>1332</v>
      </c>
      <c r="E17" s="32">
        <v>1516</v>
      </c>
      <c r="F17" s="28"/>
      <c r="G17" s="33">
        <f aca="true" t="shared" si="6" ref="G17:G34">SUM(E17:F17)</f>
        <v>1516</v>
      </c>
      <c r="H17" s="30">
        <f t="shared" si="3"/>
        <v>184</v>
      </c>
      <c r="I17" s="71">
        <f>+G17/D17</f>
        <v>1.1381381381381381</v>
      </c>
      <c r="J17" s="32">
        <v>1311</v>
      </c>
      <c r="K17" s="28"/>
      <c r="L17" s="45">
        <f aca="true" t="shared" si="7" ref="L17:L34">SUM(J17:K17)</f>
        <v>1311</v>
      </c>
      <c r="M17" s="30">
        <f t="shared" si="2"/>
        <v>-205</v>
      </c>
      <c r="N17" s="71">
        <f>+L17/G17</f>
        <v>0.8647757255936676</v>
      </c>
      <c r="O17"/>
      <c r="P17"/>
    </row>
    <row r="18" spans="1:16" ht="13.5" customHeight="1">
      <c r="A18" s="50" t="s">
        <v>26</v>
      </c>
      <c r="B18" s="27">
        <v>81</v>
      </c>
      <c r="C18" s="28"/>
      <c r="D18" s="29">
        <f t="shared" si="5"/>
        <v>81</v>
      </c>
      <c r="E18" s="32">
        <v>122</v>
      </c>
      <c r="F18" s="28"/>
      <c r="G18" s="33">
        <f t="shared" si="6"/>
        <v>122</v>
      </c>
      <c r="H18" s="42">
        <f t="shared" si="3"/>
        <v>41</v>
      </c>
      <c r="I18" s="46">
        <f>+G18/D18</f>
        <v>1.5061728395061729</v>
      </c>
      <c r="J18" s="32">
        <v>50</v>
      </c>
      <c r="K18" s="28"/>
      <c r="L18" s="45">
        <f t="shared" si="7"/>
        <v>50</v>
      </c>
      <c r="M18" s="42">
        <f t="shared" si="2"/>
        <v>-72</v>
      </c>
      <c r="N18" s="46">
        <f>+L18/G18</f>
        <v>0.4098360655737705</v>
      </c>
      <c r="O18"/>
      <c r="P18"/>
    </row>
    <row r="19" spans="1:16" ht="13.5" customHeight="1">
      <c r="A19" s="35" t="s">
        <v>27</v>
      </c>
      <c r="B19" s="36">
        <v>412</v>
      </c>
      <c r="C19" s="37"/>
      <c r="D19" s="29">
        <f t="shared" si="5"/>
        <v>412</v>
      </c>
      <c r="E19" s="44">
        <v>390</v>
      </c>
      <c r="F19" s="37"/>
      <c r="G19" s="33">
        <f t="shared" si="6"/>
        <v>390</v>
      </c>
      <c r="H19" s="42">
        <f t="shared" si="3"/>
        <v>-22</v>
      </c>
      <c r="I19" s="46">
        <f>+G19/D19</f>
        <v>0.9466019417475728</v>
      </c>
      <c r="J19" s="44">
        <v>450</v>
      </c>
      <c r="K19" s="37"/>
      <c r="L19" s="45">
        <f t="shared" si="7"/>
        <v>450</v>
      </c>
      <c r="M19" s="42">
        <f t="shared" si="2"/>
        <v>60</v>
      </c>
      <c r="N19" s="46">
        <f>+L19/G19</f>
        <v>1.1538461538461537</v>
      </c>
      <c r="O19"/>
      <c r="P19"/>
    </row>
    <row r="20" spans="1:16" ht="13.5" customHeight="1">
      <c r="A20" s="50" t="s">
        <v>28</v>
      </c>
      <c r="B20" s="36">
        <v>0</v>
      </c>
      <c r="C20" s="37"/>
      <c r="D20" s="29">
        <f t="shared" si="5"/>
        <v>0</v>
      </c>
      <c r="E20" s="44">
        <v>0</v>
      </c>
      <c r="F20" s="37"/>
      <c r="G20" s="33">
        <f t="shared" si="6"/>
        <v>0</v>
      </c>
      <c r="H20" s="42">
        <f t="shared" si="3"/>
        <v>0</v>
      </c>
      <c r="I20" s="46"/>
      <c r="J20" s="44">
        <v>0</v>
      </c>
      <c r="K20" s="37"/>
      <c r="L20" s="45">
        <f t="shared" si="7"/>
        <v>0</v>
      </c>
      <c r="M20" s="42">
        <f t="shared" si="2"/>
        <v>0</v>
      </c>
      <c r="N20" s="46"/>
      <c r="O20"/>
      <c r="P20"/>
    </row>
    <row r="21" spans="1:16" ht="13.5" customHeight="1">
      <c r="A21" s="35" t="s">
        <v>29</v>
      </c>
      <c r="B21" s="36">
        <v>0</v>
      </c>
      <c r="C21" s="37"/>
      <c r="D21" s="29">
        <f t="shared" si="5"/>
        <v>0</v>
      </c>
      <c r="E21" s="44">
        <v>0</v>
      </c>
      <c r="F21" s="37"/>
      <c r="G21" s="33">
        <f t="shared" si="6"/>
        <v>0</v>
      </c>
      <c r="H21" s="42">
        <f t="shared" si="3"/>
        <v>0</v>
      </c>
      <c r="I21" s="46"/>
      <c r="J21" s="44">
        <v>0</v>
      </c>
      <c r="K21" s="37"/>
      <c r="L21" s="45">
        <f t="shared" si="7"/>
        <v>0</v>
      </c>
      <c r="M21" s="42">
        <f t="shared" si="2"/>
        <v>0</v>
      </c>
      <c r="N21" s="46"/>
      <c r="O21"/>
      <c r="P21"/>
    </row>
    <row r="22" spans="1:16" ht="13.5" customHeight="1">
      <c r="A22" s="35" t="s">
        <v>30</v>
      </c>
      <c r="B22" s="44">
        <v>786</v>
      </c>
      <c r="C22" s="37"/>
      <c r="D22" s="29">
        <f t="shared" si="5"/>
        <v>786</v>
      </c>
      <c r="E22" s="44">
        <v>686</v>
      </c>
      <c r="F22" s="37"/>
      <c r="G22" s="33">
        <f t="shared" si="6"/>
        <v>686</v>
      </c>
      <c r="H22" s="42">
        <f t="shared" si="3"/>
        <v>-100</v>
      </c>
      <c r="I22" s="46">
        <f aca="true" t="shared" si="8" ref="I22:I33">+G22/D22</f>
        <v>0.8727735368956743</v>
      </c>
      <c r="J22" s="44">
        <v>639</v>
      </c>
      <c r="K22" s="37"/>
      <c r="L22" s="45">
        <f t="shared" si="7"/>
        <v>639</v>
      </c>
      <c r="M22" s="42">
        <f t="shared" si="2"/>
        <v>-47</v>
      </c>
      <c r="N22" s="46">
        <f aca="true" t="shared" si="9" ref="N22:N33">+L22/G22</f>
        <v>0.9314868804664723</v>
      </c>
      <c r="O22"/>
      <c r="P22"/>
    </row>
    <row r="23" spans="1:16" ht="13.5" customHeight="1">
      <c r="A23" s="50" t="s">
        <v>31</v>
      </c>
      <c r="B23" s="36">
        <v>284</v>
      </c>
      <c r="C23" s="37"/>
      <c r="D23" s="29">
        <f t="shared" si="5"/>
        <v>284</v>
      </c>
      <c r="E23" s="47">
        <v>144</v>
      </c>
      <c r="F23" s="37"/>
      <c r="G23" s="33">
        <f t="shared" si="6"/>
        <v>144</v>
      </c>
      <c r="H23" s="42">
        <f t="shared" si="3"/>
        <v>-140</v>
      </c>
      <c r="I23" s="46">
        <f t="shared" si="8"/>
        <v>0.5070422535211268</v>
      </c>
      <c r="J23" s="47">
        <v>104</v>
      </c>
      <c r="K23" s="37"/>
      <c r="L23" s="45">
        <f t="shared" si="7"/>
        <v>104</v>
      </c>
      <c r="M23" s="42">
        <f t="shared" si="2"/>
        <v>-40</v>
      </c>
      <c r="N23" s="46">
        <f t="shared" si="9"/>
        <v>0.7222222222222222</v>
      </c>
      <c r="O23"/>
      <c r="P23"/>
    </row>
    <row r="24" spans="1:16" ht="13.5" customHeight="1">
      <c r="A24" s="35" t="s">
        <v>32</v>
      </c>
      <c r="B24" s="36">
        <v>482</v>
      </c>
      <c r="C24" s="37"/>
      <c r="D24" s="29">
        <f t="shared" si="5"/>
        <v>482</v>
      </c>
      <c r="E24" s="47">
        <v>531</v>
      </c>
      <c r="F24" s="37"/>
      <c r="G24" s="33">
        <f t="shared" si="6"/>
        <v>531</v>
      </c>
      <c r="H24" s="42">
        <f t="shared" si="3"/>
        <v>49</v>
      </c>
      <c r="I24" s="46">
        <f t="shared" si="8"/>
        <v>1.1016597510373445</v>
      </c>
      <c r="J24" s="47">
        <v>525</v>
      </c>
      <c r="K24" s="37"/>
      <c r="L24" s="45">
        <f t="shared" si="7"/>
        <v>525</v>
      </c>
      <c r="M24" s="42">
        <f t="shared" si="2"/>
        <v>-6</v>
      </c>
      <c r="N24" s="46">
        <f t="shared" si="9"/>
        <v>0.9887005649717514</v>
      </c>
      <c r="O24"/>
      <c r="P24"/>
    </row>
    <row r="25" spans="1:16" ht="13.5" customHeight="1">
      <c r="A25" s="75" t="s">
        <v>33</v>
      </c>
      <c r="B25" s="44">
        <v>9004</v>
      </c>
      <c r="C25" s="37"/>
      <c r="D25" s="29">
        <f t="shared" si="5"/>
        <v>9004</v>
      </c>
      <c r="E25" s="44">
        <v>9639</v>
      </c>
      <c r="F25" s="37"/>
      <c r="G25" s="33">
        <f t="shared" si="6"/>
        <v>9639</v>
      </c>
      <c r="H25" s="42">
        <f t="shared" si="3"/>
        <v>635</v>
      </c>
      <c r="I25" s="46">
        <f t="shared" si="8"/>
        <v>1.0705242114615727</v>
      </c>
      <c r="J25" s="44">
        <v>9825</v>
      </c>
      <c r="K25" s="37"/>
      <c r="L25" s="45">
        <f t="shared" si="7"/>
        <v>9825</v>
      </c>
      <c r="M25" s="42">
        <f t="shared" si="2"/>
        <v>186</v>
      </c>
      <c r="N25" s="46">
        <f t="shared" si="9"/>
        <v>1.0192966075319017</v>
      </c>
      <c r="O25"/>
      <c r="P25"/>
    </row>
    <row r="26" spans="1:16" ht="13.5" customHeight="1">
      <c r="A26" s="50" t="s">
        <v>34</v>
      </c>
      <c r="B26" s="36">
        <v>6568</v>
      </c>
      <c r="C26" s="37"/>
      <c r="D26" s="29">
        <f t="shared" si="5"/>
        <v>6568</v>
      </c>
      <c r="E26" s="47">
        <v>7030</v>
      </c>
      <c r="F26" s="48"/>
      <c r="G26" s="33">
        <f t="shared" si="6"/>
        <v>7030</v>
      </c>
      <c r="H26" s="42">
        <f t="shared" si="3"/>
        <v>462</v>
      </c>
      <c r="I26" s="46">
        <f t="shared" si="8"/>
        <v>1.070341047503045</v>
      </c>
      <c r="J26" s="47">
        <v>7140</v>
      </c>
      <c r="K26" s="48"/>
      <c r="L26" s="45">
        <f t="shared" si="7"/>
        <v>7140</v>
      </c>
      <c r="M26" s="42">
        <f t="shared" si="2"/>
        <v>110</v>
      </c>
      <c r="N26" s="46">
        <f t="shared" si="9"/>
        <v>1.0156472261735419</v>
      </c>
      <c r="O26"/>
      <c r="P26"/>
    </row>
    <row r="27" spans="1:16" ht="13.5" customHeight="1">
      <c r="A27" s="75" t="s">
        <v>35</v>
      </c>
      <c r="B27" s="36">
        <v>6550</v>
      </c>
      <c r="C27" s="37"/>
      <c r="D27" s="29">
        <f t="shared" si="5"/>
        <v>6550</v>
      </c>
      <c r="E27" s="44">
        <v>7005</v>
      </c>
      <c r="F27" s="37"/>
      <c r="G27" s="33">
        <f t="shared" si="6"/>
        <v>7005</v>
      </c>
      <c r="H27" s="42">
        <f t="shared" si="3"/>
        <v>455</v>
      </c>
      <c r="I27" s="46">
        <f t="shared" si="8"/>
        <v>1.0694656488549619</v>
      </c>
      <c r="J27" s="44">
        <v>7110</v>
      </c>
      <c r="K27" s="37"/>
      <c r="L27" s="45">
        <f t="shared" si="7"/>
        <v>7110</v>
      </c>
      <c r="M27" s="42">
        <f t="shared" si="2"/>
        <v>105</v>
      </c>
      <c r="N27" s="46">
        <f t="shared" si="9"/>
        <v>1.0149892933618843</v>
      </c>
      <c r="O27"/>
      <c r="P27"/>
    </row>
    <row r="28" spans="1:16" ht="13.5" customHeight="1">
      <c r="A28" s="50" t="s">
        <v>36</v>
      </c>
      <c r="B28" s="36">
        <v>18</v>
      </c>
      <c r="C28" s="37"/>
      <c r="D28" s="29">
        <f t="shared" si="5"/>
        <v>18</v>
      </c>
      <c r="E28" s="44">
        <v>25</v>
      </c>
      <c r="F28" s="37"/>
      <c r="G28" s="33">
        <f t="shared" si="6"/>
        <v>25</v>
      </c>
      <c r="H28" s="42">
        <f t="shared" si="3"/>
        <v>7</v>
      </c>
      <c r="I28" s="46">
        <f t="shared" si="8"/>
        <v>1.3888888888888888</v>
      </c>
      <c r="J28" s="44">
        <v>30</v>
      </c>
      <c r="K28" s="37"/>
      <c r="L28" s="45">
        <f t="shared" si="7"/>
        <v>30</v>
      </c>
      <c r="M28" s="42">
        <f t="shared" si="2"/>
        <v>5</v>
      </c>
      <c r="N28" s="46">
        <f t="shared" si="9"/>
        <v>1.2</v>
      </c>
      <c r="O28"/>
      <c r="P28"/>
    </row>
    <row r="29" spans="1:16" ht="13.5" customHeight="1">
      <c r="A29" s="50" t="s">
        <v>37</v>
      </c>
      <c r="B29" s="36">
        <v>2436</v>
      </c>
      <c r="C29" s="37"/>
      <c r="D29" s="29">
        <f t="shared" si="5"/>
        <v>2436</v>
      </c>
      <c r="E29" s="44">
        <v>2609</v>
      </c>
      <c r="F29" s="37"/>
      <c r="G29" s="33">
        <f t="shared" si="6"/>
        <v>2609</v>
      </c>
      <c r="H29" s="42">
        <f t="shared" si="3"/>
        <v>173</v>
      </c>
      <c r="I29" s="46">
        <f t="shared" si="8"/>
        <v>1.0710180623973728</v>
      </c>
      <c r="J29" s="44">
        <v>2685</v>
      </c>
      <c r="K29" s="37"/>
      <c r="L29" s="45">
        <f t="shared" si="7"/>
        <v>2685</v>
      </c>
      <c r="M29" s="42">
        <f t="shared" si="2"/>
        <v>76</v>
      </c>
      <c r="N29" s="46">
        <f t="shared" si="9"/>
        <v>1.0291299348409353</v>
      </c>
      <c r="O29"/>
      <c r="P29"/>
    </row>
    <row r="30" spans="1:16" ht="13.5" customHeight="1">
      <c r="A30" s="75" t="s">
        <v>38</v>
      </c>
      <c r="B30" s="36">
        <v>2</v>
      </c>
      <c r="C30" s="37"/>
      <c r="D30" s="29">
        <f t="shared" si="5"/>
        <v>2</v>
      </c>
      <c r="E30" s="44">
        <v>3</v>
      </c>
      <c r="F30" s="37"/>
      <c r="G30" s="33">
        <f t="shared" si="6"/>
        <v>3</v>
      </c>
      <c r="H30" s="42">
        <f t="shared" si="3"/>
        <v>1</v>
      </c>
      <c r="I30" s="46">
        <f t="shared" si="8"/>
        <v>1.5</v>
      </c>
      <c r="J30" s="44">
        <v>0</v>
      </c>
      <c r="K30" s="37"/>
      <c r="L30" s="45">
        <f t="shared" si="7"/>
        <v>0</v>
      </c>
      <c r="M30" s="42">
        <f t="shared" si="2"/>
        <v>-3</v>
      </c>
      <c r="N30" s="46">
        <f t="shared" si="9"/>
        <v>0</v>
      </c>
      <c r="O30"/>
      <c r="P30"/>
    </row>
    <row r="31" spans="1:16" ht="13.5" customHeight="1">
      <c r="A31" s="75" t="s">
        <v>39</v>
      </c>
      <c r="B31" s="36">
        <v>73</v>
      </c>
      <c r="C31" s="37"/>
      <c r="D31" s="29">
        <f t="shared" si="5"/>
        <v>73</v>
      </c>
      <c r="E31" s="44">
        <v>101</v>
      </c>
      <c r="F31" s="37"/>
      <c r="G31" s="33">
        <f t="shared" si="6"/>
        <v>101</v>
      </c>
      <c r="H31" s="42">
        <f t="shared" si="3"/>
        <v>28</v>
      </c>
      <c r="I31" s="46">
        <f t="shared" si="8"/>
        <v>1.3835616438356164</v>
      </c>
      <c r="J31" s="44">
        <v>95</v>
      </c>
      <c r="K31" s="37"/>
      <c r="L31" s="45">
        <f t="shared" si="7"/>
        <v>95</v>
      </c>
      <c r="M31" s="42">
        <f t="shared" si="2"/>
        <v>-6</v>
      </c>
      <c r="N31" s="46">
        <f t="shared" si="9"/>
        <v>0.9405940594059405</v>
      </c>
      <c r="O31"/>
      <c r="P31"/>
    </row>
    <row r="32" spans="1:16" ht="13.5" customHeight="1">
      <c r="A32" s="50" t="s">
        <v>40</v>
      </c>
      <c r="B32" s="36">
        <v>164</v>
      </c>
      <c r="C32" s="37"/>
      <c r="D32" s="29">
        <f t="shared" si="5"/>
        <v>164</v>
      </c>
      <c r="E32" s="47">
        <v>147</v>
      </c>
      <c r="F32" s="37"/>
      <c r="G32" s="33">
        <f t="shared" si="6"/>
        <v>147</v>
      </c>
      <c r="H32" s="42">
        <f t="shared" si="3"/>
        <v>-17</v>
      </c>
      <c r="I32" s="46">
        <f t="shared" si="8"/>
        <v>0.8963414634146342</v>
      </c>
      <c r="J32" s="47">
        <v>160</v>
      </c>
      <c r="K32" s="37"/>
      <c r="L32" s="45">
        <f t="shared" si="7"/>
        <v>160</v>
      </c>
      <c r="M32" s="42">
        <f t="shared" si="2"/>
        <v>13</v>
      </c>
      <c r="N32" s="46">
        <f t="shared" si="9"/>
        <v>1.08843537414966</v>
      </c>
      <c r="O32"/>
      <c r="P32"/>
    </row>
    <row r="33" spans="1:16" ht="20.25" customHeight="1">
      <c r="A33" s="50" t="s">
        <v>41</v>
      </c>
      <c r="B33" s="36">
        <v>164</v>
      </c>
      <c r="C33" s="37"/>
      <c r="D33" s="29">
        <f t="shared" si="5"/>
        <v>164</v>
      </c>
      <c r="E33" s="47">
        <v>147</v>
      </c>
      <c r="F33" s="37"/>
      <c r="G33" s="33">
        <f t="shared" si="6"/>
        <v>147</v>
      </c>
      <c r="H33" s="42">
        <f t="shared" si="3"/>
        <v>-17</v>
      </c>
      <c r="I33" s="46">
        <f t="shared" si="8"/>
        <v>0.8963414634146342</v>
      </c>
      <c r="J33" s="47">
        <v>160</v>
      </c>
      <c r="K33" s="37"/>
      <c r="L33" s="45">
        <f t="shared" si="7"/>
        <v>160</v>
      </c>
      <c r="M33" s="42">
        <f t="shared" si="2"/>
        <v>13</v>
      </c>
      <c r="N33" s="46">
        <f t="shared" si="9"/>
        <v>1.08843537414966</v>
      </c>
      <c r="O33"/>
      <c r="P33"/>
    </row>
    <row r="34" spans="1:16" ht="13.5" customHeight="1" thickBot="1">
      <c r="A34" s="76" t="s">
        <v>42</v>
      </c>
      <c r="B34" s="52">
        <v>0</v>
      </c>
      <c r="C34" s="53"/>
      <c r="D34" s="29">
        <f t="shared" si="5"/>
        <v>0</v>
      </c>
      <c r="E34" s="77">
        <v>0</v>
      </c>
      <c r="F34" s="53"/>
      <c r="G34" s="33">
        <f t="shared" si="6"/>
        <v>0</v>
      </c>
      <c r="H34" s="57">
        <f t="shared" si="3"/>
        <v>0</v>
      </c>
      <c r="I34" s="59"/>
      <c r="J34" s="77"/>
      <c r="K34" s="53"/>
      <c r="L34" s="600">
        <f t="shared" si="7"/>
        <v>0</v>
      </c>
      <c r="M34" s="57">
        <f t="shared" si="2"/>
        <v>0</v>
      </c>
      <c r="N34" s="59"/>
      <c r="O34"/>
      <c r="P34"/>
    </row>
    <row r="35" spans="1:16" ht="13.5" customHeight="1" thickBot="1">
      <c r="A35" s="60" t="s">
        <v>43</v>
      </c>
      <c r="B35" s="61">
        <f aca="true" t="shared" si="10" ref="B35:G35">SUM(B17+B19+B20+B21+B22+B25+B30+B31+B32+B34)</f>
        <v>11773</v>
      </c>
      <c r="C35" s="62">
        <f t="shared" si="10"/>
        <v>0</v>
      </c>
      <c r="D35" s="63">
        <f t="shared" si="10"/>
        <v>11773</v>
      </c>
      <c r="E35" s="66">
        <f t="shared" si="10"/>
        <v>12482</v>
      </c>
      <c r="F35" s="62">
        <f t="shared" si="10"/>
        <v>0</v>
      </c>
      <c r="G35" s="63">
        <f t="shared" si="10"/>
        <v>12482</v>
      </c>
      <c r="H35" s="64">
        <f t="shared" si="3"/>
        <v>709</v>
      </c>
      <c r="I35" s="67">
        <f>+G35/D35</f>
        <v>1.0602225431071095</v>
      </c>
      <c r="J35" s="66">
        <f>SUM(J17+J19+J20+J21+J22+J25+J30+J31+J32+J34)</f>
        <v>12480</v>
      </c>
      <c r="K35" s="62">
        <f>SUM(K17+K19+K20+K21+K22+K25+K30+K31+K32+K34)</f>
        <v>0</v>
      </c>
      <c r="L35" s="63">
        <f>SUM(L17+L19+L20+L21+L22+L25+L30+L31+L32+L34)</f>
        <v>12480</v>
      </c>
      <c r="M35" s="64">
        <f>+L35-I35</f>
        <v>12478.939777456893</v>
      </c>
      <c r="N35" s="67">
        <f>+L35/G35</f>
        <v>0.9998397692677455</v>
      </c>
      <c r="O35"/>
      <c r="P35"/>
    </row>
    <row r="36" spans="1:16" ht="18" customHeight="1" thickBot="1">
      <c r="A36" s="60" t="s">
        <v>44</v>
      </c>
      <c r="B36" s="782">
        <f>+D16-D35</f>
        <v>124</v>
      </c>
      <c r="C36" s="783"/>
      <c r="D36" s="783">
        <v>-50784</v>
      </c>
      <c r="E36" s="782">
        <f>+G16-G35</f>
        <v>0</v>
      </c>
      <c r="F36" s="783"/>
      <c r="G36" s="784">
        <v>0</v>
      </c>
      <c r="H36" s="601"/>
      <c r="I36" s="303"/>
      <c r="J36" s="944">
        <f>+L16-L35</f>
        <v>0</v>
      </c>
      <c r="K36" s="791"/>
      <c r="L36" s="1005">
        <v>0</v>
      </c>
      <c r="M36"/>
      <c r="N36"/>
      <c r="O36"/>
      <c r="P36"/>
    </row>
    <row r="37" spans="1:16" ht="20.25" customHeight="1" thickBot="1">
      <c r="A37" s="80" t="s">
        <v>45</v>
      </c>
      <c r="B37" s="782">
        <v>0</v>
      </c>
      <c r="C37" s="828"/>
      <c r="D37" s="828"/>
      <c r="E37" s="782">
        <v>0</v>
      </c>
      <c r="F37" s="783"/>
      <c r="G37" s="784"/>
      <c r="H37"/>
      <c r="I37"/>
      <c r="J37"/>
      <c r="K37"/>
      <c r="L37"/>
      <c r="M37"/>
      <c r="N37"/>
      <c r="O37"/>
      <c r="P37"/>
    </row>
    <row r="38" spans="1:16" ht="18" customHeight="1" thickBot="1">
      <c r="A38" s="81" t="s">
        <v>46</v>
      </c>
      <c r="B38" s="828"/>
      <c r="C38" s="828"/>
      <c r="D38" s="828"/>
      <c r="E38" s="782">
        <v>0</v>
      </c>
      <c r="F38" s="783"/>
      <c r="G38" s="784"/>
      <c r="H38"/>
      <c r="I38"/>
      <c r="J38"/>
      <c r="K38"/>
      <c r="L38"/>
      <c r="M38"/>
      <c r="N38"/>
      <c r="O38"/>
      <c r="P38"/>
    </row>
    <row r="39" spans="2:8" ht="0.75" customHeight="1">
      <c r="B39" s="1"/>
      <c r="C39" s="1"/>
      <c r="D39" s="83"/>
      <c r="E39" s="1"/>
      <c r="F39" s="1"/>
      <c r="G39" s="1"/>
      <c r="H39" s="1"/>
    </row>
    <row r="40" spans="1:16" s="562" customFormat="1" ht="13.5" customHeight="1" thickBot="1">
      <c r="A40" s="602"/>
      <c r="B40" s="602"/>
      <c r="C40" s="602"/>
      <c r="D40" s="602"/>
      <c r="E40" s="602"/>
      <c r="F40" s="602"/>
      <c r="G40" s="602"/>
      <c r="H40" s="602"/>
      <c r="I40" s="603"/>
      <c r="J40" s="603"/>
      <c r="K40" s="603"/>
      <c r="L40" s="603"/>
      <c r="M40" s="603"/>
      <c r="N40" s="603"/>
      <c r="O40" s="603"/>
      <c r="P40" s="603"/>
    </row>
    <row r="41" spans="1:5" s="562" customFormat="1" ht="16.5" customHeight="1">
      <c r="A41" s="987" t="s">
        <v>426</v>
      </c>
      <c r="B41" s="988"/>
      <c r="C41" s="988"/>
      <c r="D41" s="989"/>
      <c r="E41" s="1009" t="s">
        <v>400</v>
      </c>
    </row>
    <row r="42" spans="1:5" s="85" customFormat="1" ht="13.5" thickBot="1">
      <c r="A42" s="903"/>
      <c r="B42" s="990"/>
      <c r="C42" s="990"/>
      <c r="D42" s="991"/>
      <c r="E42" s="1010"/>
    </row>
    <row r="43" spans="1:5" s="85" customFormat="1" ht="13.5" customHeight="1">
      <c r="A43" s="1006" t="s">
        <v>427</v>
      </c>
      <c r="B43" s="1007"/>
      <c r="C43" s="1007"/>
      <c r="D43" s="1008"/>
      <c r="E43" s="604">
        <v>160</v>
      </c>
    </row>
    <row r="44" spans="1:5" s="603" customFormat="1" ht="12.75">
      <c r="A44" s="992" t="s">
        <v>428</v>
      </c>
      <c r="B44" s="993"/>
      <c r="C44" s="993"/>
      <c r="D44" s="994"/>
      <c r="E44" s="604">
        <v>45</v>
      </c>
    </row>
    <row r="45" spans="1:5" s="603" customFormat="1" ht="12.75">
      <c r="A45" s="992" t="s">
        <v>402</v>
      </c>
      <c r="B45" s="993"/>
      <c r="C45" s="993"/>
      <c r="D45" s="994"/>
      <c r="E45" s="604">
        <v>31</v>
      </c>
    </row>
    <row r="46" spans="1:5" s="562" customFormat="1" ht="13.5" thickBot="1">
      <c r="A46" s="984"/>
      <c r="B46" s="985"/>
      <c r="C46" s="985"/>
      <c r="D46" s="986"/>
      <c r="E46" s="604"/>
    </row>
    <row r="47" spans="1:5" s="562" customFormat="1" ht="13.5" thickBot="1">
      <c r="A47" s="983" t="s">
        <v>10</v>
      </c>
      <c r="B47" s="698"/>
      <c r="C47" s="698"/>
      <c r="D47" s="699"/>
      <c r="E47" s="145">
        <f>SUM(E43:E45)</f>
        <v>236</v>
      </c>
    </row>
    <row r="48" spans="1:7" s="562" customFormat="1" ht="12" customHeight="1">
      <c r="A48" s="1"/>
      <c r="B48" s="1"/>
      <c r="C48" s="1"/>
      <c r="D48" s="1"/>
      <c r="E48" s="1"/>
      <c r="F48"/>
      <c r="G48"/>
    </row>
    <row r="49" spans="8:16" ht="2.25" customHeight="1">
      <c r="H49" s="1"/>
      <c r="M49"/>
      <c r="N49"/>
      <c r="O49"/>
      <c r="P49"/>
    </row>
    <row r="50" spans="13:14" ht="3" customHeight="1" thickBot="1">
      <c r="M50"/>
      <c r="N50"/>
    </row>
    <row r="51" spans="1:14" s="162" customFormat="1" ht="17.25" customHeight="1">
      <c r="A51" s="762" t="s">
        <v>119</v>
      </c>
      <c r="B51" s="751" t="s">
        <v>308</v>
      </c>
      <c r="C51" s="757" t="s">
        <v>309</v>
      </c>
      <c r="D51" s="758"/>
      <c r="E51" s="758"/>
      <c r="F51" s="758"/>
      <c r="G51" s="758"/>
      <c r="H51" s="759"/>
      <c r="I51" s="754" t="s">
        <v>344</v>
      </c>
      <c r="J51" s="1"/>
      <c r="K51" s="1"/>
      <c r="L51" s="1"/>
      <c r="M51" s="1"/>
      <c r="N51" s="1"/>
    </row>
    <row r="52" spans="1:14" s="162" customFormat="1" ht="17.25" customHeight="1">
      <c r="A52" s="763"/>
      <c r="B52" s="1000"/>
      <c r="C52" s="998" t="s">
        <v>52</v>
      </c>
      <c r="D52" s="773" t="s">
        <v>123</v>
      </c>
      <c r="E52" s="774"/>
      <c r="F52" s="774"/>
      <c r="G52" s="774"/>
      <c r="H52" s="775"/>
      <c r="I52" s="755"/>
      <c r="J52" s="1"/>
      <c r="K52" s="1"/>
      <c r="L52" s="1"/>
      <c r="M52" s="1"/>
      <c r="N52" s="1"/>
    </row>
    <row r="53" spans="1:14" s="162" customFormat="1" ht="11.25" customHeight="1" thickBot="1">
      <c r="A53" s="764"/>
      <c r="B53" s="1001"/>
      <c r="C53" s="999"/>
      <c r="D53" s="163">
        <v>1</v>
      </c>
      <c r="E53" s="163">
        <v>2</v>
      </c>
      <c r="F53" s="163">
        <v>3</v>
      </c>
      <c r="G53" s="163">
        <v>4</v>
      </c>
      <c r="H53" s="163">
        <v>5</v>
      </c>
      <c r="I53" s="756"/>
      <c r="J53" s="86"/>
      <c r="K53" s="86"/>
      <c r="L53" s="86"/>
      <c r="M53" s="86"/>
      <c r="N53" s="86"/>
    </row>
    <row r="54" spans="1:14" s="162" customFormat="1" ht="17.25" customHeight="1" thickBot="1">
      <c r="A54" s="164">
        <v>6691</v>
      </c>
      <c r="B54" s="165">
        <v>3626</v>
      </c>
      <c r="C54" s="166">
        <v>160</v>
      </c>
      <c r="D54" s="165">
        <v>83</v>
      </c>
      <c r="E54" s="165">
        <v>46</v>
      </c>
      <c r="F54" s="165">
        <v>0</v>
      </c>
      <c r="G54" s="165">
        <v>0</v>
      </c>
      <c r="H54" s="165">
        <v>31</v>
      </c>
      <c r="I54" s="167">
        <f>SUM(A54-B54-C54)</f>
        <v>2905</v>
      </c>
      <c r="J54" s="1"/>
      <c r="K54" s="1"/>
      <c r="L54" s="1"/>
      <c r="M54" s="1"/>
      <c r="N54" s="1"/>
    </row>
    <row r="55" ht="10.5" customHeight="1" thickBot="1"/>
    <row r="56" spans="1:12" ht="12.75" customHeight="1">
      <c r="A56" s="719" t="s">
        <v>124</v>
      </c>
      <c r="B56" s="721" t="s">
        <v>125</v>
      </c>
      <c r="C56" s="722" t="s">
        <v>126</v>
      </c>
      <c r="D56" s="723"/>
      <c r="E56" s="723"/>
      <c r="F56" s="724"/>
      <c r="G56" s="721" t="s">
        <v>127</v>
      </c>
      <c r="H56" s="836" t="s">
        <v>128</v>
      </c>
      <c r="I56" s="716" t="s">
        <v>129</v>
      </c>
      <c r="J56" s="833"/>
      <c r="K56" s="833"/>
      <c r="L56" s="834"/>
    </row>
    <row r="57" spans="1:12" ht="18.75" thickBot="1">
      <c r="A57" s="818"/>
      <c r="B57" s="997"/>
      <c r="C57" s="168" t="s">
        <v>130</v>
      </c>
      <c r="D57" s="169" t="s">
        <v>131</v>
      </c>
      <c r="E57" s="169" t="s">
        <v>132</v>
      </c>
      <c r="F57" s="170" t="s">
        <v>133</v>
      </c>
      <c r="G57" s="835"/>
      <c r="H57" s="837"/>
      <c r="I57" s="168" t="s">
        <v>134</v>
      </c>
      <c r="J57" s="169" t="s">
        <v>131</v>
      </c>
      <c r="K57" s="169" t="s">
        <v>132</v>
      </c>
      <c r="L57" s="170" t="s">
        <v>135</v>
      </c>
    </row>
    <row r="58" spans="1:12" ht="12.75">
      <c r="A58" s="173" t="s">
        <v>136</v>
      </c>
      <c r="B58" s="174">
        <v>1061.57</v>
      </c>
      <c r="C58" s="332" t="s">
        <v>137</v>
      </c>
      <c r="D58" s="176" t="s">
        <v>137</v>
      </c>
      <c r="E58" s="176" t="s">
        <v>137</v>
      </c>
      <c r="F58" s="182" t="s">
        <v>137</v>
      </c>
      <c r="G58" s="179">
        <v>1280.14</v>
      </c>
      <c r="H58" s="180" t="s">
        <v>137</v>
      </c>
      <c r="I58" s="332" t="s">
        <v>137</v>
      </c>
      <c r="J58" s="176" t="s">
        <v>137</v>
      </c>
      <c r="K58" s="176" t="s">
        <v>137</v>
      </c>
      <c r="L58" s="182" t="s">
        <v>137</v>
      </c>
    </row>
    <row r="59" spans="1:12" ht="12.75">
      <c r="A59" s="183" t="s">
        <v>138</v>
      </c>
      <c r="B59" s="184">
        <v>0</v>
      </c>
      <c r="C59" s="185">
        <v>87</v>
      </c>
      <c r="D59" s="186">
        <v>25</v>
      </c>
      <c r="E59" s="186">
        <v>0</v>
      </c>
      <c r="F59" s="187">
        <f>+C59+D59-E59</f>
        <v>112</v>
      </c>
      <c r="G59" s="188">
        <v>0</v>
      </c>
      <c r="H59" s="189">
        <f>+G59-F59</f>
        <v>-112</v>
      </c>
      <c r="I59" s="185">
        <v>111</v>
      </c>
      <c r="J59" s="186">
        <v>0</v>
      </c>
      <c r="K59" s="186">
        <v>0</v>
      </c>
      <c r="L59" s="187">
        <f>+I59+J59-K59</f>
        <v>111</v>
      </c>
    </row>
    <row r="60" spans="1:12" ht="12.75">
      <c r="A60" s="183" t="s">
        <v>139</v>
      </c>
      <c r="B60" s="184">
        <v>0</v>
      </c>
      <c r="C60" s="185">
        <v>191</v>
      </c>
      <c r="D60" s="186">
        <v>347</v>
      </c>
      <c r="E60" s="186">
        <v>247</v>
      </c>
      <c r="F60" s="187">
        <f>+C60+D60-E60</f>
        <v>291</v>
      </c>
      <c r="G60" s="188">
        <v>0</v>
      </c>
      <c r="H60" s="189">
        <f>+G60-F60</f>
        <v>-291</v>
      </c>
      <c r="I60" s="185">
        <v>291</v>
      </c>
      <c r="J60" s="186">
        <v>0</v>
      </c>
      <c r="K60" s="186">
        <v>0</v>
      </c>
      <c r="L60" s="187">
        <f>+I60+J60-K60</f>
        <v>291</v>
      </c>
    </row>
    <row r="61" spans="1:12" ht="12.75">
      <c r="A61" s="183" t="s">
        <v>140</v>
      </c>
      <c r="B61" s="184">
        <f>+B58-B59-B60</f>
        <v>1061.57</v>
      </c>
      <c r="C61" s="332" t="s">
        <v>137</v>
      </c>
      <c r="D61" s="176" t="s">
        <v>137</v>
      </c>
      <c r="E61" s="176" t="s">
        <v>137</v>
      </c>
      <c r="F61" s="182" t="s">
        <v>137</v>
      </c>
      <c r="G61" s="188">
        <f>+G58-G59-G60</f>
        <v>1280.14</v>
      </c>
      <c r="H61" s="334"/>
      <c r="I61" s="332" t="s">
        <v>137</v>
      </c>
      <c r="J61" s="176" t="s">
        <v>137</v>
      </c>
      <c r="K61" s="176" t="s">
        <v>137</v>
      </c>
      <c r="L61" s="182" t="s">
        <v>137</v>
      </c>
    </row>
    <row r="62" spans="1:12" ht="12.75">
      <c r="A62" s="183" t="s">
        <v>409</v>
      </c>
      <c r="B62" s="184">
        <v>0</v>
      </c>
      <c r="C62" s="185">
        <v>335</v>
      </c>
      <c r="D62" s="186">
        <v>147</v>
      </c>
      <c r="E62" s="186">
        <v>154</v>
      </c>
      <c r="F62" s="187">
        <f>+C62+D62-E62</f>
        <v>328</v>
      </c>
      <c r="G62" s="188">
        <v>0</v>
      </c>
      <c r="H62" s="189">
        <f>+G62-F62</f>
        <v>-328</v>
      </c>
      <c r="I62" s="491">
        <v>327</v>
      </c>
      <c r="J62" s="191">
        <v>160</v>
      </c>
      <c r="K62" s="191">
        <v>236</v>
      </c>
      <c r="L62" s="187">
        <f>+I62+J62-K62</f>
        <v>251</v>
      </c>
    </row>
    <row r="63" spans="1:12" ht="13.5" thickBot="1">
      <c r="A63" s="192" t="s">
        <v>142</v>
      </c>
      <c r="B63" s="193">
        <v>224.87</v>
      </c>
      <c r="C63" s="194">
        <v>267</v>
      </c>
      <c r="D63" s="195">
        <v>145</v>
      </c>
      <c r="E63" s="195">
        <v>175</v>
      </c>
      <c r="F63" s="196">
        <f>+C63+D63-E63</f>
        <v>237</v>
      </c>
      <c r="G63" s="197">
        <v>262.89</v>
      </c>
      <c r="H63" s="198">
        <f>+G63-F63</f>
        <v>25.889999999999986</v>
      </c>
      <c r="I63" s="194">
        <v>267</v>
      </c>
      <c r="J63" s="195">
        <v>145</v>
      </c>
      <c r="K63" s="195">
        <v>175</v>
      </c>
      <c r="L63" s="196">
        <f>+I63+J63-K63</f>
        <v>237</v>
      </c>
    </row>
    <row r="64" spans="1:12" ht="12.75">
      <c r="A64" s="336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</row>
    <row r="65" spans="1:12" ht="12.75">
      <c r="A65" s="336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</row>
    <row r="66" ht="18" customHeight="1" thickBot="1">
      <c r="A66" s="567" t="s">
        <v>159</v>
      </c>
    </row>
    <row r="67" spans="1:12" ht="12.75">
      <c r="A67" s="710" t="s">
        <v>160</v>
      </c>
      <c r="B67" s="926" t="s">
        <v>10</v>
      </c>
      <c r="C67" s="712" t="s">
        <v>161</v>
      </c>
      <c r="D67" s="714"/>
      <c r="E67" s="714"/>
      <c r="F67" s="714"/>
      <c r="G67" s="714"/>
      <c r="H67" s="715"/>
      <c r="I67" s="212"/>
      <c r="J67"/>
      <c r="K67"/>
      <c r="L67"/>
    </row>
    <row r="68" spans="1:12" ht="12.75">
      <c r="A68" s="995"/>
      <c r="B68" s="996"/>
      <c r="C68" s="568" t="s">
        <v>162</v>
      </c>
      <c r="D68" s="493" t="s">
        <v>163</v>
      </c>
      <c r="E68" s="493" t="s">
        <v>164</v>
      </c>
      <c r="F68" s="493" t="s">
        <v>165</v>
      </c>
      <c r="G68" s="494" t="s">
        <v>166</v>
      </c>
      <c r="H68" s="495" t="s">
        <v>52</v>
      </c>
      <c r="I68" s="212"/>
      <c r="J68"/>
      <c r="K68"/>
      <c r="L68"/>
    </row>
    <row r="69" spans="1:16" s="85" customFormat="1" ht="24" customHeight="1">
      <c r="A69" s="277" t="s">
        <v>410</v>
      </c>
      <c r="B69" s="556">
        <v>423</v>
      </c>
      <c r="C69" s="98">
        <v>0</v>
      </c>
      <c r="D69" s="98">
        <v>0</v>
      </c>
      <c r="E69" s="98">
        <v>0</v>
      </c>
      <c r="F69" s="98">
        <v>0</v>
      </c>
      <c r="G69" s="556">
        <v>422.9</v>
      </c>
      <c r="H69" s="555">
        <f>SUM(C69:G69)</f>
        <v>422.9</v>
      </c>
      <c r="I69" s="221"/>
      <c r="M69" s="86"/>
      <c r="N69" s="86"/>
      <c r="O69" s="86"/>
      <c r="P69" s="86"/>
    </row>
    <row r="70" spans="1:16" s="85" customFormat="1" ht="19.5" customHeight="1" thickBot="1">
      <c r="A70" s="557" t="s">
        <v>296</v>
      </c>
      <c r="B70" s="569">
        <v>0</v>
      </c>
      <c r="C70" s="114">
        <v>0</v>
      </c>
      <c r="D70" s="114">
        <v>0</v>
      </c>
      <c r="E70" s="114">
        <v>0</v>
      </c>
      <c r="F70" s="114">
        <v>0</v>
      </c>
      <c r="G70" s="569">
        <v>0</v>
      </c>
      <c r="H70" s="570">
        <f>SUM(C70:G70)</f>
        <v>0</v>
      </c>
      <c r="I70" s="221"/>
      <c r="M70" s="86"/>
      <c r="N70" s="86"/>
      <c r="O70" s="86"/>
      <c r="P70" s="86"/>
    </row>
    <row r="71" ht="13.5" customHeight="1" thickBot="1"/>
    <row r="72" spans="1:12" ht="23.25" thickBot="1">
      <c r="A72" s="1002" t="s">
        <v>412</v>
      </c>
      <c r="B72" s="958">
        <v>2003</v>
      </c>
      <c r="C72" s="1004"/>
      <c r="D72" s="1004"/>
      <c r="E72" s="1004"/>
      <c r="F72" s="1004"/>
      <c r="G72" s="740"/>
      <c r="H72" s="741"/>
      <c r="J72" s="554" t="s">
        <v>347</v>
      </c>
      <c r="K72" s="551">
        <v>2003</v>
      </c>
      <c r="L72" s="552">
        <v>2004</v>
      </c>
    </row>
    <row r="73" spans="1:12" ht="19.5" customHeight="1" thickBot="1">
      <c r="A73" s="1003"/>
      <c r="B73" s="605" t="s">
        <v>429</v>
      </c>
      <c r="C73" s="571" t="s">
        <v>199</v>
      </c>
      <c r="D73" s="571" t="s">
        <v>430</v>
      </c>
      <c r="E73" s="571" t="s">
        <v>203</v>
      </c>
      <c r="F73" s="571" t="s">
        <v>211</v>
      </c>
      <c r="G73" s="572" t="s">
        <v>414</v>
      </c>
      <c r="H73" s="573" t="s">
        <v>52</v>
      </c>
      <c r="J73" s="606" t="s">
        <v>422</v>
      </c>
      <c r="K73" s="607">
        <v>44</v>
      </c>
      <c r="L73" s="608">
        <v>44</v>
      </c>
    </row>
    <row r="74" spans="1:16" s="85" customFormat="1" ht="13.5" thickBot="1">
      <c r="A74" s="574" t="s">
        <v>415</v>
      </c>
      <c r="B74" s="609"/>
      <c r="C74" s="610">
        <v>218637</v>
      </c>
      <c r="D74" s="610">
        <v>23951</v>
      </c>
      <c r="E74" s="610">
        <v>4567306</v>
      </c>
      <c r="F74" s="610">
        <v>818216</v>
      </c>
      <c r="G74" s="611">
        <v>921890</v>
      </c>
      <c r="H74" s="612">
        <f>SUM(B74:G74)</f>
        <v>6550000</v>
      </c>
      <c r="I74" s="86"/>
      <c r="J74" s="86"/>
      <c r="K74" s="86"/>
      <c r="L74" s="86"/>
      <c r="M74" s="86"/>
      <c r="N74" s="86"/>
      <c r="O74" s="86"/>
      <c r="P74" s="86"/>
    </row>
    <row r="75" spans="1:8" ht="14.25" thickBot="1" thickTop="1">
      <c r="A75" s="300" t="s">
        <v>416</v>
      </c>
      <c r="B75" s="613"/>
      <c r="C75" s="614">
        <v>1.42</v>
      </c>
      <c r="D75" s="614">
        <v>0.1</v>
      </c>
      <c r="E75" s="614">
        <v>24.32</v>
      </c>
      <c r="F75" s="614">
        <v>3.25</v>
      </c>
      <c r="G75" s="615">
        <v>8.01</v>
      </c>
      <c r="H75" s="616">
        <f>SUM(B75:G75)</f>
        <v>37.1</v>
      </c>
    </row>
    <row r="76" spans="1:8" ht="13.5" thickBot="1">
      <c r="A76" s="583" t="s">
        <v>417</v>
      </c>
      <c r="B76" s="617"/>
      <c r="C76" s="548">
        <f aca="true" t="shared" si="11" ref="C76:H76">+C74/C75/12</f>
        <v>12830.80985915493</v>
      </c>
      <c r="D76" s="548">
        <f t="shared" si="11"/>
        <v>19959.166666666668</v>
      </c>
      <c r="E76" s="548">
        <f t="shared" si="11"/>
        <v>15650.034265350878</v>
      </c>
      <c r="F76" s="548">
        <f t="shared" si="11"/>
        <v>20979.897435897434</v>
      </c>
      <c r="G76" s="618">
        <f t="shared" si="11"/>
        <v>9591.032043279234</v>
      </c>
      <c r="H76" s="619">
        <f t="shared" si="11"/>
        <v>14712.48876909254</v>
      </c>
    </row>
    <row r="77" ht="13.5" thickBot="1">
      <c r="A77"/>
    </row>
    <row r="78" spans="1:8" ht="13.5" thickBot="1">
      <c r="A78" s="1002" t="s">
        <v>412</v>
      </c>
      <c r="B78" s="958">
        <v>2004</v>
      </c>
      <c r="C78" s="1004"/>
      <c r="D78" s="1004"/>
      <c r="E78" s="1004"/>
      <c r="F78" s="1004"/>
      <c r="G78" s="740"/>
      <c r="H78" s="741"/>
    </row>
    <row r="79" spans="1:8" ht="16.5" customHeight="1" thickBot="1">
      <c r="A79" s="1003"/>
      <c r="B79" s="605" t="s">
        <v>429</v>
      </c>
      <c r="C79" s="571" t="s">
        <v>431</v>
      </c>
      <c r="D79" s="571" t="s">
        <v>432</v>
      </c>
      <c r="E79" s="572" t="s">
        <v>203</v>
      </c>
      <c r="F79" s="571" t="s">
        <v>433</v>
      </c>
      <c r="G79" s="572" t="s">
        <v>414</v>
      </c>
      <c r="H79" s="573" t="s">
        <v>52</v>
      </c>
    </row>
    <row r="80" spans="1:8" ht="13.5" thickBot="1">
      <c r="A80" s="574" t="s">
        <v>415</v>
      </c>
      <c r="B80" s="620"/>
      <c r="C80" s="610">
        <v>94034</v>
      </c>
      <c r="D80" s="610">
        <v>358810</v>
      </c>
      <c r="E80" s="611">
        <v>4672171</v>
      </c>
      <c r="F80" s="610">
        <v>884895</v>
      </c>
      <c r="G80" s="611">
        <v>995954</v>
      </c>
      <c r="H80" s="612">
        <f>SUM(B80:G80)</f>
        <v>7005864</v>
      </c>
    </row>
    <row r="81" spans="1:8" ht="14.25" thickBot="1" thickTop="1">
      <c r="A81" s="300" t="s">
        <v>416</v>
      </c>
      <c r="B81" s="621"/>
      <c r="C81" s="614">
        <v>0.4</v>
      </c>
      <c r="D81" s="614">
        <v>1.92</v>
      </c>
      <c r="E81" s="615">
        <v>26.01</v>
      </c>
      <c r="F81" s="614">
        <v>3.25</v>
      </c>
      <c r="G81" s="615">
        <v>8</v>
      </c>
      <c r="H81" s="616">
        <f>SUM(B81:G81)</f>
        <v>39.58</v>
      </c>
    </row>
    <row r="82" spans="1:8" ht="13.5" thickBot="1">
      <c r="A82" s="583" t="s">
        <v>417</v>
      </c>
      <c r="B82" s="622"/>
      <c r="C82" s="548">
        <f aca="true" t="shared" si="12" ref="C82:H82">+C80/C81/12</f>
        <v>19590.416666666668</v>
      </c>
      <c r="D82" s="548">
        <f t="shared" si="12"/>
        <v>15573.350694444445</v>
      </c>
      <c r="E82" s="548">
        <f t="shared" si="12"/>
        <v>14969.149686018196</v>
      </c>
      <c r="F82" s="548">
        <f t="shared" si="12"/>
        <v>22689.615384615387</v>
      </c>
      <c r="G82" s="618">
        <f t="shared" si="12"/>
        <v>10374.520833333334</v>
      </c>
      <c r="H82" s="619">
        <f t="shared" si="12"/>
        <v>14750.429509853462</v>
      </c>
    </row>
    <row r="83" ht="12.75">
      <c r="A83"/>
    </row>
    <row r="84" ht="16.5" thickBot="1">
      <c r="A84" s="567" t="s">
        <v>423</v>
      </c>
    </row>
    <row r="85" spans="1:16" ht="19.5" customHeight="1" thickBot="1">
      <c r="A85" s="1011" t="s">
        <v>215</v>
      </c>
      <c r="B85" s="1012"/>
      <c r="C85" s="1013"/>
      <c r="H85" s="1"/>
      <c r="P85"/>
    </row>
    <row r="86" spans="1:15" s="85" customFormat="1" ht="17.25" customHeight="1">
      <c r="A86" s="1014" t="s">
        <v>216</v>
      </c>
      <c r="B86" s="1015"/>
      <c r="C86" s="623">
        <f>+J15</f>
        <v>12230</v>
      </c>
      <c r="D86" s="162"/>
      <c r="E86" s="162"/>
      <c r="F86" s="162"/>
      <c r="G86" s="162"/>
      <c r="H86" s="86"/>
      <c r="I86" s="86"/>
      <c r="J86" s="86"/>
      <c r="K86" s="86"/>
      <c r="L86" s="86"/>
      <c r="M86" s="86"/>
      <c r="N86" s="86"/>
      <c r="O86" s="86"/>
    </row>
    <row r="87" spans="1:16" s="85" customFormat="1" ht="17.25" customHeight="1">
      <c r="A87" s="1016" t="s">
        <v>50</v>
      </c>
      <c r="B87" s="1017"/>
      <c r="C87" s="555">
        <v>0</v>
      </c>
      <c r="D87" s="162"/>
      <c r="E87" s="162"/>
      <c r="F87" s="162"/>
      <c r="G87" s="162"/>
      <c r="H87" s="162"/>
      <c r="I87" s="86"/>
      <c r="J87" s="86"/>
      <c r="K87" s="86"/>
      <c r="L87" s="86"/>
      <c r="M87" s="86"/>
      <c r="N87" s="86"/>
      <c r="O87" s="86"/>
      <c r="P87" s="86"/>
    </row>
    <row r="88" spans="1:16" s="85" customFormat="1" ht="17.25" customHeight="1" thickBot="1">
      <c r="A88" s="1018" t="s">
        <v>217</v>
      </c>
      <c r="B88" s="991"/>
      <c r="C88" s="115">
        <f>+J27</f>
        <v>7110</v>
      </c>
      <c r="D88" s="162"/>
      <c r="E88" s="162"/>
      <c r="F88" s="162"/>
      <c r="G88" s="162"/>
      <c r="H88" s="162"/>
      <c r="I88" s="86"/>
      <c r="J88" s="86"/>
      <c r="K88" s="86"/>
      <c r="L88" s="86"/>
      <c r="M88" s="86"/>
      <c r="N88" s="86"/>
      <c r="O88" s="86"/>
      <c r="P88" s="86"/>
    </row>
  </sheetData>
  <mergeCells count="41">
    <mergeCell ref="A85:C85"/>
    <mergeCell ref="A86:B86"/>
    <mergeCell ref="A87:B87"/>
    <mergeCell ref="A88:B88"/>
    <mergeCell ref="J36:L36"/>
    <mergeCell ref="M4:N4"/>
    <mergeCell ref="E36:G36"/>
    <mergeCell ref="A43:D43"/>
    <mergeCell ref="E41:E42"/>
    <mergeCell ref="A3:A6"/>
    <mergeCell ref="B3:N3"/>
    <mergeCell ref="H4:I4"/>
    <mergeCell ref="B36:D36"/>
    <mergeCell ref="A72:A73"/>
    <mergeCell ref="B72:H72"/>
    <mergeCell ref="A78:A79"/>
    <mergeCell ref="B78:H78"/>
    <mergeCell ref="A51:A53"/>
    <mergeCell ref="D52:H52"/>
    <mergeCell ref="I51:I53"/>
    <mergeCell ref="C51:H51"/>
    <mergeCell ref="C52:C53"/>
    <mergeCell ref="B51:B53"/>
    <mergeCell ref="H56:H57"/>
    <mergeCell ref="I56:L56"/>
    <mergeCell ref="A67:A68"/>
    <mergeCell ref="B67:B68"/>
    <mergeCell ref="C67:H67"/>
    <mergeCell ref="A56:A57"/>
    <mergeCell ref="B56:B57"/>
    <mergeCell ref="C56:F56"/>
    <mergeCell ref="G56:G57"/>
    <mergeCell ref="A47:D47"/>
    <mergeCell ref="E37:G37"/>
    <mergeCell ref="B38:D38"/>
    <mergeCell ref="E38:G38"/>
    <mergeCell ref="B37:D37"/>
    <mergeCell ref="A46:D46"/>
    <mergeCell ref="A41:D42"/>
    <mergeCell ref="A45:D45"/>
    <mergeCell ref="A44:D44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1">
      <selection activeCell="I2" sqref="I2"/>
    </sheetView>
  </sheetViews>
  <sheetFormatPr defaultColWidth="9.00390625" defaultRowHeight="12.75"/>
  <cols>
    <col min="1" max="1" width="28.125" style="1" customWidth="1"/>
    <col min="2" max="4" width="9.75390625" style="2" customWidth="1"/>
    <col min="5" max="5" width="11.125" style="2" customWidth="1"/>
    <col min="6" max="7" width="9.75390625" style="2" customWidth="1"/>
    <col min="8" max="8" width="8.125" style="2" customWidth="1"/>
    <col min="9" max="9" width="8.875" style="1" customWidth="1"/>
    <col min="10" max="16" width="9.125" style="1" customWidth="1"/>
  </cols>
  <sheetData>
    <row r="1" spans="12:14" ht="15.75">
      <c r="L1" s="3" t="s">
        <v>454</v>
      </c>
      <c r="N1" s="4"/>
    </row>
    <row r="2" spans="1:14" ht="16.5" thickBot="1">
      <c r="A2" s="434" t="s">
        <v>393</v>
      </c>
      <c r="B2" s="6"/>
      <c r="C2" s="6"/>
      <c r="D2" s="6"/>
      <c r="E2" s="6"/>
      <c r="F2" s="6"/>
      <c r="G2" s="6"/>
      <c r="H2" s="6"/>
      <c r="L2" s="3" t="s">
        <v>394</v>
      </c>
      <c r="N2" s="4"/>
    </row>
    <row r="3" spans="1:16" ht="24" customHeight="1" thickBot="1">
      <c r="A3" s="793" t="s">
        <v>1</v>
      </c>
      <c r="B3" s="796" t="s">
        <v>395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1"/>
      <c r="O3"/>
      <c r="P3"/>
    </row>
    <row r="4" spans="1:16" ht="12.75">
      <c r="A4" s="794"/>
      <c r="B4" s="7" t="s">
        <v>396</v>
      </c>
      <c r="C4" s="8"/>
      <c r="D4" s="9"/>
      <c r="E4" s="8" t="s">
        <v>397</v>
      </c>
      <c r="F4" s="11"/>
      <c r="G4" s="9"/>
      <c r="H4" s="716" t="s">
        <v>5</v>
      </c>
      <c r="I4" s="834"/>
      <c r="J4" s="8" t="s">
        <v>398</v>
      </c>
      <c r="K4" s="11"/>
      <c r="L4" s="9"/>
      <c r="M4" s="716" t="s">
        <v>7</v>
      </c>
      <c r="N4" s="834"/>
      <c r="O4"/>
      <c r="P4"/>
    </row>
    <row r="5" spans="1:16" ht="12.75">
      <c r="A5" s="794"/>
      <c r="B5" s="13" t="s">
        <v>8</v>
      </c>
      <c r="C5" s="14" t="s">
        <v>9</v>
      </c>
      <c r="D5" s="15" t="s">
        <v>10</v>
      </c>
      <c r="E5" s="18" t="s">
        <v>8</v>
      </c>
      <c r="F5" s="14" t="s">
        <v>9</v>
      </c>
      <c r="G5" s="15" t="s">
        <v>10</v>
      </c>
      <c r="H5" s="17" t="s">
        <v>10</v>
      </c>
      <c r="I5" s="15" t="s">
        <v>11</v>
      </c>
      <c r="J5" s="18" t="s">
        <v>8</v>
      </c>
      <c r="K5" s="14" t="s">
        <v>9</v>
      </c>
      <c r="L5" s="15" t="s">
        <v>10</v>
      </c>
      <c r="M5" s="17" t="s">
        <v>10</v>
      </c>
      <c r="N5" s="15" t="s">
        <v>11</v>
      </c>
      <c r="O5"/>
      <c r="P5"/>
    </row>
    <row r="6" spans="1:16" ht="13.5" thickBot="1">
      <c r="A6" s="795"/>
      <c r="B6" s="368" t="s">
        <v>12</v>
      </c>
      <c r="C6" s="369" t="s">
        <v>12</v>
      </c>
      <c r="D6" s="372"/>
      <c r="E6" s="560" t="s">
        <v>12</v>
      </c>
      <c r="F6" s="369" t="s">
        <v>12</v>
      </c>
      <c r="G6" s="372"/>
      <c r="H6" s="561" t="s">
        <v>13</v>
      </c>
      <c r="I6" s="372" t="s">
        <v>14</v>
      </c>
      <c r="J6" s="560" t="s">
        <v>12</v>
      </c>
      <c r="K6" s="369" t="s">
        <v>12</v>
      </c>
      <c r="L6" s="372"/>
      <c r="M6" s="561" t="s">
        <v>13</v>
      </c>
      <c r="N6" s="372" t="s">
        <v>14</v>
      </c>
      <c r="O6"/>
      <c r="P6"/>
    </row>
    <row r="7" spans="1:16" ht="13.5" customHeight="1" thickTop="1">
      <c r="A7" s="26" t="s">
        <v>15</v>
      </c>
      <c r="B7" s="27">
        <v>0</v>
      </c>
      <c r="C7" s="28"/>
      <c r="D7" s="29"/>
      <c r="E7" s="32">
        <v>0</v>
      </c>
      <c r="F7" s="28"/>
      <c r="G7" s="33"/>
      <c r="H7" s="30"/>
      <c r="I7" s="34"/>
      <c r="J7" s="32">
        <v>0</v>
      </c>
      <c r="K7" s="28">
        <v>0</v>
      </c>
      <c r="L7" s="33">
        <f aca="true" t="shared" si="0" ref="L7:L15">J7+K7</f>
        <v>0</v>
      </c>
      <c r="M7" s="30"/>
      <c r="N7" s="34"/>
      <c r="O7"/>
      <c r="P7"/>
    </row>
    <row r="8" spans="1:16" ht="13.5" customHeight="1">
      <c r="A8" s="35" t="s">
        <v>16</v>
      </c>
      <c r="B8" s="36">
        <v>293</v>
      </c>
      <c r="C8" s="37"/>
      <c r="D8" s="38">
        <f aca="true" t="shared" si="1" ref="D8:D15">SUM(B8:C8)</f>
        <v>293</v>
      </c>
      <c r="E8" s="44">
        <v>311</v>
      </c>
      <c r="F8" s="37"/>
      <c r="G8" s="45">
        <f aca="true" t="shared" si="2" ref="G8:G15">SUM(E8:F8)</f>
        <v>311</v>
      </c>
      <c r="H8" s="42">
        <f aca="true" t="shared" si="3" ref="H8:H35">+G8-D8</f>
        <v>18</v>
      </c>
      <c r="I8" s="46">
        <f>+G8/D8</f>
        <v>1.0614334470989761</v>
      </c>
      <c r="J8" s="44">
        <v>300</v>
      </c>
      <c r="K8" s="37">
        <v>0</v>
      </c>
      <c r="L8" s="33">
        <f t="shared" si="0"/>
        <v>300</v>
      </c>
      <c r="M8" s="42">
        <f aca="true" t="shared" si="4" ref="M8:M35">+L8-G8</f>
        <v>-11</v>
      </c>
      <c r="N8" s="46">
        <f>+L8/G8</f>
        <v>0.9646302250803859</v>
      </c>
      <c r="O8"/>
      <c r="P8"/>
    </row>
    <row r="9" spans="1:16" ht="13.5" customHeight="1">
      <c r="A9" s="35" t="s">
        <v>17</v>
      </c>
      <c r="B9" s="36">
        <v>0</v>
      </c>
      <c r="C9" s="37"/>
      <c r="D9" s="38">
        <f t="shared" si="1"/>
        <v>0</v>
      </c>
      <c r="E9" s="44">
        <v>0</v>
      </c>
      <c r="F9" s="37"/>
      <c r="G9" s="45">
        <f t="shared" si="2"/>
        <v>0</v>
      </c>
      <c r="H9" s="42">
        <f t="shared" si="3"/>
        <v>0</v>
      </c>
      <c r="I9" s="46"/>
      <c r="J9" s="44">
        <v>0</v>
      </c>
      <c r="K9" s="37">
        <v>0</v>
      </c>
      <c r="L9" s="33">
        <f t="shared" si="0"/>
        <v>0</v>
      </c>
      <c r="M9" s="42">
        <f t="shared" si="4"/>
        <v>0</v>
      </c>
      <c r="N9" s="46"/>
      <c r="O9"/>
      <c r="P9"/>
    </row>
    <row r="10" spans="1:16" ht="13.5" customHeight="1">
      <c r="A10" s="35" t="s">
        <v>18</v>
      </c>
      <c r="B10" s="36">
        <v>0</v>
      </c>
      <c r="C10" s="37"/>
      <c r="D10" s="38">
        <f t="shared" si="1"/>
        <v>0</v>
      </c>
      <c r="E10" s="44">
        <v>0</v>
      </c>
      <c r="F10" s="37"/>
      <c r="G10" s="45">
        <f t="shared" si="2"/>
        <v>0</v>
      </c>
      <c r="H10" s="42">
        <f t="shared" si="3"/>
        <v>0</v>
      </c>
      <c r="I10" s="46"/>
      <c r="J10" s="44">
        <v>0</v>
      </c>
      <c r="K10" s="37">
        <v>0</v>
      </c>
      <c r="L10" s="33">
        <f t="shared" si="0"/>
        <v>0</v>
      </c>
      <c r="M10" s="42">
        <f t="shared" si="4"/>
        <v>0</v>
      </c>
      <c r="N10" s="46"/>
      <c r="O10"/>
      <c r="P10"/>
    </row>
    <row r="11" spans="1:16" ht="13.5" customHeight="1">
      <c r="A11" s="35" t="s">
        <v>19</v>
      </c>
      <c r="B11" s="36">
        <v>123</v>
      </c>
      <c r="C11" s="37"/>
      <c r="D11" s="38">
        <f t="shared" si="1"/>
        <v>123</v>
      </c>
      <c r="E11" s="44">
        <v>75.93</v>
      </c>
      <c r="F11" s="37"/>
      <c r="G11" s="45">
        <f t="shared" si="2"/>
        <v>75.93</v>
      </c>
      <c r="H11" s="42">
        <f t="shared" si="3"/>
        <v>-47.06999999999999</v>
      </c>
      <c r="I11" s="46">
        <f>+G11/D11</f>
        <v>0.6173170731707318</v>
      </c>
      <c r="J11" s="44">
        <v>240</v>
      </c>
      <c r="K11" s="37">
        <v>0</v>
      </c>
      <c r="L11" s="33">
        <f t="shared" si="0"/>
        <v>240</v>
      </c>
      <c r="M11" s="42">
        <f t="shared" si="4"/>
        <v>164.07</v>
      </c>
      <c r="N11" s="46">
        <f>+L11/G11</f>
        <v>3.1608060055314104</v>
      </c>
      <c r="O11"/>
      <c r="P11"/>
    </row>
    <row r="12" spans="1:16" ht="13.5" customHeight="1">
      <c r="A12" s="50" t="s">
        <v>20</v>
      </c>
      <c r="B12" s="36">
        <v>98</v>
      </c>
      <c r="C12" s="37"/>
      <c r="D12" s="38">
        <f t="shared" si="1"/>
        <v>98</v>
      </c>
      <c r="E12" s="44">
        <v>52.73</v>
      </c>
      <c r="F12" s="37"/>
      <c r="G12" s="45">
        <f t="shared" si="2"/>
        <v>52.73</v>
      </c>
      <c r="H12" s="42">
        <f t="shared" si="3"/>
        <v>-45.27</v>
      </c>
      <c r="I12" s="46"/>
      <c r="J12" s="44">
        <v>180</v>
      </c>
      <c r="K12" s="37">
        <v>0</v>
      </c>
      <c r="L12" s="33">
        <f t="shared" si="0"/>
        <v>180</v>
      </c>
      <c r="M12" s="42">
        <f t="shared" si="4"/>
        <v>127.27000000000001</v>
      </c>
      <c r="N12" s="46">
        <f>+L12/G12</f>
        <v>3.4136165370756686</v>
      </c>
      <c r="O12"/>
      <c r="P12"/>
    </row>
    <row r="13" spans="1:16" ht="13.5" customHeight="1">
      <c r="A13" s="50" t="s">
        <v>21</v>
      </c>
      <c r="B13" s="36">
        <v>0</v>
      </c>
      <c r="C13" s="37"/>
      <c r="D13" s="38">
        <f t="shared" si="1"/>
        <v>0</v>
      </c>
      <c r="E13" s="44">
        <v>0</v>
      </c>
      <c r="F13" s="37"/>
      <c r="G13" s="45">
        <f t="shared" si="2"/>
        <v>0</v>
      </c>
      <c r="H13" s="42">
        <f t="shared" si="3"/>
        <v>0</v>
      </c>
      <c r="I13" s="46"/>
      <c r="J13" s="44">
        <v>0</v>
      </c>
      <c r="K13" s="37">
        <v>0</v>
      </c>
      <c r="L13" s="33">
        <f t="shared" si="0"/>
        <v>0</v>
      </c>
      <c r="M13" s="42">
        <f t="shared" si="4"/>
        <v>0</v>
      </c>
      <c r="N13" s="46"/>
      <c r="O13"/>
      <c r="P13"/>
    </row>
    <row r="14" spans="1:16" ht="20.25" customHeight="1">
      <c r="A14" s="50" t="s">
        <v>22</v>
      </c>
      <c r="B14" s="36">
        <v>0</v>
      </c>
      <c r="C14" s="37"/>
      <c r="D14" s="38">
        <f t="shared" si="1"/>
        <v>0</v>
      </c>
      <c r="E14" s="44">
        <v>0</v>
      </c>
      <c r="F14" s="37"/>
      <c r="G14" s="45">
        <f t="shared" si="2"/>
        <v>0</v>
      </c>
      <c r="H14" s="42">
        <f t="shared" si="3"/>
        <v>0</v>
      </c>
      <c r="I14" s="46"/>
      <c r="J14" s="44">
        <v>0</v>
      </c>
      <c r="K14" s="37">
        <v>0</v>
      </c>
      <c r="L14" s="33">
        <f t="shared" si="0"/>
        <v>0</v>
      </c>
      <c r="M14" s="42">
        <f t="shared" si="4"/>
        <v>0</v>
      </c>
      <c r="N14" s="46"/>
      <c r="O14"/>
      <c r="P14"/>
    </row>
    <row r="15" spans="1:16" ht="13.5" customHeight="1" thickBot="1">
      <c r="A15" s="51" t="s">
        <v>23</v>
      </c>
      <c r="B15" s="52">
        <v>7313</v>
      </c>
      <c r="C15" s="53"/>
      <c r="D15" s="38">
        <f t="shared" si="1"/>
        <v>7313</v>
      </c>
      <c r="E15" s="54">
        <v>8000</v>
      </c>
      <c r="F15" s="53"/>
      <c r="G15" s="45">
        <f t="shared" si="2"/>
        <v>8000</v>
      </c>
      <c r="H15" s="57">
        <f t="shared" si="3"/>
        <v>687</v>
      </c>
      <c r="I15" s="59">
        <f aca="true" t="shared" si="5" ref="I15:I20">+G15/D15</f>
        <v>1.0939422945439627</v>
      </c>
      <c r="J15" s="54">
        <v>8240</v>
      </c>
      <c r="K15" s="53">
        <v>0</v>
      </c>
      <c r="L15" s="33">
        <f t="shared" si="0"/>
        <v>8240</v>
      </c>
      <c r="M15" s="42">
        <f t="shared" si="4"/>
        <v>240</v>
      </c>
      <c r="N15" s="46">
        <f aca="true" t="shared" si="6" ref="N15:N20">+L15/G15</f>
        <v>1.03</v>
      </c>
      <c r="O15"/>
      <c r="P15"/>
    </row>
    <row r="16" spans="1:16" ht="13.5" customHeight="1" thickBot="1">
      <c r="A16" s="60" t="s">
        <v>24</v>
      </c>
      <c r="B16" s="61">
        <f aca="true" t="shared" si="7" ref="B16:G16">SUM(B7+B8+B9+B10+B11+B13+B15)</f>
        <v>7729</v>
      </c>
      <c r="C16" s="62">
        <f t="shared" si="7"/>
        <v>0</v>
      </c>
      <c r="D16" s="63">
        <f t="shared" si="7"/>
        <v>7729</v>
      </c>
      <c r="E16" s="66">
        <f t="shared" si="7"/>
        <v>8386.93</v>
      </c>
      <c r="F16" s="62">
        <f t="shared" si="7"/>
        <v>0</v>
      </c>
      <c r="G16" s="63">
        <f t="shared" si="7"/>
        <v>8386.93</v>
      </c>
      <c r="H16" s="64">
        <f t="shared" si="3"/>
        <v>657.9300000000003</v>
      </c>
      <c r="I16" s="67">
        <f t="shared" si="5"/>
        <v>1.0851248544443006</v>
      </c>
      <c r="J16" s="66">
        <f>SUM(J7+J8+J9+J10+J11+J13+J15)</f>
        <v>8780</v>
      </c>
      <c r="K16" s="66">
        <f>SUM(K7+K8+K9+K10+K11+K13+K15)</f>
        <v>0</v>
      </c>
      <c r="L16" s="66">
        <f>SUM(L7+L8+L9+L10+L11+L13+L15)</f>
        <v>8780</v>
      </c>
      <c r="M16" s="42">
        <f t="shared" si="4"/>
        <v>393.0699999999997</v>
      </c>
      <c r="N16" s="46">
        <f t="shared" si="6"/>
        <v>1.046866970393219</v>
      </c>
      <c r="O16"/>
      <c r="P16"/>
    </row>
    <row r="17" spans="1:16" ht="13.5" customHeight="1">
      <c r="A17" s="68" t="s">
        <v>25</v>
      </c>
      <c r="B17" s="27">
        <v>897</v>
      </c>
      <c r="C17" s="28"/>
      <c r="D17" s="29">
        <f aca="true" t="shared" si="8" ref="D17:D34">SUM(B17:C17)</f>
        <v>897</v>
      </c>
      <c r="E17" s="32">
        <v>1110.94</v>
      </c>
      <c r="F17" s="28"/>
      <c r="G17" s="33">
        <f aca="true" t="shared" si="9" ref="G17:G34">SUM(E17:F17)</f>
        <v>1110.94</v>
      </c>
      <c r="H17" s="30">
        <f t="shared" si="3"/>
        <v>213.94000000000005</v>
      </c>
      <c r="I17" s="71">
        <f t="shared" si="5"/>
        <v>1.23850613154961</v>
      </c>
      <c r="J17" s="32">
        <v>1239</v>
      </c>
      <c r="K17" s="28">
        <v>0</v>
      </c>
      <c r="L17" s="33">
        <f>J17+K17</f>
        <v>1239</v>
      </c>
      <c r="M17" s="42">
        <f t="shared" si="4"/>
        <v>128.05999999999995</v>
      </c>
      <c r="N17" s="46">
        <f t="shared" si="6"/>
        <v>1.1152717518497848</v>
      </c>
      <c r="O17"/>
      <c r="P17"/>
    </row>
    <row r="18" spans="1:16" ht="18.75" customHeight="1">
      <c r="A18" s="50" t="s">
        <v>26</v>
      </c>
      <c r="B18" s="27">
        <v>172</v>
      </c>
      <c r="C18" s="28"/>
      <c r="D18" s="29">
        <f t="shared" si="8"/>
        <v>172</v>
      </c>
      <c r="E18" s="32">
        <v>323</v>
      </c>
      <c r="F18" s="28"/>
      <c r="G18" s="33">
        <f t="shared" si="9"/>
        <v>323</v>
      </c>
      <c r="H18" s="42">
        <f t="shared" si="3"/>
        <v>151</v>
      </c>
      <c r="I18" s="46">
        <f t="shared" si="5"/>
        <v>1.877906976744186</v>
      </c>
      <c r="J18" s="32">
        <v>180</v>
      </c>
      <c r="K18" s="28">
        <v>0</v>
      </c>
      <c r="L18" s="33">
        <f>J18+K18</f>
        <v>180</v>
      </c>
      <c r="M18" s="42">
        <f t="shared" si="4"/>
        <v>-143</v>
      </c>
      <c r="N18" s="46">
        <f t="shared" si="6"/>
        <v>0.5572755417956656</v>
      </c>
      <c r="O18"/>
      <c r="P18"/>
    </row>
    <row r="19" spans="1:16" ht="13.5" customHeight="1">
      <c r="A19" s="35" t="s">
        <v>27</v>
      </c>
      <c r="B19" s="36">
        <v>391</v>
      </c>
      <c r="C19" s="37"/>
      <c r="D19" s="29">
        <f t="shared" si="8"/>
        <v>391</v>
      </c>
      <c r="E19" s="44">
        <v>333.1</v>
      </c>
      <c r="F19" s="37"/>
      <c r="G19" s="33">
        <f t="shared" si="9"/>
        <v>333.1</v>
      </c>
      <c r="H19" s="42">
        <f t="shared" si="3"/>
        <v>-57.89999999999998</v>
      </c>
      <c r="I19" s="46">
        <f t="shared" si="5"/>
        <v>0.851918158567775</v>
      </c>
      <c r="J19" s="44">
        <v>460</v>
      </c>
      <c r="K19" s="37">
        <v>0</v>
      </c>
      <c r="L19" s="33">
        <v>460</v>
      </c>
      <c r="M19" s="42">
        <f t="shared" si="4"/>
        <v>126.89999999999998</v>
      </c>
      <c r="N19" s="46">
        <f t="shared" si="6"/>
        <v>1.3809666766736715</v>
      </c>
      <c r="O19"/>
      <c r="P19"/>
    </row>
    <row r="20" spans="1:16" ht="13.5" customHeight="1">
      <c r="A20" s="50" t="s">
        <v>28</v>
      </c>
      <c r="B20" s="36">
        <v>12</v>
      </c>
      <c r="C20" s="37"/>
      <c r="D20" s="29">
        <f t="shared" si="8"/>
        <v>12</v>
      </c>
      <c r="E20" s="44">
        <v>17.51</v>
      </c>
      <c r="F20" s="37"/>
      <c r="G20" s="33">
        <f t="shared" si="9"/>
        <v>17.51</v>
      </c>
      <c r="H20" s="42">
        <f t="shared" si="3"/>
        <v>5.510000000000002</v>
      </c>
      <c r="I20" s="46">
        <f t="shared" si="5"/>
        <v>1.4591666666666667</v>
      </c>
      <c r="J20" s="44">
        <v>25</v>
      </c>
      <c r="K20" s="37">
        <v>0</v>
      </c>
      <c r="L20" s="33">
        <f aca="true" t="shared" si="10" ref="L20:L34">J20+K20</f>
        <v>25</v>
      </c>
      <c r="M20" s="42">
        <f t="shared" si="4"/>
        <v>7.489999999999998</v>
      </c>
      <c r="N20" s="46">
        <f t="shared" si="6"/>
        <v>1.427755568246716</v>
      </c>
      <c r="O20"/>
      <c r="P20"/>
    </row>
    <row r="21" spans="1:16" ht="13.5" customHeight="1">
      <c r="A21" s="35" t="s">
        <v>29</v>
      </c>
      <c r="B21" s="36">
        <v>0</v>
      </c>
      <c r="C21" s="37"/>
      <c r="D21" s="29">
        <f t="shared" si="8"/>
        <v>0</v>
      </c>
      <c r="E21" s="44">
        <v>0</v>
      </c>
      <c r="F21" s="37"/>
      <c r="G21" s="33">
        <f t="shared" si="9"/>
        <v>0</v>
      </c>
      <c r="H21" s="42">
        <f t="shared" si="3"/>
        <v>0</v>
      </c>
      <c r="I21" s="46"/>
      <c r="J21" s="44">
        <v>0</v>
      </c>
      <c r="K21" s="37">
        <v>0</v>
      </c>
      <c r="L21" s="33">
        <f t="shared" si="10"/>
        <v>0</v>
      </c>
      <c r="M21" s="42">
        <f t="shared" si="4"/>
        <v>0</v>
      </c>
      <c r="N21" s="46"/>
      <c r="O21"/>
      <c r="P21"/>
    </row>
    <row r="22" spans="1:16" ht="13.5" customHeight="1">
      <c r="A22" s="35" t="s">
        <v>30</v>
      </c>
      <c r="B22" s="44">
        <v>401</v>
      </c>
      <c r="C22" s="37"/>
      <c r="D22" s="29">
        <f t="shared" si="8"/>
        <v>401</v>
      </c>
      <c r="E22" s="44">
        <v>449</v>
      </c>
      <c r="F22" s="37"/>
      <c r="G22" s="33">
        <f t="shared" si="9"/>
        <v>449</v>
      </c>
      <c r="H22" s="42">
        <f t="shared" si="3"/>
        <v>48</v>
      </c>
      <c r="I22" s="46">
        <f aca="true" t="shared" si="11" ref="I22:I29">+G22/D22</f>
        <v>1.119700748129676</v>
      </c>
      <c r="J22" s="44">
        <v>430</v>
      </c>
      <c r="K22" s="37">
        <v>0</v>
      </c>
      <c r="L22" s="33">
        <f t="shared" si="10"/>
        <v>430</v>
      </c>
      <c r="M22" s="42">
        <f t="shared" si="4"/>
        <v>-19</v>
      </c>
      <c r="N22" s="46">
        <f aca="true" t="shared" si="12" ref="N22:N29">+L22/G22</f>
        <v>0.9576837416481069</v>
      </c>
      <c r="O22"/>
      <c r="P22"/>
    </row>
    <row r="23" spans="1:16" ht="13.5" customHeight="1">
      <c r="A23" s="50" t="s">
        <v>31</v>
      </c>
      <c r="B23" s="36">
        <v>186</v>
      </c>
      <c r="C23" s="37"/>
      <c r="D23" s="29">
        <f t="shared" si="8"/>
        <v>186</v>
      </c>
      <c r="E23" s="47">
        <v>283.21</v>
      </c>
      <c r="F23" s="37"/>
      <c r="G23" s="33">
        <f t="shared" si="9"/>
        <v>283.21</v>
      </c>
      <c r="H23" s="42">
        <f t="shared" si="3"/>
        <v>97.20999999999998</v>
      </c>
      <c r="I23" s="46">
        <f t="shared" si="11"/>
        <v>1.5226344086021504</v>
      </c>
      <c r="J23" s="47">
        <v>165</v>
      </c>
      <c r="K23" s="37">
        <v>0</v>
      </c>
      <c r="L23" s="33">
        <f t="shared" si="10"/>
        <v>165</v>
      </c>
      <c r="M23" s="42">
        <f t="shared" si="4"/>
        <v>-118.20999999999998</v>
      </c>
      <c r="N23" s="46">
        <f t="shared" si="12"/>
        <v>0.5826065463790121</v>
      </c>
      <c r="O23"/>
      <c r="P23"/>
    </row>
    <row r="24" spans="1:16" ht="13.5" customHeight="1">
      <c r="A24" s="35" t="s">
        <v>32</v>
      </c>
      <c r="B24" s="36">
        <v>212</v>
      </c>
      <c r="C24" s="37"/>
      <c r="D24" s="29">
        <f t="shared" si="8"/>
        <v>212</v>
      </c>
      <c r="E24" s="47">
        <v>164.71</v>
      </c>
      <c r="F24" s="37"/>
      <c r="G24" s="33">
        <f t="shared" si="9"/>
        <v>164.71</v>
      </c>
      <c r="H24" s="42">
        <f t="shared" si="3"/>
        <v>-47.28999999999999</v>
      </c>
      <c r="I24" s="46">
        <f t="shared" si="11"/>
        <v>0.776933962264151</v>
      </c>
      <c r="J24" s="47">
        <v>260</v>
      </c>
      <c r="K24" s="37">
        <v>0</v>
      </c>
      <c r="L24" s="33">
        <f t="shared" si="10"/>
        <v>260</v>
      </c>
      <c r="M24" s="42">
        <f t="shared" si="4"/>
        <v>95.28999999999999</v>
      </c>
      <c r="N24" s="46">
        <f t="shared" si="12"/>
        <v>1.5785319652722967</v>
      </c>
      <c r="O24"/>
      <c r="P24"/>
    </row>
    <row r="25" spans="1:16" ht="13.5" customHeight="1">
      <c r="A25" s="75" t="s">
        <v>33</v>
      </c>
      <c r="B25" s="44">
        <v>5878</v>
      </c>
      <c r="C25" s="37"/>
      <c r="D25" s="29">
        <f t="shared" si="8"/>
        <v>5878</v>
      </c>
      <c r="E25" s="44">
        <v>6294.1</v>
      </c>
      <c r="F25" s="37"/>
      <c r="G25" s="33">
        <f t="shared" si="9"/>
        <v>6294.1</v>
      </c>
      <c r="H25" s="42">
        <f t="shared" si="3"/>
        <v>416.10000000000036</v>
      </c>
      <c r="I25" s="46">
        <f t="shared" si="11"/>
        <v>1.0707893841442668</v>
      </c>
      <c r="J25" s="44">
        <v>6492</v>
      </c>
      <c r="K25" s="37">
        <v>0</v>
      </c>
      <c r="L25" s="33">
        <f t="shared" si="10"/>
        <v>6492</v>
      </c>
      <c r="M25" s="42">
        <f t="shared" si="4"/>
        <v>197.89999999999964</v>
      </c>
      <c r="N25" s="46">
        <f t="shared" si="12"/>
        <v>1.0314421442303108</v>
      </c>
      <c r="O25"/>
      <c r="P25"/>
    </row>
    <row r="26" spans="1:16" ht="13.5" customHeight="1">
      <c r="A26" s="50" t="s">
        <v>34</v>
      </c>
      <c r="B26" s="36">
        <v>4299</v>
      </c>
      <c r="C26" s="37"/>
      <c r="D26" s="29">
        <f t="shared" si="8"/>
        <v>4299</v>
      </c>
      <c r="E26" s="47">
        <v>4599.7</v>
      </c>
      <c r="F26" s="48"/>
      <c r="G26" s="33">
        <f t="shared" si="9"/>
        <v>4599.7</v>
      </c>
      <c r="H26" s="42">
        <f t="shared" si="3"/>
        <v>300.6999999999998</v>
      </c>
      <c r="I26" s="46">
        <f t="shared" si="11"/>
        <v>1.0699464991858572</v>
      </c>
      <c r="J26" s="47">
        <v>4738</v>
      </c>
      <c r="K26" s="48">
        <v>0</v>
      </c>
      <c r="L26" s="33">
        <f t="shared" si="10"/>
        <v>4738</v>
      </c>
      <c r="M26" s="42">
        <f t="shared" si="4"/>
        <v>138.30000000000018</v>
      </c>
      <c r="N26" s="46">
        <f t="shared" si="12"/>
        <v>1.0300671782942366</v>
      </c>
      <c r="O26"/>
      <c r="P26"/>
    </row>
    <row r="27" spans="1:16" ht="13.5" customHeight="1">
      <c r="A27" s="75" t="s">
        <v>35</v>
      </c>
      <c r="B27" s="36">
        <v>4278</v>
      </c>
      <c r="C27" s="37"/>
      <c r="D27" s="29">
        <f t="shared" si="8"/>
        <v>4278</v>
      </c>
      <c r="E27" s="44">
        <v>4579</v>
      </c>
      <c r="F27" s="37"/>
      <c r="G27" s="33">
        <f t="shared" si="9"/>
        <v>4579</v>
      </c>
      <c r="H27" s="42">
        <f t="shared" si="3"/>
        <v>301</v>
      </c>
      <c r="I27" s="46">
        <f t="shared" si="11"/>
        <v>1.0703599812996727</v>
      </c>
      <c r="J27" s="44">
        <v>4720</v>
      </c>
      <c r="K27" s="37">
        <v>0</v>
      </c>
      <c r="L27" s="33">
        <f t="shared" si="10"/>
        <v>4720</v>
      </c>
      <c r="M27" s="42">
        <f t="shared" si="4"/>
        <v>141</v>
      </c>
      <c r="N27" s="46">
        <f t="shared" si="12"/>
        <v>1.0307927495086264</v>
      </c>
      <c r="O27"/>
      <c r="P27"/>
    </row>
    <row r="28" spans="1:16" ht="13.5" customHeight="1">
      <c r="A28" s="50" t="s">
        <v>36</v>
      </c>
      <c r="B28" s="36">
        <v>21</v>
      </c>
      <c r="C28" s="37"/>
      <c r="D28" s="29">
        <f t="shared" si="8"/>
        <v>21</v>
      </c>
      <c r="E28" s="44">
        <v>21</v>
      </c>
      <c r="F28" s="37"/>
      <c r="G28" s="33">
        <f t="shared" si="9"/>
        <v>21</v>
      </c>
      <c r="H28" s="42">
        <f t="shared" si="3"/>
        <v>0</v>
      </c>
      <c r="I28" s="46">
        <f t="shared" si="11"/>
        <v>1</v>
      </c>
      <c r="J28" s="44">
        <v>18</v>
      </c>
      <c r="K28" s="37">
        <v>0</v>
      </c>
      <c r="L28" s="33">
        <f t="shared" si="10"/>
        <v>18</v>
      </c>
      <c r="M28" s="42">
        <f t="shared" si="4"/>
        <v>-3</v>
      </c>
      <c r="N28" s="46">
        <f t="shared" si="12"/>
        <v>0.8571428571428571</v>
      </c>
      <c r="O28"/>
      <c r="P28"/>
    </row>
    <row r="29" spans="1:16" ht="13.5" customHeight="1">
      <c r="A29" s="50" t="s">
        <v>37</v>
      </c>
      <c r="B29" s="36">
        <v>1579</v>
      </c>
      <c r="C29" s="37"/>
      <c r="D29" s="29">
        <f t="shared" si="8"/>
        <v>1579</v>
      </c>
      <c r="E29" s="44">
        <v>1694.4</v>
      </c>
      <c r="F29" s="37"/>
      <c r="G29" s="33">
        <f t="shared" si="9"/>
        <v>1694.4</v>
      </c>
      <c r="H29" s="42">
        <f t="shared" si="3"/>
        <v>115.40000000000009</v>
      </c>
      <c r="I29" s="46">
        <f t="shared" si="11"/>
        <v>1.0730842305256492</v>
      </c>
      <c r="J29" s="44">
        <v>1753</v>
      </c>
      <c r="K29" s="37">
        <v>0</v>
      </c>
      <c r="L29" s="33">
        <f t="shared" si="10"/>
        <v>1753</v>
      </c>
      <c r="M29" s="42">
        <f t="shared" si="4"/>
        <v>58.59999999999991</v>
      </c>
      <c r="N29" s="46">
        <f t="shared" si="12"/>
        <v>1.0345845136921623</v>
      </c>
      <c r="O29"/>
      <c r="P29"/>
    </row>
    <row r="30" spans="1:16" ht="13.5" customHeight="1">
      <c r="A30" s="75" t="s">
        <v>38</v>
      </c>
      <c r="B30" s="36">
        <v>0</v>
      </c>
      <c r="C30" s="37"/>
      <c r="D30" s="29">
        <f t="shared" si="8"/>
        <v>0</v>
      </c>
      <c r="E30" s="44">
        <v>0</v>
      </c>
      <c r="F30" s="37"/>
      <c r="G30" s="33">
        <f t="shared" si="9"/>
        <v>0</v>
      </c>
      <c r="H30" s="42">
        <f t="shared" si="3"/>
        <v>0</v>
      </c>
      <c r="I30" s="46"/>
      <c r="J30" s="44">
        <v>0</v>
      </c>
      <c r="K30" s="37">
        <v>0</v>
      </c>
      <c r="L30" s="33">
        <f t="shared" si="10"/>
        <v>0</v>
      </c>
      <c r="M30" s="42">
        <f t="shared" si="4"/>
        <v>0</v>
      </c>
      <c r="N30" s="46"/>
      <c r="O30"/>
      <c r="P30"/>
    </row>
    <row r="31" spans="1:16" ht="13.5" customHeight="1">
      <c r="A31" s="75" t="s">
        <v>39</v>
      </c>
      <c r="B31" s="36">
        <v>51</v>
      </c>
      <c r="C31" s="37"/>
      <c r="D31" s="29">
        <f t="shared" si="8"/>
        <v>51</v>
      </c>
      <c r="E31" s="44">
        <v>54.52</v>
      </c>
      <c r="F31" s="37"/>
      <c r="G31" s="33">
        <f t="shared" si="9"/>
        <v>54.52</v>
      </c>
      <c r="H31" s="42">
        <f t="shared" si="3"/>
        <v>3.520000000000003</v>
      </c>
      <c r="I31" s="46">
        <f>+G31/D31</f>
        <v>1.0690196078431373</v>
      </c>
      <c r="J31" s="44">
        <v>66</v>
      </c>
      <c r="K31" s="37">
        <v>0</v>
      </c>
      <c r="L31" s="33">
        <f t="shared" si="10"/>
        <v>66</v>
      </c>
      <c r="M31" s="42">
        <f t="shared" si="4"/>
        <v>11.479999999999997</v>
      </c>
      <c r="N31" s="46">
        <f>+L31/G31</f>
        <v>1.210564930300807</v>
      </c>
      <c r="O31"/>
      <c r="P31"/>
    </row>
    <row r="32" spans="1:16" ht="13.5" customHeight="1">
      <c r="A32" s="50" t="s">
        <v>40</v>
      </c>
      <c r="B32" s="36">
        <v>47</v>
      </c>
      <c r="C32" s="37"/>
      <c r="D32" s="29">
        <f t="shared" si="8"/>
        <v>47</v>
      </c>
      <c r="E32" s="47">
        <v>67.31</v>
      </c>
      <c r="F32" s="37"/>
      <c r="G32" s="33">
        <f t="shared" si="9"/>
        <v>67.31</v>
      </c>
      <c r="H32" s="42">
        <f t="shared" si="3"/>
        <v>20.310000000000002</v>
      </c>
      <c r="I32" s="46">
        <f>+G32/D32</f>
        <v>1.432127659574468</v>
      </c>
      <c r="J32" s="47">
        <v>68</v>
      </c>
      <c r="K32" s="37">
        <v>0</v>
      </c>
      <c r="L32" s="33">
        <f t="shared" si="10"/>
        <v>68</v>
      </c>
      <c r="M32" s="42">
        <f t="shared" si="4"/>
        <v>0.6899999999999977</v>
      </c>
      <c r="N32" s="46">
        <f>+L32/G32</f>
        <v>1.0102510771059277</v>
      </c>
      <c r="O32"/>
      <c r="P32"/>
    </row>
    <row r="33" spans="1:16" ht="21" customHeight="1">
      <c r="A33" s="50" t="s">
        <v>41</v>
      </c>
      <c r="B33" s="36">
        <v>47</v>
      </c>
      <c r="C33" s="37"/>
      <c r="D33" s="29">
        <f t="shared" si="8"/>
        <v>47</v>
      </c>
      <c r="E33" s="47">
        <v>67</v>
      </c>
      <c r="F33" s="37"/>
      <c r="G33" s="33">
        <f t="shared" si="9"/>
        <v>67</v>
      </c>
      <c r="H33" s="42">
        <f t="shared" si="3"/>
        <v>20</v>
      </c>
      <c r="I33" s="46">
        <f>+G33/D33</f>
        <v>1.425531914893617</v>
      </c>
      <c r="J33" s="47">
        <v>68</v>
      </c>
      <c r="K33" s="37">
        <v>0</v>
      </c>
      <c r="L33" s="33">
        <f t="shared" si="10"/>
        <v>68</v>
      </c>
      <c r="M33" s="42">
        <f t="shared" si="4"/>
        <v>1</v>
      </c>
      <c r="N33" s="46">
        <f>+L33/G33</f>
        <v>1.0149253731343284</v>
      </c>
      <c r="O33"/>
      <c r="P33"/>
    </row>
    <row r="34" spans="1:16" ht="13.5" customHeight="1" thickBot="1">
      <c r="A34" s="76" t="s">
        <v>42</v>
      </c>
      <c r="B34" s="52">
        <v>0</v>
      </c>
      <c r="C34" s="53"/>
      <c r="D34" s="29">
        <f t="shared" si="8"/>
        <v>0</v>
      </c>
      <c r="E34" s="77">
        <v>0</v>
      </c>
      <c r="F34" s="53"/>
      <c r="G34" s="33">
        <f t="shared" si="9"/>
        <v>0</v>
      </c>
      <c r="H34" s="57">
        <f t="shared" si="3"/>
        <v>0</v>
      </c>
      <c r="I34" s="59"/>
      <c r="J34" s="77">
        <v>0</v>
      </c>
      <c r="K34" s="53">
        <v>0</v>
      </c>
      <c r="L34" s="33">
        <f t="shared" si="10"/>
        <v>0</v>
      </c>
      <c r="M34" s="57">
        <f t="shared" si="4"/>
        <v>0</v>
      </c>
      <c r="N34" s="59"/>
      <c r="O34"/>
      <c r="P34"/>
    </row>
    <row r="35" spans="1:16" ht="13.5" customHeight="1" thickBot="1">
      <c r="A35" s="60" t="s">
        <v>43</v>
      </c>
      <c r="B35" s="61">
        <f aca="true" t="shared" si="13" ref="B35:G35">SUM(B17+B19+B20+B21+B22+B25+B30+B31+B32+B34)</f>
        <v>7677</v>
      </c>
      <c r="C35" s="62">
        <f t="shared" si="13"/>
        <v>0</v>
      </c>
      <c r="D35" s="63">
        <f t="shared" si="13"/>
        <v>7677</v>
      </c>
      <c r="E35" s="66">
        <f t="shared" si="13"/>
        <v>8326.48</v>
      </c>
      <c r="F35" s="62">
        <f t="shared" si="13"/>
        <v>0</v>
      </c>
      <c r="G35" s="63">
        <f t="shared" si="13"/>
        <v>8326.48</v>
      </c>
      <c r="H35" s="64">
        <f t="shared" si="3"/>
        <v>649.4799999999996</v>
      </c>
      <c r="I35" s="67">
        <f>+G35/D35</f>
        <v>1.0846007555034518</v>
      </c>
      <c r="J35" s="66">
        <f>SUM(J17+J19+J20+J21+J22+J25+J30+J31+J32+J34)</f>
        <v>8780</v>
      </c>
      <c r="K35" s="62">
        <f>SUM(K17+K19+K20+K21+K22+K25+K30+K31+K32+K34)</f>
        <v>0</v>
      </c>
      <c r="L35" s="63">
        <f>SUM(L17+L19+L20+L21+L22+L25+L30+L31+L32+L34)</f>
        <v>8780</v>
      </c>
      <c r="M35" s="64">
        <f t="shared" si="4"/>
        <v>453.52000000000044</v>
      </c>
      <c r="N35" s="67"/>
      <c r="O35"/>
      <c r="P35"/>
    </row>
    <row r="36" spans="1:16" ht="18" customHeight="1" thickBot="1">
      <c r="A36" s="60" t="s">
        <v>44</v>
      </c>
      <c r="B36" s="782">
        <f>+D16-D35</f>
        <v>52</v>
      </c>
      <c r="C36" s="828"/>
      <c r="D36" s="828"/>
      <c r="E36" s="782">
        <f>+G16-G35</f>
        <v>60.45000000000073</v>
      </c>
      <c r="F36" s="828"/>
      <c r="G36" s="1021">
        <v>0</v>
      </c>
      <c r="H36" s="302"/>
      <c r="I36" s="303"/>
      <c r="J36" s="782">
        <f>+L16-L35</f>
        <v>0</v>
      </c>
      <c r="K36" s="783"/>
      <c r="L36" s="1037">
        <v>0</v>
      </c>
      <c r="M36" s="302"/>
      <c r="N36" s="303"/>
      <c r="O36"/>
      <c r="P36"/>
    </row>
    <row r="37" spans="1:16" ht="20.25" customHeight="1" thickBot="1">
      <c r="A37" s="80" t="s">
        <v>45</v>
      </c>
      <c r="B37" s="782">
        <v>0</v>
      </c>
      <c r="C37" s="828"/>
      <c r="D37" s="828"/>
      <c r="E37" s="782">
        <v>0</v>
      </c>
      <c r="F37" s="828"/>
      <c r="G37" s="1021"/>
      <c r="H37"/>
      <c r="I37"/>
      <c r="J37"/>
      <c r="K37"/>
      <c r="L37"/>
      <c r="M37"/>
      <c r="N37"/>
      <c r="O37"/>
      <c r="P37"/>
    </row>
    <row r="38" spans="1:16" ht="17.25" customHeight="1" thickBot="1">
      <c r="A38" s="81" t="s">
        <v>46</v>
      </c>
      <c r="B38" s="828"/>
      <c r="C38" s="828"/>
      <c r="D38" s="828"/>
      <c r="E38" s="782">
        <v>0</v>
      </c>
      <c r="F38" s="828"/>
      <c r="G38" s="1021"/>
      <c r="H38"/>
      <c r="I38"/>
      <c r="J38"/>
      <c r="K38"/>
      <c r="L38"/>
      <c r="M38"/>
      <c r="N38"/>
      <c r="O38"/>
      <c r="P38"/>
    </row>
    <row r="39" spans="2:8" ht="4.5" customHeight="1" thickBot="1">
      <c r="B39" s="1"/>
      <c r="C39" s="1"/>
      <c r="D39" s="83"/>
      <c r="E39" s="1"/>
      <c r="F39" s="1"/>
      <c r="G39" s="1"/>
      <c r="H39" s="1"/>
    </row>
    <row r="40" spans="1:5" s="562" customFormat="1" ht="16.5" customHeight="1">
      <c r="A40" s="987" t="s">
        <v>399</v>
      </c>
      <c r="B40" s="988"/>
      <c r="C40" s="988"/>
      <c r="D40" s="989"/>
      <c r="E40" s="1009" t="s">
        <v>400</v>
      </c>
    </row>
    <row r="41" spans="1:5" s="85" customFormat="1" ht="6.75" customHeight="1" thickBot="1">
      <c r="A41" s="903"/>
      <c r="B41" s="990"/>
      <c r="C41" s="990"/>
      <c r="D41" s="991"/>
      <c r="E41" s="1028"/>
    </row>
    <row r="42" spans="1:5" s="162" customFormat="1" ht="16.5" customHeight="1">
      <c r="A42" s="1025" t="s">
        <v>401</v>
      </c>
      <c r="B42" s="1026"/>
      <c r="C42" s="1026"/>
      <c r="D42" s="1027"/>
      <c r="E42" s="563">
        <v>40</v>
      </c>
    </row>
    <row r="43" spans="1:5" s="162" customFormat="1" ht="16.5" customHeight="1" thickBot="1">
      <c r="A43" s="1025" t="s">
        <v>402</v>
      </c>
      <c r="B43" s="1026"/>
      <c r="C43" s="1026"/>
      <c r="D43" s="1027"/>
      <c r="E43" s="563">
        <v>56</v>
      </c>
    </row>
    <row r="44" spans="1:5" s="86" customFormat="1" ht="15.75" customHeight="1" thickBot="1">
      <c r="A44" s="1011" t="s">
        <v>403</v>
      </c>
      <c r="B44" s="1023"/>
      <c r="C44" s="1023"/>
      <c r="D44" s="1024"/>
      <c r="E44" s="564">
        <f>+E42+E43</f>
        <v>96</v>
      </c>
    </row>
    <row r="45" spans="1:16" ht="11.25" customHeight="1" thickBo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5" s="562" customFormat="1" ht="29.25" customHeight="1">
      <c r="A46" s="1034" t="s">
        <v>404</v>
      </c>
      <c r="B46" s="1035"/>
      <c r="C46" s="1035"/>
      <c r="D46" s="1036"/>
      <c r="E46" s="565" t="s">
        <v>405</v>
      </c>
    </row>
    <row r="47" spans="1:5" s="162" customFormat="1" ht="16.5" customHeight="1">
      <c r="A47" s="1025" t="s">
        <v>406</v>
      </c>
      <c r="B47" s="1026"/>
      <c r="C47" s="1026"/>
      <c r="D47" s="1027"/>
      <c r="E47" s="563">
        <v>300</v>
      </c>
    </row>
    <row r="48" spans="1:5" s="162" customFormat="1" ht="16.5" customHeight="1" thickBot="1">
      <c r="A48" s="1029" t="s">
        <v>407</v>
      </c>
      <c r="B48" s="1030"/>
      <c r="C48" s="1030"/>
      <c r="D48" s="1031"/>
      <c r="E48" s="566">
        <v>100</v>
      </c>
    </row>
    <row r="49" spans="1:5" s="562" customFormat="1" ht="18" customHeight="1" thickBot="1">
      <c r="A49" s="983" t="s">
        <v>408</v>
      </c>
      <c r="B49" s="698"/>
      <c r="C49" s="698"/>
      <c r="D49" s="699"/>
      <c r="E49" s="145">
        <f>+E47+E48</f>
        <v>400</v>
      </c>
    </row>
    <row r="50" spans="1:7" s="562" customFormat="1" ht="12.75" customHeight="1" thickBot="1">
      <c r="A50" s="1"/>
      <c r="B50" s="1"/>
      <c r="C50" s="1"/>
      <c r="D50" s="1"/>
      <c r="E50" s="1"/>
      <c r="F50"/>
      <c r="G50"/>
    </row>
    <row r="51" spans="1:14" s="162" customFormat="1" ht="17.25" customHeight="1">
      <c r="A51" s="762" t="s">
        <v>119</v>
      </c>
      <c r="B51" s="751" t="s">
        <v>308</v>
      </c>
      <c r="C51" s="757" t="s">
        <v>309</v>
      </c>
      <c r="D51" s="758"/>
      <c r="E51" s="758"/>
      <c r="F51" s="758"/>
      <c r="G51" s="758"/>
      <c r="H51" s="759"/>
      <c r="I51" s="754" t="s">
        <v>122</v>
      </c>
      <c r="J51" s="1"/>
      <c r="K51" s="1"/>
      <c r="L51" s="1"/>
      <c r="M51"/>
      <c r="N51"/>
    </row>
    <row r="52" spans="1:14" s="162" customFormat="1" ht="17.25" customHeight="1">
      <c r="A52" s="763"/>
      <c r="B52" s="1000"/>
      <c r="C52" s="998" t="s">
        <v>52</v>
      </c>
      <c r="D52" s="773" t="s">
        <v>123</v>
      </c>
      <c r="E52" s="774"/>
      <c r="F52" s="774"/>
      <c r="G52" s="774"/>
      <c r="H52" s="775"/>
      <c r="I52" s="1019"/>
      <c r="J52" s="1"/>
      <c r="K52" s="1"/>
      <c r="L52" s="1"/>
      <c r="M52"/>
      <c r="N52"/>
    </row>
    <row r="53" spans="1:14" s="162" customFormat="1" ht="11.25" customHeight="1" thickBot="1">
      <c r="A53" s="764"/>
      <c r="B53" s="1001"/>
      <c r="C53" s="999"/>
      <c r="D53" s="163">
        <v>1</v>
      </c>
      <c r="E53" s="163">
        <v>2</v>
      </c>
      <c r="F53" s="163">
        <v>3</v>
      </c>
      <c r="G53" s="163">
        <v>4</v>
      </c>
      <c r="H53" s="163">
        <v>5</v>
      </c>
      <c r="I53" s="1020"/>
      <c r="J53" s="86"/>
      <c r="K53" s="86"/>
      <c r="L53" s="86"/>
      <c r="M53"/>
      <c r="N53"/>
    </row>
    <row r="54" spans="1:14" s="162" customFormat="1" ht="17.25" customHeight="1" thickBot="1">
      <c r="A54" s="164">
        <v>5698</v>
      </c>
      <c r="B54" s="165">
        <v>1630</v>
      </c>
      <c r="C54" s="166">
        <v>68</v>
      </c>
      <c r="D54" s="165">
        <v>0</v>
      </c>
      <c r="E54" s="165">
        <v>12</v>
      </c>
      <c r="F54" s="165">
        <v>0</v>
      </c>
      <c r="G54" s="165">
        <v>8</v>
      </c>
      <c r="H54" s="165">
        <v>48</v>
      </c>
      <c r="I54" s="167">
        <f>SUM(A54-B54-C54)</f>
        <v>4000</v>
      </c>
      <c r="J54" s="1"/>
      <c r="K54" s="1"/>
      <c r="L54" s="1"/>
      <c r="M54"/>
      <c r="N54"/>
    </row>
    <row r="55" spans="13:14" ht="10.5" customHeight="1" thickBot="1">
      <c r="M55"/>
      <c r="N55"/>
    </row>
    <row r="56" spans="1:14" ht="12.75" customHeight="1">
      <c r="A56" s="719" t="s">
        <v>124</v>
      </c>
      <c r="B56" s="721" t="s">
        <v>125</v>
      </c>
      <c r="C56" s="722" t="s">
        <v>126</v>
      </c>
      <c r="D56" s="723"/>
      <c r="E56" s="722"/>
      <c r="F56" s="1022"/>
      <c r="G56" s="721" t="s">
        <v>127</v>
      </c>
      <c r="H56" s="817" t="s">
        <v>128</v>
      </c>
      <c r="I56" s="716" t="s">
        <v>129</v>
      </c>
      <c r="J56" s="833"/>
      <c r="K56" s="833"/>
      <c r="L56" s="834"/>
      <c r="M56"/>
      <c r="N56"/>
    </row>
    <row r="57" spans="1:14" ht="18.75" thickBot="1">
      <c r="A57" s="818"/>
      <c r="B57" s="997"/>
      <c r="C57" s="168" t="s">
        <v>130</v>
      </c>
      <c r="D57" s="169" t="s">
        <v>131</v>
      </c>
      <c r="E57" s="169" t="s">
        <v>132</v>
      </c>
      <c r="F57" s="170" t="s">
        <v>133</v>
      </c>
      <c r="G57" s="997"/>
      <c r="H57" s="1038"/>
      <c r="I57" s="168" t="s">
        <v>134</v>
      </c>
      <c r="J57" s="169" t="s">
        <v>131</v>
      </c>
      <c r="K57" s="169" t="s">
        <v>132</v>
      </c>
      <c r="L57" s="170" t="s">
        <v>135</v>
      </c>
      <c r="M57"/>
      <c r="N57"/>
    </row>
    <row r="58" spans="1:12" ht="12.75">
      <c r="A58" s="331" t="s">
        <v>136</v>
      </c>
      <c r="B58" s="174">
        <v>969.35</v>
      </c>
      <c r="C58" s="332" t="s">
        <v>137</v>
      </c>
      <c r="D58" s="176" t="s">
        <v>137</v>
      </c>
      <c r="E58" s="176" t="s">
        <v>137</v>
      </c>
      <c r="F58" s="182"/>
      <c r="G58" s="179">
        <v>1178.43</v>
      </c>
      <c r="H58" s="180" t="s">
        <v>137</v>
      </c>
      <c r="I58" s="332" t="s">
        <v>137</v>
      </c>
      <c r="J58" s="176" t="s">
        <v>137</v>
      </c>
      <c r="K58" s="176" t="s">
        <v>137</v>
      </c>
      <c r="L58" s="182" t="s">
        <v>137</v>
      </c>
    </row>
    <row r="59" spans="1:12" ht="12.75">
      <c r="A59" s="333" t="s">
        <v>138</v>
      </c>
      <c r="B59" s="184">
        <v>51.63</v>
      </c>
      <c r="C59" s="185">
        <v>51.63</v>
      </c>
      <c r="D59" s="186">
        <v>0</v>
      </c>
      <c r="E59" s="186">
        <v>0</v>
      </c>
      <c r="F59" s="187">
        <f>+C59+D59-E59</f>
        <v>51.63</v>
      </c>
      <c r="G59" s="188">
        <v>51.63</v>
      </c>
      <c r="H59" s="189">
        <f>+G59-F59</f>
        <v>0</v>
      </c>
      <c r="I59" s="185">
        <v>52</v>
      </c>
      <c r="J59" s="186">
        <v>0</v>
      </c>
      <c r="K59" s="186">
        <v>0</v>
      </c>
      <c r="L59" s="187">
        <f>+I59+J59-K59</f>
        <v>52</v>
      </c>
    </row>
    <row r="60" spans="1:12" ht="12.75">
      <c r="A60" s="333" t="s">
        <v>139</v>
      </c>
      <c r="B60" s="184">
        <v>17.03</v>
      </c>
      <c r="C60" s="185">
        <v>423.57</v>
      </c>
      <c r="D60" s="186">
        <v>194</v>
      </c>
      <c r="E60" s="186">
        <v>53</v>
      </c>
      <c r="F60" s="187">
        <f>+C60+D60-E60</f>
        <v>564.5699999999999</v>
      </c>
      <c r="G60" s="188">
        <v>68.39</v>
      </c>
      <c r="H60" s="189">
        <f>+G60-F60</f>
        <v>-496.17999999999995</v>
      </c>
      <c r="I60" s="185">
        <v>564</v>
      </c>
      <c r="J60" s="186">
        <v>110</v>
      </c>
      <c r="K60" s="186">
        <v>180</v>
      </c>
      <c r="L60" s="187">
        <f>+I60+J60-K60</f>
        <v>494</v>
      </c>
    </row>
    <row r="61" spans="1:12" ht="12.75">
      <c r="A61" s="333" t="s">
        <v>140</v>
      </c>
      <c r="B61" s="184">
        <v>799.23</v>
      </c>
      <c r="C61" s="332" t="s">
        <v>137</v>
      </c>
      <c r="D61" s="176" t="s">
        <v>137</v>
      </c>
      <c r="E61" s="176" t="s">
        <v>137</v>
      </c>
      <c r="F61" s="182" t="s">
        <v>137</v>
      </c>
      <c r="G61" s="188">
        <f>+G58-G59-G60</f>
        <v>1058.4099999999999</v>
      </c>
      <c r="H61" s="334"/>
      <c r="I61" s="332" t="s">
        <v>137</v>
      </c>
      <c r="J61" s="176" t="s">
        <v>137</v>
      </c>
      <c r="K61" s="176" t="s">
        <v>137</v>
      </c>
      <c r="L61" s="182" t="s">
        <v>137</v>
      </c>
    </row>
    <row r="62" spans="1:12" ht="12.75">
      <c r="A62" s="333" t="s">
        <v>409</v>
      </c>
      <c r="B62" s="184">
        <v>101.46</v>
      </c>
      <c r="C62" s="185">
        <v>101</v>
      </c>
      <c r="D62" s="186">
        <v>67</v>
      </c>
      <c r="E62" s="186">
        <v>69</v>
      </c>
      <c r="F62" s="187">
        <f>+C62+D62-E62</f>
        <v>99</v>
      </c>
      <c r="G62" s="188">
        <v>99.77</v>
      </c>
      <c r="H62" s="189">
        <f>+G62-F62</f>
        <v>0.769999999999996</v>
      </c>
      <c r="I62" s="491">
        <v>99</v>
      </c>
      <c r="J62" s="191">
        <f>+J33+E49</f>
        <v>468</v>
      </c>
      <c r="K62" s="191">
        <f>+E44+E49</f>
        <v>496</v>
      </c>
      <c r="L62" s="187">
        <f>+I62+J62-K62</f>
        <v>71</v>
      </c>
    </row>
    <row r="63" spans="1:12" ht="13.5" thickBot="1">
      <c r="A63" s="335" t="s">
        <v>142</v>
      </c>
      <c r="B63" s="193">
        <v>6.78</v>
      </c>
      <c r="C63" s="194">
        <v>16</v>
      </c>
      <c r="D63" s="195">
        <v>92</v>
      </c>
      <c r="E63" s="195">
        <v>85</v>
      </c>
      <c r="F63" s="196">
        <f>+C63+D63-E63</f>
        <v>23</v>
      </c>
      <c r="G63" s="197">
        <v>17.02</v>
      </c>
      <c r="H63" s="198">
        <f>+G63-F63</f>
        <v>-5.98</v>
      </c>
      <c r="I63" s="194">
        <v>23</v>
      </c>
      <c r="J63" s="195">
        <v>95</v>
      </c>
      <c r="K63" s="195">
        <v>118</v>
      </c>
      <c r="L63" s="196">
        <f>+I63+J63-K63</f>
        <v>0</v>
      </c>
    </row>
    <row r="64" spans="1:12" ht="12.75">
      <c r="A64" s="336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</row>
    <row r="65" ht="15" customHeight="1" thickBot="1">
      <c r="A65" s="567" t="s">
        <v>159</v>
      </c>
    </row>
    <row r="66" spans="1:9" ht="12.75">
      <c r="A66" s="710" t="s">
        <v>160</v>
      </c>
      <c r="B66" s="926" t="s">
        <v>10</v>
      </c>
      <c r="C66" s="712" t="s">
        <v>161</v>
      </c>
      <c r="D66" s="714"/>
      <c r="E66" s="714"/>
      <c r="F66" s="714"/>
      <c r="G66" s="714"/>
      <c r="H66" s="715"/>
      <c r="I66" s="212"/>
    </row>
    <row r="67" spans="1:9" ht="12.75">
      <c r="A67" s="995"/>
      <c r="B67" s="996"/>
      <c r="C67" s="568" t="s">
        <v>162</v>
      </c>
      <c r="D67" s="493" t="s">
        <v>163</v>
      </c>
      <c r="E67" s="493" t="s">
        <v>164</v>
      </c>
      <c r="F67" s="493" t="s">
        <v>165</v>
      </c>
      <c r="G67" s="494" t="s">
        <v>166</v>
      </c>
      <c r="H67" s="495" t="s">
        <v>52</v>
      </c>
      <c r="I67" s="212"/>
    </row>
    <row r="68" spans="1:16" s="85" customFormat="1" ht="22.5">
      <c r="A68" s="277" t="s">
        <v>410</v>
      </c>
      <c r="B68" s="556">
        <v>267.12</v>
      </c>
      <c r="C68" s="98">
        <v>0.4</v>
      </c>
      <c r="D68" s="98">
        <v>0.6</v>
      </c>
      <c r="E68" s="98">
        <v>1</v>
      </c>
      <c r="F68" s="98">
        <v>0.9</v>
      </c>
      <c r="G68" s="556">
        <v>27.62</v>
      </c>
      <c r="H68" s="555">
        <f>SUM(C68:G68)</f>
        <v>30.52</v>
      </c>
      <c r="I68" s="221"/>
      <c r="J68" s="86"/>
      <c r="K68" s="86"/>
      <c r="L68" s="86"/>
      <c r="M68" s="86"/>
      <c r="N68" s="86"/>
      <c r="O68" s="86"/>
      <c r="P68" s="86"/>
    </row>
    <row r="69" spans="1:16" s="85" customFormat="1" ht="18.75" customHeight="1" thickBot="1">
      <c r="A69" s="557" t="s">
        <v>411</v>
      </c>
      <c r="B69" s="569">
        <v>268</v>
      </c>
      <c r="C69" s="114">
        <v>0</v>
      </c>
      <c r="D69" s="114">
        <v>0</v>
      </c>
      <c r="E69" s="114">
        <v>0</v>
      </c>
      <c r="F69" s="114">
        <v>0</v>
      </c>
      <c r="G69" s="569">
        <v>0</v>
      </c>
      <c r="H69" s="570">
        <f>SUM(C69:G69)</f>
        <v>0</v>
      </c>
      <c r="I69" s="221"/>
      <c r="J69" s="86"/>
      <c r="K69" s="86"/>
      <c r="L69" s="86"/>
      <c r="M69" s="86"/>
      <c r="N69" s="86"/>
      <c r="O69" s="86"/>
      <c r="P69" s="86"/>
    </row>
    <row r="70" ht="5.25" customHeight="1" thickBot="1"/>
    <row r="71" spans="1:8" ht="13.5" thickBot="1">
      <c r="A71" s="1002" t="s">
        <v>412</v>
      </c>
      <c r="B71" s="958">
        <v>2003</v>
      </c>
      <c r="C71" s="1004"/>
      <c r="D71" s="1004"/>
      <c r="E71" s="1004"/>
      <c r="F71" s="1004"/>
      <c r="G71" s="740"/>
      <c r="H71" s="741"/>
    </row>
    <row r="72" spans="1:8" ht="13.5" thickBot="1">
      <c r="A72" s="1003"/>
      <c r="B72" s="571" t="s">
        <v>199</v>
      </c>
      <c r="C72" s="571" t="s">
        <v>203</v>
      </c>
      <c r="D72" s="571" t="s">
        <v>205</v>
      </c>
      <c r="E72" s="571" t="s">
        <v>413</v>
      </c>
      <c r="F72" s="571" t="s">
        <v>211</v>
      </c>
      <c r="G72" s="572" t="s">
        <v>414</v>
      </c>
      <c r="H72" s="573" t="s">
        <v>52</v>
      </c>
    </row>
    <row r="73" spans="1:8" ht="13.5" thickBot="1">
      <c r="A73" s="574" t="s">
        <v>415</v>
      </c>
      <c r="B73" s="575">
        <v>47057</v>
      </c>
      <c r="C73" s="576">
        <v>2661891</v>
      </c>
      <c r="D73" s="576">
        <v>302914</v>
      </c>
      <c r="E73" s="576"/>
      <c r="F73" s="576">
        <v>421928</v>
      </c>
      <c r="G73" s="577">
        <v>844210</v>
      </c>
      <c r="H73" s="578">
        <f>SUM(B73:G73)</f>
        <v>4278000</v>
      </c>
    </row>
    <row r="74" spans="1:8" ht="14.25" thickBot="1" thickTop="1">
      <c r="A74" s="300" t="s">
        <v>416</v>
      </c>
      <c r="B74" s="579">
        <v>0.2</v>
      </c>
      <c r="C74" s="580">
        <v>12.82</v>
      </c>
      <c r="D74" s="580">
        <v>2.2</v>
      </c>
      <c r="E74" s="580"/>
      <c r="F74" s="580">
        <v>2</v>
      </c>
      <c r="G74" s="581">
        <v>6.9</v>
      </c>
      <c r="H74" s="582">
        <f>SUM(B74:G74)</f>
        <v>24.119999999999997</v>
      </c>
    </row>
    <row r="75" spans="1:8" ht="13.5" thickBot="1">
      <c r="A75" s="583" t="s">
        <v>417</v>
      </c>
      <c r="B75" s="584">
        <f>+B73/B74/12</f>
        <v>19607.083333333332</v>
      </c>
      <c r="C75" s="585">
        <f>+C73/C74/12</f>
        <v>17302.983619344774</v>
      </c>
      <c r="D75" s="586">
        <f>+D73/D74/12</f>
        <v>11474.01515151515</v>
      </c>
      <c r="E75" s="585"/>
      <c r="F75" s="586">
        <f>+F73/F74/12</f>
        <v>17580.333333333332</v>
      </c>
      <c r="G75" s="587">
        <f>+G73/G74/12</f>
        <v>10195.772946859903</v>
      </c>
      <c r="H75" s="588">
        <f>+H73/H74/12</f>
        <v>14780.265339966834</v>
      </c>
    </row>
    <row r="76" ht="4.5" customHeight="1" thickBot="1">
      <c r="A76"/>
    </row>
    <row r="77" spans="1:16" ht="18.75" customHeight="1" thickBot="1">
      <c r="A77" s="1002" t="s">
        <v>412</v>
      </c>
      <c r="B77" s="958">
        <v>2004</v>
      </c>
      <c r="C77" s="1004"/>
      <c r="D77" s="1004"/>
      <c r="E77" s="1004"/>
      <c r="F77" s="1004"/>
      <c r="G77" s="740"/>
      <c r="H77" s="741"/>
      <c r="J77" s="643" t="s">
        <v>347</v>
      </c>
      <c r="K77" s="645"/>
      <c r="L77" s="553">
        <v>2003</v>
      </c>
      <c r="M77" s="552">
        <v>2004</v>
      </c>
      <c r="P77"/>
    </row>
    <row r="78" spans="1:15" s="595" customFormat="1" ht="37.5" customHeight="1" thickBot="1">
      <c r="A78" s="1003"/>
      <c r="B78" s="589" t="s">
        <v>418</v>
      </c>
      <c r="C78" s="589" t="s">
        <v>419</v>
      </c>
      <c r="D78" s="589" t="s">
        <v>420</v>
      </c>
      <c r="E78" s="589" t="s">
        <v>421</v>
      </c>
      <c r="F78" s="589" t="s">
        <v>211</v>
      </c>
      <c r="G78" s="590" t="s">
        <v>414</v>
      </c>
      <c r="H78" s="591" t="s">
        <v>52</v>
      </c>
      <c r="I78" s="592"/>
      <c r="J78" s="1039" t="s">
        <v>422</v>
      </c>
      <c r="K78" s="1040"/>
      <c r="L78" s="593">
        <v>45</v>
      </c>
      <c r="M78" s="594">
        <v>45</v>
      </c>
      <c r="N78" s="592"/>
      <c r="O78" s="592"/>
    </row>
    <row r="79" spans="1:8" ht="15.75" customHeight="1" thickBot="1">
      <c r="A79" s="574" t="s">
        <v>415</v>
      </c>
      <c r="B79" s="575">
        <v>56410</v>
      </c>
      <c r="C79" s="576">
        <v>2766838</v>
      </c>
      <c r="D79" s="576">
        <v>54582</v>
      </c>
      <c r="E79" s="576">
        <v>135911</v>
      </c>
      <c r="F79" s="576">
        <v>664886</v>
      </c>
      <c r="G79" s="577">
        <v>900087</v>
      </c>
      <c r="H79" s="578">
        <f>SUM(B79:G79)</f>
        <v>4578714</v>
      </c>
    </row>
    <row r="80" spans="1:8" ht="14.25" thickBot="1" thickTop="1">
      <c r="A80" s="300" t="s">
        <v>416</v>
      </c>
      <c r="B80" s="579">
        <v>0.33</v>
      </c>
      <c r="C80" s="580">
        <v>13.05</v>
      </c>
      <c r="D80" s="580">
        <v>0.2</v>
      </c>
      <c r="E80" s="580">
        <v>1.02</v>
      </c>
      <c r="F80" s="580">
        <v>2.67</v>
      </c>
      <c r="G80" s="581">
        <v>6.93</v>
      </c>
      <c r="H80" s="582">
        <f>SUM(B80:G80)</f>
        <v>24.2</v>
      </c>
    </row>
    <row r="81" spans="1:8" ht="13.5" thickBot="1">
      <c r="A81" s="583" t="s">
        <v>417</v>
      </c>
      <c r="B81" s="584">
        <f aca="true" t="shared" si="14" ref="B81:H81">+B79/B80/12</f>
        <v>14244.949494949493</v>
      </c>
      <c r="C81" s="585">
        <f t="shared" si="14"/>
        <v>17668.186462324393</v>
      </c>
      <c r="D81" s="585">
        <f t="shared" si="14"/>
        <v>22742.5</v>
      </c>
      <c r="E81" s="585">
        <f t="shared" si="14"/>
        <v>11103.839869281046</v>
      </c>
      <c r="F81" s="585">
        <f t="shared" si="14"/>
        <v>20751.74781523096</v>
      </c>
      <c r="G81" s="596">
        <f t="shared" si="14"/>
        <v>10823.556998556998</v>
      </c>
      <c r="H81" s="588">
        <f t="shared" si="14"/>
        <v>15766.921487603306</v>
      </c>
    </row>
    <row r="83" ht="16.5" thickBot="1">
      <c r="A83" s="567" t="s">
        <v>423</v>
      </c>
    </row>
    <row r="84" spans="1:3" ht="13.5" thickBot="1">
      <c r="A84" s="1011" t="s">
        <v>215</v>
      </c>
      <c r="B84" s="1012"/>
      <c r="C84" s="1013"/>
    </row>
    <row r="85" spans="1:3" ht="12.75">
      <c r="A85" s="1041" t="s">
        <v>216</v>
      </c>
      <c r="B85" s="1042"/>
      <c r="C85" s="597">
        <f>+J15</f>
        <v>8240</v>
      </c>
    </row>
    <row r="86" spans="1:3" ht="12.75">
      <c r="A86" s="1043" t="s">
        <v>50</v>
      </c>
      <c r="B86" s="1044"/>
      <c r="C86" s="598">
        <f>+E49</f>
        <v>400</v>
      </c>
    </row>
    <row r="87" spans="1:3" ht="13.5" thickBot="1">
      <c r="A87" s="1032" t="s">
        <v>217</v>
      </c>
      <c r="B87" s="1033"/>
      <c r="C87" s="599">
        <f>+J27</f>
        <v>4720</v>
      </c>
    </row>
  </sheetData>
  <mergeCells count="45">
    <mergeCell ref="J77:K77"/>
    <mergeCell ref="J78:K78"/>
    <mergeCell ref="A85:B85"/>
    <mergeCell ref="A86:B86"/>
    <mergeCell ref="A77:A78"/>
    <mergeCell ref="B77:H77"/>
    <mergeCell ref="A87:B87"/>
    <mergeCell ref="A47:D47"/>
    <mergeCell ref="M4:N4"/>
    <mergeCell ref="A46:D46"/>
    <mergeCell ref="A71:A72"/>
    <mergeCell ref="B71:H71"/>
    <mergeCell ref="J36:L36"/>
    <mergeCell ref="H56:H57"/>
    <mergeCell ref="I56:L56"/>
    <mergeCell ref="A66:A67"/>
    <mergeCell ref="E38:G38"/>
    <mergeCell ref="A49:D49"/>
    <mergeCell ref="A44:D44"/>
    <mergeCell ref="A43:D43"/>
    <mergeCell ref="B38:D38"/>
    <mergeCell ref="A42:D42"/>
    <mergeCell ref="A40:D41"/>
    <mergeCell ref="E40:E41"/>
    <mergeCell ref="A48:D48"/>
    <mergeCell ref="B66:B67"/>
    <mergeCell ref="C66:H66"/>
    <mergeCell ref="A84:C84"/>
    <mergeCell ref="A56:A57"/>
    <mergeCell ref="B56:B57"/>
    <mergeCell ref="C56:F56"/>
    <mergeCell ref="G56:G57"/>
    <mergeCell ref="E36:G36"/>
    <mergeCell ref="B37:D37"/>
    <mergeCell ref="A3:A6"/>
    <mergeCell ref="H4:I4"/>
    <mergeCell ref="B36:D36"/>
    <mergeCell ref="B3:N3"/>
    <mergeCell ref="E37:G37"/>
    <mergeCell ref="A51:A53"/>
    <mergeCell ref="D52:H52"/>
    <mergeCell ref="I51:I53"/>
    <mergeCell ref="C51:H51"/>
    <mergeCell ref="C52:C53"/>
    <mergeCell ref="B51:B53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schallnerova</cp:lastModifiedBy>
  <cp:lastPrinted>2005-04-14T12:55:37Z</cp:lastPrinted>
  <dcterms:created xsi:type="dcterms:W3CDTF">2005-04-12T20:05:51Z</dcterms:created>
  <dcterms:modified xsi:type="dcterms:W3CDTF">2005-04-14T13:01:07Z</dcterms:modified>
  <cp:category/>
  <cp:version/>
  <cp:contentType/>
  <cp:contentStatus/>
</cp:coreProperties>
</file>