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91" windowWidth="12120" windowHeight="9120" tabRatio="599" activeTab="0"/>
  </bookViews>
  <sheets>
    <sheet name="RK-13-2005-22, př. 1 Statutár" sheetId="1" r:id="rId1"/>
    <sheet name="Hospodaření" sheetId="2" r:id="rId2"/>
    <sheet name="POHL-záv" sheetId="3" r:id="rId3"/>
    <sheet name="Lůžka" sheetId="4" r:id="rId4"/>
    <sheet name="Rozklad mezd" sheetId="5" r:id="rId5"/>
    <sheet name="H.Brod" sheetId="6" r:id="rId6"/>
    <sheet name="Jihlava " sheetId="7" r:id="rId7"/>
    <sheet name="Pelhřimov" sheetId="8" r:id="rId8"/>
    <sheet name="Třebíč" sheetId="9" r:id="rId9"/>
    <sheet name="N.Město" sheetId="10" r:id="rId10"/>
  </sheets>
  <definedNames>
    <definedName name="_xlnm.Print_Titles" localSheetId="4">'Rozklad mezd'!$1:$3</definedName>
    <definedName name="_xlnm.Print_Area" localSheetId="4">'Rozklad mezd'!$A:$K</definedName>
  </definedNames>
  <calcPr fullCalcOnLoad="1"/>
</workbook>
</file>

<file path=xl/sharedStrings.xml><?xml version="1.0" encoding="utf-8"?>
<sst xmlns="http://schemas.openxmlformats.org/spreadsheetml/2006/main" count="1811" uniqueCount="376">
  <si>
    <t xml:space="preserve">Komentář: 1. Počet zaměstnanců: snížení počtu zaměstnanců, zvláště v kategorii dělníci je způsobeno jejich převodem pod dodavatelské firmy (úklid, tepelné hospodářství). Určitý nárůst v kategorií SZP, NZP a PZP je způsoben tím, že vedení nemocnice v souladu s novelou zákoníku práce odsouhlasilo vyplacení nevyčerpané dovolené všem pracovnicím na mateřské a rodičovské dovolené. Pro toto vyplacení byly pracovnice zařazeny do stavu, což ovlivňuje průměrný přepočtený počet pracovníků stejně tak, jako brigádníci v období prázdnin, kteří v roce 2003 nebyli zařazeni ve stavu pracovníků.
2. Průměrné platy: nárůst průměrného platu o 2% i přesto, že výše 13. platu byla snížena z 50% na 10% a 14. platu na 25%. Hlavní vliv na toto navýšení mělo nové platové zařazení do 16. platových tříd a vyplácení odměn za hospodaření v souladu s Nařízeními ředitele, kterými byla stanovena pravidla pro hospodaření.
3. Organizační změny: od 1.7.2004 byl zrušen samostatný odbor práce a mzdy, personální oddělení bylo včleněno do úseku ředitele, mzdová účtárna se stala součástí ekonomického odboru. Touto organizační změnou se stala 1 pracovnice nadbytečnou. Další organizační změna na tomto odboru proběhla na konci roku 2004 s platností od 1.1.2005.
</t>
  </si>
  <si>
    <t>rozdíl</t>
  </si>
  <si>
    <t>Nemocnice</t>
  </si>
  <si>
    <t>Náklady celkem</t>
  </si>
  <si>
    <t>Výnosy celkem</t>
  </si>
  <si>
    <t>Třebíč</t>
  </si>
  <si>
    <t>Pelhřimov</t>
  </si>
  <si>
    <t>Jihlava</t>
  </si>
  <si>
    <t>Havlíčkův Brod</t>
  </si>
  <si>
    <t>Přehled hospodaření nemocnic kraje Vysočina</t>
  </si>
  <si>
    <t>Nové Město</t>
  </si>
  <si>
    <t>Celkem</t>
  </si>
  <si>
    <t>k 31.1.</t>
  </si>
  <si>
    <t xml:space="preserve">po lhůtě </t>
  </si>
  <si>
    <t>k 29.2.</t>
  </si>
  <si>
    <t>k 31.3.</t>
  </si>
  <si>
    <t>k 30.4.</t>
  </si>
  <si>
    <t>k 31.5.</t>
  </si>
  <si>
    <t>k 30.6.</t>
  </si>
  <si>
    <t>splatnosti</t>
  </si>
  <si>
    <t>k 31.7.</t>
  </si>
  <si>
    <t>k 31.8.</t>
  </si>
  <si>
    <t>k 30.9.</t>
  </si>
  <si>
    <t xml:space="preserve">Nové Město </t>
  </si>
  <si>
    <t>Hospodářský výsledek</t>
  </si>
  <si>
    <t>k 31.12.2003</t>
  </si>
  <si>
    <t>/v tis. Kč/</t>
  </si>
  <si>
    <t>k 31.10.</t>
  </si>
  <si>
    <t>k 31.12.2004</t>
  </si>
  <si>
    <t>k 30.11.</t>
  </si>
  <si>
    <t>k 31.12</t>
  </si>
  <si>
    <t>Závazky z obchodních vztahů - 1. pololetí</t>
  </si>
  <si>
    <t>Závazky z obchodních vztahů - 2. pololetí</t>
  </si>
  <si>
    <t>Pohledávky z obchodních vztahů - 1. pololetí</t>
  </si>
  <si>
    <t>Pohledávky z obchodních vztahů - 2. pololetí</t>
  </si>
  <si>
    <t xml:space="preserve">K datu </t>
  </si>
  <si>
    <t>Dodavatelé</t>
  </si>
  <si>
    <t>Přijaté zálohy</t>
  </si>
  <si>
    <t>Ostatní závazky</t>
  </si>
  <si>
    <t>K datu</t>
  </si>
  <si>
    <t>31.1.</t>
  </si>
  <si>
    <t>29.2.</t>
  </si>
  <si>
    <t>31.3.</t>
  </si>
  <si>
    <t>30.4.</t>
  </si>
  <si>
    <t>31.5.</t>
  </si>
  <si>
    <t>30.6.</t>
  </si>
  <si>
    <t>31.7.</t>
  </si>
  <si>
    <t>31.8.</t>
  </si>
  <si>
    <t>30.9.</t>
  </si>
  <si>
    <t>31.10.</t>
  </si>
  <si>
    <t>30.11.</t>
  </si>
  <si>
    <t>31.12.</t>
  </si>
  <si>
    <t>Z toho po lhůtě splatnosti</t>
  </si>
  <si>
    <t>do 30 dnů</t>
  </si>
  <si>
    <t>do 90 dnů</t>
  </si>
  <si>
    <t>do 180 dnů</t>
  </si>
  <si>
    <t>do 360 dnů</t>
  </si>
  <si>
    <t>nad 360 dnů</t>
  </si>
  <si>
    <t>Odběratelé</t>
  </si>
  <si>
    <t>Poskytnuté zálohy</t>
  </si>
  <si>
    <t>Ostatní pohledávky</t>
  </si>
  <si>
    <t>I. Náklady, výnosy a hospodářský výsledek</t>
  </si>
  <si>
    <t>II. Závazky  z obchodních vztahů</t>
  </si>
  <si>
    <t>III. Pohledávky z obchodních vztahů</t>
  </si>
  <si>
    <t>Nemocnice Havlíčkův Brod</t>
  </si>
  <si>
    <t>Nemocnice Jihlava</t>
  </si>
  <si>
    <t>Nemocnice Pelhřimov</t>
  </si>
  <si>
    <t>Nemocnice Třebíč</t>
  </si>
  <si>
    <t>Nemocnice Nové Město na Moravě</t>
  </si>
  <si>
    <t>Oddlužení *</t>
  </si>
  <si>
    <t>* oddlužení v roce 2003 proběhlo formou návratné finanční výpomoci již v listopadu</t>
  </si>
  <si>
    <t>Rozbor mzdových nákladů podle kategorií</t>
  </si>
  <si>
    <t>Lékaři</t>
  </si>
  <si>
    <t>Farmaceuti</t>
  </si>
  <si>
    <t>Jiní VŠ</t>
  </si>
  <si>
    <t>Jiní SŠ</t>
  </si>
  <si>
    <t>SZP</t>
  </si>
  <si>
    <t>NZP</t>
  </si>
  <si>
    <t>PZT</t>
  </si>
  <si>
    <t>THP</t>
  </si>
  <si>
    <t>Dělníci a provozní pracovníci</t>
  </si>
  <si>
    <t>Průměrný přepočtený počet</t>
  </si>
  <si>
    <t>mzdové náklady</t>
  </si>
  <si>
    <t>Průměrná mzda</t>
  </si>
  <si>
    <t>IV. Lidské zdroje</t>
  </si>
  <si>
    <t>Oddělení</t>
  </si>
  <si>
    <t xml:space="preserve">Lůžka </t>
  </si>
  <si>
    <t>Obložnost</t>
  </si>
  <si>
    <t>+/-</t>
  </si>
  <si>
    <t>interní</t>
  </si>
  <si>
    <t>infekční</t>
  </si>
  <si>
    <t>TRN</t>
  </si>
  <si>
    <t>neurologické</t>
  </si>
  <si>
    <t>psychiatrie</t>
  </si>
  <si>
    <t>pediatrie</t>
  </si>
  <si>
    <t>gynekologie</t>
  </si>
  <si>
    <t>chirurgické</t>
  </si>
  <si>
    <t xml:space="preserve">ARO </t>
  </si>
  <si>
    <t>ortopedické</t>
  </si>
  <si>
    <t>urologické</t>
  </si>
  <si>
    <t>ORL</t>
  </si>
  <si>
    <t>oftalmologie</t>
  </si>
  <si>
    <t>kožní</t>
  </si>
  <si>
    <t>radioterapeutické</t>
  </si>
  <si>
    <t>rehabilitační</t>
  </si>
  <si>
    <t>následná péče</t>
  </si>
  <si>
    <t>centrální JIP</t>
  </si>
  <si>
    <t>V. Lůžkový fond</t>
  </si>
  <si>
    <t>k 31.12.</t>
  </si>
  <si>
    <t>ostatní zdrav.pracovníci nelékaři s odbornou způsobilostí</t>
  </si>
  <si>
    <t>všeobecné sestry, porodní asistentky</t>
  </si>
  <si>
    <t>zdrav.pracovníci nelékaři s odb. a special. způsobilostí</t>
  </si>
  <si>
    <t>zdrav.pracovníci nelékaři pod odborn. dohledem nebo přímým vedením</t>
  </si>
  <si>
    <t>jiní odborní pracovníci nelékaři s odbornou způsobilostí</t>
  </si>
  <si>
    <t>pedagogičtí pracovníci</t>
  </si>
  <si>
    <t>dělníci a provozní pracovníci</t>
  </si>
  <si>
    <t>Výnosové a nákladové ukazatele</t>
  </si>
  <si>
    <t>Finanční plán 2004</t>
  </si>
  <si>
    <t>Hlavní  činnost</t>
  </si>
  <si>
    <t>Dopl. činnost</t>
  </si>
  <si>
    <t>činnost</t>
  </si>
  <si>
    <t>Tržby za vlastní výrobky /úč. 601/</t>
  </si>
  <si>
    <t>Tržby z prodeje služeb /úč. 602/</t>
  </si>
  <si>
    <t>- tržby od zdrav.pojišťoven</t>
  </si>
  <si>
    <t>- tržby mimo zdrav. pojištění</t>
  </si>
  <si>
    <t>Tržby za prodané zboží /úč. 604/</t>
  </si>
  <si>
    <t>- tržby za prodej v lékárnách</t>
  </si>
  <si>
    <t>Aktivace /sesk.úč. 62/</t>
  </si>
  <si>
    <t>Ostatní výnosy /sesk.úč. 64/</t>
  </si>
  <si>
    <t>- zúčtování fondů /úč.648/</t>
  </si>
  <si>
    <t>Tržby z prodeje majetku /sesk.úč.65/</t>
  </si>
  <si>
    <t>- tržby z prodeje DM /úč. 651/</t>
  </si>
  <si>
    <t>Provozní dotace /úč. 691/</t>
  </si>
  <si>
    <t>Spotřeba materiálu /úč. 501/</t>
  </si>
  <si>
    <t>- DDHM</t>
  </si>
  <si>
    <t>- spotřeba léčivých přípravků</t>
  </si>
  <si>
    <t>- krev a krevní výrobky</t>
  </si>
  <si>
    <t>- spec.zdravotnický materiál</t>
  </si>
  <si>
    <t>- potraviny</t>
  </si>
  <si>
    <t>- PHM</t>
  </si>
  <si>
    <t>- všeobecný materiál</t>
  </si>
  <si>
    <t>Spotřeba energie /úč. 502/</t>
  </si>
  <si>
    <t>Spotřeba ostat. nesklad. dodávek /úč. 503/</t>
  </si>
  <si>
    <t>Prodané zboží /úč. 504/</t>
  </si>
  <si>
    <t>Služby /sesk.úč. 51/</t>
  </si>
  <si>
    <t>- opravy a udržování /úč. 511/</t>
  </si>
  <si>
    <t>- ostatní služby /úč. 518/</t>
  </si>
  <si>
    <t xml:space="preserve">          - služby spojů</t>
  </si>
  <si>
    <t xml:space="preserve">          - dopravné </t>
  </si>
  <si>
    <t xml:space="preserve">          - nájemné</t>
  </si>
  <si>
    <t xml:space="preserve">          - ostatní služby</t>
  </si>
  <si>
    <t>Osobní náklady /sesk.úč. 52/</t>
  </si>
  <si>
    <t>- mzdové náklady /úč. 521/</t>
  </si>
  <si>
    <t xml:space="preserve">          -  platy zaměstnanců</t>
  </si>
  <si>
    <t xml:space="preserve">          - ostatní osobní náklady</t>
  </si>
  <si>
    <t>- sociální pojištění /úč. 524-528/</t>
  </si>
  <si>
    <t>Daně a poplatky /sesk.úč. 53/</t>
  </si>
  <si>
    <t>Ostatní náklady /sesk.úč. 54/</t>
  </si>
  <si>
    <t>Odpisy, prodaný majetek /sesk.úč. 55/</t>
  </si>
  <si>
    <t>- odpisy dlouhodob.  majetku /úč. 551/</t>
  </si>
  <si>
    <t>Daň z příjmů /sesk.úč. 59/</t>
  </si>
  <si>
    <t>Skutečnost 2004</t>
  </si>
  <si>
    <t>Vývoj plnění plánu</t>
  </si>
  <si>
    <t>v %</t>
  </si>
  <si>
    <t>Stráta minulých let</t>
  </si>
  <si>
    <t>Kumulovaně</t>
  </si>
  <si>
    <t>Rozdíl</t>
  </si>
  <si>
    <t>- DHM</t>
  </si>
  <si>
    <t xml:space="preserve">          - úklid (dodavatelsky)</t>
  </si>
  <si>
    <t>LÉKAŘI</t>
  </si>
  <si>
    <t>H.Brod</t>
  </si>
  <si>
    <t>N.Město</t>
  </si>
  <si>
    <t>průměrná mzda</t>
  </si>
  <si>
    <t>% z prům. mzdy</t>
  </si>
  <si>
    <t>tarif</t>
  </si>
  <si>
    <t>přesčas</t>
  </si>
  <si>
    <t>odměna-pohotovost</t>
  </si>
  <si>
    <t>další plat</t>
  </si>
  <si>
    <t>náhrada mzdy</t>
  </si>
  <si>
    <t>osobní příplatek</t>
  </si>
  <si>
    <t>odměny</t>
  </si>
  <si>
    <t>všechny formy příplatků</t>
  </si>
  <si>
    <t>ostatní složky mezd</t>
  </si>
  <si>
    <t>Nemocnice celkem</t>
  </si>
  <si>
    <t>farmaceuti</t>
  </si>
  <si>
    <t>všeobecné sestry a porodní asistentky</t>
  </si>
  <si>
    <t>ostatní zdrav. pracovníci nelékaři s odb. způsobilostí</t>
  </si>
  <si>
    <t xml:space="preserve"> zdrav. pracovníci nelékaři s odb. a special. způsobilostí </t>
  </si>
  <si>
    <t>zdrav.prac. Nelékaři pod odbornáým dohledem nebo přímým vedením</t>
  </si>
  <si>
    <t>Mzdové náklady</t>
  </si>
  <si>
    <t>Mzdy</t>
  </si>
  <si>
    <t>tarifní plat</t>
  </si>
  <si>
    <t>příplatek za vedení</t>
  </si>
  <si>
    <t>příplatek za zastupování</t>
  </si>
  <si>
    <t>zvláštní příplatky</t>
  </si>
  <si>
    <t>plat za práci přesčas</t>
  </si>
  <si>
    <t>odměna za pracovní pohotovost</t>
  </si>
  <si>
    <t>příplatky za práci v SO a NE</t>
  </si>
  <si>
    <t>příplatek za práci ve svátek</t>
  </si>
  <si>
    <t>příplatek za noční práci</t>
  </si>
  <si>
    <t>příplatek za dělenou směnu</t>
  </si>
  <si>
    <t>plat při výkonu jiné práce a práce v cizině</t>
  </si>
  <si>
    <t>náhrady mzdy</t>
  </si>
  <si>
    <t>Průměrný přepočtený evidenční počet zaměstnanců</t>
  </si>
  <si>
    <t>Složení průměrné mzdy podle kategorií</t>
  </si>
  <si>
    <t>celkem HB</t>
  </si>
  <si>
    <t>celkem Ji</t>
  </si>
  <si>
    <t>celkem Pe</t>
  </si>
  <si>
    <t>celkem Tr</t>
  </si>
  <si>
    <t>celkem NM</t>
  </si>
  <si>
    <t>Nové Město na Moravě</t>
  </si>
  <si>
    <t>Další lůžka</t>
  </si>
  <si>
    <t>Součástí Nemocnice je Léčebna dlouhodobě nemocných TRN Buchtův kopec - 162 lůžek (62 následná péče, 100 TRN)</t>
  </si>
  <si>
    <t>Lůžka</t>
  </si>
  <si>
    <t>Celkem nemocnice</t>
  </si>
  <si>
    <t>Příspěvek na provoz v tis. Kč</t>
  </si>
  <si>
    <t>Rozpis čerpání</t>
  </si>
  <si>
    <t>Příspěvek na sociální sestru, knihovnu a živelní pojištění</t>
  </si>
  <si>
    <t>Z nájemného ze smluv o nájmu zdravotnických zařízení</t>
  </si>
  <si>
    <t>Prostředky z příkazních smluv</t>
  </si>
  <si>
    <t>Z příjmu z prodeje movitého majetku</t>
  </si>
  <si>
    <t>Dotace ze státního rozpočtu</t>
  </si>
  <si>
    <t>Národní program zdraví</t>
  </si>
  <si>
    <t>Příspěvek na provoz celkem</t>
  </si>
  <si>
    <t>Investiční dotace v tis. Kč</t>
  </si>
  <si>
    <t>Investiční dotace celkem</t>
  </si>
  <si>
    <t>Aktivní politika zaměstnanosti – úřady práce</t>
  </si>
  <si>
    <t>VII. Vývoj plnění plánu</t>
  </si>
  <si>
    <t>VIII. Celkové vyhdnocení</t>
  </si>
  <si>
    <t>IX. Komentář ředitele nemocnice k poskytování zdravotní péče a komunikace s pacienty</t>
  </si>
  <si>
    <t>Dotace na úhradu závazků ze státního rozpočtu</t>
  </si>
  <si>
    <t>Z  příjmu z prodeje movitého majetku</t>
  </si>
  <si>
    <t>Dotace na projekt „Rozesílání výsledků biologického vyšetření pacientů praktickým lékařům a odborným lékařům elektronickou formou“</t>
  </si>
  <si>
    <t>VI. Dotace</t>
  </si>
  <si>
    <t>psychiatrické</t>
  </si>
  <si>
    <t>pediatrické</t>
  </si>
  <si>
    <t>gynekologické</t>
  </si>
  <si>
    <t>oftalmologické</t>
  </si>
  <si>
    <t>celkem</t>
  </si>
  <si>
    <t>na lůžko</t>
  </si>
  <si>
    <t>Materiál</t>
  </si>
  <si>
    <t>Energie</t>
  </si>
  <si>
    <t>Osobní  náklady</t>
  </si>
  <si>
    <t>Nájemné</t>
  </si>
  <si>
    <t>Odpisy</t>
  </si>
  <si>
    <t>Opravy</t>
  </si>
  <si>
    <t>Vybrané výnosy na lůžko</t>
  </si>
  <si>
    <t>Provozní dotace</t>
  </si>
  <si>
    <t>Tržby od zdravotních pojišťoven a mimo ZP</t>
  </si>
  <si>
    <t>K nemocnici patří dále  111 lůžek léčebny pro dlouhodobě nemocné v Moravských Budějovicích. Pro rok 2004 se počet lůžek v LDN mění na 100.</t>
  </si>
  <si>
    <t xml:space="preserve">Vývoj rozdílu pohledávky - závazky </t>
  </si>
  <si>
    <t xml:space="preserve">Komentář: V roce 2004 došlo ke zlepšení hospodářského výsledku oproti roku 2003 o 50.293 tis. Kč. Organizace vytvořila zisk před zdaněním ve výši 259 tis. Kč. Daň z příjmů činila 750 tis. Kč. Na zlepšení HV mělo podíl jak snížení nákladů, tak zvýšení výnosů. Na úspoře nákladů se podílelo nejvyšší mírou snížení mzdových nákladů a to o 21.876 tis. v návaznosti na to pak i snížení odvodů ZP a SP. Celková úspora na osobních nákladech činila 30.891 tis. Na růstu nákladový položek o 11.500 tis. se podílely nejvyšší mírou odpisy dlouhodobého majetku a to především z důvodu zařazení nových investic do správy organizace. Nejvetší podíl na růstu výnosů měly tržby od VZP  o 23.060 tis. oproti roku 2003. V porovnání s rokem 2003 byl růst tržeb od VZP 7,2%tní, avšak v porovnání s rokem 2002 byl nárůst pouze 1,3%tní.Podstatný vliv na zvýšení výnosů měly i tržby od ostatních pojišťoven. Tento nárůst činil téměř 8 mil. Kč. I přesto, že provozní dotace byla v porovnání s rokem 2003 nižší téměř o 9mil. činí absolutní nárůst výnosů 30.917tis. Kč.  </t>
  </si>
  <si>
    <t>Národní program zdraví, úřady práce</t>
  </si>
  <si>
    <t>Závazky a pohledávky z obchodních vztahů - krátkodobé</t>
  </si>
  <si>
    <t>Oddlužení nemocnic kraje Vysočina</t>
  </si>
  <si>
    <t>Rok</t>
  </si>
  <si>
    <t>usnesení vlády 1153/2003</t>
  </si>
  <si>
    <t>usnesení vlády 1205/2004</t>
  </si>
  <si>
    <t>Rozpis oddlužení dle nemocnic</t>
  </si>
  <si>
    <t xml:space="preserve">Komentář: Závazky z obchodních vztahů zaznamenaly v roce 2004 negativní posun. Meziroční nárůst závazků byl způsoben především k 31.12.2004 evidovanou fakturou ( doplatek  na CT z roku 2004 ) ve výši 6.800 tis. Kč. Celkový rozdíl mezi stavem závazků z obchodních vztahů činil 8.025 tis.Kč, což znamená, že u ostatních závazkových vztahů činil nárůst pouze 1.225 tis. Kč. S ohledem na inflační růst je tento trend pozitivní a v podstatě znamená zpomalení růstu závazků. Pro porovnání uvádím, že růst závazků mezi roky 2002 a 2003 činil 14%. Růst závazků mezi roky 2003 a 2004 po odečtení doplatku na CT činil 1,1%. Negativní posun však zaznamenal růst závazků po splatnosti a to meziročně o 19.997 tis. Kč, z nichž největší podíl zaujímají závazky po splatnosti do 360 dnů. Tato situace byla způsobena výrazným investováním v druhé polovině roku 2004 a snížením zálohových plateb pro druhé pololetí 2004 ze strany VZP o 2 mil. Kč. I přes tyto negativní vlivy organizace v průběhu celého roku dostála závazkům vůči zaměstnancům v daném termínu. </t>
  </si>
  <si>
    <t>Komentář:Kapitola lidské zdroje vykazuje trend, kterým se organizace začala ubírat v průběhu roku 2004. Jde o zefektivnění práce tzn. dosažení celkových zlepšených výsledků s menším počtem personálu. Přesunutí nenárokové složky mzdy ( osobní příplatek ) do odměn ( motivační složka mzdy ) v závislosti na celkovém hospodaření jednotlivých primariátů - zavedení motivačních tabulek s předem nadefinovanými kritérii. Nejvýraznější pokles v počtu personálu byl zaznamenám v kategorii SZP a dělnických profesí, pokles úvazků však byl zaznamenán ve všech evidovaných kategoriích. Přesunem nenárokové složky mzdy do složky motivační způsobil pokles průměrné hrubé mzdy  o 8 % i přesto, že došlo k nárustu platových tarifů o 8,6%. Tímto krokem byla nastartována ozdravná cesta celkového hospodaření nemocnice. Meziročně došlo k poklesu hrubých mezd o 13%.</t>
  </si>
  <si>
    <t>Komentář:V počtu lůžek došlo v průběhu roku ke změnám dle výše uvedené tabulky, přičemž v celkovém počtu přibylo jedno lůžko. V roce 2004 došlo k uzavření kožního lůžkového odd. a otevření další stanice v odd. následné péče. V důsledku trvale uzavřených lůžek na očním a ušním odd. došlo k redukci počtu lůžek na těchto odd.  Vzhledem k meziročnímu snížení průměrné ošetřovací doby dochází ke snížení obložnosti. Průměrná ošetřovací doba v roce 2003 činila 8,0 dnů, v roce 2004 7,6 dnů. Počet přijatých pacientů na lůžková odd. byl v roce 2003 20.677 a v roce 2004 22.041. Tzn. nárůst o 1.364 pacientů.</t>
  </si>
  <si>
    <t xml:space="preserve">Komentář: Plán pro rok 2004 byl sestaven jako vyrovnaný. Snahou vedení organizace bylo udržet tento plán i přes zvýšení některých nákladových položek jako vyrovnaný. Na zvýšení nákladů se významnou částkou podílela položka drobného hmotného majetku ( nutná obměna, která nebyla v minulých letech prováděna, obnova v oblasti výpočetní techniky apod.). Zvýšenou částku si vyžádala také drobná údržba a oprava movitého i nemovitého majetku. Nejvyšší nárůst zaznamenala položka odpisů dlouhodobého majetku v důsledku zařazení nově pořízených investic v druhé polovině roku. Nejvýznamnější úspora v porovnání s plánem je evidována na účtu osobních nákladů, díky níž se organizaci podařilo vytvořit zisk před zdaněním ve výši 259 tis. Kč. Plán nákladů byl překročen o 1.743 tis. Plán výnosů byl překročen o 1.252. Hospodářský výsledek za rok 2004 je v porovnání s rokem 2003 zlepšený o 50.308 tis. kč. </t>
  </si>
  <si>
    <t>RK-13-2005-22, př. 1</t>
  </si>
  <si>
    <t>počet stran: 32</t>
  </si>
  <si>
    <t xml:space="preserve">Komentář:   1. Pohledávky a závazky: i přesto, že má nemocnice neustále závazky po lhůtě splatnosti, došlo k výraznému posunu v bilanci pohledávek a závazků z -29mil. Kč na -3mil. Kč(včetně dlouhodobých závazků, které k 31.12.2004 tvoří 9.917 tis. Kč oproti 4.495 tis. Kč). Bilance krátkodobých pohledávek a závazků se změnila z -24.482 tis. Kč na 6.680 tis. Kč
2. Investice: v roce 2004 v souladu se schváleným investičním plánem byly pořízeny investice ve výši 19,175mil. Kč a do roku 2005 bylo pro investiční účely převedeno 5,242mil. Kč.
3. Veřejné zakázky: v roce 2004 byly realizovány veřejné zakázky v souladu se zákonem 199/1994 Sb. a následně 40/2004 Sb. a dále v souladu s Pravidly kraje. Kromě veřejných zakázek na realizaci investic proběhla výběrová řízení na dodávky léků, jednorázového rouškování, infuzních roztoků, fotomateriálu, inkontinence, injekční techniky, antidekubitních matrací, infuzních pump a injekčních dávkovačů.
</t>
  </si>
  <si>
    <t xml:space="preserve">Komentář: 1. Výnosy: došlo k nárůstu o 3%, což v absolutní částce představuje suma cca 18mil. Kč, i přesto že dohadně byly poníženy tržby od zdravotních pojišťoven o cca 4mil. Kč, neboť díky vysokým zálohám ve 2. pololetí roku 2004 nedosáhla výkonnost této částky. Dále také provozní dotace byla v roce 2004 nižší o 6,8mil. Kč. 
2. Náklady: nárůst o 2%, což v absolutní částce představuje 12mil. Kč. Ačkoli došlo k nárůstu tržeb o ZP, přesto došlo ke snížení spotřeby materiálu bezmála o 3mil. Kč.
Významný vliv na zvýšení nákladů, ale zvláště výnosů má zvýšení obratu ústavní lékárny v souladu s projektem, který byl v roce 2004 zahájen.
3. Hospodářský výsledek: z 6 milionové ztráty došlo k posunu do kladného hospodaření (+ 269tis. Kč).                                                                                                                                                                             7. DPH: v souladu se zákonem č. 235/2004 Sb. se stala nemocnice s platností od 1.8.2004 plátcem DPH. I přes uplatňování odpočtu uhradila nemocnice DPH za rok 2004 ve výši 350tis. Kč.
</t>
  </si>
  <si>
    <t>Komentář:Finanční plán byl v průběhu roku pravidelně aktualizován podle změny závazného ukazatele "Příspěvek na provoz" (účet 691 - Provozní dotace). Souběžně se změnou výnosů  byla provedena změna v oblasti nákladů podle účelu, na který byl příspěvek poskytnut. Skutečné výnosy dosáhly 99,43% plánovaných a náklady 99,38% plánovaných</t>
  </si>
  <si>
    <t xml:space="preserve">Nemocnice v Novém Městě na Moravě je první nemocnicí v kraji Vysočina, které se podařilo zavést systém jakosti dle normy  ISO 9001. Zaměřili jsme se na kvalitu řídícího článku managmentu nemocnice, kvalitu poskytovaných služeb na oddělení centrální sterilizace, klinických laboratoří a transfuzní služby.
Přínosem je další zkvalitnění řídícího článku v nemocnici, zlepšení informovanosti zaměstnanců ve všech oblastech, zlepšení činnosti některých úseků, vytvoření jednotného systému vedení dokumentace při komunikaci uvnitř organizace, rozšiřování odborných znalostí zdravotnického personálu i ostatních a neustálá snaha o vylepšování námi poskytované péče a spokojenost našich pacientů.
V červenci se podařilo ukončit výstavbu a rekonstrukci chirurgických oborů, která byla zahájena v roce 1996. Celkové finanční náklady činily 741, 800 mil. Kč. Dotace ze státního rozpočtu byla 691,1 mil. Kč, od bývalého Okresního úřadu jsme obdrželi 17,286 mil. Kč a nemocnice z vlastních prostředků uhradila 29,884 mil. Kč.
Byly  postaveny centrální operační sály a centrální sterilizace, podzemní koridor, heliport a trafostanice. Byl zrekonstruován celý chirurgický pavilon a pavilon hematologie a transfuzní služba.
</t>
  </si>
  <si>
    <t>Jiná dotace (provoz staré nemocnice)</t>
  </si>
  <si>
    <t>Bilance pohledávek a závazků</t>
  </si>
  <si>
    <t>Nemocnice Pelhřimov hospodařila v roce 2004 stejně jako v předchozích letech s kladným hospodářským výsledkem. Od ledna 2004 byl postupně zahajován provoz na jednotlivých odborných pracovištích v pavilonu akutní medicíny a proběhla redislokace odborných pracovišť hlavní lůžkové budovy do uvolněných prostor po operačních sálech, ARO a jednotkách intenzivní péče. V roce 2004 byla zahájena příprava na rekonstrukci hlavní lůžkové budovy. Průběžně se stabilizuje úroveň poskytované zdravotní péče, která spolu s vylepšeným hotelovým standardem v pavilonu akutní medicíny  přináší trvalý zájem pacientů o pelhřimovskou nemocnici.</t>
  </si>
  <si>
    <t>Příspěvek na provoz  Kč</t>
  </si>
  <si>
    <t>Investiční dotace v  Kč</t>
  </si>
  <si>
    <t>v tis. Kč</t>
  </si>
  <si>
    <t>Investiční dotace v Kč</t>
  </si>
  <si>
    <t>Příspěvek na provoz v  Kč</t>
  </si>
  <si>
    <t xml:space="preserve">Komentář:      U ukazatele hospodářského výsledku se v Nemocnici Nové Město na Moravě, příspěvkové organizaci, podařilo zastavit nepříznivý vývoj z minulého období, zajistit finanční a ekonomickou stabilitu organizace a dosáhnout zisku ve výši 132 tis. Kč.  
     Příjmová stránka nemocnice je poměrně limitovaná a její navyšování je přinejmenším problematické. Rozhodný objem výnosů představují tržby od zdravotních pojišťoven . V porovnání let 2003 a 2004 narostly tržby od zdravotních pojišťoven o 2 % ( v nominální hodnotě o 8 977 tis. Kč), tržby za prodané zboží o 20 %  ( v nominální hodnotě o 8 405 tis.Kč.). 
Hospodářský výsledek je ovlivňován také tím, že nemocnice používá část finančních prostředků od zřizovatele za pronájem majetku na úhradu provozních nákladů. V roce 2004 činila dotace na provoz 25 252 tis. Kč.
V účetnictví je dále promítnuta očekávaná vratka zdravotním pojišťovnám za  provedené výkony ve 2.pololetí roku 2004, ve výši 3 271 tis. Kč.
     V hospodaření nemocnice se projevuje snaha o optimální vývoj nákladových položek. U žádné ze sledovaných položek nedošlo k výraznému nárůstu v důsledku úsporných opatření  ( byly stanoveny limity spotřeby léků, SZM a ostatních nákladových položek ). V oblasti osobních nákladů se snižuje jejich podíl na celkových nákladech vlivem vyhodnocování  efektivnosti vykonané práce.
Spotřeba materiálu a energie je vyhodnocována a ovlivňována i zavedením systému finanční kontroly a jeho důsledným dodržováním
</t>
  </si>
  <si>
    <t>Komentář: Z uvedené tabulky vyplývá, že ke změně v počtu lůžek v letech 2002 oproti roku 2003 nedošlo. V roce 2004 se snížil  počet lůžek na odděleních ORL a očním, což souvisí se sloučením obou oddělení a zvýšil počet lůžek na oddělení ortopedie v návazn</t>
  </si>
  <si>
    <t>Nemocnicím byla poskytnuta dotace na provoz v celkové výši 102.143 tis. Kč a na investice v celkové výši 138.690 tis. Kč. Byla rozdělena částka 71 854 tis. Kč ze státní účelové dotace na financování běžného a investičního rozvoje územních samosprávných celků, z přebytku hospodaření za rok 2003 byly určeny pro kapitolu Zdravotnictví další prostředky ve výši 28 146 tis. a konečně dodatečně schválilo zastupitelstvo  9 mil. na zajištění další reprodukce dlouhodobého majetku  nemocnic. V důsledku přesunu realizace akce "Stravovaci provoz"  až na rok 2005, byla dotace ve  výši 38.425 tis. přesunuta na rok 2005</t>
  </si>
  <si>
    <t>viz. níže</t>
  </si>
  <si>
    <t>Komentář: Pokles lůžek je způsoben přestěhování jednotek intenzívní péče do nového pavilonu akutní medicíny. Pokles obložnosti na oddělení pediatrie je způsoben změnou metodiky vykazovaní - od roku 2004 nejsou doprovody vykazovány do ošetřovacích dnů.</t>
  </si>
  <si>
    <t>Kumulovaná ztráta</t>
  </si>
  <si>
    <t>Ztráta let minulých</t>
  </si>
  <si>
    <t>HV  - běžné období</t>
  </si>
  <si>
    <t>2002</t>
  </si>
  <si>
    <t>Celkem kumulovaná ztráta</t>
  </si>
  <si>
    <t>2004</t>
  </si>
  <si>
    <t>Komentář: V porovnání s rokem 2003 došlo k poklesu pracovníků z 661,78 v roce 2003 na 629,03 v roce 2004. Největší pokles je v kategoriích  PZP (-15,86), NZP (-9), SZP (-7,45) a THP (-2,12). Důvodem tohoto poklesu je především odchod pečovatelské služby k 1.1.2004 a ZZS k 1.7.2004. Průměrný výdělek klesnul z  18282,- Kč v roce 2003 na 18263,- Kč v roce 2004.</t>
  </si>
  <si>
    <t xml:space="preserve">Komentář: V kategorii pohledávek z obchodního styku dochází v průběhu roku k nárůstu, který je způsoben zhoršením platební morálky VZP zejména v posledním čtvrtletí roku a nárůstem pohledávek po lhůtě splatnosti do 30 dnů. V kategorii závazků z obchodního styku dochází v zájmu udržení splatnosti faktur 40 dnů od jejich obdržení ke snížení. Kč. Obě tyto skutečností se projevují v poklesu finančního majetku o 18213 tis. Kč.
Nemocnice Pelhřimov neeviduje k 31.12. nesplacené investice.
</t>
  </si>
  <si>
    <t>Komentář: Nemocnice Pelhřimov dosáhla za rok 2004 zisku po zdanění ve výši 71040,- Kč. Z toho v hlavní činnosti byl dosažen zisk 980 tis. Kč a v doplňkové činnosti ztráta 909 tis. Kč. Tato ztráta byla způsobena zařazením činnosti prádelny do doplňkové po dobu od 1.1.2004 do 30.4 2004. Na tuto činnost nelze kvalifikovaně rozdělit náklady na praní prádla pro provoz nemocnice a náklady na praní prádla pro externí odběratele. Z tohoto důvodu byly náklady vedeny v kategorii doplňkové činnosti a jako výnosy doplňkové činnosti bylo možné vykázat pouze dodávky pro externí odběratele. V současné době je činnost praní prádla zařazena do hlavní činnosti.</t>
  </si>
  <si>
    <r>
      <t xml:space="preserve">4. </t>
    </r>
    <r>
      <rPr>
        <b/>
        <sz val="8"/>
        <rFont val="Arial CE"/>
        <family val="2"/>
      </rPr>
      <t>Informační tabule</t>
    </r>
    <r>
      <rPr>
        <sz val="8"/>
        <rFont val="Arial CE"/>
        <family val="2"/>
      </rPr>
      <t xml:space="preserve"> 
V nemocnici je zaveden systém jednotného venkovního i vnitřního značení a informačních tabulí, průběžně jsou ve stejném stylu doplňovány a měněny údaje dle změn v provozu.  
V čekárnách ambulantních provozů a na chodbách lůžkových oddělení jsou na vývěskách další vnitřní pokyny.
Nemocnice má vlastní webové stránky – www.hospital-pe.cz, tyto jsou průběžně aktualizovány, v druhé polovině roku začala přípravná fáze na změnu jejich grafiky i obsahu. 
</t>
    </r>
    <r>
      <rPr>
        <b/>
        <sz val="8"/>
        <rFont val="Arial CE"/>
        <family val="2"/>
      </rPr>
      <t>5. Informovanost zaměstnanců</t>
    </r>
    <r>
      <rPr>
        <sz val="8"/>
        <rFont val="Arial CE"/>
        <family val="2"/>
      </rPr>
      <t xml:space="preserve">
1x měsíčně probíhají porady širšího kolegia ředitele = porada všech primářů, vedoucích lékařů a vedoucích odborů, kde je podrobně projednávána ekonomika nemocnice, personální změny,  významnější provozní záležitosti, apod. Z jednání je pořizován zápis. Ten je jednak předáván k dispozici a další informaci všem vedoucím pracovníkům. Zároveň je prezentován na vnitřních intranetových stránkách nemocnice a ty jsou rovněž přístupny všem zaměstnancům. Stejným způsobem je zajišťována a prezentována porada vrchních sester.
Na intranetu jsou všechny vnitřní organizační směrnice a příkazy ředitele, odborné a organizační pokyny se širší působností, pokyny provozního charakteru, zákony a pokyny k dalšímu postupu ve vzdělávání zaměstnanců, atd. 
</t>
    </r>
  </si>
  <si>
    <t>Závěrem lze konstatovat, že proces ekonomické stabilizace v nemocnici byl úspěšně nastartován.</t>
  </si>
  <si>
    <t>VIII. Celkové vyhodnocení</t>
  </si>
  <si>
    <t>Komentář: počet lůžek v roce 2004 souhlasí s Hlášením o počtu lůžek k 31.12.2004 pro VZP, které bylo se zástupci VZP projednáno a odsouhlaseno</t>
  </si>
  <si>
    <t>Ztráta minulých let</t>
  </si>
  <si>
    <t>Komentář: viz. výše</t>
  </si>
  <si>
    <t>Komentář: snížení počtu pracovníků bylo dosaženo především outsourcingem úklidových služeb a v menší míře restrukturalizací činností; k úspoře mzdových nákladů pak došlo díky výše zmíněnému a dále díky odebrání osobních příplatků naprosté většině zaměstnanců</t>
  </si>
  <si>
    <t>Bilance pohledávek a závazků je patrná z výše uvedené tabulky. Tradičně dobře si vede Nemocnice Nové Město na Moravě a Pelhřimov, výrazně si polepšila Nemocnice Třebíč. Problematická se nadále jeví bilance u Nemocnice Hvlíčkův Brod, kde se sice v průbehu roku situace zlepšovala, závěr roku ovšem potvrdil setrvalý stav. U Jihlavy se v závěru roku projevilo oddlužení ve výši 15 mil. Kč, bohužel u této nemocnice dosahují poměrně vysoké hodnoty i pohledávky za odběrateli.</t>
  </si>
  <si>
    <t>V porovnání s rokem 2003 lze hodnotit oblast nákladů a výnosů kladně. Náklady za všechny nemocnice klesly oproti roku 2003 o 24.597 tis., výnosy vzrostly o 172.748. Výrazný posun ke kladnému hospodářskému výsledku zaznamenala především Nemocnice Jihlava.</t>
  </si>
  <si>
    <t>Vybrané náklady na lůžko (akutní péče, LDN, léčebna)</t>
  </si>
  <si>
    <t>Jiné</t>
  </si>
  <si>
    <t>Jiná dotace</t>
  </si>
  <si>
    <t>Z uvedených dotací tvoří  dotace z nájemného za movitý a nemovitý majetek celkem</t>
  </si>
  <si>
    <t>v Kč</t>
  </si>
  <si>
    <t xml:space="preserve">Komentář:    Vlivem účinného motivačního systému všech vedoucích i ostatních zaměstnanců  ( plat odráží kvalitu vykonané práce každého zaměstnance ) je  vývoj mzdových nákladů příznivý. Je prováděna analýza počtu zaměstnanců na jednotlivých odděleních. V </t>
  </si>
  <si>
    <t xml:space="preserve">Komentář:  V roce 2004 pokračoval nepříznivý vývoj bilance veřejného zdravotního pojištění. Disponibilní finanční prostředky pojišťoven nestačily krýt potřeby zdravotních zařízení, docházelo ke zpožďování plateb ze strany zdravotních pojišťoven, což zapříčinilo nárůst pohledávek za odběrateli. 
Pohledávky po splatnosti  ( do 30 dnů)  narostly ve srovnání let 2004 a 2003 o 11 122 tis. Kč, což představuje téměř trojnásobek objemu  roku 2003. Jedná se pouze o pohledávky od ZP, faktury za krev a v nepatrné výši faktury za léčení cizích státních příslušníků. 
Pozitivně je třeba hodnotit skutečnost, že přestože objem závazků nepatrně narostl, daří se platit závazky včas a finanční situace v organizaci je stabilní.  
</t>
  </si>
  <si>
    <t>Komentář: Hospodaření nemocnice odráží snahu všech zaměstnanců o udržení ekonomicky a finančně stabilní organizaci. Daří se zajišťovat soulad mezi náklady a výnosy, regulovat růst mzdových nákladů a s tím souvisejících nákladů na sociální a zdravotní pojištění, povinný příděl do FKSP.  Spotřeba materiálu je na úrovni loňského roku, nárůst nákladů na prodané zboží je kompenzován nárůstem tržeb za prodané zboží. Nárůst se projevuje v oblasti spotřeby energie, byly dokončeny rozpracované investiční akce a tím vzrostly odpisy majetku.</t>
  </si>
  <si>
    <t>Statutární zástupce</t>
  </si>
  <si>
    <t>Od</t>
  </si>
  <si>
    <t>Do</t>
  </si>
  <si>
    <t>Jmenování</t>
  </si>
  <si>
    <t xml:space="preserve">MUDr.Karel Přibyl  </t>
  </si>
  <si>
    <t xml:space="preserve">jmenován přednostou okresního úřadu na základě výběrového řízení </t>
  </si>
  <si>
    <t>Ing. Ladislav Med</t>
  </si>
  <si>
    <t>dočasně jmenován radou kraje do doby ukončení výběrového řízení na ředitele</t>
  </si>
  <si>
    <t>Ing. Josef Pejchl</t>
  </si>
  <si>
    <t>jmenován radou kraje na základě výsledků výběrového řízení</t>
  </si>
  <si>
    <t>Ing. Jaroslav Černý</t>
  </si>
  <si>
    <t>Ing. Pavel Hrala</t>
  </si>
  <si>
    <t>krizový manager, jmenován radou kraje</t>
  </si>
  <si>
    <t>MUDr. Jiří Madar</t>
  </si>
  <si>
    <t>Ing. Jaroslav Soukup</t>
  </si>
  <si>
    <t>Ing. Petr Mayer</t>
  </si>
  <si>
    <t>MUDr.Zdeněk Kadlec</t>
  </si>
  <si>
    <t xml:space="preserve">Statutární zástupce </t>
  </si>
  <si>
    <t>Celkem k 31.12.04</t>
  </si>
  <si>
    <t>Komentář:  Nemocnice Pelhřimov dosáhla za rok 2004 zisku po zdanění ve výši 71040,- Kč. Z toho v hlavní činnosti byl dosažen zisk 980 tis. Kč a v doplňkové činnosti ztráta 909 tis. Kč. Tato ztráta byla způsobena zařazením činnosti prádelny do doplňkové po dobu od 1.1.2004 do 30.4 2004. Na tuto činnost nelze kvalifikovaně rozdělit náklady na praní prádla pro provoz nemocnice a náklady na praní prádla pro externí odběratele. Z tohoto důvodu byly náklady vedeny v kategorii doplňkové činnosti a jako výnosy doplňkové činnosti bylo možné vykázat pouze dodávky pro externí odběratele. V současné době je činnost praní prádla zařazena do hlavní činnosti</t>
  </si>
  <si>
    <t xml:space="preserve">V porovnání s rokem 2003 bylo dosaženo nárůstu výnosů o 1122 tis. Kč, nákladů o 1453 tis. Kč. Dosažený zisk je v porovnání s rokem 2003 o 331 tis. Kč nižší.
V nákladových položkách v porovnání s rokem 2003 dochází k nárůstu spotřeby materiálových nákladů, zejména krve (705 tis.Kč), léčebných ortoped. a protetic. pomůcek (1.755 tis.Kč), obvazového materiálu (1.537 tis.Kč), ostatního SZM (890 tis.Kč) a drobného dlouhodobého majetku (1.257 tis.Kč). Nárůst obvazového materiálu a ostatního SZM je způsoben přechodem operačních sálů na jednorázové operační krytí a používání kvalitnějších šicích materiálů. Nárůst v kategorii DDHM je způsoben dovybavením pavilonu akutní medicíny (PAM). V porovnání s rokem 2003 je v roce 2004 odúčtováno o 1.274 tis.Kč nespotřebovaného materiálu na střediscích OKB, HTO, ONM a RTG více. 
</t>
  </si>
  <si>
    <t xml:space="preserve">Nárůst spotřeby energií souvisí s provozem PAMu. Nárůst nákladů na prodané zboží (3.999 tis.Kč) je způsoben vyšším počtem receptů realizovaných v lékárně. Nárůst v kategorii oprav a udržování (1.658 tis.Kč) je způsoben větší četností oprav v 1. pololetí 2004. U ostatních služeb je výsledný pokles (596 tis.Kč) způsoben kombinací vlivu nárůstu daně z přidané hodnoty u nakupovaných služeb a poklesem fakturace služeb od ČČK v důsledku odchodu ZZS od 1.7.2004. Pokles mzdových nákladů (8.098 tis.Kč) je způsoben částečně snížením počtu pracovníků a snížením 13tého platu. </t>
  </si>
  <si>
    <t>V oblasti výnosů dochází k mírnému poklesu tržeb z prodeje služeb (126 tis.Kč), který je způsoben odchodem pečovatelské služby (pokles úhrad placených pacienty o 865 tis.Kč) a částečně odchodem ZZS a z tohoto důvodu snížením plateb od zdravotních pojišťoven. V tržbách za prodané zboží je nárůst (4.233 tis.Kč) způsoben realizací většího počtu receptů v lékárně, menší vliv mají i tržby realizované v bufetech. Nárůst úroků (419 tis.Kč) je způsoben změnou metodiky účtování, kdy do této kategorie výnosů jsou zahrnovány i výnosy z finačních investic (termínované vklady).</t>
  </si>
  <si>
    <t>V roce 2003 položku ostatní výnosy ovlivnila platba náhrady škody od Atelieru „A1“ 4.197 tis.Kč. V roce 2004 tuto položku ovlivňuje platba náhrady škody od STATUS, a.s. ve výši 2.798 tis.Kč  a úhrada úroků z prodlení v souvislosti s náhradou škody od Atelieru A1 ve výši 575 tis.Kč. Oblast dotací v roce 2004 ovlivňuje odchod ZZS od 1.7.2004 a ponížení dotace o 7.500 tis.Kč a odchod pečovatelské služby od 1.1.2004. V roce 2004 bylo na oddlužení poskytnuto 12.700 tis.Kč a z investic na provoz použito 5.341 tis.Kč.</t>
  </si>
  <si>
    <t xml:space="preserve">Komentář: Výsledek hospodaření roku 2004 je ztráta 4 590 tis. Kč a bohužel se nepodařilo splnit plánovaný vyrovnaný hospodářský výsledek. V oblasti nákladů se v důsledku nárůstu vykázaných výkonů (112 % bodů) nepodařilo udržet spotřebu léků a SZM, která překročila skutečnost roku 2003 o 11 mil. Kč (6,5 mil. Kč za 1.pololetí a pouze 4,5 mil. Kč v 2.pololetí, což korelovalo se záměrem navýšení příjmů hlavně od VZP) a zároveň se projevilo v dohadných položkách. Do dohadných položek za rok 2004 byly zohledněny pouze výkony 2. pololetí 2004 a to dohadné účty aktivní ve výši 11,2 mil. Kč (nárůst v Kč vyjádřených unikátních rodných čísel vykázaných vůči VZP snížený o předpokládaný přeplatek za nové kapacity).
Náklady na spotřebované zboží překročily rozpočet (i skutečnost roku 2003) o 9 mil. Kč, ale ve stejné relaci došlo také k překročení rozpočtovaných výnosů z prodeje zboží. 
Provedli jsme po konzultaci s FÚ zaúčtování 18 mil. Kč do výnosů (úč. 649) dle výsledků kontroly NKÚ č. 04/13  (kontrolní zjištění č. 1) za dostavby, kdy pořízení drobného dlouhodobého majetku z dotace bylo zaúčtováno pouze do nákladů roku 2003, ale ne do výnosů. Tuto chybu jsme napravili v roce 2004 na základě písemného vyjádření NKÚ. </t>
  </si>
  <si>
    <t>Dotace 2004</t>
  </si>
  <si>
    <t xml:space="preserve">Dále považujeme za nezbytné upozornit na dodávku instrumentárií od firmy B Braun ve výši 10,2 mil. Kč. Dodávka proběhla v průběhu roku 2003, kdy formální problémy související s dodávkou a dodanými doklady vedly na konci roku 2003 k zaúčtování nevyfakturovaných dodávek (MD 501/ Dal 389) do nákladů nemocnice. Situace ohledně dodaných instrumentárií byla řešena na přelomu 2004 a 2005, kdy provedená dokladová a fyzická inventura prokázala hmotnou úplnost dodávky. S firmou v současné době vedeme jednání o snížení závazku z této zakázky o nenaplněný naturální rabat (software pro kontrolu nástrojů, jehož hodnota je předmětem dohadů). Proto dojde až nyní v roce 2005 k přeúčtování částky, která vyplyne z jednání do závazků z obchodního styku (z nevyfakturovaných dodávek) a tím ke zhoršení tohoto sledovaného ukazatele. </t>
  </si>
  <si>
    <t>Oblast</t>
  </si>
  <si>
    <t>Okamžitá krizová opatření</t>
  </si>
  <si>
    <t>Termín</t>
  </si>
  <si>
    <t>plnění</t>
  </si>
  <si>
    <t>Odpovídá</t>
  </si>
  <si>
    <t>Práce se zákazníky</t>
  </si>
  <si>
    <t>Začít budovat korektní a otevřené vztahy s klienty.</t>
  </si>
  <si>
    <t>Zvýšit počet hospitalizací a ambulantních vyšetření</t>
  </si>
  <si>
    <t>Nastavení systému  spolupráce s praktickými lékaři</t>
  </si>
  <si>
    <t>+</t>
  </si>
  <si>
    <t>NLP</t>
  </si>
  <si>
    <t>Ř,NLP,primáři</t>
  </si>
  <si>
    <t>Finanční řízení</t>
  </si>
  <si>
    <t>Zlepšení cash flow a poměru závazků a pohledávek</t>
  </si>
  <si>
    <t xml:space="preserve">Důsledné vykazování provedených výkonů </t>
  </si>
  <si>
    <t>Zavést řízení zdravotní péče dle úhrad ZP se stanovením jasných cílů pro dané období a oddělení</t>
  </si>
  <si>
    <t>Stanovit a důsledně vyžadovat dodržování limitů vybraných nákladových položek (především léky, zdravotní materiál,osobní náklady).</t>
  </si>
  <si>
    <t>Ř,EN</t>
  </si>
  <si>
    <t>NLP,primáři</t>
  </si>
  <si>
    <t>Ř,EN,NLP</t>
  </si>
  <si>
    <t>Kvalita procesů</t>
  </si>
  <si>
    <t>Projektové řízení</t>
  </si>
  <si>
    <t>Identifikovat a popsat procesy</t>
  </si>
  <si>
    <t>Zefektivnění využití kapacit všech podpůrných procesů včetně komplementu v síti nemocnic (prádelna, stravování, doprava,administrativa).</t>
  </si>
  <si>
    <t>-</t>
  </si>
  <si>
    <t>Ř, NQM</t>
  </si>
  <si>
    <t>Ř, EN, PTN</t>
  </si>
  <si>
    <t>Lidské zdroje, chování, vzdělávání věda</t>
  </si>
  <si>
    <t>Ř,NQM</t>
  </si>
  <si>
    <t>NQM</t>
  </si>
  <si>
    <t>Ř</t>
  </si>
  <si>
    <t xml:space="preserve">Nový management se po nástupu v druhém pololetí strategicky zaměřil dle plánu hlavně na tyto oblasti.:
- navýšení příjmů od ZP při udržení nákladů, zvýšení příjmů z placených služeb
- omezení investic pouze na havarijní stavy
- restrukturalizace a zefektivnění provozů nemocnice
- optimalizace počtu pracovníků spolu se systemizací k 1.1.2005 (efekty od 3/05)
- zlepšení cash flow
- snižování závazků po splatnosti a zlepšení poměru závazků a pohledávek.
Postupovali jsme přesně v duchu plánované vize a strategie na druhé pololetí roku 2004
</t>
  </si>
  <si>
    <t>Centralizovat a důsledně řídit proces nákupu (zejména léků,SZM,pozitivní listy a jejich optimalizace, výběrová řízení na dodavatele)</t>
  </si>
  <si>
    <t>Nová organizační struktura ve vazbě na procesy     s kompetencemi a pravomocemi</t>
  </si>
  <si>
    <t>Nastavení podmínek vnitřní komunikace</t>
  </si>
  <si>
    <t>Stanovené cíle a úkoly provázat s odměňováním odpovědných pracovníků, hodnotit jejich plnění</t>
  </si>
  <si>
    <t xml:space="preserve">Z plánovaných úkolů nebyla provedena pouze výběrová řízení na dodavatele, jelikož by při stávající platební neschopnosti neměla smysl a nevedla by ke snížení nákladů. Pozitivní listy budou spuštěny od 1.4.2005. Nová organizační struktura včetně systemizace, kompetencí a pravomocí bude zaslána do konce února i ve vazbě na zákon o finanční kontrole.
Byl zahájen proces vedoucí k zavedení systému řízení kvality, jehož průběžným výsledkem jsou výstupy z projektových týmů zavedené od l.l.2005 (optimalizace sálů, sterilizace, centrální dispečink sanitářů), které by měly přinést v roce 2005 snížení nákladů o 7 mil. Kč.
</t>
  </si>
  <si>
    <t>Součástí Nemocnice Třebíč je Léčebna dlouhodobě nemocných Moravské Budějovice - 100 lůžek. Do 31.12.2004 byla součástí nemocnice psychiatrie v Jemnici - 50 lůžek</t>
  </si>
  <si>
    <t>U nemocnic je patrné snížení osobních nákladů a to jak kumulovaně, tak i v přepočtu na lůžko. Materiálové náklady na lůžko klesly výrazně u Nemocnice Jihlava, pokles je zaznamenán i u Nového Města. Naopak vzrostly u Nemocnice Pelhřimov stejne jako náklady na energii. Důsledkem je uvedení do provozu nového pavilonu akutní medicíny a centrálních operačních sálů.  Poměrně výrazný je nárůst odpisů v důsledku investičních akcí v roce 2003 a 2004. Nájemní smlouvy, ve kterých bylo stanoveno roční nájemné za movitý i nemovitý majetek, nebyly dosud aktualizovány, nadále odzrkadlují stav ročních odpisů ke dni převodu do vlastnictví kraje. O každém novém dlouhodobém majetku účtuje nemocnice  ve svém účetnictví, takže odpisy ročně vzrůstají. V této souvislosti je ke zvážení možnost aktualizace nájemných smluv v souladu s nově nabytým a zároveň vyřazeným majetkem. Nízké odpisy u Pelhřimova jsou dány ponížením nakrytého investičního fondu o část odpisů ve výši 1.200 tis. běžného účetního období. Při porovnání by hodnota odpisů byla 1.840 tis. Kč.</t>
  </si>
  <si>
    <t xml:space="preserve">Komentář: Pozitivně se v ukazatelích závazků po lhůtě splatnosti projevila dotace na oddlužení ve výši 15 mil. Kč od kraje Vysočina, ze které byly splaceny nejstarší závazky a ve srovnání se stavem k 31.12.2003 došlo ke snížení o 10,8 mil. Kč. Na druhé straně došlo hlavně díky prohlubující se krizi v platební schopnosti VZP k meziročnímu nárůstu pohledávek za odběrateli o 35 mil. Kč, z toho pohledávky po lhůtě splatnosti meziročně vzrostly o 13 mil. Kč. Negativně ukazatele ovlivnila platební neschopnost VZP ke konci roku, která nemocnici  k 31.12.2004 dlužila po splatnosti částku 38,8 mil. Kč (celkem 99,5 mil. Kč), kdy mohlo dojít k dalšímu zlepšení ukazatelů.
Nedodržení rozpočtovaných výnosů od ZP bylo způsobeno především snížením zálohových plateb od VZP ve 2. pololetí 2004 o 12 mil. Kč proti zálohám v 1. pololetí 2004 i rozpočtu. Důvodem byl pokles vykázaných výkonů (směnný provoz) ve 2. pololetí 2003, které bylo referenčním obdobím. Dále se snížením výnosů roku 2004 projevila srážka od VZP ve výši 7,5 mil. Kč z vyúčtování přeplatku za nové kapacity ve 2. pololetí 2003.
</t>
  </si>
  <si>
    <t xml:space="preserve">Komentář: 1. Lůžkový fond:  v prosinci byl proveden audit všech lůžek, na základě tohoto auditu byla zaslána žádost na VZP o přehodnocení stávajícího lůžkového fondu a akceptování nového, reálného dle skutečnosti.
2. LDN: s platností od 1.7.2004 byla otevřena nová stanice LDN Třebíč o 21 lůžkách, přičemž 11 lůžek bylo převedeno z LDN Moravské Budějovice, zbylých 10 bylo již v minulosti nasmlouváno, avšak neprovozováno.
3. Urologie + chirurgie II: díky dlouhodobé vysoké ztrátovosti urologického oddělení došlo v měsíci červnu při zachování primariátu k převedení 12 urologických lůžek na chirurgii II (o tento počet lůžek došlo k uzavření chirurgických lůžek) a 6 lůžek na gynekologii. Efektem bylo dílčí snížení ztráty urologického oddělení za 2. pololetí roku.
4. Psychiatrické oddělení v Jemnici: v průběhu roku 2004 proběhlo mnoho jednání ohledně tohoto oddělení. Na základě těchto jednání a analýz hospodaření došlo k 31.12.2004 u ukončení jeho činnosti v počtu 50 lůžek.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</si>
</sst>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
    <numFmt numFmtId="167" formatCode="00000"/>
    <numFmt numFmtId="168" formatCode="&quot;Yes&quot;;&quot;Yes&quot;;&quot;No&quot;"/>
    <numFmt numFmtId="169" formatCode="&quot;True&quot;;&quot;True&quot;;&quot;False&quot;"/>
    <numFmt numFmtId="170" formatCode="&quot;On&quot;;&quot;On&quot;;&quot;Off&quot;"/>
  </numFmts>
  <fonts count="44">
    <font>
      <sz val="10"/>
      <name val="Arial CE"/>
      <family val="0"/>
    </font>
    <font>
      <b/>
      <sz val="12"/>
      <name val="Arial CE"/>
      <family val="2"/>
    </font>
    <font>
      <b/>
      <sz val="10"/>
      <name val="Arial CE"/>
      <family val="2"/>
    </font>
    <font>
      <b/>
      <sz val="8"/>
      <name val="Arial CE"/>
      <family val="2"/>
    </font>
    <font>
      <sz val="8"/>
      <name val="Arial CE"/>
      <family val="2"/>
    </font>
    <font>
      <b/>
      <sz val="8"/>
      <color indexed="10"/>
      <name val="Arial CE"/>
      <family val="2"/>
    </font>
    <font>
      <b/>
      <sz val="10"/>
      <color indexed="10"/>
      <name val="Arial CE"/>
      <family val="2"/>
    </font>
    <font>
      <sz val="7"/>
      <name val="Arial CE"/>
      <family val="2"/>
    </font>
    <font>
      <b/>
      <sz val="6"/>
      <name val="Arial CE"/>
      <family val="2"/>
    </font>
    <font>
      <sz val="12"/>
      <name val="Arial CE"/>
      <family val="0"/>
    </font>
    <font>
      <b/>
      <sz val="14"/>
      <name val="Arial CE"/>
      <family val="2"/>
    </font>
    <font>
      <sz val="8"/>
      <color indexed="10"/>
      <name val="Arial CE"/>
      <family val="2"/>
    </font>
    <font>
      <b/>
      <sz val="7"/>
      <name val="Arial CE"/>
      <family val="2"/>
    </font>
    <font>
      <b/>
      <sz val="8"/>
      <name val="Times New Roman"/>
      <family val="1"/>
    </font>
    <font>
      <b/>
      <sz val="7.25"/>
      <name val="Arial CE"/>
      <family val="2"/>
    </font>
    <font>
      <b/>
      <sz val="9.5"/>
      <name val="Arial CE"/>
      <family val="2"/>
    </font>
    <font>
      <b/>
      <sz val="8"/>
      <name val="Times New Roman CE"/>
      <family val="1"/>
    </font>
    <font>
      <b/>
      <sz val="7"/>
      <name val="Times New Roman"/>
      <family val="1"/>
    </font>
    <font>
      <u val="single"/>
      <sz val="10"/>
      <color indexed="12"/>
      <name val="Arial CE"/>
      <family val="0"/>
    </font>
    <font>
      <u val="single"/>
      <sz val="10"/>
      <color indexed="36"/>
      <name val="Arial CE"/>
      <family val="0"/>
    </font>
    <font>
      <b/>
      <sz val="9.25"/>
      <name val="Arial CE"/>
      <family val="2"/>
    </font>
    <font>
      <sz val="11.5"/>
      <name val="Arial CE"/>
      <family val="0"/>
    </font>
    <font>
      <sz val="11"/>
      <name val="Arial CE"/>
      <family val="0"/>
    </font>
    <font>
      <b/>
      <sz val="6.5"/>
      <name val="Arial CE"/>
      <family val="2"/>
    </font>
    <font>
      <b/>
      <sz val="8.75"/>
      <name val="Arial CE"/>
      <family val="2"/>
    </font>
    <font>
      <b/>
      <sz val="6.75"/>
      <name val="Arial CE"/>
      <family val="2"/>
    </font>
    <font>
      <b/>
      <sz val="9.75"/>
      <name val="Arial CE"/>
      <family val="2"/>
    </font>
    <font>
      <sz val="11.25"/>
      <name val="Arial CE"/>
      <family val="0"/>
    </font>
    <font>
      <sz val="11.75"/>
      <name val="Arial CE"/>
      <family val="0"/>
    </font>
    <font>
      <b/>
      <sz val="6.25"/>
      <name val="Arial CE"/>
      <family val="2"/>
    </font>
    <font>
      <b/>
      <sz val="5.25"/>
      <name val="Arial CE"/>
      <family val="2"/>
    </font>
    <font>
      <sz val="10.75"/>
      <name val="Arial CE"/>
      <family val="0"/>
    </font>
    <font>
      <b/>
      <sz val="5.5"/>
      <name val="Arial CE"/>
      <family val="2"/>
    </font>
    <font>
      <sz val="6"/>
      <name val="Arial CE"/>
      <family val="2"/>
    </font>
    <font>
      <b/>
      <sz val="12"/>
      <name val="Times New Roman"/>
      <family val="1"/>
    </font>
    <font>
      <b/>
      <sz val="10"/>
      <name val="Times New Roman"/>
      <family val="1"/>
    </font>
    <font>
      <sz val="9"/>
      <name val="Arial"/>
      <family val="2"/>
    </font>
    <font>
      <sz val="9"/>
      <name val="Times New Roman"/>
      <family val="1"/>
    </font>
    <font>
      <b/>
      <sz val="8"/>
      <name val="Arial"/>
      <family val="2"/>
    </font>
    <font>
      <sz val="8"/>
      <name val="Arial"/>
      <family val="2"/>
    </font>
    <font>
      <sz val="8"/>
      <name val="Times New Roman"/>
      <family val="1"/>
    </font>
    <font>
      <sz val="10.5"/>
      <name val="Arial CE"/>
      <family val="0"/>
    </font>
    <font>
      <sz val="9.75"/>
      <name val="Arial CE"/>
      <family val="0"/>
    </font>
    <font>
      <b/>
      <sz val="8.5"/>
      <name val="Arial CE"/>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7"/>
        <bgColor indexed="64"/>
      </patternFill>
    </fill>
  </fills>
  <borders count="80">
    <border>
      <left/>
      <right/>
      <top/>
      <bottom/>
      <diagonal/>
    </border>
    <border>
      <left style="thin"/>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medium"/>
      <right style="medium"/>
      <top style="thin"/>
      <bottom style="thin"/>
    </border>
    <border>
      <left style="thin"/>
      <right style="medium"/>
      <top style="thin"/>
      <bottom>
        <color indexed="63"/>
      </bottom>
    </border>
    <border>
      <left style="medium"/>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medium"/>
      <right style="medium"/>
      <top style="thin"/>
      <bottom>
        <color indexed="63"/>
      </bottom>
    </border>
    <border>
      <left style="medium"/>
      <right style="medium"/>
      <top>
        <color indexed="63"/>
      </top>
      <bottom style="medium"/>
    </border>
    <border>
      <left>
        <color indexed="63"/>
      </left>
      <right style="thin"/>
      <top>
        <color indexed="63"/>
      </top>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medium"/>
      <right style="thin"/>
      <top>
        <color indexed="63"/>
      </top>
      <bottom style="medium"/>
    </border>
    <border>
      <left style="thin"/>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style="medium"/>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style="medium"/>
      <right>
        <color indexed="63"/>
      </right>
      <top style="medium"/>
      <bottom style="thin"/>
    </border>
    <border>
      <left>
        <color indexed="63"/>
      </left>
      <right style="medium"/>
      <top style="medium"/>
      <bottom style="medium"/>
    </border>
    <border>
      <left>
        <color indexed="63"/>
      </left>
      <right>
        <color indexed="63"/>
      </right>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1193">
    <xf numFmtId="0" fontId="0" fillId="0" borderId="0" xfId="0" applyAlignment="1">
      <alignment/>
    </xf>
    <xf numFmtId="0" fontId="3" fillId="2" borderId="1" xfId="0" applyFont="1" applyFill="1" applyBorder="1" applyAlignment="1">
      <alignment horizontal="center" vertical="center" wrapText="1"/>
    </xf>
    <xf numFmtId="3" fontId="3" fillId="0" borderId="2" xfId="0" applyNumberFormat="1" applyFont="1" applyBorder="1" applyAlignment="1">
      <alignment vertical="center"/>
    </xf>
    <xf numFmtId="3" fontId="3" fillId="0" borderId="3" xfId="0" applyNumberFormat="1" applyFont="1" applyBorder="1" applyAlignment="1">
      <alignment vertical="center"/>
    </xf>
    <xf numFmtId="3" fontId="3" fillId="0" borderId="4" xfId="0" applyNumberFormat="1" applyFont="1" applyBorder="1" applyAlignment="1">
      <alignment vertical="center"/>
    </xf>
    <xf numFmtId="3" fontId="3" fillId="0" borderId="5" xfId="0" applyNumberFormat="1" applyFont="1" applyBorder="1" applyAlignment="1">
      <alignment vertical="center"/>
    </xf>
    <xf numFmtId="3"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3" fontId="3" fillId="0" borderId="9" xfId="0" applyNumberFormat="1" applyFont="1" applyBorder="1" applyAlignment="1">
      <alignment vertical="center"/>
    </xf>
    <xf numFmtId="0" fontId="3" fillId="2" borderId="10" xfId="0" applyFont="1" applyFill="1" applyBorder="1" applyAlignment="1">
      <alignment horizontal="center" vertical="center" wrapText="1"/>
    </xf>
    <xf numFmtId="3" fontId="3" fillId="0" borderId="11" xfId="0" applyNumberFormat="1" applyFont="1" applyBorder="1" applyAlignment="1">
      <alignment vertical="center"/>
    </xf>
    <xf numFmtId="3" fontId="3" fillId="0" borderId="12" xfId="0" applyNumberFormat="1" applyFont="1" applyBorder="1" applyAlignment="1">
      <alignment vertical="center"/>
    </xf>
    <xf numFmtId="3" fontId="3" fillId="0" borderId="13" xfId="0" applyNumberFormat="1" applyFont="1" applyBorder="1" applyAlignment="1">
      <alignment vertical="center"/>
    </xf>
    <xf numFmtId="3" fontId="3" fillId="0" borderId="14" xfId="0" applyNumberFormat="1" applyFont="1" applyBorder="1" applyAlignment="1">
      <alignment vertical="center"/>
    </xf>
    <xf numFmtId="3" fontId="4" fillId="0" borderId="14" xfId="0" applyNumberFormat="1" applyFont="1" applyBorder="1" applyAlignment="1">
      <alignment vertical="center"/>
    </xf>
    <xf numFmtId="3" fontId="4" fillId="0" borderId="5" xfId="0" applyNumberFormat="1" applyFont="1" applyBorder="1" applyAlignment="1">
      <alignment vertical="center"/>
    </xf>
    <xf numFmtId="3" fontId="4" fillId="0" borderId="7" xfId="0" applyNumberFormat="1" applyFont="1" applyBorder="1" applyAlignment="1">
      <alignment vertical="center"/>
    </xf>
    <xf numFmtId="3" fontId="4" fillId="0" borderId="15" xfId="0" applyNumberFormat="1" applyFont="1" applyBorder="1" applyAlignment="1">
      <alignment vertical="center"/>
    </xf>
    <xf numFmtId="3" fontId="4" fillId="0" borderId="16" xfId="0" applyNumberFormat="1" applyFont="1" applyBorder="1" applyAlignment="1">
      <alignment vertical="center"/>
    </xf>
    <xf numFmtId="3" fontId="4" fillId="0" borderId="17" xfId="0" applyNumberFormat="1" applyFont="1" applyBorder="1" applyAlignment="1">
      <alignment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4" fillId="0" borderId="20" xfId="0" applyFont="1" applyBorder="1" applyAlignment="1">
      <alignment vertical="center"/>
    </xf>
    <xf numFmtId="3" fontId="3" fillId="0" borderId="21" xfId="0" applyNumberFormat="1" applyFont="1" applyBorder="1" applyAlignment="1">
      <alignment vertical="center"/>
    </xf>
    <xf numFmtId="3" fontId="3" fillId="0" borderId="22" xfId="0" applyNumberFormat="1" applyFont="1" applyBorder="1" applyAlignment="1">
      <alignment vertical="center"/>
    </xf>
    <xf numFmtId="0" fontId="4" fillId="0" borderId="16" xfId="0" applyFont="1" applyBorder="1" applyAlignment="1">
      <alignment vertical="center"/>
    </xf>
    <xf numFmtId="3" fontId="3" fillId="0" borderId="23" xfId="0" applyNumberFormat="1" applyFont="1" applyBorder="1" applyAlignment="1">
      <alignment vertical="center"/>
    </xf>
    <xf numFmtId="3" fontId="5" fillId="2" borderId="19" xfId="0" applyNumberFormat="1" applyFont="1" applyFill="1" applyBorder="1" applyAlignment="1">
      <alignment vertical="center"/>
    </xf>
    <xf numFmtId="0" fontId="1" fillId="0" borderId="0" xfId="0" applyFont="1" applyAlignment="1">
      <alignment/>
    </xf>
    <xf numFmtId="3" fontId="3" fillId="0" borderId="24" xfId="0" applyNumberFormat="1" applyFont="1" applyBorder="1" applyAlignment="1">
      <alignment vertical="center"/>
    </xf>
    <xf numFmtId="3" fontId="3" fillId="0" borderId="25" xfId="0" applyNumberFormat="1" applyFont="1" applyBorder="1" applyAlignment="1">
      <alignment vertical="center"/>
    </xf>
    <xf numFmtId="0" fontId="4" fillId="0" borderId="0" xfId="0" applyFont="1" applyAlignment="1">
      <alignment horizontal="right"/>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xf>
    <xf numFmtId="49" fontId="3" fillId="2" borderId="26"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0" fontId="0" fillId="0" borderId="0" xfId="0" applyAlignment="1">
      <alignment vertical="center"/>
    </xf>
    <xf numFmtId="3" fontId="3" fillId="0" borderId="28" xfId="0" applyNumberFormat="1" applyFont="1" applyBorder="1" applyAlignment="1">
      <alignment vertical="center"/>
    </xf>
    <xf numFmtId="3" fontId="3" fillId="0" borderId="29" xfId="0" applyNumberFormat="1" applyFont="1" applyBorder="1" applyAlignment="1">
      <alignment vertical="center"/>
    </xf>
    <xf numFmtId="3" fontId="3" fillId="0" borderId="30" xfId="0" applyNumberFormat="1" applyFont="1" applyBorder="1" applyAlignment="1">
      <alignment vertical="center"/>
    </xf>
    <xf numFmtId="3" fontId="3" fillId="0" borderId="17" xfId="0" applyNumberFormat="1" applyFont="1" applyBorder="1" applyAlignment="1">
      <alignment vertical="center"/>
    </xf>
    <xf numFmtId="3" fontId="3" fillId="0" borderId="31" xfId="0" applyNumberFormat="1" applyFont="1" applyBorder="1" applyAlignment="1">
      <alignment vertical="center"/>
    </xf>
    <xf numFmtId="3" fontId="3" fillId="0" borderId="27" xfId="0" applyNumberFormat="1" applyFont="1" applyBorder="1" applyAlignment="1">
      <alignment vertical="center"/>
    </xf>
    <xf numFmtId="3" fontId="3" fillId="0" borderId="32" xfId="0" applyNumberFormat="1" applyFont="1" applyBorder="1" applyAlignment="1">
      <alignment vertical="center"/>
    </xf>
    <xf numFmtId="3" fontId="3" fillId="0" borderId="33" xfId="0" applyNumberFormat="1" applyFont="1" applyBorder="1" applyAlignment="1">
      <alignment vertical="center"/>
    </xf>
    <xf numFmtId="3" fontId="3" fillId="0" borderId="2" xfId="0" applyNumberFormat="1" applyFont="1" applyFill="1" applyBorder="1" applyAlignment="1">
      <alignment vertical="center"/>
    </xf>
    <xf numFmtId="3" fontId="3" fillId="0" borderId="4" xfId="0" applyNumberFormat="1" applyFont="1" applyFill="1" applyBorder="1" applyAlignment="1">
      <alignment vertical="center"/>
    </xf>
    <xf numFmtId="3" fontId="3" fillId="0" borderId="8" xfId="0" applyNumberFormat="1" applyFont="1" applyFill="1" applyBorder="1" applyAlignment="1">
      <alignment vertical="center"/>
    </xf>
    <xf numFmtId="3" fontId="3" fillId="2" borderId="34" xfId="0" applyNumberFormat="1" applyFont="1" applyFill="1" applyBorder="1" applyAlignment="1">
      <alignment vertical="center"/>
    </xf>
    <xf numFmtId="3" fontId="5" fillId="2" borderId="35" xfId="0" applyNumberFormat="1" applyFont="1" applyFill="1" applyBorder="1" applyAlignment="1">
      <alignment vertical="center"/>
    </xf>
    <xf numFmtId="14" fontId="3" fillId="0" borderId="15" xfId="0" applyNumberFormat="1" applyFont="1" applyFill="1" applyBorder="1" applyAlignment="1">
      <alignment horizontal="center" vertical="center"/>
    </xf>
    <xf numFmtId="3" fontId="3" fillId="0" borderId="36" xfId="0" applyNumberFormat="1" applyFont="1" applyFill="1" applyBorder="1" applyAlignment="1">
      <alignment vertical="center"/>
    </xf>
    <xf numFmtId="14" fontId="3" fillId="0" borderId="16" xfId="0" applyNumberFormat="1" applyFont="1" applyFill="1" applyBorder="1" applyAlignment="1">
      <alignment horizontal="center" vertical="center"/>
    </xf>
    <xf numFmtId="3" fontId="3" fillId="0" borderId="32" xfId="0" applyNumberFormat="1" applyFont="1" applyFill="1" applyBorder="1" applyAlignment="1">
      <alignment vertical="center"/>
    </xf>
    <xf numFmtId="14" fontId="3" fillId="0" borderId="37" xfId="0" applyNumberFormat="1" applyFont="1" applyFill="1" applyBorder="1" applyAlignment="1">
      <alignment horizontal="center" vertical="center"/>
    </xf>
    <xf numFmtId="3" fontId="3" fillId="0" borderId="28" xfId="0" applyNumberFormat="1" applyFont="1" applyFill="1" applyBorder="1" applyAlignment="1">
      <alignment vertical="center"/>
    </xf>
    <xf numFmtId="14" fontId="3" fillId="0" borderId="38" xfId="0" applyNumberFormat="1" applyFont="1" applyFill="1" applyBorder="1" applyAlignment="1">
      <alignment horizontal="center" vertical="center"/>
    </xf>
    <xf numFmtId="3" fontId="3" fillId="0" borderId="39"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23" xfId="0" applyNumberFormat="1" applyFont="1" applyFill="1" applyBorder="1" applyAlignment="1">
      <alignment vertical="center"/>
    </xf>
    <xf numFmtId="3" fontId="3" fillId="2" borderId="40" xfId="0" applyNumberFormat="1" applyFont="1" applyFill="1" applyBorder="1" applyAlignment="1">
      <alignment vertical="center"/>
    </xf>
    <xf numFmtId="14" fontId="3" fillId="2" borderId="41" xfId="0" applyNumberFormat="1" applyFont="1" applyFill="1" applyBorder="1" applyAlignment="1">
      <alignment horizontal="center" vertical="center"/>
    </xf>
    <xf numFmtId="14" fontId="3" fillId="0" borderId="42" xfId="0" applyNumberFormat="1" applyFont="1" applyFill="1" applyBorder="1" applyAlignment="1">
      <alignment horizontal="center" vertical="center"/>
    </xf>
    <xf numFmtId="14" fontId="3" fillId="0" borderId="43" xfId="0" applyNumberFormat="1" applyFont="1" applyFill="1" applyBorder="1" applyAlignment="1">
      <alignment horizontal="center" vertical="center"/>
    </xf>
    <xf numFmtId="14" fontId="3" fillId="0" borderId="44"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xf>
    <xf numFmtId="3" fontId="3" fillId="2" borderId="45"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5" xfId="0" applyNumberFormat="1" applyFont="1" applyFill="1" applyBorder="1" applyAlignment="1">
      <alignment vertical="center"/>
    </xf>
    <xf numFmtId="3" fontId="3" fillId="0" borderId="30" xfId="0" applyNumberFormat="1" applyFont="1" applyFill="1" applyBorder="1" applyAlignment="1">
      <alignment vertical="center"/>
    </xf>
    <xf numFmtId="3" fontId="3" fillId="0" borderId="46" xfId="0" applyNumberFormat="1" applyFont="1" applyFill="1" applyBorder="1" applyAlignment="1">
      <alignment vertical="center"/>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0" xfId="0" applyBorder="1" applyAlignment="1">
      <alignment vertical="top"/>
    </xf>
    <xf numFmtId="14" fontId="3" fillId="0" borderId="0" xfId="0" applyNumberFormat="1" applyFont="1" applyFill="1" applyBorder="1" applyAlignment="1">
      <alignment horizontal="center"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0" fontId="3" fillId="2" borderId="29" xfId="0" applyFont="1" applyFill="1" applyBorder="1" applyAlignment="1">
      <alignment horizontal="center" vertical="center" wrapText="1"/>
    </xf>
    <xf numFmtId="0" fontId="3" fillId="2" borderId="47" xfId="0" applyFont="1" applyFill="1" applyBorder="1" applyAlignment="1">
      <alignment horizontal="center" vertical="center" wrapText="1"/>
    </xf>
    <xf numFmtId="3" fontId="3" fillId="0" borderId="48" xfId="0" applyNumberFormat="1" applyFont="1" applyBorder="1" applyAlignment="1">
      <alignment vertical="center"/>
    </xf>
    <xf numFmtId="3" fontId="3" fillId="0" borderId="49" xfId="0" applyNumberFormat="1" applyFont="1" applyBorder="1" applyAlignment="1">
      <alignment vertical="center"/>
    </xf>
    <xf numFmtId="3" fontId="3" fillId="0" borderId="50" xfId="0" applyNumberFormat="1" applyFont="1" applyBorder="1" applyAlignment="1">
      <alignment vertical="center"/>
    </xf>
    <xf numFmtId="3" fontId="3" fillId="0" borderId="47" xfId="0" applyNumberFormat="1" applyFont="1" applyBorder="1" applyAlignment="1">
      <alignment vertical="center"/>
    </xf>
    <xf numFmtId="0" fontId="3" fillId="2" borderId="39" xfId="0" applyFont="1" applyFill="1" applyBorder="1" applyAlignment="1">
      <alignment horizontal="center" vertical="center" wrapText="1"/>
    </xf>
    <xf numFmtId="3" fontId="3" fillId="0" borderId="51" xfId="0" applyNumberFormat="1" applyFont="1" applyBorder="1" applyAlignment="1">
      <alignment vertical="center"/>
    </xf>
    <xf numFmtId="3" fontId="3" fillId="0" borderId="36" xfId="0" applyNumberFormat="1" applyFont="1" applyBorder="1" applyAlignment="1">
      <alignment vertical="center"/>
    </xf>
    <xf numFmtId="0" fontId="3" fillId="2" borderId="25" xfId="0" applyFont="1" applyFill="1" applyBorder="1" applyAlignment="1">
      <alignment horizontal="center" vertical="center" wrapText="1"/>
    </xf>
    <xf numFmtId="0" fontId="3" fillId="2" borderId="7" xfId="0" applyFont="1" applyFill="1" applyBorder="1" applyAlignment="1">
      <alignment horizontal="center" vertical="center" wrapText="1"/>
    </xf>
    <xf numFmtId="3" fontId="3" fillId="0" borderId="52" xfId="0" applyNumberFormat="1" applyFont="1" applyBorder="1" applyAlignment="1">
      <alignment vertical="center"/>
    </xf>
    <xf numFmtId="3" fontId="3" fillId="2" borderId="41" xfId="0" applyNumberFormat="1" applyFont="1" applyFill="1" applyBorder="1" applyAlignment="1">
      <alignment vertical="center"/>
    </xf>
    <xf numFmtId="3" fontId="3" fillId="0" borderId="7" xfId="0" applyNumberFormat="1" applyFont="1" applyFill="1" applyBorder="1" applyAlignment="1">
      <alignment vertical="center"/>
    </xf>
    <xf numFmtId="0" fontId="3" fillId="2" borderId="35" xfId="0" applyFont="1" applyFill="1" applyBorder="1" applyAlignment="1">
      <alignment horizontal="center" vertical="center" wrapText="1"/>
    </xf>
    <xf numFmtId="0" fontId="1" fillId="0" borderId="0" xfId="0" applyFont="1" applyBorder="1" applyAlignment="1">
      <alignment/>
    </xf>
    <xf numFmtId="3" fontId="4" fillId="0" borderId="3" xfId="0" applyNumberFormat="1" applyFont="1" applyBorder="1" applyAlignment="1">
      <alignment vertical="center"/>
    </xf>
    <xf numFmtId="0" fontId="4" fillId="0" borderId="0" xfId="0" applyFont="1" applyBorder="1" applyAlignment="1">
      <alignment/>
    </xf>
    <xf numFmtId="3" fontId="3" fillId="2" borderId="25" xfId="0" applyNumberFormat="1" applyFont="1" applyFill="1" applyBorder="1" applyAlignment="1">
      <alignment vertical="center"/>
    </xf>
    <xf numFmtId="3" fontId="3" fillId="2" borderId="6" xfId="0" applyNumberFormat="1" applyFont="1" applyFill="1" applyBorder="1" applyAlignment="1">
      <alignment vertical="center"/>
    </xf>
    <xf numFmtId="3" fontId="3" fillId="2" borderId="46" xfId="0" applyNumberFormat="1" applyFont="1" applyFill="1" applyBorder="1" applyAlignment="1">
      <alignment vertical="center"/>
    </xf>
    <xf numFmtId="3" fontId="3" fillId="2" borderId="1" xfId="0" applyNumberFormat="1" applyFont="1" applyFill="1" applyBorder="1" applyAlignment="1">
      <alignment vertical="center"/>
    </xf>
    <xf numFmtId="0" fontId="3" fillId="2" borderId="19"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3" fillId="2" borderId="53" xfId="0" applyNumberFormat="1" applyFont="1" applyFill="1" applyBorder="1" applyAlignment="1">
      <alignment vertical="center"/>
    </xf>
    <xf numFmtId="14" fontId="3" fillId="2" borderId="54" xfId="0" applyNumberFormat="1" applyFont="1" applyFill="1" applyBorder="1" applyAlignment="1">
      <alignment horizontal="center" vertical="center"/>
    </xf>
    <xf numFmtId="3" fontId="5" fillId="0" borderId="3" xfId="0" applyNumberFormat="1" applyFont="1" applyFill="1" applyBorder="1" applyAlignment="1">
      <alignment horizontal="right" vertical="center" wrapText="1"/>
    </xf>
    <xf numFmtId="3" fontId="5" fillId="0" borderId="19" xfId="0" applyNumberFormat="1" applyFont="1" applyFill="1" applyBorder="1" applyAlignment="1">
      <alignment horizontal="right" vertical="center" wrapText="1"/>
    </xf>
    <xf numFmtId="3" fontId="5" fillId="2" borderId="35" xfId="0" applyNumberFormat="1" applyFont="1" applyFill="1" applyBorder="1" applyAlignment="1">
      <alignment horizontal="right" wrapText="1"/>
    </xf>
    <xf numFmtId="3" fontId="5" fillId="0" borderId="3" xfId="0" applyNumberFormat="1" applyFont="1" applyFill="1" applyBorder="1" applyAlignment="1">
      <alignment vertical="center"/>
    </xf>
    <xf numFmtId="3" fontId="5" fillId="0" borderId="5" xfId="0" applyNumberFormat="1" applyFont="1" applyFill="1" applyBorder="1" applyAlignment="1">
      <alignment vertical="center"/>
    </xf>
    <xf numFmtId="3" fontId="5" fillId="0" borderId="7" xfId="0" applyNumberFormat="1" applyFont="1" applyFill="1" applyBorder="1" applyAlignment="1">
      <alignment vertical="center"/>
    </xf>
    <xf numFmtId="3" fontId="5" fillId="0" borderId="2" xfId="0" applyNumberFormat="1" applyFont="1" applyBorder="1" applyAlignment="1">
      <alignment vertical="center"/>
    </xf>
    <xf numFmtId="3" fontId="5" fillId="0" borderId="11" xfId="0" applyNumberFormat="1" applyFont="1" applyBorder="1" applyAlignment="1">
      <alignment vertical="center"/>
    </xf>
    <xf numFmtId="3" fontId="11" fillId="0" borderId="3" xfId="0" applyNumberFormat="1" applyFont="1" applyBorder="1" applyAlignment="1">
      <alignment vertical="center"/>
    </xf>
    <xf numFmtId="3" fontId="11" fillId="0" borderId="5" xfId="0" applyNumberFormat="1" applyFont="1" applyBorder="1" applyAlignment="1">
      <alignment vertical="center"/>
    </xf>
    <xf numFmtId="3" fontId="5" fillId="0" borderId="4" xfId="0" applyNumberFormat="1" applyFont="1" applyBorder="1" applyAlignment="1">
      <alignment vertical="center"/>
    </xf>
    <xf numFmtId="3" fontId="5" fillId="0" borderId="12" xfId="0" applyNumberFormat="1" applyFont="1" applyBorder="1" applyAlignment="1">
      <alignment vertical="center"/>
    </xf>
    <xf numFmtId="3" fontId="5" fillId="0" borderId="6" xfId="0" applyNumberFormat="1" applyFont="1" applyBorder="1" applyAlignment="1">
      <alignment vertical="center"/>
    </xf>
    <xf numFmtId="3" fontId="5" fillId="0" borderId="47" xfId="0" applyNumberFormat="1" applyFont="1" applyBorder="1" applyAlignment="1">
      <alignment vertical="center"/>
    </xf>
    <xf numFmtId="3" fontId="11" fillId="0" borderId="7" xfId="0" applyNumberFormat="1" applyFont="1" applyBorder="1" applyAlignment="1">
      <alignment vertical="center"/>
    </xf>
    <xf numFmtId="3" fontId="3" fillId="0" borderId="52" xfId="0" applyNumberFormat="1" applyFont="1" applyFill="1" applyBorder="1" applyAlignment="1">
      <alignment vertical="center"/>
    </xf>
    <xf numFmtId="3" fontId="3" fillId="0" borderId="13" xfId="0" applyNumberFormat="1" applyFont="1" applyFill="1" applyBorder="1" applyAlignment="1">
      <alignment vertical="center"/>
    </xf>
    <xf numFmtId="14" fontId="3" fillId="2" borderId="38" xfId="0" applyNumberFormat="1" applyFont="1" applyFill="1" applyBorder="1" applyAlignment="1">
      <alignment horizontal="center" vertical="center"/>
    </xf>
    <xf numFmtId="3" fontId="3" fillId="2" borderId="39" xfId="0" applyNumberFormat="1" applyFont="1" applyFill="1" applyBorder="1" applyAlignment="1">
      <alignment vertical="center"/>
    </xf>
    <xf numFmtId="3" fontId="5" fillId="2" borderId="19" xfId="0" applyNumberFormat="1" applyFont="1" applyFill="1" applyBorder="1" applyAlignment="1">
      <alignment horizontal="right" wrapText="1"/>
    </xf>
    <xf numFmtId="3" fontId="5" fillId="2" borderId="40" xfId="0" applyNumberFormat="1" applyFont="1" applyFill="1" applyBorder="1" applyAlignment="1">
      <alignment horizontal="right" wrapText="1"/>
    </xf>
    <xf numFmtId="3" fontId="5" fillId="0" borderId="11" xfId="0" applyNumberFormat="1" applyFont="1" applyFill="1" applyBorder="1" applyAlignment="1">
      <alignment vertical="center"/>
    </xf>
    <xf numFmtId="3" fontId="5" fillId="0" borderId="12" xfId="0" applyNumberFormat="1" applyFont="1" applyFill="1" applyBorder="1" applyAlignment="1">
      <alignment vertical="center"/>
    </xf>
    <xf numFmtId="3" fontId="5" fillId="0" borderId="47" xfId="0" applyNumberFormat="1" applyFont="1" applyFill="1" applyBorder="1" applyAlignment="1">
      <alignment vertical="center"/>
    </xf>
    <xf numFmtId="0" fontId="0" fillId="0" borderId="16" xfId="0" applyBorder="1" applyAlignment="1">
      <alignment/>
    </xf>
    <xf numFmtId="0" fontId="0" fillId="0" borderId="55" xfId="0" applyBorder="1" applyAlignment="1">
      <alignment/>
    </xf>
    <xf numFmtId="0" fontId="0" fillId="0" borderId="15" xfId="0" applyBorder="1" applyAlignment="1">
      <alignment/>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0" fontId="0" fillId="0" borderId="0" xfId="0" applyBorder="1" applyAlignment="1">
      <alignment/>
    </xf>
    <xf numFmtId="3" fontId="3" fillId="0" borderId="16" xfId="0" applyNumberFormat="1" applyFont="1" applyFill="1" applyBorder="1" applyAlignment="1">
      <alignment vertical="center"/>
    </xf>
    <xf numFmtId="14" fontId="3" fillId="0" borderId="0" xfId="0" applyNumberFormat="1" applyFont="1" applyFill="1" applyBorder="1" applyAlignment="1">
      <alignment horizontal="left" vertical="center"/>
    </xf>
    <xf numFmtId="3" fontId="3" fillId="2" borderId="55" xfId="0" applyNumberFormat="1" applyFont="1" applyFill="1" applyBorder="1" applyAlignment="1">
      <alignment vertical="center"/>
    </xf>
    <xf numFmtId="3" fontId="3" fillId="2" borderId="54" xfId="0" applyNumberFormat="1" applyFont="1" applyFill="1" applyBorder="1" applyAlignment="1">
      <alignment vertical="center"/>
    </xf>
    <xf numFmtId="3" fontId="3" fillId="0" borderId="55" xfId="0" applyNumberFormat="1" applyFont="1" applyBorder="1" applyAlignment="1">
      <alignment/>
    </xf>
    <xf numFmtId="3" fontId="3" fillId="0" borderId="0" xfId="0" applyNumberFormat="1" applyFont="1" applyBorder="1" applyAlignment="1">
      <alignment/>
    </xf>
    <xf numFmtId="2" fontId="3" fillId="0" borderId="42" xfId="0" applyNumberFormat="1" applyFont="1" applyFill="1" applyBorder="1" applyAlignment="1">
      <alignment vertical="center"/>
    </xf>
    <xf numFmtId="3" fontId="7" fillId="0" borderId="2" xfId="0" applyNumberFormat="1" applyFont="1" applyFill="1" applyBorder="1" applyAlignment="1">
      <alignment vertical="center"/>
    </xf>
    <xf numFmtId="2" fontId="3" fillId="0" borderId="43" xfId="0" applyNumberFormat="1" applyFont="1" applyFill="1" applyBorder="1" applyAlignment="1">
      <alignment vertical="center"/>
    </xf>
    <xf numFmtId="3" fontId="7" fillId="0" borderId="4" xfId="0" applyNumberFormat="1" applyFont="1" applyFill="1" applyBorder="1" applyAlignment="1">
      <alignment vertical="center"/>
    </xf>
    <xf numFmtId="2" fontId="3" fillId="2" borderId="41" xfId="0" applyNumberFormat="1" applyFont="1" applyFill="1" applyBorder="1" applyAlignment="1">
      <alignment vertical="center"/>
    </xf>
    <xf numFmtId="3" fontId="12" fillId="2" borderId="34" xfId="0" applyNumberFormat="1" applyFont="1" applyFill="1" applyBorder="1" applyAlignment="1">
      <alignment vertical="center"/>
    </xf>
    <xf numFmtId="3" fontId="3" fillId="2" borderId="35" xfId="0" applyNumberFormat="1" applyFont="1" applyFill="1" applyBorder="1" applyAlignment="1">
      <alignment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7" xfId="0" applyFont="1" applyFill="1" applyBorder="1" applyAlignment="1">
      <alignment horizontal="center" vertical="center" wrapText="1"/>
    </xf>
    <xf numFmtId="2" fontId="3" fillId="0" borderId="44" xfId="0" applyNumberFormat="1" applyFont="1" applyFill="1" applyBorder="1" applyAlignment="1">
      <alignment vertical="center"/>
    </xf>
    <xf numFmtId="3" fontId="3" fillId="0" borderId="49" xfId="0" applyNumberFormat="1" applyFont="1" applyFill="1" applyBorder="1" applyAlignment="1">
      <alignment vertical="center"/>
    </xf>
    <xf numFmtId="0" fontId="12" fillId="2" borderId="25" xfId="0" applyFont="1" applyFill="1" applyBorder="1" applyAlignment="1">
      <alignment horizontal="center" vertical="center" wrapText="1"/>
    </xf>
    <xf numFmtId="3" fontId="3" fillId="0" borderId="27" xfId="0" applyNumberFormat="1" applyFont="1" applyFill="1" applyBorder="1" applyAlignment="1">
      <alignment vertical="center"/>
    </xf>
    <xf numFmtId="0" fontId="12" fillId="2" borderId="29" xfId="0" applyFont="1" applyFill="1" applyBorder="1" applyAlignment="1">
      <alignment horizontal="center" vertical="center" wrapText="1"/>
    </xf>
    <xf numFmtId="2" fontId="3" fillId="0" borderId="56" xfId="0" applyNumberFormat="1" applyFont="1" applyFill="1" applyBorder="1" applyAlignment="1">
      <alignment vertical="center"/>
    </xf>
    <xf numFmtId="2" fontId="3" fillId="0" borderId="57" xfId="0" applyNumberFormat="1" applyFont="1" applyFill="1" applyBorder="1" applyAlignment="1">
      <alignment vertical="center"/>
    </xf>
    <xf numFmtId="2" fontId="3" fillId="2" borderId="58" xfId="0" applyNumberFormat="1" applyFont="1" applyFill="1" applyBorder="1" applyAlignment="1">
      <alignment vertical="center"/>
    </xf>
    <xf numFmtId="3" fontId="4" fillId="0" borderId="0" xfId="0" applyNumberFormat="1" applyFont="1" applyAlignment="1">
      <alignment/>
    </xf>
    <xf numFmtId="0" fontId="3" fillId="2" borderId="18" xfId="0" applyFont="1" applyFill="1" applyBorder="1" applyAlignment="1">
      <alignment horizontal="center" vertical="center" wrapText="1"/>
    </xf>
    <xf numFmtId="0" fontId="3" fillId="2" borderId="10" xfId="0" applyFont="1" applyFill="1" applyBorder="1" applyAlignment="1" quotePrefix="1">
      <alignment horizontal="center" vertical="center"/>
    </xf>
    <xf numFmtId="0" fontId="13" fillId="0" borderId="2" xfId="0" applyFont="1" applyBorder="1" applyAlignment="1">
      <alignment horizontal="right" vertical="center"/>
    </xf>
    <xf numFmtId="0" fontId="13" fillId="0" borderId="11" xfId="0" applyFont="1" applyBorder="1" applyAlignment="1">
      <alignment horizontal="center" vertical="center"/>
    </xf>
    <xf numFmtId="0" fontId="3" fillId="0" borderId="11" xfId="0" applyFont="1" applyBorder="1" applyAlignment="1">
      <alignment vertical="center"/>
    </xf>
    <xf numFmtId="164" fontId="13" fillId="0" borderId="42" xfId="0" applyNumberFormat="1" applyFont="1" applyBorder="1" applyAlignment="1">
      <alignment horizontal="right" vertical="center"/>
    </xf>
    <xf numFmtId="164" fontId="13" fillId="0" borderId="11" xfId="0" applyNumberFormat="1" applyFont="1" applyBorder="1" applyAlignment="1">
      <alignment horizontal="right" vertical="center"/>
    </xf>
    <xf numFmtId="0" fontId="3" fillId="0" borderId="3" xfId="0" applyFont="1" applyBorder="1" applyAlignment="1">
      <alignment vertical="center"/>
    </xf>
    <xf numFmtId="0" fontId="13" fillId="0" borderId="4" xfId="0" applyFont="1" applyBorder="1" applyAlignment="1">
      <alignment horizontal="right" vertical="center"/>
    </xf>
    <xf numFmtId="0" fontId="13" fillId="0" borderId="12" xfId="0" applyFont="1" applyBorder="1" applyAlignment="1">
      <alignment horizontal="center" vertical="center"/>
    </xf>
    <xf numFmtId="0" fontId="3" fillId="0" borderId="12" xfId="0" applyFont="1" applyBorder="1" applyAlignment="1">
      <alignment vertical="center"/>
    </xf>
    <xf numFmtId="164" fontId="13" fillId="0" borderId="43" xfId="0" applyNumberFormat="1" applyFont="1" applyBorder="1" applyAlignment="1">
      <alignment horizontal="right" vertical="center"/>
    </xf>
    <xf numFmtId="164" fontId="13" fillId="0" borderId="12" xfId="0" applyNumberFormat="1" applyFont="1" applyBorder="1" applyAlignment="1">
      <alignment horizontal="right" vertical="center"/>
    </xf>
    <xf numFmtId="0" fontId="3" fillId="0" borderId="5" xfId="0" applyFont="1" applyBorder="1" applyAlignment="1">
      <alignment vertical="center"/>
    </xf>
    <xf numFmtId="0" fontId="13" fillId="0" borderId="8" xfId="0" applyFont="1" applyBorder="1" applyAlignment="1">
      <alignment horizontal="right" vertical="center"/>
    </xf>
    <xf numFmtId="0" fontId="13" fillId="0" borderId="50" xfId="0" applyFont="1" applyBorder="1" applyAlignment="1">
      <alignment horizontal="center" vertical="center"/>
    </xf>
    <xf numFmtId="0" fontId="3" fillId="0" borderId="50" xfId="0" applyFont="1" applyBorder="1" applyAlignment="1">
      <alignment vertical="center"/>
    </xf>
    <xf numFmtId="164" fontId="13" fillId="0" borderId="44" xfId="0" applyNumberFormat="1" applyFont="1" applyBorder="1" applyAlignment="1">
      <alignment horizontal="right" vertical="center"/>
    </xf>
    <xf numFmtId="164" fontId="13" fillId="0" borderId="50" xfId="0" applyNumberFormat="1" applyFont="1" applyBorder="1" applyAlignment="1">
      <alignment horizontal="right" vertical="center"/>
    </xf>
    <xf numFmtId="0" fontId="3" fillId="0" borderId="17" xfId="0" applyFont="1" applyBorder="1" applyAlignment="1">
      <alignment vertical="center"/>
    </xf>
    <xf numFmtId="0" fontId="3" fillId="2" borderId="34" xfId="0" applyFont="1" applyFill="1" applyBorder="1" applyAlignment="1">
      <alignment horizontal="right" vertical="center"/>
    </xf>
    <xf numFmtId="0" fontId="13" fillId="2" borderId="40" xfId="0" applyFont="1" applyFill="1" applyBorder="1" applyAlignment="1">
      <alignment horizontal="center" vertical="center"/>
    </xf>
    <xf numFmtId="0" fontId="3" fillId="2" borderId="40" xfId="0" applyFont="1" applyFill="1" applyBorder="1" applyAlignment="1">
      <alignment horizontal="right" vertical="center" wrapText="1"/>
    </xf>
    <xf numFmtId="164" fontId="13" fillId="2" borderId="41" xfId="0" applyNumberFormat="1" applyFont="1" applyFill="1" applyBorder="1" applyAlignment="1">
      <alignment horizontal="right" vertical="center"/>
    </xf>
    <xf numFmtId="164" fontId="13" fillId="2" borderId="40" xfId="0" applyNumberFormat="1" applyFont="1" applyFill="1" applyBorder="1" applyAlignment="1">
      <alignment horizontal="right" vertical="center"/>
    </xf>
    <xf numFmtId="0" fontId="3" fillId="2" borderId="35" xfId="0" applyFont="1" applyFill="1" applyBorder="1" applyAlignment="1">
      <alignment horizontal="right" vertical="center" wrapText="1"/>
    </xf>
    <xf numFmtId="0" fontId="3" fillId="2" borderId="19" xfId="0" applyFont="1" applyFill="1" applyBorder="1" applyAlignment="1" quotePrefix="1">
      <alignment horizontal="center" vertical="center"/>
    </xf>
    <xf numFmtId="164" fontId="13" fillId="0" borderId="3" xfId="0" applyNumberFormat="1" applyFont="1" applyBorder="1" applyAlignment="1">
      <alignment horizontal="right" vertical="center"/>
    </xf>
    <xf numFmtId="164" fontId="13" fillId="0" borderId="5" xfId="0" applyNumberFormat="1" applyFont="1" applyBorder="1" applyAlignment="1">
      <alignment horizontal="right" vertical="center"/>
    </xf>
    <xf numFmtId="164" fontId="13" fillId="0" borderId="17" xfId="0" applyNumberFormat="1" applyFont="1" applyBorder="1" applyAlignment="1">
      <alignment horizontal="right" vertical="center"/>
    </xf>
    <xf numFmtId="164" fontId="13" fillId="2" borderId="35" xfId="0" applyNumberFormat="1" applyFont="1" applyFill="1" applyBorder="1" applyAlignment="1">
      <alignment horizontal="right" vertical="center"/>
    </xf>
    <xf numFmtId="0" fontId="3" fillId="2" borderId="59" xfId="0" applyFont="1" applyFill="1" applyBorder="1" applyAlignment="1">
      <alignment horizontal="center" vertical="center" wrapText="1"/>
    </xf>
    <xf numFmtId="0" fontId="13" fillId="0" borderId="36" xfId="0" applyFont="1" applyBorder="1" applyAlignment="1">
      <alignment horizontal="right" vertical="center"/>
    </xf>
    <xf numFmtId="0" fontId="13" fillId="0" borderId="32" xfId="0" applyFont="1" applyBorder="1" applyAlignment="1">
      <alignment horizontal="right" vertical="center"/>
    </xf>
    <xf numFmtId="0" fontId="13" fillId="0" borderId="28" xfId="0" applyFont="1" applyBorder="1" applyAlignment="1">
      <alignment horizontal="right" vertical="center"/>
    </xf>
    <xf numFmtId="0" fontId="3" fillId="2" borderId="53" xfId="0" applyFont="1" applyFill="1" applyBorder="1" applyAlignment="1">
      <alignment horizontal="right" vertical="center"/>
    </xf>
    <xf numFmtId="0" fontId="13" fillId="0" borderId="49" xfId="0" applyFont="1" applyBorder="1" applyAlignment="1">
      <alignment horizontal="center" vertical="center"/>
    </xf>
    <xf numFmtId="0" fontId="4" fillId="0" borderId="37" xfId="0" applyFont="1" applyBorder="1" applyAlignment="1">
      <alignment vertical="center"/>
    </xf>
    <xf numFmtId="0" fontId="6" fillId="2" borderId="54" xfId="0" applyFont="1" applyFill="1" applyBorder="1" applyAlignment="1">
      <alignment vertical="center"/>
    </xf>
    <xf numFmtId="3" fontId="5" fillId="2" borderId="45" xfId="0" applyNumberFormat="1" applyFont="1" applyFill="1" applyBorder="1" applyAlignment="1">
      <alignment vertical="center"/>
    </xf>
    <xf numFmtId="0" fontId="4" fillId="0" borderId="43" xfId="0" applyFont="1" applyBorder="1" applyAlignment="1">
      <alignment vertical="center"/>
    </xf>
    <xf numFmtId="0" fontId="4" fillId="0" borderId="26" xfId="0" applyFont="1" applyBorder="1" applyAlignment="1">
      <alignment vertical="center"/>
    </xf>
    <xf numFmtId="49" fontId="3" fillId="2" borderId="46"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0" fontId="4" fillId="0" borderId="60" xfId="0" applyFont="1" applyBorder="1" applyAlignment="1">
      <alignment vertical="center"/>
    </xf>
    <xf numFmtId="3" fontId="3" fillId="0" borderId="46" xfId="0" applyNumberFormat="1" applyFont="1" applyBorder="1" applyAlignment="1">
      <alignment vertical="center"/>
    </xf>
    <xf numFmtId="3" fontId="3" fillId="0" borderId="1" xfId="0" applyNumberFormat="1" applyFont="1" applyBorder="1" applyAlignment="1">
      <alignment vertical="center"/>
    </xf>
    <xf numFmtId="3" fontId="3" fillId="0" borderId="19" xfId="0" applyNumberFormat="1"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4" xfId="0" applyFont="1" applyBorder="1" applyAlignment="1">
      <alignment vertical="center"/>
    </xf>
    <xf numFmtId="0" fontId="3" fillId="0" borderId="30" xfId="0" applyFont="1" applyBorder="1" applyAlignment="1">
      <alignment vertical="center"/>
    </xf>
    <xf numFmtId="0" fontId="3" fillId="0" borderId="8" xfId="0" applyFont="1" applyBorder="1" applyAlignment="1">
      <alignment vertical="center"/>
    </xf>
    <xf numFmtId="0" fontId="3" fillId="2" borderId="45" xfId="0" applyFont="1" applyFill="1" applyBorder="1" applyAlignment="1">
      <alignment vertical="center"/>
    </xf>
    <xf numFmtId="0" fontId="3" fillId="2" borderId="34" xfId="0" applyFont="1" applyFill="1" applyBorder="1" applyAlignment="1">
      <alignment vertical="center"/>
    </xf>
    <xf numFmtId="0" fontId="3" fillId="0" borderId="2"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0" xfId="0" applyFont="1" applyBorder="1" applyAlignment="1">
      <alignment horizontal="center" vertical="center"/>
    </xf>
    <xf numFmtId="0" fontId="3" fillId="2" borderId="40" xfId="0" applyFont="1" applyFill="1" applyBorder="1" applyAlignment="1">
      <alignment horizontal="center" vertical="center"/>
    </xf>
    <xf numFmtId="164" fontId="3" fillId="0" borderId="42" xfId="0" applyNumberFormat="1" applyFont="1" applyBorder="1" applyAlignment="1">
      <alignment vertical="center"/>
    </xf>
    <xf numFmtId="164" fontId="3" fillId="0" borderId="11" xfId="0" applyNumberFormat="1" applyFont="1" applyBorder="1" applyAlignment="1">
      <alignment vertical="center"/>
    </xf>
    <xf numFmtId="164" fontId="3" fillId="0" borderId="43" xfId="0" applyNumberFormat="1" applyFont="1" applyBorder="1" applyAlignment="1">
      <alignment vertical="center"/>
    </xf>
    <xf numFmtId="164" fontId="3" fillId="0" borderId="12" xfId="0" applyNumberFormat="1" applyFont="1" applyBorder="1" applyAlignment="1">
      <alignment vertical="center"/>
    </xf>
    <xf numFmtId="164" fontId="3" fillId="0" borderId="44" xfId="0" applyNumberFormat="1" applyFont="1" applyBorder="1" applyAlignment="1">
      <alignment vertical="center"/>
    </xf>
    <xf numFmtId="164" fontId="3" fillId="0" borderId="50" xfId="0" applyNumberFormat="1" applyFont="1" applyBorder="1" applyAlignment="1">
      <alignment vertical="center"/>
    </xf>
    <xf numFmtId="164" fontId="3" fillId="2" borderId="41" xfId="0" applyNumberFormat="1" applyFont="1" applyFill="1" applyBorder="1" applyAlignment="1">
      <alignment vertical="center"/>
    </xf>
    <xf numFmtId="164" fontId="3" fillId="2" borderId="40" xfId="0" applyNumberFormat="1" applyFont="1" applyFill="1" applyBorder="1" applyAlignment="1">
      <alignment vertical="center"/>
    </xf>
    <xf numFmtId="3" fontId="3" fillId="0" borderId="12" xfId="0" applyNumberFormat="1" applyFont="1" applyFill="1" applyBorder="1" applyAlignment="1">
      <alignment vertical="center"/>
    </xf>
    <xf numFmtId="2" fontId="3" fillId="0" borderId="0" xfId="0" applyNumberFormat="1" applyFont="1" applyFill="1" applyBorder="1" applyAlignment="1">
      <alignment vertical="center"/>
    </xf>
    <xf numFmtId="3" fontId="3" fillId="0" borderId="9" xfId="0" applyNumberFormat="1" applyFont="1" applyFill="1" applyBorder="1" applyAlignment="1">
      <alignment vertical="center"/>
    </xf>
    <xf numFmtId="3" fontId="3" fillId="2" borderId="53" xfId="0" applyNumberFormat="1" applyFont="1" applyFill="1" applyBorder="1" applyAlignment="1">
      <alignment horizontal="right" vertical="center" wrapText="1"/>
    </xf>
    <xf numFmtId="3" fontId="3" fillId="2" borderId="34" xfId="0" applyNumberFormat="1" applyFont="1" applyFill="1" applyBorder="1" applyAlignment="1">
      <alignment horizontal="right" vertical="center" wrapText="1"/>
    </xf>
    <xf numFmtId="3" fontId="3" fillId="2" borderId="18" xfId="0" applyNumberFormat="1" applyFont="1" applyFill="1" applyBorder="1" applyAlignment="1">
      <alignment vertical="center"/>
    </xf>
    <xf numFmtId="3" fontId="3" fillId="2" borderId="10" xfId="0" applyNumberFormat="1" applyFont="1" applyFill="1" applyBorder="1" applyAlignment="1">
      <alignment vertical="center"/>
    </xf>
    <xf numFmtId="3" fontId="3" fillId="2" borderId="59" xfId="0" applyNumberFormat="1" applyFont="1" applyFill="1" applyBorder="1" applyAlignment="1">
      <alignment vertical="center"/>
    </xf>
    <xf numFmtId="3" fontId="5" fillId="0" borderId="5" xfId="0" applyNumberFormat="1" applyFont="1" applyFill="1" applyBorder="1" applyAlignment="1">
      <alignment horizontal="right" vertical="center" wrapText="1"/>
    </xf>
    <xf numFmtId="0" fontId="3" fillId="2" borderId="48" xfId="0" applyFont="1" applyFill="1" applyBorder="1" applyAlignment="1">
      <alignment horizontal="centerContinuous" vertical="center"/>
    </xf>
    <xf numFmtId="3" fontId="4" fillId="0" borderId="2" xfId="0" applyNumberFormat="1" applyFont="1" applyBorder="1" applyAlignment="1">
      <alignment vertical="center" wrapText="1"/>
    </xf>
    <xf numFmtId="3" fontId="4" fillId="0" borderId="11" xfId="0" applyNumberFormat="1" applyFont="1" applyFill="1" applyBorder="1" applyAlignment="1">
      <alignment vertical="center" wrapText="1"/>
    </xf>
    <xf numFmtId="3" fontId="4" fillId="0" borderId="4"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4" fillId="0" borderId="4" xfId="0" applyNumberFormat="1" applyFont="1" applyBorder="1" applyAlignment="1">
      <alignment vertical="center" wrapText="1"/>
    </xf>
    <xf numFmtId="3" fontId="4" fillId="0" borderId="8" xfId="0" applyNumberFormat="1" applyFont="1" applyBorder="1" applyAlignment="1">
      <alignment vertical="center" wrapText="1"/>
    </xf>
    <xf numFmtId="3" fontId="3" fillId="2" borderId="34" xfId="0" applyNumberFormat="1" applyFont="1" applyFill="1" applyBorder="1" applyAlignment="1">
      <alignment vertical="center" wrapText="1"/>
    </xf>
    <xf numFmtId="3" fontId="3" fillId="2" borderId="53" xfId="0" applyNumberFormat="1" applyFont="1" applyFill="1" applyBorder="1" applyAlignment="1">
      <alignment vertical="center" wrapText="1"/>
    </xf>
    <xf numFmtId="3" fontId="4" fillId="0" borderId="13" xfId="0" applyNumberFormat="1" applyFont="1" applyBorder="1" applyAlignment="1">
      <alignment vertical="center" wrapText="1"/>
    </xf>
    <xf numFmtId="3" fontId="4" fillId="0" borderId="14" xfId="0" applyNumberFormat="1" applyFont="1" applyFill="1" applyBorder="1" applyAlignment="1">
      <alignment vertical="center" wrapText="1"/>
    </xf>
    <xf numFmtId="3" fontId="4" fillId="0" borderId="3" xfId="0" applyNumberFormat="1" applyFont="1" applyFill="1" applyBorder="1" applyAlignment="1">
      <alignment vertical="center" wrapText="1"/>
    </xf>
    <xf numFmtId="3" fontId="4" fillId="0" borderId="3" xfId="0" applyNumberFormat="1" applyFont="1" applyBorder="1" applyAlignment="1">
      <alignment vertical="center" wrapText="1"/>
    </xf>
    <xf numFmtId="3" fontId="4" fillId="0" borderId="6" xfId="0" applyNumberFormat="1" applyFont="1" applyBorder="1" applyAlignment="1">
      <alignment vertical="center" wrapText="1"/>
    </xf>
    <xf numFmtId="3" fontId="3" fillId="2" borderId="40" xfId="0" applyNumberFormat="1" applyFont="1" applyFill="1" applyBorder="1" applyAlignment="1">
      <alignment vertical="center" wrapText="1"/>
    </xf>
    <xf numFmtId="3" fontId="3" fillId="2" borderId="35" xfId="0" applyNumberFormat="1" applyFont="1" applyFill="1" applyBorder="1" applyAlignment="1">
      <alignment vertical="center" wrapText="1"/>
    </xf>
    <xf numFmtId="3" fontId="0" fillId="0" borderId="2" xfId="0" applyNumberFormat="1" applyFont="1" applyFill="1" applyBorder="1" applyAlignment="1">
      <alignment vertical="center" wrapText="1"/>
    </xf>
    <xf numFmtId="0" fontId="3" fillId="2" borderId="13" xfId="0" applyFont="1" applyFill="1" applyBorder="1" applyAlignment="1">
      <alignment horizontal="centerContinuous" vertical="center"/>
    </xf>
    <xf numFmtId="0" fontId="3" fillId="2" borderId="14" xfId="0" applyFont="1" applyFill="1" applyBorder="1" applyAlignment="1">
      <alignment horizontal="centerContinuous" vertical="center"/>
    </xf>
    <xf numFmtId="3" fontId="4" fillId="0" borderId="5" xfId="0" applyNumberFormat="1" applyFont="1" applyFill="1" applyBorder="1" applyAlignment="1">
      <alignment vertical="center" wrapText="1"/>
    </xf>
    <xf numFmtId="3" fontId="4" fillId="0" borderId="6" xfId="0" applyNumberFormat="1" applyFont="1" applyFill="1" applyBorder="1" applyAlignment="1">
      <alignment vertical="center" wrapText="1"/>
    </xf>
    <xf numFmtId="3" fontId="4" fillId="0" borderId="51" xfId="0" applyNumberFormat="1" applyFont="1" applyBorder="1" applyAlignment="1">
      <alignment vertical="center" wrapText="1"/>
    </xf>
    <xf numFmtId="3" fontId="4" fillId="0" borderId="36" xfId="0" applyNumberFormat="1" applyFont="1" applyBorder="1" applyAlignment="1">
      <alignment vertical="center" wrapText="1"/>
    </xf>
    <xf numFmtId="3" fontId="4" fillId="0" borderId="56" xfId="0" applyNumberFormat="1" applyFont="1" applyBorder="1" applyAlignment="1">
      <alignment vertical="center" wrapText="1"/>
    </xf>
    <xf numFmtId="3" fontId="4" fillId="0" borderId="32" xfId="0" applyNumberFormat="1" applyFont="1" applyBorder="1" applyAlignment="1">
      <alignment vertical="center" wrapText="1"/>
    </xf>
    <xf numFmtId="3" fontId="4" fillId="0" borderId="32" xfId="0" applyNumberFormat="1" applyFont="1" applyFill="1" applyBorder="1" applyAlignment="1">
      <alignment vertical="center" wrapText="1"/>
    </xf>
    <xf numFmtId="3" fontId="4" fillId="0" borderId="56" xfId="0" applyNumberFormat="1" applyFont="1" applyFill="1" applyBorder="1" applyAlignment="1">
      <alignment vertical="center" wrapText="1"/>
    </xf>
    <xf numFmtId="3" fontId="4" fillId="0" borderId="28" xfId="0" applyNumberFormat="1" applyFont="1" applyBorder="1" applyAlignment="1">
      <alignment vertical="center" wrapText="1"/>
    </xf>
    <xf numFmtId="3" fontId="4" fillId="0" borderId="27" xfId="0" applyNumberFormat="1" applyFont="1" applyFill="1" applyBorder="1" applyAlignment="1">
      <alignment vertical="center" wrapText="1"/>
    </xf>
    <xf numFmtId="3" fontId="4" fillId="0" borderId="47" xfId="0" applyNumberFormat="1" applyFont="1" applyFill="1" applyBorder="1" applyAlignment="1">
      <alignment vertical="center" wrapText="1"/>
    </xf>
    <xf numFmtId="0" fontId="0" fillId="0" borderId="23" xfId="0" applyBorder="1" applyAlignment="1">
      <alignment/>
    </xf>
    <xf numFmtId="0" fontId="0" fillId="0" borderId="5" xfId="0" applyBorder="1" applyAlignment="1">
      <alignment/>
    </xf>
    <xf numFmtId="0" fontId="3" fillId="2" borderId="25" xfId="0" applyFont="1" applyFill="1" applyBorder="1" applyAlignment="1" quotePrefix="1">
      <alignment horizontal="center"/>
    </xf>
    <xf numFmtId="0" fontId="3" fillId="2" borderId="7" xfId="0" applyFont="1" applyFill="1" applyBorder="1" applyAlignment="1">
      <alignment horizontal="center"/>
    </xf>
    <xf numFmtId="3" fontId="4" fillId="0" borderId="48" xfId="0" applyNumberFormat="1" applyFont="1" applyFill="1" applyBorder="1" applyAlignment="1">
      <alignment vertical="center" wrapText="1"/>
    </xf>
    <xf numFmtId="3" fontId="4" fillId="0" borderId="11" xfId="0" applyNumberFormat="1" applyFont="1" applyBorder="1" applyAlignment="1">
      <alignment vertical="center" wrapText="1"/>
    </xf>
    <xf numFmtId="0" fontId="3" fillId="2" borderId="51" xfId="0" applyFont="1" applyFill="1" applyBorder="1" applyAlignment="1">
      <alignment horizontal="centerContinuous" vertical="center"/>
    </xf>
    <xf numFmtId="3" fontId="4" fillId="0" borderId="2" xfId="0" applyNumberFormat="1" applyFont="1" applyFill="1" applyBorder="1" applyAlignment="1">
      <alignment vertical="center" wrapText="1"/>
    </xf>
    <xf numFmtId="3" fontId="4" fillId="0" borderId="24" xfId="0" applyNumberFormat="1" applyFont="1" applyBorder="1" applyAlignment="1">
      <alignment/>
    </xf>
    <xf numFmtId="3" fontId="4" fillId="0" borderId="23" xfId="0" applyNumberFormat="1" applyFont="1" applyBorder="1" applyAlignment="1">
      <alignment/>
    </xf>
    <xf numFmtId="3" fontId="4" fillId="2" borderId="45" xfId="0" applyNumberFormat="1" applyFont="1" applyFill="1" applyBorder="1" applyAlignment="1">
      <alignment/>
    </xf>
    <xf numFmtId="10" fontId="4" fillId="0" borderId="3" xfId="0" applyNumberFormat="1" applyFont="1" applyBorder="1" applyAlignment="1">
      <alignment/>
    </xf>
    <xf numFmtId="10" fontId="4" fillId="0" borderId="5" xfId="0" applyNumberFormat="1" applyFont="1" applyBorder="1" applyAlignment="1">
      <alignment/>
    </xf>
    <xf numFmtId="10" fontId="4" fillId="2" borderId="35" xfId="0" applyNumberFormat="1" applyFont="1" applyFill="1" applyBorder="1" applyAlignment="1">
      <alignment/>
    </xf>
    <xf numFmtId="3" fontId="4" fillId="0" borderId="52" xfId="0" applyNumberFormat="1" applyFont="1" applyBorder="1" applyAlignment="1">
      <alignment/>
    </xf>
    <xf numFmtId="10" fontId="4" fillId="0" borderId="14" xfId="0" applyNumberFormat="1" applyFont="1" applyBorder="1" applyAlignment="1">
      <alignment/>
    </xf>
    <xf numFmtId="3" fontId="3" fillId="2" borderId="45" xfId="0" applyNumberFormat="1" applyFont="1" applyFill="1" applyBorder="1" applyAlignment="1">
      <alignment/>
    </xf>
    <xf numFmtId="10" fontId="3" fillId="2" borderId="35" xfId="0" applyNumberFormat="1" applyFont="1" applyFill="1" applyBorder="1" applyAlignment="1">
      <alignment/>
    </xf>
    <xf numFmtId="3" fontId="3" fillId="0" borderId="16" xfId="0" applyNumberFormat="1" applyFont="1" applyBorder="1" applyAlignment="1">
      <alignment vertical="center"/>
    </xf>
    <xf numFmtId="3" fontId="3" fillId="0" borderId="37" xfId="0" applyNumberFormat="1" applyFont="1" applyBorder="1" applyAlignment="1">
      <alignment vertical="center"/>
    </xf>
    <xf numFmtId="3" fontId="3" fillId="0" borderId="15" xfId="0" applyNumberFormat="1" applyFont="1" applyBorder="1" applyAlignment="1">
      <alignment vertical="center"/>
    </xf>
    <xf numFmtId="3" fontId="4" fillId="0" borderId="23" xfId="0" applyNumberFormat="1" applyFont="1" applyFill="1" applyBorder="1" applyAlignment="1">
      <alignment vertical="center" wrapText="1"/>
    </xf>
    <xf numFmtId="3" fontId="4" fillId="0" borderId="24" xfId="0" applyNumberFormat="1" applyFont="1" applyFill="1" applyBorder="1" applyAlignment="1">
      <alignment vertical="center" wrapText="1"/>
    </xf>
    <xf numFmtId="3" fontId="4" fillId="0" borderId="52"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0" fontId="3" fillId="2" borderId="61" xfId="0" applyFont="1" applyFill="1" applyBorder="1" applyAlignment="1">
      <alignment horizontal="centerContinuous" vertical="center"/>
    </xf>
    <xf numFmtId="0" fontId="3" fillId="2" borderId="52" xfId="0" applyFont="1" applyFill="1" applyBorder="1" applyAlignment="1">
      <alignment horizontal="centerContinuous" vertical="center"/>
    </xf>
    <xf numFmtId="3" fontId="4" fillId="0" borderId="13" xfId="0" applyNumberFormat="1" applyFont="1" applyFill="1" applyBorder="1" applyAlignment="1">
      <alignment vertical="center" wrapText="1"/>
    </xf>
    <xf numFmtId="3" fontId="4" fillId="0" borderId="23" xfId="0" applyNumberFormat="1" applyFont="1" applyBorder="1" applyAlignment="1">
      <alignment vertical="center" wrapText="1"/>
    </xf>
    <xf numFmtId="3" fontId="4" fillId="0" borderId="8" xfId="0" applyNumberFormat="1" applyFont="1" applyFill="1" applyBorder="1" applyAlignment="1">
      <alignment vertical="center" wrapText="1"/>
    </xf>
    <xf numFmtId="3" fontId="3" fillId="2" borderId="41" xfId="0" applyNumberFormat="1" applyFont="1" applyFill="1" applyBorder="1" applyAlignment="1">
      <alignment vertical="center" wrapText="1"/>
    </xf>
    <xf numFmtId="3" fontId="4" fillId="0" borderId="24" xfId="0" applyNumberFormat="1" applyFont="1" applyBorder="1" applyAlignment="1">
      <alignment vertical="center" wrapText="1"/>
    </xf>
    <xf numFmtId="3" fontId="4" fillId="0" borderId="43" xfId="0" applyNumberFormat="1" applyFont="1" applyFill="1" applyBorder="1" applyAlignment="1">
      <alignment vertical="center" wrapText="1"/>
    </xf>
    <xf numFmtId="3" fontId="3" fillId="2" borderId="45" xfId="0" applyNumberFormat="1" applyFont="1" applyFill="1" applyBorder="1" applyAlignment="1">
      <alignment vertical="center" wrapText="1"/>
    </xf>
    <xf numFmtId="3" fontId="3" fillId="2" borderId="62" xfId="0" applyNumberFormat="1" applyFont="1" applyFill="1" applyBorder="1" applyAlignment="1">
      <alignment vertical="center" wrapText="1"/>
    </xf>
    <xf numFmtId="3" fontId="4" fillId="0" borderId="5" xfId="0" applyNumberFormat="1" applyFont="1" applyBorder="1" applyAlignment="1">
      <alignment vertical="center" wrapText="1"/>
    </xf>
    <xf numFmtId="3" fontId="4" fillId="0" borderId="17" xfId="0" applyNumberFormat="1" applyFont="1" applyFill="1" applyBorder="1" applyAlignment="1">
      <alignment vertical="center" wrapText="1"/>
    </xf>
    <xf numFmtId="3" fontId="4" fillId="0" borderId="46" xfId="0" applyNumberFormat="1" applyFont="1" applyFill="1" applyBorder="1" applyAlignment="1">
      <alignment/>
    </xf>
    <xf numFmtId="3" fontId="3" fillId="2" borderId="45" xfId="0" applyNumberFormat="1" applyFont="1" applyFill="1" applyBorder="1" applyAlignment="1">
      <alignment horizontal="right" vertical="center" wrapText="1"/>
    </xf>
    <xf numFmtId="0" fontId="0" fillId="0" borderId="58" xfId="0" applyBorder="1" applyAlignment="1">
      <alignment/>
    </xf>
    <xf numFmtId="3" fontId="4" fillId="0" borderId="43" xfId="0" applyNumberFormat="1" applyFont="1" applyBorder="1" applyAlignment="1">
      <alignment vertical="center" wrapText="1"/>
    </xf>
    <xf numFmtId="3" fontId="4" fillId="0" borderId="30" xfId="0" applyNumberFormat="1" applyFont="1" applyBorder="1" applyAlignment="1">
      <alignment vertical="center" wrapText="1"/>
    </xf>
    <xf numFmtId="3" fontId="4" fillId="0" borderId="10" xfId="0" applyNumberFormat="1" applyFont="1" applyFill="1" applyBorder="1" applyAlignment="1">
      <alignment vertical="center" wrapText="1"/>
    </xf>
    <xf numFmtId="3" fontId="3" fillId="2" borderId="58" xfId="0" applyNumberFormat="1" applyFont="1" applyFill="1" applyBorder="1" applyAlignment="1">
      <alignment vertical="center" wrapText="1"/>
    </xf>
    <xf numFmtId="0" fontId="0" fillId="0" borderId="63" xfId="0" applyBorder="1" applyAlignment="1">
      <alignment/>
    </xf>
    <xf numFmtId="3" fontId="4" fillId="0" borderId="52" xfId="0" applyNumberFormat="1" applyFont="1" applyBorder="1" applyAlignment="1">
      <alignment vertical="center" wrapText="1"/>
    </xf>
    <xf numFmtId="3" fontId="4" fillId="0" borderId="19" xfId="0" applyNumberFormat="1" applyFont="1" applyFill="1" applyBorder="1" applyAlignment="1">
      <alignment vertical="center" wrapText="1"/>
    </xf>
    <xf numFmtId="0" fontId="0" fillId="0" borderId="17" xfId="0" applyBorder="1" applyAlignment="1">
      <alignment/>
    </xf>
    <xf numFmtId="10" fontId="4" fillId="0" borderId="17" xfId="0" applyNumberFormat="1" applyFont="1" applyBorder="1" applyAlignment="1">
      <alignment/>
    </xf>
    <xf numFmtId="10" fontId="4" fillId="0" borderId="27" xfId="0" applyNumberFormat="1" applyFont="1" applyBorder="1" applyAlignment="1">
      <alignment/>
    </xf>
    <xf numFmtId="3" fontId="12" fillId="2" borderId="34" xfId="0" applyNumberFormat="1" applyFont="1" applyFill="1" applyBorder="1" applyAlignment="1">
      <alignment horizontal="center" vertical="center" wrapText="1"/>
    </xf>
    <xf numFmtId="3" fontId="12" fillId="2" borderId="35" xfId="0" applyNumberFormat="1" applyFont="1" applyFill="1" applyBorder="1" applyAlignment="1">
      <alignment horizontal="center" vertical="center" wrapText="1"/>
    </xf>
    <xf numFmtId="3" fontId="3" fillId="0" borderId="42" xfId="0" applyNumberFormat="1" applyFont="1" applyBorder="1" applyAlignment="1">
      <alignment vertical="center"/>
    </xf>
    <xf numFmtId="10" fontId="3" fillId="0" borderId="2" xfId="0" applyNumberFormat="1" applyFont="1" applyBorder="1" applyAlignment="1">
      <alignment vertical="center"/>
    </xf>
    <xf numFmtId="10" fontId="3" fillId="0" borderId="3" xfId="0" applyNumberFormat="1" applyFont="1" applyBorder="1" applyAlignment="1">
      <alignment vertical="center"/>
    </xf>
    <xf numFmtId="3" fontId="3" fillId="0" borderId="43" xfId="0" applyNumberFormat="1" applyFont="1" applyBorder="1" applyAlignment="1">
      <alignment vertical="center"/>
    </xf>
    <xf numFmtId="3" fontId="3" fillId="0" borderId="43" xfId="0" applyNumberFormat="1" applyFont="1" applyBorder="1" applyAlignment="1">
      <alignment vertical="center" wrapText="1"/>
    </xf>
    <xf numFmtId="3" fontId="3" fillId="0" borderId="60" xfId="0" applyNumberFormat="1" applyFont="1" applyBorder="1" applyAlignment="1">
      <alignment vertical="center"/>
    </xf>
    <xf numFmtId="10" fontId="3" fillId="0" borderId="6" xfId="0" applyNumberFormat="1" applyFont="1" applyBorder="1" applyAlignment="1">
      <alignment vertical="center"/>
    </xf>
    <xf numFmtId="10" fontId="3" fillId="0" borderId="7" xfId="0" applyNumberFormat="1" applyFont="1" applyBorder="1" applyAlignment="1">
      <alignment vertical="center"/>
    </xf>
    <xf numFmtId="3" fontId="3" fillId="0" borderId="0" xfId="0" applyNumberFormat="1" applyFont="1" applyBorder="1" applyAlignment="1">
      <alignment vertical="center"/>
    </xf>
    <xf numFmtId="10" fontId="3" fillId="0" borderId="0" xfId="0" applyNumberFormat="1" applyFont="1" applyBorder="1" applyAlignment="1">
      <alignment vertical="center"/>
    </xf>
    <xf numFmtId="3" fontId="3" fillId="0" borderId="42" xfId="0" applyNumberFormat="1" applyFont="1" applyBorder="1" applyAlignment="1">
      <alignment/>
    </xf>
    <xf numFmtId="3" fontId="3" fillId="0" borderId="24" xfId="0" applyNumberFormat="1" applyFont="1" applyBorder="1" applyAlignment="1">
      <alignment/>
    </xf>
    <xf numFmtId="10" fontId="3" fillId="0" borderId="2" xfId="0" applyNumberFormat="1" applyFont="1" applyBorder="1" applyAlignment="1">
      <alignment/>
    </xf>
    <xf numFmtId="3" fontId="3" fillId="0" borderId="2" xfId="0" applyNumberFormat="1" applyFont="1" applyBorder="1" applyAlignment="1">
      <alignment/>
    </xf>
    <xf numFmtId="10" fontId="3" fillId="0" borderId="3" xfId="0" applyNumberFormat="1" applyFont="1" applyBorder="1" applyAlignment="1">
      <alignment/>
    </xf>
    <xf numFmtId="3" fontId="3" fillId="0" borderId="43" xfId="0" applyNumberFormat="1" applyFont="1" applyBorder="1" applyAlignment="1">
      <alignment/>
    </xf>
    <xf numFmtId="3" fontId="3" fillId="0" borderId="23" xfId="0" applyNumberFormat="1" applyFont="1" applyBorder="1" applyAlignment="1">
      <alignment/>
    </xf>
    <xf numFmtId="3" fontId="3" fillId="0" borderId="4" xfId="0" applyNumberFormat="1" applyFont="1" applyBorder="1" applyAlignment="1">
      <alignment/>
    </xf>
    <xf numFmtId="3" fontId="3" fillId="0" borderId="60" xfId="0" applyNumberFormat="1" applyFont="1" applyBorder="1" applyAlignment="1">
      <alignment/>
    </xf>
    <xf numFmtId="3" fontId="3" fillId="0" borderId="25" xfId="0" applyNumberFormat="1" applyFont="1" applyBorder="1" applyAlignment="1">
      <alignment/>
    </xf>
    <xf numFmtId="10" fontId="3" fillId="0" borderId="6" xfId="0" applyNumberFormat="1" applyFont="1" applyBorder="1" applyAlignment="1">
      <alignment/>
    </xf>
    <xf numFmtId="3" fontId="3" fillId="0" borderId="6" xfId="0" applyNumberFormat="1" applyFont="1" applyBorder="1" applyAlignment="1">
      <alignment/>
    </xf>
    <xf numFmtId="10" fontId="3" fillId="0" borderId="7" xfId="0" applyNumberFormat="1" applyFont="1" applyBorder="1" applyAlignment="1">
      <alignment/>
    </xf>
    <xf numFmtId="3" fontId="12" fillId="0" borderId="24" xfId="0" applyNumberFormat="1" applyFont="1" applyBorder="1" applyAlignment="1">
      <alignment horizontal="right" vertical="center"/>
    </xf>
    <xf numFmtId="3" fontId="12" fillId="0" borderId="2" xfId="0" applyNumberFormat="1" applyFont="1" applyBorder="1" applyAlignment="1">
      <alignment horizontal="right" vertical="center"/>
    </xf>
    <xf numFmtId="3" fontId="12" fillId="0" borderId="23" xfId="0" applyNumberFormat="1" applyFont="1" applyBorder="1" applyAlignment="1">
      <alignment vertical="center"/>
    </xf>
    <xf numFmtId="3" fontId="12" fillId="0" borderId="4" xfId="0" applyNumberFormat="1" applyFont="1" applyBorder="1" applyAlignment="1">
      <alignment vertical="center"/>
    </xf>
    <xf numFmtId="3" fontId="0" fillId="0" borderId="0" xfId="0" applyNumberFormat="1" applyAlignment="1">
      <alignment vertical="center"/>
    </xf>
    <xf numFmtId="3" fontId="12" fillId="0" borderId="32" xfId="0" applyNumberFormat="1" applyFont="1" applyBorder="1" applyAlignment="1">
      <alignment vertical="center"/>
    </xf>
    <xf numFmtId="3" fontId="12" fillId="0" borderId="4" xfId="0" applyNumberFormat="1" applyFont="1" applyFill="1" applyBorder="1" applyAlignment="1">
      <alignment vertical="center"/>
    </xf>
    <xf numFmtId="0" fontId="0" fillId="0" borderId="4" xfId="0" applyFill="1" applyBorder="1" applyAlignment="1">
      <alignment vertical="center"/>
    </xf>
    <xf numFmtId="0" fontId="0" fillId="0" borderId="4" xfId="0" applyFill="1" applyBorder="1" applyAlignment="1">
      <alignment/>
    </xf>
    <xf numFmtId="10" fontId="12" fillId="0" borderId="4" xfId="0" applyNumberFormat="1" applyFont="1" applyFill="1" applyBorder="1" applyAlignment="1">
      <alignment vertical="center"/>
    </xf>
    <xf numFmtId="3" fontId="12" fillId="0" borderId="8" xfId="0" applyNumberFormat="1" applyFont="1" applyFill="1" applyBorder="1" applyAlignment="1">
      <alignment vertical="center"/>
    </xf>
    <xf numFmtId="0" fontId="0" fillId="0" borderId="8" xfId="0" applyFill="1" applyBorder="1" applyAlignment="1">
      <alignment vertical="center"/>
    </xf>
    <xf numFmtId="10" fontId="12" fillId="0" borderId="2" xfId="0" applyNumberFormat="1" applyFont="1" applyFill="1" applyBorder="1" applyAlignment="1">
      <alignment vertical="center"/>
    </xf>
    <xf numFmtId="3" fontId="12" fillId="2" borderId="45" xfId="0" applyNumberFormat="1" applyFont="1" applyFill="1" applyBorder="1" applyAlignment="1">
      <alignment vertical="center"/>
    </xf>
    <xf numFmtId="3" fontId="12" fillId="2" borderId="35" xfId="0" applyNumberFormat="1" applyFont="1" applyFill="1" applyBorder="1" applyAlignment="1">
      <alignment vertical="center"/>
    </xf>
    <xf numFmtId="3" fontId="12" fillId="0" borderId="23" xfId="0" applyNumberFormat="1" applyFont="1" applyFill="1" applyBorder="1" applyAlignment="1">
      <alignment vertical="center"/>
    </xf>
    <xf numFmtId="3" fontId="12" fillId="0" borderId="5" xfId="0" applyNumberFormat="1" applyFont="1" applyFill="1" applyBorder="1" applyAlignment="1">
      <alignment vertical="center"/>
    </xf>
    <xf numFmtId="3" fontId="12" fillId="0" borderId="30" xfId="0" applyNumberFormat="1" applyFont="1" applyFill="1" applyBorder="1" applyAlignment="1">
      <alignment vertical="center"/>
    </xf>
    <xf numFmtId="3" fontId="12" fillId="0" borderId="17" xfId="0" applyNumberFormat="1" applyFont="1" applyFill="1" applyBorder="1" applyAlignment="1">
      <alignment vertical="center"/>
    </xf>
    <xf numFmtId="10" fontId="12" fillId="0" borderId="24" xfId="0" applyNumberFormat="1" applyFont="1" applyFill="1" applyBorder="1" applyAlignment="1">
      <alignment vertical="center"/>
    </xf>
    <xf numFmtId="10" fontId="12" fillId="0" borderId="3" xfId="0" applyNumberFormat="1" applyFont="1" applyFill="1" applyBorder="1" applyAlignment="1">
      <alignment vertical="center"/>
    </xf>
    <xf numFmtId="10" fontId="12" fillId="0" borderId="5" xfId="0" applyNumberFormat="1" applyFont="1" applyFill="1" applyBorder="1" applyAlignment="1">
      <alignment vertical="center"/>
    </xf>
    <xf numFmtId="10" fontId="12" fillId="0" borderId="6" xfId="0" applyNumberFormat="1" applyFont="1" applyFill="1" applyBorder="1" applyAlignment="1">
      <alignment vertical="center"/>
    </xf>
    <xf numFmtId="0" fontId="0" fillId="0" borderId="6" xfId="0" applyFill="1" applyBorder="1" applyAlignment="1">
      <alignment vertical="center"/>
    </xf>
    <xf numFmtId="10" fontId="12" fillId="0" borderId="7" xfId="0" applyNumberFormat="1" applyFont="1" applyFill="1" applyBorder="1" applyAlignment="1">
      <alignment vertical="center"/>
    </xf>
    <xf numFmtId="3" fontId="12" fillId="0" borderId="24" xfId="0" applyNumberFormat="1" applyFont="1" applyFill="1" applyBorder="1" applyAlignment="1">
      <alignment vertical="center"/>
    </xf>
    <xf numFmtId="3" fontId="12" fillId="0" borderId="2" xfId="0" applyNumberFormat="1" applyFont="1" applyFill="1" applyBorder="1" applyAlignment="1">
      <alignment vertical="center"/>
    </xf>
    <xf numFmtId="0" fontId="0" fillId="0" borderId="2" xfId="0" applyFill="1" applyBorder="1" applyAlignment="1">
      <alignment vertical="center"/>
    </xf>
    <xf numFmtId="3" fontId="12" fillId="0" borderId="3" xfId="0" applyNumberFormat="1" applyFont="1" applyFill="1" applyBorder="1" applyAlignment="1">
      <alignment vertical="center"/>
    </xf>
    <xf numFmtId="3" fontId="12" fillId="0" borderId="5" xfId="0" applyNumberFormat="1" applyFont="1" applyBorder="1" applyAlignment="1">
      <alignment vertical="center"/>
    </xf>
    <xf numFmtId="3" fontId="12" fillId="0" borderId="32" xfId="0" applyNumberFormat="1" applyFont="1" applyBorder="1" applyAlignment="1">
      <alignment horizontal="right" vertical="center"/>
    </xf>
    <xf numFmtId="3" fontId="12" fillId="0" borderId="23" xfId="0" applyNumberFormat="1" applyFont="1" applyBorder="1" applyAlignment="1">
      <alignment horizontal="right" vertical="center"/>
    </xf>
    <xf numFmtId="10" fontId="12" fillId="0" borderId="46" xfId="0" applyNumberFormat="1" applyFont="1" applyFill="1" applyBorder="1" applyAlignment="1">
      <alignment vertical="center"/>
    </xf>
    <xf numFmtId="10" fontId="12" fillId="0" borderId="1" xfId="0" applyNumberFormat="1" applyFont="1" applyFill="1" applyBorder="1" applyAlignment="1">
      <alignment vertical="center"/>
    </xf>
    <xf numFmtId="3" fontId="12" fillId="0" borderId="32" xfId="0" applyNumberFormat="1" applyFont="1" applyFill="1" applyBorder="1" applyAlignment="1">
      <alignment vertical="center"/>
    </xf>
    <xf numFmtId="10" fontId="12" fillId="0" borderId="36" xfId="0" applyNumberFormat="1" applyFont="1" applyFill="1" applyBorder="1" applyAlignment="1">
      <alignment vertical="center"/>
    </xf>
    <xf numFmtId="10" fontId="12" fillId="0" borderId="32" xfId="0" applyNumberFormat="1" applyFont="1" applyFill="1" applyBorder="1" applyAlignment="1">
      <alignment vertical="center"/>
    </xf>
    <xf numFmtId="10" fontId="12" fillId="0" borderId="29" xfId="0" applyNumberFormat="1" applyFont="1" applyFill="1" applyBorder="1" applyAlignment="1">
      <alignment vertical="center"/>
    </xf>
    <xf numFmtId="10" fontId="12" fillId="0" borderId="11" xfId="0" applyNumberFormat="1" applyFont="1" applyFill="1" applyBorder="1" applyAlignment="1">
      <alignment vertical="center"/>
    </xf>
    <xf numFmtId="10" fontId="12" fillId="0" borderId="10" xfId="0" applyNumberFormat="1" applyFont="1" applyFill="1" applyBorder="1" applyAlignment="1">
      <alignment vertical="center"/>
    </xf>
    <xf numFmtId="10" fontId="12" fillId="0" borderId="52" xfId="0" applyNumberFormat="1" applyFont="1" applyFill="1" applyBorder="1" applyAlignment="1">
      <alignment vertical="center"/>
    </xf>
    <xf numFmtId="10" fontId="12" fillId="0" borderId="13" xfId="0" applyNumberFormat="1" applyFont="1" applyFill="1" applyBorder="1" applyAlignment="1">
      <alignment vertical="center"/>
    </xf>
    <xf numFmtId="10" fontId="12" fillId="0" borderId="14" xfId="0" applyNumberFormat="1" applyFont="1" applyFill="1" applyBorder="1" applyAlignment="1">
      <alignment vertical="center"/>
    </xf>
    <xf numFmtId="3" fontId="12" fillId="0" borderId="28" xfId="0" applyNumberFormat="1" applyFont="1" applyFill="1" applyBorder="1" applyAlignment="1">
      <alignment vertical="center"/>
    </xf>
    <xf numFmtId="3" fontId="12" fillId="2" borderId="53" xfId="0" applyNumberFormat="1" applyFont="1" applyFill="1" applyBorder="1" applyAlignment="1">
      <alignment vertical="center"/>
    </xf>
    <xf numFmtId="2" fontId="12" fillId="0" borderId="30" xfId="0" applyNumberFormat="1" applyFont="1" applyFill="1" applyBorder="1" applyAlignment="1">
      <alignment vertical="center"/>
    </xf>
    <xf numFmtId="2" fontId="12" fillId="0" borderId="8" xfId="0" applyNumberFormat="1" applyFont="1" applyFill="1" applyBorder="1" applyAlignment="1">
      <alignment vertical="center"/>
    </xf>
    <xf numFmtId="2" fontId="12" fillId="0" borderId="17" xfId="0" applyNumberFormat="1" applyFont="1" applyFill="1" applyBorder="1" applyAlignment="1">
      <alignment vertical="center"/>
    </xf>
    <xf numFmtId="2" fontId="12" fillId="0" borderId="28" xfId="0" applyNumberFormat="1" applyFont="1" applyFill="1" applyBorder="1" applyAlignment="1">
      <alignment vertical="center"/>
    </xf>
    <xf numFmtId="3" fontId="12" fillId="0" borderId="36" xfId="0" applyNumberFormat="1" applyFont="1" applyFill="1" applyBorder="1" applyAlignment="1">
      <alignment vertical="center"/>
    </xf>
    <xf numFmtId="3" fontId="12" fillId="0" borderId="3" xfId="0" applyNumberFormat="1" applyFont="1" applyBorder="1" applyAlignment="1">
      <alignment horizontal="right" vertical="center"/>
    </xf>
    <xf numFmtId="3" fontId="12" fillId="0" borderId="36" xfId="0" applyNumberFormat="1" applyFont="1" applyBorder="1" applyAlignment="1">
      <alignment horizontal="right" vertical="center"/>
    </xf>
    <xf numFmtId="0" fontId="8" fillId="2" borderId="42" xfId="0" applyFont="1" applyFill="1" applyBorder="1" applyAlignment="1">
      <alignment horizontal="left" vertical="center"/>
    </xf>
    <xf numFmtId="0" fontId="8" fillId="2" borderId="43" xfId="0" applyFont="1" applyFill="1" applyBorder="1" applyAlignment="1">
      <alignment vertical="center" wrapText="1"/>
    </xf>
    <xf numFmtId="0" fontId="8" fillId="2" borderId="44" xfId="0" applyFont="1" applyFill="1" applyBorder="1" applyAlignment="1">
      <alignment vertical="center" wrapText="1"/>
    </xf>
    <xf numFmtId="3" fontId="8" fillId="2" borderId="41" xfId="0" applyNumberFormat="1" applyFont="1" applyFill="1" applyBorder="1" applyAlignment="1">
      <alignment vertical="center" wrapText="1"/>
    </xf>
    <xf numFmtId="0" fontId="8" fillId="2" borderId="42" xfId="0" applyFont="1" applyFill="1" applyBorder="1" applyAlignment="1">
      <alignment vertical="center" wrapText="1"/>
    </xf>
    <xf numFmtId="0" fontId="8" fillId="2" borderId="60" xfId="0" applyFont="1" applyFill="1" applyBorder="1" applyAlignment="1">
      <alignment vertical="center" wrapText="1"/>
    </xf>
    <xf numFmtId="0" fontId="33" fillId="0" borderId="0" xfId="0" applyFont="1" applyAlignment="1">
      <alignment/>
    </xf>
    <xf numFmtId="0" fontId="33" fillId="0" borderId="0" xfId="0" applyFont="1" applyAlignment="1">
      <alignment vertical="center"/>
    </xf>
    <xf numFmtId="0" fontId="33" fillId="2" borderId="6"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3" fillId="0" borderId="0" xfId="0" applyFont="1" applyAlignment="1">
      <alignment horizontal="center"/>
    </xf>
    <xf numFmtId="0" fontId="0" fillId="0" borderId="0" xfId="0" applyAlignment="1">
      <alignment horizontal="center"/>
    </xf>
    <xf numFmtId="10" fontId="12" fillId="0" borderId="21" xfId="0" applyNumberFormat="1" applyFont="1" applyFill="1" applyBorder="1" applyAlignment="1">
      <alignment vertical="center"/>
    </xf>
    <xf numFmtId="10" fontId="12" fillId="0" borderId="64" xfId="0" applyNumberFormat="1" applyFont="1" applyFill="1" applyBorder="1" applyAlignment="1">
      <alignment vertical="center"/>
    </xf>
    <xf numFmtId="10" fontId="12" fillId="0" borderId="22" xfId="0" applyNumberFormat="1" applyFont="1" applyFill="1" applyBorder="1" applyAlignment="1">
      <alignment vertical="center"/>
    </xf>
    <xf numFmtId="3" fontId="12" fillId="2" borderId="40" xfId="0" applyNumberFormat="1" applyFont="1" applyFill="1" applyBorder="1" applyAlignment="1">
      <alignment vertical="center"/>
    </xf>
    <xf numFmtId="3" fontId="12" fillId="0" borderId="31" xfId="0" applyNumberFormat="1" applyFont="1" applyFill="1" applyBorder="1" applyAlignment="1">
      <alignment vertical="center"/>
    </xf>
    <xf numFmtId="3" fontId="12" fillId="0" borderId="9" xfId="0" applyNumberFormat="1" applyFont="1" applyFill="1" applyBorder="1" applyAlignment="1">
      <alignment vertical="center"/>
    </xf>
    <xf numFmtId="0" fontId="0" fillId="0" borderId="9" xfId="0" applyFill="1" applyBorder="1" applyAlignment="1">
      <alignment vertical="center"/>
    </xf>
    <xf numFmtId="3" fontId="12" fillId="0" borderId="27" xfId="0" applyNumberFormat="1" applyFont="1" applyFill="1" applyBorder="1" applyAlignment="1">
      <alignment vertical="center"/>
    </xf>
    <xf numFmtId="3" fontId="12" fillId="2" borderId="52" xfId="0" applyNumberFormat="1" applyFont="1" applyFill="1" applyBorder="1" applyAlignment="1">
      <alignment vertical="center"/>
    </xf>
    <xf numFmtId="3" fontId="12" fillId="2" borderId="13" xfId="0" applyNumberFormat="1" applyFont="1" applyFill="1" applyBorder="1" applyAlignment="1">
      <alignment vertical="center"/>
    </xf>
    <xf numFmtId="3" fontId="12" fillId="2" borderId="14" xfId="0" applyNumberFormat="1" applyFont="1" applyFill="1" applyBorder="1" applyAlignment="1">
      <alignment vertical="center"/>
    </xf>
    <xf numFmtId="10" fontId="12" fillId="0" borderId="23" xfId="0" applyNumberFormat="1" applyFont="1" applyFill="1" applyBorder="1" applyAlignment="1">
      <alignment vertical="center"/>
    </xf>
    <xf numFmtId="10" fontId="12" fillId="0" borderId="25" xfId="0" applyNumberFormat="1" applyFont="1" applyFill="1" applyBorder="1" applyAlignment="1">
      <alignment vertical="center"/>
    </xf>
    <xf numFmtId="10" fontId="3" fillId="0" borderId="11" xfId="0" applyNumberFormat="1" applyFont="1" applyBorder="1" applyAlignment="1">
      <alignment vertical="center"/>
    </xf>
    <xf numFmtId="3" fontId="12" fillId="2" borderId="40" xfId="0" applyNumberFormat="1" applyFont="1" applyFill="1" applyBorder="1" applyAlignment="1">
      <alignment horizontal="center" vertical="center" wrapText="1"/>
    </xf>
    <xf numFmtId="10" fontId="3" fillId="0" borderId="47" xfId="0" applyNumberFormat="1" applyFont="1" applyBorder="1" applyAlignment="1">
      <alignment vertical="center"/>
    </xf>
    <xf numFmtId="10" fontId="3" fillId="0" borderId="11" xfId="0" applyNumberFormat="1" applyFont="1" applyBorder="1" applyAlignment="1">
      <alignment/>
    </xf>
    <xf numFmtId="10" fontId="3" fillId="0" borderId="47" xfId="0" applyNumberFormat="1" applyFont="1" applyBorder="1" applyAlignment="1">
      <alignment/>
    </xf>
    <xf numFmtId="0" fontId="3" fillId="2" borderId="4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0" borderId="0" xfId="0" applyFont="1" applyAlignment="1">
      <alignment/>
    </xf>
    <xf numFmtId="0" fontId="0" fillId="0" borderId="0" xfId="0" applyAlignment="1">
      <alignment horizontal="right"/>
    </xf>
    <xf numFmtId="0" fontId="0" fillId="0" borderId="0" xfId="0" applyAlignment="1">
      <alignment horizontal="center" vertical="center"/>
    </xf>
    <xf numFmtId="0" fontId="4" fillId="0" borderId="0" xfId="0" applyFont="1" applyAlignment="1">
      <alignment horizontal="center" vertical="center"/>
    </xf>
    <xf numFmtId="0" fontId="13" fillId="0" borderId="43" xfId="0" applyFont="1" applyBorder="1" applyAlignment="1">
      <alignment horizontal="justify" vertical="center"/>
    </xf>
    <xf numFmtId="0" fontId="13" fillId="0" borderId="23" xfId="0" applyFont="1" applyBorder="1" applyAlignment="1">
      <alignment horizontal="right" vertical="center"/>
    </xf>
    <xf numFmtId="3" fontId="13" fillId="0" borderId="12" xfId="0" applyNumberFormat="1" applyFont="1" applyBorder="1" applyAlignment="1">
      <alignment horizontal="right" vertical="center"/>
    </xf>
    <xf numFmtId="1" fontId="13" fillId="0" borderId="12" xfId="0" applyNumberFormat="1" applyFont="1" applyBorder="1" applyAlignment="1">
      <alignment horizontal="right" vertical="center"/>
    </xf>
    <xf numFmtId="3" fontId="3" fillId="0" borderId="12" xfId="0" applyNumberFormat="1" applyFont="1" applyBorder="1" applyAlignment="1">
      <alignment vertical="center"/>
    </xf>
    <xf numFmtId="0" fontId="13" fillId="0" borderId="44" xfId="0" applyFont="1" applyBorder="1" applyAlignment="1">
      <alignment horizontal="justify" vertical="center"/>
    </xf>
    <xf numFmtId="0" fontId="13" fillId="0" borderId="30" xfId="0" applyFont="1" applyBorder="1" applyAlignment="1">
      <alignment horizontal="right" vertical="center"/>
    </xf>
    <xf numFmtId="3" fontId="13" fillId="0" borderId="50" xfId="0" applyNumberFormat="1" applyFont="1" applyBorder="1" applyAlignment="1">
      <alignment horizontal="right" vertical="center"/>
    </xf>
    <xf numFmtId="1" fontId="13" fillId="0" borderId="50" xfId="0" applyNumberFormat="1" applyFont="1" applyBorder="1" applyAlignment="1">
      <alignment horizontal="right" vertical="center"/>
    </xf>
    <xf numFmtId="3" fontId="3" fillId="0" borderId="50" xfId="0" applyNumberFormat="1" applyFont="1" applyBorder="1" applyAlignment="1">
      <alignment vertical="center"/>
    </xf>
    <xf numFmtId="0" fontId="13" fillId="2" borderId="41" xfId="0" applyFont="1" applyFill="1" applyBorder="1" applyAlignment="1">
      <alignment horizontal="justify" vertical="center"/>
    </xf>
    <xf numFmtId="0" fontId="3" fillId="2" borderId="45" xfId="0" applyFont="1" applyFill="1" applyBorder="1" applyAlignment="1">
      <alignment horizontal="right" vertical="center"/>
    </xf>
    <xf numFmtId="3" fontId="13" fillId="2" borderId="40" xfId="0" applyNumberFormat="1" applyFont="1" applyFill="1" applyBorder="1" applyAlignment="1">
      <alignment horizontal="right" vertical="center"/>
    </xf>
    <xf numFmtId="1" fontId="13" fillId="2" borderId="40" xfId="0" applyNumberFormat="1" applyFont="1" applyFill="1" applyBorder="1" applyAlignment="1">
      <alignment horizontal="right" vertical="center"/>
    </xf>
    <xf numFmtId="3" fontId="3" fillId="2" borderId="40" xfId="0" applyNumberFormat="1" applyFont="1" applyFill="1" applyBorder="1" applyAlignment="1">
      <alignment vertical="center"/>
    </xf>
    <xf numFmtId="0" fontId="7" fillId="0" borderId="0" xfId="0" applyFont="1" applyAlignment="1">
      <alignment vertical="center"/>
    </xf>
    <xf numFmtId="0" fontId="35" fillId="0" borderId="0" xfId="0" applyFont="1" applyFill="1" applyBorder="1" applyAlignment="1">
      <alignment horizontal="justify" vertical="center"/>
    </xf>
    <xf numFmtId="0" fontId="3"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ill="1" applyAlignment="1">
      <alignment vertical="center"/>
    </xf>
    <xf numFmtId="4" fontId="12" fillId="0" borderId="2" xfId="0" applyNumberFormat="1" applyFont="1" applyBorder="1" applyAlignment="1">
      <alignment horizontal="right" vertical="center"/>
    </xf>
    <xf numFmtId="3" fontId="12" fillId="2" borderId="64" xfId="0" applyNumberFormat="1" applyFont="1" applyFill="1" applyBorder="1" applyAlignment="1">
      <alignment vertical="center"/>
    </xf>
    <xf numFmtId="0" fontId="33" fillId="2" borderId="47" xfId="0" applyFont="1" applyFill="1" applyBorder="1" applyAlignment="1">
      <alignment horizontal="center" vertical="center" wrapText="1"/>
    </xf>
    <xf numFmtId="3" fontId="12" fillId="0" borderId="11" xfId="0" applyNumberFormat="1" applyFont="1" applyBorder="1" applyAlignment="1">
      <alignment horizontal="right" vertical="center"/>
    </xf>
    <xf numFmtId="3" fontId="12" fillId="0" borderId="12" xfId="0" applyNumberFormat="1" applyFont="1" applyBorder="1" applyAlignment="1">
      <alignment vertical="center"/>
    </xf>
    <xf numFmtId="2" fontId="12" fillId="0" borderId="50" xfId="0" applyNumberFormat="1" applyFont="1" applyFill="1" applyBorder="1" applyAlignment="1">
      <alignment vertical="center"/>
    </xf>
    <xf numFmtId="3" fontId="12" fillId="0" borderId="11" xfId="0" applyNumberFormat="1" applyFont="1" applyFill="1" applyBorder="1" applyAlignment="1">
      <alignment vertical="center"/>
    </xf>
    <xf numFmtId="0" fontId="33" fillId="2" borderId="35" xfId="0" applyFont="1" applyFill="1" applyBorder="1" applyAlignment="1">
      <alignment horizontal="center" vertical="center" wrapText="1"/>
    </xf>
    <xf numFmtId="4" fontId="12" fillId="0" borderId="24" xfId="0" applyNumberFormat="1" applyFont="1" applyBorder="1" applyAlignment="1">
      <alignment horizontal="right" vertical="center"/>
    </xf>
    <xf numFmtId="4" fontId="12" fillId="0" borderId="3" xfId="0" applyNumberFormat="1" applyFont="1" applyBorder="1" applyAlignment="1">
      <alignment horizontal="right" vertical="center"/>
    </xf>
    <xf numFmtId="3" fontId="12" fillId="2" borderId="54" xfId="0" applyNumberFormat="1" applyFont="1" applyFill="1" applyBorder="1" applyAlignment="1">
      <alignment vertical="center"/>
    </xf>
    <xf numFmtId="3" fontId="12" fillId="2" borderId="21" xfId="0" applyNumberFormat="1" applyFont="1" applyFill="1" applyBorder="1" applyAlignment="1">
      <alignment vertical="center"/>
    </xf>
    <xf numFmtId="3" fontId="12" fillId="2" borderId="22" xfId="0" applyNumberFormat="1" applyFont="1" applyFill="1" applyBorder="1" applyAlignment="1">
      <alignment vertical="center"/>
    </xf>
    <xf numFmtId="3" fontId="12" fillId="0" borderId="12" xfId="0" applyNumberFormat="1" applyFont="1" applyFill="1" applyBorder="1" applyAlignment="1">
      <alignment vertical="center"/>
    </xf>
    <xf numFmtId="3" fontId="12" fillId="0" borderId="50" xfId="0" applyNumberFormat="1" applyFont="1" applyFill="1" applyBorder="1" applyAlignment="1">
      <alignment vertical="center"/>
    </xf>
    <xf numFmtId="10" fontId="12" fillId="0" borderId="48" xfId="0" applyNumberFormat="1" applyFont="1" applyFill="1" applyBorder="1" applyAlignment="1">
      <alignment vertical="center"/>
    </xf>
    <xf numFmtId="0" fontId="33" fillId="2" borderId="45"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33" fillId="2" borderId="41"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33" fillId="2" borderId="58" xfId="0" applyFont="1" applyFill="1" applyBorder="1" applyAlignment="1">
      <alignment horizontal="center" vertical="center" wrapText="1"/>
    </xf>
    <xf numFmtId="0" fontId="4" fillId="0" borderId="0" xfId="0" applyFont="1" applyAlignment="1">
      <alignment vertical="center"/>
    </xf>
    <xf numFmtId="3" fontId="4" fillId="0" borderId="36" xfId="0" applyNumberFormat="1" applyFont="1" applyFill="1" applyBorder="1" applyAlignment="1">
      <alignment vertical="center" wrapText="1"/>
    </xf>
    <xf numFmtId="0" fontId="0" fillId="0" borderId="0" xfId="0" applyBorder="1" applyAlignment="1">
      <alignment/>
    </xf>
    <xf numFmtId="0" fontId="0" fillId="0" borderId="0" xfId="0" applyBorder="1" applyAlignment="1">
      <alignment vertical="center"/>
    </xf>
    <xf numFmtId="3" fontId="13" fillId="0" borderId="12" xfId="0" applyNumberFormat="1" applyFont="1" applyBorder="1" applyAlignment="1">
      <alignment horizontal="center" vertical="center"/>
    </xf>
    <xf numFmtId="3" fontId="13" fillId="2" borderId="35" xfId="0" applyNumberFormat="1" applyFont="1" applyFill="1" applyBorder="1" applyAlignment="1">
      <alignment horizontal="center" vertical="center"/>
    </xf>
    <xf numFmtId="1" fontId="0" fillId="0" borderId="0" xfId="0" applyNumberFormat="1" applyAlignment="1">
      <alignment horizontal="center"/>
    </xf>
    <xf numFmtId="1" fontId="13" fillId="0" borderId="12" xfId="0" applyNumberFormat="1" applyFont="1" applyBorder="1" applyAlignment="1">
      <alignment horizontal="center" vertical="center"/>
    </xf>
    <xf numFmtId="1" fontId="13" fillId="2" borderId="35"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3" fillId="2" borderId="35" xfId="0" applyNumberFormat="1" applyFont="1" applyFill="1" applyBorder="1" applyAlignment="1">
      <alignment horizontal="center" vertical="center"/>
    </xf>
    <xf numFmtId="1" fontId="34" fillId="0" borderId="0" xfId="0" applyNumberFormat="1" applyFont="1" applyAlignment="1">
      <alignment horizontal="center"/>
    </xf>
    <xf numFmtId="1" fontId="0" fillId="0" borderId="0" xfId="0" applyNumberFormat="1" applyFill="1" applyAlignment="1">
      <alignment horizontal="center" vertical="center"/>
    </xf>
    <xf numFmtId="0" fontId="13" fillId="0" borderId="42" xfId="0" applyFont="1" applyBorder="1" applyAlignment="1">
      <alignment horizontal="justify" vertical="center"/>
    </xf>
    <xf numFmtId="0" fontId="13" fillId="0" borderId="24" xfId="0" applyFont="1" applyBorder="1" applyAlignment="1">
      <alignment horizontal="right" vertical="center"/>
    </xf>
    <xf numFmtId="3" fontId="13" fillId="0" borderId="11" xfId="0" applyNumberFormat="1" applyFont="1" applyBorder="1" applyAlignment="1">
      <alignment horizontal="right" vertical="center"/>
    </xf>
    <xf numFmtId="3" fontId="13" fillId="0" borderId="11" xfId="0" applyNumberFormat="1" applyFont="1" applyBorder="1" applyAlignment="1">
      <alignment horizontal="center" vertical="center"/>
    </xf>
    <xf numFmtId="1" fontId="13" fillId="0" borderId="11" xfId="0" applyNumberFormat="1" applyFont="1" applyBorder="1" applyAlignment="1">
      <alignment horizontal="right" vertical="center"/>
    </xf>
    <xf numFmtId="1" fontId="13" fillId="0" borderId="11" xfId="0" applyNumberFormat="1" applyFont="1" applyBorder="1" applyAlignment="1">
      <alignment horizontal="center" vertical="center"/>
    </xf>
    <xf numFmtId="3" fontId="3" fillId="0" borderId="11" xfId="0" applyNumberFormat="1" applyFont="1" applyBorder="1" applyAlignment="1">
      <alignment vertical="center"/>
    </xf>
    <xf numFmtId="0" fontId="3" fillId="2" borderId="60" xfId="0" applyFont="1" applyFill="1" applyBorder="1" applyAlignment="1">
      <alignment horizontal="center" vertical="center" wrapText="1"/>
    </xf>
    <xf numFmtId="0" fontId="3" fillId="2" borderId="47" xfId="0" applyFont="1" applyFill="1" applyBorder="1" applyAlignment="1" quotePrefix="1">
      <alignment horizontal="center" vertical="center"/>
    </xf>
    <xf numFmtId="0" fontId="3" fillId="2" borderId="7" xfId="0" applyFont="1" applyFill="1" applyBorder="1" applyAlignment="1" quotePrefix="1">
      <alignment horizontal="center" vertical="center"/>
    </xf>
    <xf numFmtId="1" fontId="3" fillId="2" borderId="7" xfId="0" applyNumberFormat="1" applyFont="1" applyFill="1" applyBorder="1" applyAlignment="1" quotePrefix="1">
      <alignment horizontal="center" vertical="center"/>
    </xf>
    <xf numFmtId="0" fontId="4"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Font="1" applyAlignment="1">
      <alignment/>
    </xf>
    <xf numFmtId="1" fontId="0" fillId="0" borderId="0" xfId="0" applyNumberFormat="1" applyAlignment="1">
      <alignment horizontal="center" vertical="center"/>
    </xf>
    <xf numFmtId="0" fontId="5" fillId="2" borderId="41" xfId="0" applyFont="1" applyFill="1" applyBorder="1" applyAlignment="1">
      <alignment vertical="center"/>
    </xf>
    <xf numFmtId="0" fontId="3" fillId="0" borderId="0" xfId="0" applyFont="1" applyAlignment="1">
      <alignment vertical="center"/>
    </xf>
    <xf numFmtId="1" fontId="3" fillId="0" borderId="0" xfId="0" applyNumberFormat="1" applyFont="1" applyAlignment="1">
      <alignment horizontal="center" vertical="center"/>
    </xf>
    <xf numFmtId="0" fontId="3" fillId="0" borderId="65"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0" xfId="0" applyFont="1" applyBorder="1" applyAlignment="1">
      <alignment/>
    </xf>
    <xf numFmtId="0" fontId="4" fillId="0" borderId="0" xfId="0" applyFont="1" applyAlignment="1">
      <alignment/>
    </xf>
    <xf numFmtId="0" fontId="4" fillId="0" borderId="0" xfId="0" applyFont="1" applyAlignment="1">
      <alignment vertical="top" wrapText="1"/>
    </xf>
    <xf numFmtId="0" fontId="37" fillId="0" borderId="0" xfId="0" applyFont="1" applyAlignment="1">
      <alignment/>
    </xf>
    <xf numFmtId="0" fontId="39" fillId="3" borderId="4" xfId="0" applyFont="1" applyFill="1" applyBorder="1" applyAlignment="1">
      <alignment horizontal="center" vertical="top" wrapText="1"/>
    </xf>
    <xf numFmtId="0" fontId="36" fillId="0" borderId="0" xfId="0" applyFont="1" applyAlignment="1">
      <alignment horizontal="left"/>
    </xf>
    <xf numFmtId="0" fontId="4" fillId="4" borderId="4" xfId="0" applyFont="1" applyFill="1" applyBorder="1" applyAlignment="1" quotePrefix="1">
      <alignment horizontal="center" vertical="center"/>
    </xf>
    <xf numFmtId="0" fontId="4" fillId="5" borderId="4" xfId="0" applyFont="1" applyFill="1" applyBorder="1" applyAlignment="1" quotePrefix="1">
      <alignment horizontal="center" vertical="center"/>
    </xf>
    <xf numFmtId="14" fontId="39" fillId="5" borderId="4" xfId="0" applyNumberFormat="1" applyFont="1" applyFill="1" applyBorder="1" applyAlignment="1">
      <alignment horizontal="center" vertical="center"/>
    </xf>
    <xf numFmtId="0" fontId="39" fillId="6" borderId="4" xfId="0" applyFont="1" applyFill="1" applyBorder="1" applyAlignment="1" quotePrefix="1">
      <alignment horizontal="center" vertical="top" wrapText="1"/>
    </xf>
    <xf numFmtId="14" fontId="4" fillId="5" borderId="4" xfId="0" applyNumberFormat="1" applyFont="1" applyFill="1" applyBorder="1" applyAlignment="1">
      <alignment horizontal="center" vertical="center"/>
    </xf>
    <xf numFmtId="14" fontId="39" fillId="3" borderId="4" xfId="0" applyNumberFormat="1" applyFont="1" applyFill="1" applyBorder="1" applyAlignment="1">
      <alignment horizontal="center" vertical="center" wrapText="1"/>
    </xf>
    <xf numFmtId="14" fontId="40" fillId="4" borderId="4" xfId="0" applyNumberFormat="1" applyFont="1" applyFill="1" applyBorder="1" applyAlignment="1">
      <alignment horizontal="center" vertical="center"/>
    </xf>
    <xf numFmtId="14" fontId="39" fillId="4" borderId="4" xfId="0" applyNumberFormat="1" applyFont="1" applyFill="1" applyBorder="1" applyAlignment="1">
      <alignment horizontal="center" vertical="center" wrapText="1"/>
    </xf>
    <xf numFmtId="14" fontId="39" fillId="6" borderId="4" xfId="0" applyNumberFormat="1" applyFont="1" applyFill="1" applyBorder="1" applyAlignment="1">
      <alignment horizontal="center" vertical="center" wrapText="1"/>
    </xf>
    <xf numFmtId="0" fontId="38" fillId="7" borderId="52" xfId="0" applyFont="1" applyFill="1" applyBorder="1" applyAlignment="1">
      <alignment horizontal="center" vertical="top" wrapText="1"/>
    </xf>
    <xf numFmtId="0" fontId="38" fillId="7" borderId="13" xfId="0" applyFont="1" applyFill="1" applyBorder="1" applyAlignment="1">
      <alignment horizontal="center" vertical="top" wrapText="1"/>
    </xf>
    <xf numFmtId="0" fontId="38" fillId="7" borderId="14" xfId="0" applyFont="1" applyFill="1" applyBorder="1" applyAlignment="1">
      <alignment horizontal="center" vertical="top" wrapText="1"/>
    </xf>
    <xf numFmtId="0" fontId="39" fillId="3" borderId="5" xfId="0" applyFont="1" applyFill="1" applyBorder="1" applyAlignment="1">
      <alignment horizontal="center" vertical="top" wrapText="1"/>
    </xf>
    <xf numFmtId="0" fontId="39" fillId="4" borderId="5"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5" borderId="5" xfId="0" applyFont="1" applyFill="1" applyBorder="1" applyAlignment="1">
      <alignment horizontal="center" vertical="center"/>
    </xf>
    <xf numFmtId="0" fontId="40" fillId="6" borderId="5" xfId="0" applyFont="1" applyFill="1" applyBorder="1" applyAlignment="1">
      <alignment horizontal="center"/>
    </xf>
    <xf numFmtId="14" fontId="39" fillId="6" borderId="6" xfId="0" applyNumberFormat="1" applyFont="1" applyFill="1" applyBorder="1" applyAlignment="1">
      <alignment horizontal="center" vertical="center" wrapText="1"/>
    </xf>
    <xf numFmtId="0" fontId="39" fillId="6" borderId="6" xfId="0" applyFont="1" applyFill="1" applyBorder="1" applyAlignment="1" quotePrefix="1">
      <alignment horizontal="center" vertical="top" wrapText="1"/>
    </xf>
    <xf numFmtId="0" fontId="40" fillId="6" borderId="7" xfId="0" applyFont="1" applyFill="1" applyBorder="1" applyAlignment="1">
      <alignment horizontal="center"/>
    </xf>
    <xf numFmtId="0" fontId="3" fillId="2" borderId="46" xfId="0" applyFont="1" applyFill="1" applyBorder="1" applyAlignment="1">
      <alignment horizontal="center" vertical="center" wrapText="1"/>
    </xf>
    <xf numFmtId="0" fontId="3" fillId="2" borderId="35" xfId="0" applyFont="1" applyFill="1" applyBorder="1" applyAlignment="1" quotePrefix="1">
      <alignment horizontal="center" vertical="center"/>
    </xf>
    <xf numFmtId="0" fontId="3" fillId="2" borderId="50" xfId="0" applyFont="1" applyFill="1" applyBorder="1" applyAlignment="1">
      <alignment horizontal="center" vertical="center" wrapText="1"/>
    </xf>
    <xf numFmtId="3" fontId="5" fillId="2" borderId="10" xfId="0" applyNumberFormat="1" applyFont="1" applyFill="1" applyBorder="1" applyAlignment="1">
      <alignment horizontal="right" wrapText="1"/>
    </xf>
    <xf numFmtId="0" fontId="3" fillId="2" borderId="40" xfId="0" applyFont="1" applyFill="1" applyBorder="1" applyAlignment="1">
      <alignment horizontal="center" vertical="center" wrapText="1"/>
    </xf>
    <xf numFmtId="3" fontId="3" fillId="0" borderId="55" xfId="0" applyNumberFormat="1" applyFont="1" applyFill="1" applyBorder="1" applyAlignment="1">
      <alignment vertical="center"/>
    </xf>
    <xf numFmtId="3" fontId="3" fillId="0" borderId="15" xfId="0" applyNumberFormat="1" applyFont="1" applyFill="1" applyBorder="1" applyAlignment="1">
      <alignment vertical="center"/>
    </xf>
    <xf numFmtId="3" fontId="4" fillId="0" borderId="22" xfId="0" applyNumberFormat="1"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vertical="top"/>
    </xf>
    <xf numFmtId="3" fontId="3" fillId="0" borderId="50" xfId="0" applyNumberFormat="1" applyFont="1" applyFill="1" applyBorder="1" applyAlignment="1">
      <alignment vertical="center"/>
    </xf>
    <xf numFmtId="14" fontId="3" fillId="0" borderId="66" xfId="0" applyNumberFormat="1" applyFont="1" applyFill="1" applyBorder="1" applyAlignment="1">
      <alignment horizontal="center" vertical="center"/>
    </xf>
    <xf numFmtId="0" fontId="3" fillId="2" borderId="54" xfId="0" applyFont="1" applyFill="1" applyBorder="1" applyAlignment="1">
      <alignment/>
    </xf>
    <xf numFmtId="0" fontId="3" fillId="2" borderId="54" xfId="0" applyFont="1" applyFill="1" applyBorder="1" applyAlignment="1">
      <alignment horizontal="left"/>
    </xf>
    <xf numFmtId="3" fontId="3" fillId="2" borderId="41" xfId="0" applyNumberFormat="1" applyFont="1" applyFill="1" applyBorder="1" applyAlignment="1">
      <alignment/>
    </xf>
    <xf numFmtId="3" fontId="3" fillId="2" borderId="34" xfId="0" applyNumberFormat="1" applyFont="1" applyFill="1" applyBorder="1" applyAlignment="1">
      <alignment/>
    </xf>
    <xf numFmtId="3" fontId="3" fillId="2" borderId="35" xfId="0" applyNumberFormat="1" applyFont="1" applyFill="1" applyBorder="1" applyAlignment="1">
      <alignment/>
    </xf>
    <xf numFmtId="0" fontId="4" fillId="0" borderId="0" xfId="0" applyFont="1" applyAlignment="1">
      <alignment horizontal="center"/>
    </xf>
    <xf numFmtId="1" fontId="4" fillId="0" borderId="0" xfId="0" applyNumberFormat="1" applyFont="1" applyAlignment="1">
      <alignment horizontal="center"/>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xf>
    <xf numFmtId="0" fontId="2" fillId="2" borderId="41" xfId="0" applyFont="1" applyFill="1" applyBorder="1" applyAlignment="1">
      <alignment horizontal="left" vertical="center"/>
    </xf>
    <xf numFmtId="0" fontId="2" fillId="2" borderId="34" xfId="0" applyFont="1" applyFill="1" applyBorder="1" applyAlignment="1">
      <alignment horizontal="center" vertical="center"/>
    </xf>
    <xf numFmtId="14" fontId="12" fillId="0" borderId="13" xfId="0" applyNumberFormat="1" applyFont="1" applyBorder="1" applyAlignment="1">
      <alignment horizontal="right" vertical="center"/>
    </xf>
    <xf numFmtId="0" fontId="3" fillId="0" borderId="0" xfId="0" applyFont="1" applyAlignment="1">
      <alignment horizontal="center" vertical="center"/>
    </xf>
    <xf numFmtId="14" fontId="12" fillId="0" borderId="4" xfId="0" applyNumberFormat="1" applyFont="1" applyBorder="1" applyAlignment="1">
      <alignment horizontal="right" vertical="center"/>
    </xf>
    <xf numFmtId="14" fontId="12" fillId="0" borderId="6" xfId="0" applyNumberFormat="1" applyFont="1" applyBorder="1" applyAlignment="1">
      <alignment horizontal="right" vertical="center"/>
    </xf>
    <xf numFmtId="0" fontId="12" fillId="0" borderId="6" xfId="0" applyFont="1" applyBorder="1" applyAlignment="1">
      <alignment horizontal="left" vertical="center"/>
    </xf>
    <xf numFmtId="14" fontId="12" fillId="0" borderId="9" xfId="0" applyNumberFormat="1" applyFont="1" applyBorder="1" applyAlignment="1">
      <alignment horizontal="right" vertical="center"/>
    </xf>
    <xf numFmtId="0" fontId="3" fillId="0" borderId="41" xfId="0" applyFont="1" applyBorder="1" applyAlignment="1">
      <alignment horizontal="left" vertical="center"/>
    </xf>
    <xf numFmtId="14" fontId="12" fillId="0" borderId="34" xfId="0" applyNumberFormat="1" applyFont="1" applyBorder="1" applyAlignment="1">
      <alignment horizontal="right" vertical="center"/>
    </xf>
    <xf numFmtId="14" fontId="12" fillId="0" borderId="1" xfId="0" applyNumberFormat="1" applyFont="1" applyBorder="1" applyAlignment="1">
      <alignment horizontal="right" vertical="center"/>
    </xf>
    <xf numFmtId="14" fontId="7" fillId="0" borderId="0" xfId="0" applyNumberFormat="1" applyFont="1" applyAlignment="1">
      <alignment horizontal="right" vertical="center"/>
    </xf>
    <xf numFmtId="14" fontId="7" fillId="0" borderId="6" xfId="0" applyNumberFormat="1" applyFont="1" applyBorder="1" applyAlignment="1">
      <alignment horizontal="right" vertical="center"/>
    </xf>
    <xf numFmtId="0" fontId="2" fillId="0" borderId="0" xfId="0" applyFont="1" applyAlignment="1">
      <alignment vertical="center"/>
    </xf>
    <xf numFmtId="0" fontId="0" fillId="0" borderId="0" xfId="0" applyAlignment="1">
      <alignment horizontal="right" vertical="center"/>
    </xf>
    <xf numFmtId="1" fontId="3" fillId="2" borderId="47" xfId="0" applyNumberFormat="1" applyFont="1" applyFill="1" applyBorder="1" applyAlignment="1" quotePrefix="1">
      <alignment horizontal="center" vertical="center"/>
    </xf>
    <xf numFmtId="1" fontId="13" fillId="0" borderId="50" xfId="0" applyNumberFormat="1" applyFont="1" applyBorder="1" applyAlignment="1">
      <alignment horizontal="center" vertical="center"/>
    </xf>
    <xf numFmtId="1" fontId="13" fillId="2" borderId="40" xfId="0" applyNumberFormat="1" applyFont="1" applyFill="1" applyBorder="1" applyAlignment="1">
      <alignment horizontal="center" vertical="center"/>
    </xf>
    <xf numFmtId="0" fontId="17" fillId="0" borderId="43" xfId="0" applyFont="1" applyBorder="1" applyAlignment="1">
      <alignment horizontal="justify" vertical="center"/>
    </xf>
    <xf numFmtId="3" fontId="4" fillId="0" borderId="29" xfId="0" applyNumberFormat="1" applyFont="1" applyFill="1" applyBorder="1" applyAlignment="1">
      <alignment vertical="center" wrapText="1"/>
    </xf>
    <xf numFmtId="3" fontId="4" fillId="0" borderId="7" xfId="0" applyNumberFormat="1" applyFont="1" applyFill="1" applyBorder="1" applyAlignment="1">
      <alignment vertical="center" wrapText="1"/>
    </xf>
    <xf numFmtId="0" fontId="0" fillId="0" borderId="0" xfId="0" applyFill="1" applyAlignment="1">
      <alignment/>
    </xf>
    <xf numFmtId="3" fontId="4" fillId="0" borderId="0" xfId="0" applyNumberFormat="1" applyFont="1" applyBorder="1" applyAlignment="1">
      <alignment vertical="center"/>
    </xf>
    <xf numFmtId="3" fontId="4" fillId="0" borderId="22" xfId="0" applyNumberFormat="1" applyFont="1" applyFill="1" applyBorder="1" applyAlignment="1">
      <alignment vertical="center" wrapText="1"/>
    </xf>
    <xf numFmtId="3" fontId="3" fillId="0" borderId="38" xfId="0" applyNumberFormat="1" applyFont="1" applyFill="1" applyBorder="1" applyAlignment="1">
      <alignment vertical="center"/>
    </xf>
    <xf numFmtId="3" fontId="5" fillId="2" borderId="38" xfId="0" applyNumberFormat="1" applyFont="1" applyFill="1" applyBorder="1" applyAlignment="1">
      <alignment vertical="center"/>
    </xf>
    <xf numFmtId="3" fontId="5" fillId="0" borderId="15" xfId="0" applyNumberFormat="1" applyFont="1" applyFill="1" applyBorder="1" applyAlignment="1">
      <alignment vertical="center"/>
    </xf>
    <xf numFmtId="3" fontId="5" fillId="0" borderId="16" xfId="0" applyNumberFormat="1" applyFont="1" applyFill="1" applyBorder="1" applyAlignment="1">
      <alignment vertical="center"/>
    </xf>
    <xf numFmtId="3" fontId="5" fillId="0" borderId="55" xfId="0" applyNumberFormat="1" applyFont="1" applyFill="1" applyBorder="1" applyAlignment="1">
      <alignment vertical="center"/>
    </xf>
    <xf numFmtId="165" fontId="3" fillId="0" borderId="3" xfId="0" applyNumberFormat="1" applyFont="1" applyBorder="1" applyAlignment="1">
      <alignment vertical="center"/>
    </xf>
    <xf numFmtId="165" fontId="3" fillId="0" borderId="5" xfId="0" applyNumberFormat="1" applyFont="1" applyBorder="1" applyAlignment="1">
      <alignment vertical="center"/>
    </xf>
    <xf numFmtId="165" fontId="3" fillId="0" borderId="17" xfId="0" applyNumberFormat="1" applyFont="1" applyBorder="1" applyAlignment="1">
      <alignment vertical="center"/>
    </xf>
    <xf numFmtId="165" fontId="3" fillId="2" borderId="35" xfId="0" applyNumberFormat="1" applyFont="1" applyFill="1" applyBorder="1" applyAlignment="1">
      <alignment horizontal="right" vertical="center" wrapText="1"/>
    </xf>
    <xf numFmtId="3" fontId="5" fillId="2" borderId="54" xfId="0" applyNumberFormat="1" applyFont="1" applyFill="1" applyBorder="1" applyAlignment="1">
      <alignment vertical="center"/>
    </xf>
    <xf numFmtId="164" fontId="13" fillId="0" borderId="49" xfId="0" applyNumberFormat="1" applyFont="1" applyBorder="1" applyAlignment="1">
      <alignment horizontal="right" vertical="center"/>
    </xf>
    <xf numFmtId="164" fontId="3" fillId="2" borderId="35" xfId="0" applyNumberFormat="1" applyFont="1" applyFill="1" applyBorder="1" applyAlignment="1">
      <alignment horizontal="right" vertical="center" wrapText="1"/>
    </xf>
    <xf numFmtId="164" fontId="3" fillId="0" borderId="3" xfId="0" applyNumberFormat="1" applyFont="1" applyBorder="1" applyAlignment="1">
      <alignment vertical="center"/>
    </xf>
    <xf numFmtId="164" fontId="3" fillId="0" borderId="5" xfId="0" applyNumberFormat="1" applyFont="1" applyBorder="1" applyAlignment="1">
      <alignment vertical="center"/>
    </xf>
    <xf numFmtId="164" fontId="3" fillId="0" borderId="17" xfId="0" applyNumberFormat="1" applyFont="1" applyBorder="1" applyAlignment="1">
      <alignment vertical="center"/>
    </xf>
    <xf numFmtId="165" fontId="3" fillId="0" borderId="7" xfId="0" applyNumberFormat="1" applyFont="1" applyBorder="1" applyAlignment="1">
      <alignment vertical="center"/>
    </xf>
    <xf numFmtId="165" fontId="16" fillId="2" borderId="35" xfId="0" applyNumberFormat="1" applyFont="1" applyFill="1" applyBorder="1" applyAlignment="1">
      <alignment horizontal="right" vertical="center" wrapText="1"/>
    </xf>
    <xf numFmtId="0" fontId="3" fillId="0" borderId="23" xfId="0" applyFont="1" applyBorder="1" applyAlignment="1">
      <alignment vertical="center" wrapText="1"/>
    </xf>
    <xf numFmtId="0" fontId="3" fillId="0" borderId="24" xfId="0" applyFont="1" applyBorder="1" applyAlignment="1">
      <alignment vertical="center"/>
    </xf>
    <xf numFmtId="0" fontId="3" fillId="0" borderId="23" xfId="0" applyFont="1" applyBorder="1" applyAlignment="1">
      <alignment vertical="center"/>
    </xf>
    <xf numFmtId="3" fontId="3" fillId="0" borderId="67" xfId="0" applyNumberFormat="1" applyFont="1" applyBorder="1" applyAlignment="1">
      <alignment vertical="center"/>
    </xf>
    <xf numFmtId="3" fontId="5" fillId="2" borderId="59" xfId="0" applyNumberFormat="1" applyFont="1" applyFill="1" applyBorder="1" applyAlignment="1">
      <alignment vertical="center"/>
    </xf>
    <xf numFmtId="3" fontId="5" fillId="2" borderId="10" xfId="0" applyNumberFormat="1" applyFont="1" applyFill="1" applyBorder="1" applyAlignment="1">
      <alignment vertical="center"/>
    </xf>
    <xf numFmtId="3" fontId="3" fillId="0" borderId="63" xfId="0" applyNumberFormat="1" applyFont="1" applyBorder="1" applyAlignment="1">
      <alignment vertical="center"/>
    </xf>
    <xf numFmtId="3" fontId="3" fillId="0" borderId="56" xfId="0" applyNumberFormat="1" applyFont="1" applyBorder="1" applyAlignment="1">
      <alignment vertical="center"/>
    </xf>
    <xf numFmtId="3" fontId="0" fillId="0" borderId="0" xfId="0" applyNumberFormat="1" applyAlignment="1">
      <alignment/>
    </xf>
    <xf numFmtId="0" fontId="3" fillId="2" borderId="45" xfId="0" applyFont="1" applyFill="1" applyBorder="1" applyAlignment="1">
      <alignment horizontal="left" vertical="center" wrapText="1"/>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2" borderId="45" xfId="0" applyFont="1" applyFill="1" applyBorder="1" applyAlignment="1">
      <alignment horizontal="left" vertical="center"/>
    </xf>
    <xf numFmtId="3" fontId="3" fillId="2" borderId="35" xfId="0" applyNumberFormat="1" applyFont="1" applyFill="1" applyBorder="1" applyAlignment="1">
      <alignment horizontal="right" vertical="center" wrapText="1"/>
    </xf>
    <xf numFmtId="0" fontId="3" fillId="0" borderId="0" xfId="0" applyFont="1" applyAlignment="1">
      <alignment horizontal="left"/>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3" fontId="3" fillId="0" borderId="4" xfId="0" applyNumberFormat="1" applyFont="1" applyBorder="1" applyAlignment="1">
      <alignment vertical="center" wrapText="1"/>
    </xf>
    <xf numFmtId="0" fontId="3" fillId="0" borderId="2" xfId="0" applyFont="1" applyBorder="1" applyAlignment="1">
      <alignment horizontal="left" vertical="center"/>
    </xf>
    <xf numFmtId="0" fontId="2" fillId="0" borderId="2" xfId="0" applyFont="1" applyBorder="1" applyAlignment="1">
      <alignment horizontal="left" vertical="center"/>
    </xf>
    <xf numFmtId="0" fontId="0" fillId="0" borderId="56" xfId="0" applyBorder="1" applyAlignment="1">
      <alignment horizontal="left" vertical="center"/>
    </xf>
    <xf numFmtId="0" fontId="0" fillId="0" borderId="32" xfId="0" applyBorder="1" applyAlignment="1">
      <alignment horizontal="left" vertical="center"/>
    </xf>
    <xf numFmtId="0" fontId="3" fillId="0" borderId="13" xfId="0" applyFont="1" applyBorder="1" applyAlignment="1">
      <alignment horizontal="left" vertical="center"/>
    </xf>
    <xf numFmtId="0" fontId="2" fillId="0" borderId="13" xfId="0" applyFont="1" applyBorder="1" applyAlignment="1">
      <alignment horizontal="left" vertical="center"/>
    </xf>
    <xf numFmtId="0" fontId="3" fillId="0" borderId="12" xfId="0" applyFont="1" applyBorder="1" applyAlignment="1">
      <alignment horizontal="left" vertical="center"/>
    </xf>
    <xf numFmtId="0" fontId="4" fillId="0" borderId="46" xfId="0" applyFont="1" applyBorder="1" applyAlignment="1">
      <alignment horizontal="lef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0" fontId="2" fillId="0" borderId="35" xfId="0" applyFont="1" applyBorder="1" applyAlignment="1">
      <alignment vertical="center"/>
    </xf>
    <xf numFmtId="0" fontId="35" fillId="0" borderId="1" xfId="0" applyFont="1" applyBorder="1" applyAlignment="1">
      <alignment horizontal="justify" vertical="center"/>
    </xf>
    <xf numFmtId="0" fontId="2" fillId="0" borderId="1" xfId="0" applyFont="1" applyBorder="1" applyAlignment="1">
      <alignment vertical="center"/>
    </xf>
    <xf numFmtId="0" fontId="2" fillId="0" borderId="19" xfId="0" applyFont="1" applyBorder="1" applyAlignment="1">
      <alignment vertical="center"/>
    </xf>
    <xf numFmtId="0" fontId="2" fillId="0" borderId="34" xfId="0" applyFont="1" applyBorder="1" applyAlignment="1">
      <alignment vertical="center"/>
    </xf>
    <xf numFmtId="0" fontId="35" fillId="0" borderId="34" xfId="0" applyFont="1" applyBorder="1" applyAlignment="1">
      <alignment horizontal="justify" vertical="center"/>
    </xf>
    <xf numFmtId="0" fontId="3" fillId="0" borderId="4" xfId="0" applyFont="1" applyBorder="1" applyAlignment="1">
      <alignment horizontal="left" vertical="center"/>
    </xf>
    <xf numFmtId="0" fontId="2" fillId="0" borderId="4" xfId="0" applyFont="1" applyBorder="1" applyAlignment="1">
      <alignment horizontal="left" vertical="center"/>
    </xf>
    <xf numFmtId="0" fontId="35" fillId="0" borderId="6" xfId="0" applyFont="1" applyBorder="1" applyAlignment="1">
      <alignment horizontal="justify" vertical="center"/>
    </xf>
    <xf numFmtId="0" fontId="2" fillId="0" borderId="6" xfId="0" applyFont="1" applyBorder="1" applyAlignment="1">
      <alignment vertical="center"/>
    </xf>
    <xf numFmtId="0" fontId="2" fillId="0" borderId="7" xfId="0" applyFont="1" applyBorder="1" applyAlignment="1">
      <alignmen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0" borderId="14" xfId="0" applyFont="1" applyBorder="1" applyAlignment="1">
      <alignment vertical="center"/>
    </xf>
    <xf numFmtId="0" fontId="35" fillId="0" borderId="13" xfId="0" applyFont="1" applyBorder="1" applyAlignment="1">
      <alignment horizontal="justify" vertical="center"/>
    </xf>
    <xf numFmtId="0" fontId="2" fillId="0" borderId="13" xfId="0" applyFont="1" applyBorder="1" applyAlignment="1">
      <alignment vertical="center"/>
    </xf>
    <xf numFmtId="0" fontId="35" fillId="0" borderId="4" xfId="0" applyFont="1" applyBorder="1" applyAlignment="1">
      <alignment horizontal="justify"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31" xfId="0" applyFont="1" applyBorder="1" applyAlignment="1">
      <alignment horizontal="left" vertical="center"/>
    </xf>
    <xf numFmtId="0" fontId="3" fillId="0" borderId="6" xfId="0" applyFont="1" applyBorder="1" applyAlignment="1">
      <alignment horizontal="left" vertical="center"/>
    </xf>
    <xf numFmtId="0" fontId="2" fillId="0" borderId="6" xfId="0" applyFont="1" applyBorder="1" applyAlignment="1">
      <alignment horizontal="left" vertical="center"/>
    </xf>
    <xf numFmtId="0" fontId="2" fillId="2" borderId="40" xfId="0" applyFont="1" applyFill="1" applyBorder="1" applyAlignment="1">
      <alignment horizontal="left" vertical="center"/>
    </xf>
    <xf numFmtId="0" fontId="2" fillId="2" borderId="58" xfId="0" applyFont="1" applyFill="1" applyBorder="1" applyAlignment="1">
      <alignment horizontal="left" vertical="center"/>
    </xf>
    <xf numFmtId="0" fontId="2" fillId="2" borderId="53" xfId="0" applyFont="1" applyFill="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3" fillId="0" borderId="21" xfId="0" applyFont="1" applyBorder="1" applyAlignment="1">
      <alignment horizontal="left" vertical="center" wrapText="1"/>
    </xf>
    <xf numFmtId="0" fontId="0" fillId="0" borderId="46" xfId="0" applyBorder="1" applyAlignment="1">
      <alignment horizontal="left" vertical="center" wrapText="1"/>
    </xf>
    <xf numFmtId="0" fontId="35" fillId="0" borderId="12" xfId="0" applyFont="1" applyBorder="1" applyAlignment="1">
      <alignment horizontal="justify" vertical="center"/>
    </xf>
    <xf numFmtId="0" fontId="0" fillId="0" borderId="56" xfId="0" applyBorder="1" applyAlignment="1">
      <alignment vertical="center"/>
    </xf>
    <xf numFmtId="0" fontId="0" fillId="0" borderId="68" xfId="0" applyBorder="1" applyAlignment="1">
      <alignment vertical="center"/>
    </xf>
    <xf numFmtId="0" fontId="3" fillId="0" borderId="34" xfId="0" applyFont="1" applyBorder="1" applyAlignment="1">
      <alignment horizontal="left" vertical="center"/>
    </xf>
    <xf numFmtId="0" fontId="2" fillId="0" borderId="34" xfId="0" applyFont="1" applyBorder="1" applyAlignment="1">
      <alignment horizontal="left" vertical="center"/>
    </xf>
    <xf numFmtId="0" fontId="2" fillId="0" borderId="21" xfId="0" applyFont="1" applyBorder="1" applyAlignment="1">
      <alignment vertical="center" wrapText="1"/>
    </xf>
    <xf numFmtId="0" fontId="0" fillId="0" borderId="31" xfId="0" applyBorder="1" applyAlignment="1">
      <alignment vertical="center" wrapText="1"/>
    </xf>
    <xf numFmtId="0" fontId="0" fillId="0" borderId="46" xfId="0" applyBorder="1" applyAlignment="1">
      <alignment vertical="center" wrapText="1"/>
    </xf>
    <xf numFmtId="0" fontId="4" fillId="0" borderId="50" xfId="0" applyFont="1" applyBorder="1" applyAlignment="1">
      <alignment vertical="top" wrapText="1"/>
    </xf>
    <xf numFmtId="0" fontId="4" fillId="0" borderId="57" xfId="0" applyFont="1" applyBorder="1" applyAlignment="1">
      <alignment vertical="top" wrapText="1"/>
    </xf>
    <xf numFmtId="0" fontId="4" fillId="0" borderId="28" xfId="0" applyFont="1" applyBorder="1" applyAlignment="1">
      <alignment vertical="top" wrapText="1"/>
    </xf>
    <xf numFmtId="0" fontId="4" fillId="0" borderId="49" xfId="0" applyFont="1" applyBorder="1" applyAlignment="1">
      <alignment vertical="top" wrapText="1"/>
    </xf>
    <xf numFmtId="0" fontId="4" fillId="0" borderId="0" xfId="0" applyFont="1" applyBorder="1" applyAlignment="1">
      <alignment vertical="top" wrapText="1"/>
    </xf>
    <xf numFmtId="0" fontId="4" fillId="0" borderId="33" xfId="0" applyFont="1" applyBorder="1" applyAlignment="1">
      <alignment vertical="top" wrapText="1"/>
    </xf>
    <xf numFmtId="0" fontId="4" fillId="0" borderId="11" xfId="0" applyFont="1" applyBorder="1" applyAlignment="1">
      <alignment vertical="top" wrapText="1"/>
    </xf>
    <xf numFmtId="0" fontId="4" fillId="0" borderId="69" xfId="0" applyFont="1" applyBorder="1" applyAlignment="1">
      <alignment vertical="top" wrapText="1"/>
    </xf>
    <xf numFmtId="0" fontId="4" fillId="0" borderId="36" xfId="0" applyFont="1" applyBorder="1" applyAlignment="1">
      <alignment vertical="top" wrapText="1"/>
    </xf>
    <xf numFmtId="0" fontId="2" fillId="2" borderId="65" xfId="0" applyFont="1" applyFill="1" applyBorder="1" applyAlignment="1">
      <alignment horizontal="left" vertical="center" wrapText="1"/>
    </xf>
    <xf numFmtId="0" fontId="0" fillId="0" borderId="18" xfId="0" applyBorder="1" applyAlignment="1">
      <alignment horizontal="left" vertical="center" wrapText="1"/>
    </xf>
    <xf numFmtId="0" fontId="3" fillId="2" borderId="20"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xf>
    <xf numFmtId="0" fontId="1" fillId="0" borderId="0" xfId="0" applyFont="1" applyBorder="1" applyAlignment="1">
      <alignment horizontal="center" vertical="center"/>
    </xf>
    <xf numFmtId="0" fontId="0" fillId="0" borderId="0" xfId="0" applyBorder="1" applyAlignment="1">
      <alignment horizontal="center" vertical="center"/>
    </xf>
    <xf numFmtId="0" fontId="3" fillId="2" borderId="61"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horizontal="center" vertical="center" wrapText="1"/>
    </xf>
    <xf numFmtId="49" fontId="2" fillId="2" borderId="58" xfId="0" applyNumberFormat="1" applyFont="1" applyFill="1" applyBorder="1" applyAlignment="1">
      <alignment horizontal="center" vertical="center"/>
    </xf>
    <xf numFmtId="0" fontId="0" fillId="0" borderId="58" xfId="0" applyFont="1" applyBorder="1" applyAlignment="1">
      <alignment horizontal="center" vertical="center"/>
    </xf>
    <xf numFmtId="0" fontId="0" fillId="0" borderId="62" xfId="0" applyFont="1" applyBorder="1" applyAlignment="1">
      <alignment horizontal="center" vertical="center"/>
    </xf>
    <xf numFmtId="49" fontId="2" fillId="2" borderId="52" xfId="0" applyNumberFormat="1" applyFont="1" applyFill="1" applyBorder="1" applyAlignment="1">
      <alignment horizontal="left" vertical="center"/>
    </xf>
    <xf numFmtId="0" fontId="0" fillId="0" borderId="14" xfId="0" applyBorder="1" applyAlignment="1">
      <alignment horizontal="left"/>
    </xf>
    <xf numFmtId="0" fontId="0" fillId="0" borderId="23" xfId="0" applyFont="1" applyBorder="1" applyAlignment="1">
      <alignment horizontal="left" vertical="center"/>
    </xf>
    <xf numFmtId="0" fontId="0" fillId="0" borderId="5" xfId="0" applyBorder="1" applyAlignment="1">
      <alignment horizontal="left"/>
    </xf>
    <xf numFmtId="0" fontId="4" fillId="0" borderId="23" xfId="0" applyFont="1" applyBorder="1" applyAlignment="1">
      <alignment vertical="center"/>
    </xf>
    <xf numFmtId="0" fontId="0" fillId="0" borderId="5" xfId="0" applyBorder="1" applyAlignment="1">
      <alignment/>
    </xf>
    <xf numFmtId="49" fontId="3" fillId="2" borderId="63"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3" fillId="2" borderId="6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6" fillId="2" borderId="25" xfId="0" applyFont="1" applyFill="1" applyBorder="1" applyAlignment="1">
      <alignment vertical="center"/>
    </xf>
    <xf numFmtId="0" fontId="0" fillId="0" borderId="7" xfId="0" applyBorder="1" applyAlignment="1">
      <alignment/>
    </xf>
    <xf numFmtId="49" fontId="12" fillId="2" borderId="22"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49" fontId="1" fillId="2" borderId="41" xfId="0" applyNumberFormat="1" applyFont="1" applyFill="1" applyBorder="1" applyAlignment="1">
      <alignment horizontal="center" vertical="center"/>
    </xf>
    <xf numFmtId="0" fontId="0" fillId="0" borderId="58" xfId="0" applyBorder="1" applyAlignment="1">
      <alignment vertical="center"/>
    </xf>
    <xf numFmtId="0" fontId="0" fillId="0" borderId="62" xfId="0" applyBorder="1" applyAlignment="1">
      <alignment vertical="center"/>
    </xf>
    <xf numFmtId="49" fontId="2" fillId="2" borderId="65" xfId="0" applyNumberFormat="1" applyFont="1" applyFill="1" applyBorder="1" applyAlignment="1">
      <alignment horizontal="left" vertical="center"/>
    </xf>
    <xf numFmtId="0" fontId="0" fillId="0" borderId="18" xfId="0" applyFont="1" applyBorder="1" applyAlignment="1">
      <alignment horizontal="left" vertical="center"/>
    </xf>
    <xf numFmtId="49" fontId="2" fillId="2" borderId="20" xfId="0" applyNumberFormat="1" applyFont="1" applyFill="1" applyBorder="1" applyAlignment="1">
      <alignment horizontal="left" vertical="center"/>
    </xf>
    <xf numFmtId="0" fontId="0" fillId="0" borderId="66" xfId="0" applyFont="1" applyBorder="1" applyAlignment="1">
      <alignment horizontal="left" vertical="center"/>
    </xf>
    <xf numFmtId="0" fontId="0" fillId="0" borderId="38" xfId="0" applyFont="1" applyBorder="1" applyAlignment="1">
      <alignment horizontal="left" vertical="center"/>
    </xf>
    <xf numFmtId="3" fontId="3" fillId="2" borderId="45" xfId="0" applyNumberFormat="1" applyFont="1" applyFill="1" applyBorder="1" applyAlignment="1">
      <alignment vertical="center"/>
    </xf>
    <xf numFmtId="3" fontId="0" fillId="2" borderId="34" xfId="0" applyNumberFormat="1" applyFill="1" applyBorder="1" applyAlignment="1">
      <alignment vertical="center"/>
    </xf>
    <xf numFmtId="4" fontId="3" fillId="2" borderId="34" xfId="0" applyNumberFormat="1" applyFont="1" applyFill="1" applyBorder="1" applyAlignment="1">
      <alignment vertical="center"/>
    </xf>
    <xf numFmtId="4" fontId="0" fillId="2" borderId="40" xfId="0" applyNumberFormat="1" applyFill="1" applyBorder="1" applyAlignment="1">
      <alignment vertical="center"/>
    </xf>
    <xf numFmtId="3" fontId="3" fillId="2" borderId="34" xfId="0" applyNumberFormat="1" applyFont="1" applyFill="1" applyBorder="1" applyAlignment="1">
      <alignment vertical="center"/>
    </xf>
    <xf numFmtId="4" fontId="0" fillId="2" borderId="35" xfId="0" applyNumberFormat="1" applyFill="1" applyBorder="1" applyAlignment="1">
      <alignment vertical="center"/>
    </xf>
    <xf numFmtId="3" fontId="3" fillId="0" borderId="30" xfId="0" applyNumberFormat="1" applyFont="1" applyBorder="1" applyAlignment="1">
      <alignment horizontal="right" vertical="center"/>
    </xf>
    <xf numFmtId="3" fontId="3" fillId="0" borderId="8" xfId="0" applyNumberFormat="1" applyFont="1" applyBorder="1" applyAlignment="1">
      <alignment vertical="center"/>
    </xf>
    <xf numFmtId="4" fontId="3" fillId="0" borderId="8" xfId="0" applyNumberFormat="1" applyFont="1" applyBorder="1" applyAlignment="1">
      <alignment vertical="center"/>
    </xf>
    <xf numFmtId="4" fontId="3" fillId="0" borderId="50" xfId="0" applyNumberFormat="1" applyFont="1" applyBorder="1" applyAlignment="1">
      <alignment vertical="center"/>
    </xf>
    <xf numFmtId="3" fontId="3" fillId="0" borderId="8" xfId="0" applyNumberFormat="1" applyFont="1" applyBorder="1" applyAlignment="1">
      <alignment horizontal="right" vertical="center"/>
    </xf>
    <xf numFmtId="4" fontId="3" fillId="0" borderId="17" xfId="0" applyNumberFormat="1" applyFont="1" applyBorder="1" applyAlignment="1">
      <alignment vertical="center"/>
    </xf>
    <xf numFmtId="3" fontId="3" fillId="0" borderId="23" xfId="0" applyNumberFormat="1" applyFont="1" applyBorder="1" applyAlignment="1">
      <alignment horizontal="right" vertical="center"/>
    </xf>
    <xf numFmtId="3" fontId="3" fillId="0" borderId="4" xfId="0" applyNumberFormat="1" applyFont="1" applyBorder="1" applyAlignment="1">
      <alignment vertical="center"/>
    </xf>
    <xf numFmtId="4" fontId="3" fillId="0" borderId="4" xfId="0" applyNumberFormat="1" applyFont="1" applyBorder="1" applyAlignment="1">
      <alignment vertical="center"/>
    </xf>
    <xf numFmtId="4" fontId="3" fillId="0" borderId="12" xfId="0" applyNumberFormat="1" applyFont="1" applyBorder="1" applyAlignment="1">
      <alignment vertical="center"/>
    </xf>
    <xf numFmtId="3" fontId="3" fillId="0" borderId="4" xfId="0" applyNumberFormat="1" applyFont="1" applyBorder="1" applyAlignment="1">
      <alignment horizontal="right" vertical="center"/>
    </xf>
    <xf numFmtId="4" fontId="3" fillId="0" borderId="5" xfId="0" applyNumberFormat="1" applyFont="1" applyBorder="1" applyAlignment="1">
      <alignment vertical="center"/>
    </xf>
    <xf numFmtId="3" fontId="3" fillId="0" borderId="24" xfId="0" applyNumberFormat="1" applyFont="1" applyBorder="1" applyAlignment="1">
      <alignment horizontal="right" vertical="center"/>
    </xf>
    <xf numFmtId="3" fontId="3" fillId="0" borderId="2" xfId="0" applyNumberFormat="1" applyFont="1" applyBorder="1" applyAlignment="1">
      <alignment vertical="center"/>
    </xf>
    <xf numFmtId="4" fontId="3" fillId="0" borderId="2" xfId="0" applyNumberFormat="1" applyFont="1" applyBorder="1" applyAlignment="1">
      <alignment vertical="center"/>
    </xf>
    <xf numFmtId="4" fontId="3" fillId="0" borderId="11" xfId="0" applyNumberFormat="1" applyFont="1" applyBorder="1" applyAlignment="1">
      <alignment vertical="center"/>
    </xf>
    <xf numFmtId="3" fontId="3" fillId="0" borderId="2" xfId="0" applyNumberFormat="1" applyFont="1" applyBorder="1" applyAlignment="1">
      <alignment horizontal="right" vertical="center"/>
    </xf>
    <xf numFmtId="4" fontId="3" fillId="0" borderId="3" xfId="0" applyNumberFormat="1" applyFont="1" applyBorder="1" applyAlignment="1">
      <alignment vertical="center"/>
    </xf>
    <xf numFmtId="0" fontId="0" fillId="0" borderId="26" xfId="0" applyFont="1" applyBorder="1" applyAlignment="1">
      <alignment horizontal="left" vertical="center"/>
    </xf>
    <xf numFmtId="0" fontId="3" fillId="2" borderId="61" xfId="0" applyFont="1" applyFill="1" applyBorder="1" applyAlignment="1">
      <alignment horizontal="center" vertical="center"/>
    </xf>
    <xf numFmtId="0" fontId="3" fillId="2" borderId="70" xfId="0" applyFont="1" applyFill="1"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3" fillId="2" borderId="23"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4" xfId="0" applyBorder="1" applyAlignment="1">
      <alignment vertical="center"/>
    </xf>
    <xf numFmtId="0" fontId="0" fillId="0" borderId="12" xfId="0" applyBorder="1" applyAlignment="1">
      <alignment vertical="center"/>
    </xf>
    <xf numFmtId="0" fontId="3" fillId="2" borderId="12" xfId="0" applyFont="1" applyFill="1" applyBorder="1" applyAlignment="1">
      <alignment horizontal="center" vertical="center"/>
    </xf>
    <xf numFmtId="0" fontId="3" fillId="2" borderId="25" xfId="0" applyFont="1" applyFill="1" applyBorder="1" applyAlignment="1">
      <alignment horizontal="center" vertical="center"/>
    </xf>
    <xf numFmtId="0" fontId="2" fillId="0" borderId="6" xfId="0" applyFont="1" applyBorder="1" applyAlignment="1">
      <alignment horizontal="center" vertical="center"/>
    </xf>
    <xf numFmtId="0" fontId="3" fillId="2" borderId="6" xfId="0" applyFont="1" applyFill="1" applyBorder="1" applyAlignment="1">
      <alignment horizontal="center" vertical="center"/>
    </xf>
    <xf numFmtId="0" fontId="3" fillId="0" borderId="47" xfId="0" applyFont="1" applyBorder="1" applyAlignment="1">
      <alignment horizontal="center" vertical="center"/>
    </xf>
    <xf numFmtId="0" fontId="3" fillId="2" borderId="47" xfId="0" applyFont="1" applyFill="1" applyBorder="1" applyAlignment="1">
      <alignment horizontal="center" vertical="center"/>
    </xf>
    <xf numFmtId="0" fontId="0" fillId="0" borderId="29" xfId="0" applyBorder="1" applyAlignment="1">
      <alignment vertical="center"/>
    </xf>
    <xf numFmtId="0" fontId="0" fillId="0" borderId="72" xfId="0" applyBorder="1" applyAlignment="1">
      <alignment vertical="center"/>
    </xf>
    <xf numFmtId="0" fontId="3" fillId="2" borderId="6" xfId="0" applyFont="1" applyFill="1" applyBorder="1" applyAlignment="1">
      <alignment vertical="center"/>
    </xf>
    <xf numFmtId="0" fontId="3" fillId="2" borderId="47" xfId="0" applyFont="1" applyFill="1" applyBorder="1" applyAlignment="1">
      <alignment vertical="center"/>
    </xf>
    <xf numFmtId="0" fontId="3" fillId="2" borderId="7" xfId="0" applyFont="1" applyFill="1" applyBorder="1" applyAlignment="1">
      <alignment vertical="center"/>
    </xf>
    <xf numFmtId="0" fontId="3" fillId="2" borderId="60" xfId="0" applyFont="1" applyFill="1" applyBorder="1" applyAlignment="1">
      <alignment horizontal="center" vertical="center"/>
    </xf>
    <xf numFmtId="0" fontId="0" fillId="0" borderId="73" xfId="0" applyBorder="1" applyAlignment="1">
      <alignment vertical="center"/>
    </xf>
    <xf numFmtId="0" fontId="0" fillId="0" borderId="29" xfId="0" applyBorder="1" applyAlignment="1">
      <alignment horizontal="center" vertical="center"/>
    </xf>
    <xf numFmtId="0" fontId="4" fillId="0" borderId="72" xfId="0" applyFont="1" applyBorder="1" applyAlignment="1">
      <alignment horizontal="center" vertical="center"/>
    </xf>
    <xf numFmtId="0" fontId="3" fillId="2" borderId="70" xfId="0" applyFont="1" applyFill="1" applyBorder="1" applyAlignment="1">
      <alignment vertical="center"/>
    </xf>
    <xf numFmtId="0" fontId="3" fillId="2" borderId="71" xfId="0" applyFont="1" applyFill="1" applyBorder="1" applyAlignment="1">
      <alignment vertical="center"/>
    </xf>
    <xf numFmtId="0" fontId="3" fillId="2" borderId="43" xfId="0" applyFont="1" applyFill="1" applyBorder="1" applyAlignment="1">
      <alignment horizontal="center" vertical="center"/>
    </xf>
    <xf numFmtId="0" fontId="0" fillId="0" borderId="56" xfId="0" applyBorder="1" applyAlignment="1">
      <alignment horizontal="center" vertical="center"/>
    </xf>
    <xf numFmtId="0" fontId="0" fillId="0" borderId="32" xfId="0" applyBorder="1" applyAlignment="1">
      <alignment horizontal="center" vertical="center"/>
    </xf>
    <xf numFmtId="0" fontId="3" fillId="2" borderId="4" xfId="0"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38" xfId="0" applyFont="1" applyFill="1" applyBorder="1" applyAlignment="1">
      <alignment horizontal="left" vertical="center"/>
    </xf>
    <xf numFmtId="0" fontId="12" fillId="2" borderId="41" xfId="0" applyFont="1" applyFill="1" applyBorder="1" applyAlignment="1">
      <alignment horizontal="right" vertical="center"/>
    </xf>
    <xf numFmtId="0" fontId="7" fillId="0" borderId="58" xfId="0" applyFont="1" applyBorder="1" applyAlignment="1">
      <alignment horizontal="right" vertical="center"/>
    </xf>
    <xf numFmtId="0" fontId="0" fillId="0" borderId="62" xfId="0" applyBorder="1" applyAlignment="1">
      <alignment horizontal="right" vertical="center"/>
    </xf>
    <xf numFmtId="0" fontId="12" fillId="2" borderId="41" xfId="0" applyFont="1" applyFill="1" applyBorder="1" applyAlignment="1">
      <alignment vertical="center"/>
    </xf>
    <xf numFmtId="0" fontId="7" fillId="0" borderId="58" xfId="0" applyFont="1" applyBorder="1" applyAlignment="1">
      <alignment vertical="center"/>
    </xf>
    <xf numFmtId="0" fontId="2" fillId="2" borderId="61" xfId="0" applyFont="1" applyFill="1" applyBorder="1" applyAlignment="1">
      <alignment horizontal="center" vertical="center"/>
    </xf>
    <xf numFmtId="0" fontId="2" fillId="2" borderId="70" xfId="0" applyFont="1" applyFill="1" applyBorder="1" applyAlignment="1">
      <alignment horizontal="center" vertical="center"/>
    </xf>
    <xf numFmtId="0" fontId="0" fillId="0" borderId="71" xfId="0" applyBorder="1" applyAlignment="1">
      <alignment horizontal="center" vertical="center"/>
    </xf>
    <xf numFmtId="2" fontId="2" fillId="2" borderId="61" xfId="0" applyNumberFormat="1" applyFont="1" applyFill="1" applyBorder="1" applyAlignment="1">
      <alignment horizontal="center" vertical="center"/>
    </xf>
    <xf numFmtId="2" fontId="2" fillId="2" borderId="70" xfId="0" applyNumberFormat="1" applyFont="1" applyFill="1" applyBorder="1" applyAlignment="1">
      <alignment horizontal="center" vertical="center"/>
    </xf>
    <xf numFmtId="2" fontId="0" fillId="0" borderId="70" xfId="0" applyNumberFormat="1" applyBorder="1" applyAlignment="1">
      <alignment horizontal="center" vertical="center"/>
    </xf>
    <xf numFmtId="0" fontId="0" fillId="0" borderId="70" xfId="0" applyBorder="1" applyAlignment="1">
      <alignment horizontal="center" vertical="center"/>
    </xf>
    <xf numFmtId="0" fontId="7" fillId="2" borderId="41" xfId="0" applyFont="1" applyFill="1" applyBorder="1" applyAlignment="1">
      <alignment vertical="center" wrapText="1"/>
    </xf>
    <xf numFmtId="0" fontId="7" fillId="0" borderId="58" xfId="0" applyFont="1" applyBorder="1" applyAlignment="1">
      <alignment vertical="center" wrapText="1"/>
    </xf>
    <xf numFmtId="0" fontId="0" fillId="0" borderId="62" xfId="0" applyBorder="1" applyAlignment="1">
      <alignment vertical="center" wrapText="1"/>
    </xf>
    <xf numFmtId="0" fontId="0" fillId="0" borderId="50" xfId="0" applyFont="1" applyBorder="1" applyAlignment="1">
      <alignment vertical="top" wrapText="1"/>
    </xf>
    <xf numFmtId="0" fontId="0" fillId="0" borderId="57" xfId="0" applyFont="1" applyBorder="1" applyAlignment="1">
      <alignment vertical="top" wrapText="1"/>
    </xf>
    <xf numFmtId="0" fontId="0" fillId="0" borderId="28" xfId="0" applyFont="1" applyBorder="1" applyAlignment="1">
      <alignment vertical="top" wrapText="1"/>
    </xf>
    <xf numFmtId="0" fontId="0" fillId="0" borderId="49" xfId="0" applyFont="1" applyBorder="1" applyAlignment="1">
      <alignment vertical="top" wrapText="1"/>
    </xf>
    <xf numFmtId="0" fontId="0" fillId="0" borderId="0" xfId="0" applyFont="1" applyBorder="1" applyAlignment="1">
      <alignment vertical="top" wrapText="1"/>
    </xf>
    <xf numFmtId="0" fontId="0" fillId="0" borderId="33" xfId="0" applyFont="1" applyBorder="1" applyAlignment="1">
      <alignment vertical="top" wrapText="1"/>
    </xf>
    <xf numFmtId="0" fontId="0" fillId="0" borderId="11" xfId="0" applyFont="1" applyBorder="1" applyAlignment="1">
      <alignment vertical="top" wrapText="1"/>
    </xf>
    <xf numFmtId="0" fontId="0" fillId="0" borderId="69" xfId="0" applyFont="1" applyBorder="1" applyAlignment="1">
      <alignment vertical="top" wrapText="1"/>
    </xf>
    <xf numFmtId="0" fontId="0" fillId="0" borderId="36" xfId="0" applyFont="1" applyBorder="1" applyAlignment="1">
      <alignment vertical="top" wrapText="1"/>
    </xf>
    <xf numFmtId="0" fontId="35" fillId="2" borderId="45" xfId="0" applyFont="1" applyFill="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13" fillId="2" borderId="53" xfId="0" applyFont="1" applyFill="1" applyBorder="1" applyAlignment="1">
      <alignment horizontal="center" vertical="center" wrapText="1"/>
    </xf>
    <xf numFmtId="0" fontId="4" fillId="0" borderId="34" xfId="0" applyFont="1" applyBorder="1" applyAlignment="1">
      <alignment horizontal="center" vertical="center" wrapText="1"/>
    </xf>
    <xf numFmtId="0" fontId="13" fillId="0" borderId="2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3" fontId="13" fillId="0" borderId="69" xfId="0" applyNumberFormat="1" applyFont="1" applyBorder="1" applyAlignment="1">
      <alignment horizontal="right" vertical="center" wrapText="1"/>
    </xf>
    <xf numFmtId="0" fontId="4" fillId="0" borderId="69" xfId="0" applyFont="1" applyBorder="1" applyAlignment="1">
      <alignment vertical="center" wrapText="1"/>
    </xf>
    <xf numFmtId="0" fontId="13" fillId="2" borderId="34" xfId="0" applyFont="1" applyFill="1" applyBorder="1" applyAlignment="1">
      <alignment horizontal="center" vertical="center" wrapText="1"/>
    </xf>
    <xf numFmtId="0" fontId="4" fillId="0" borderId="35" xfId="0" applyFont="1" applyBorder="1" applyAlignment="1">
      <alignment horizontal="center" vertical="center" wrapText="1"/>
    </xf>
    <xf numFmtId="0" fontId="13" fillId="0" borderId="23" xfId="0" applyFont="1" applyBorder="1" applyAlignment="1">
      <alignment vertical="center" wrapText="1"/>
    </xf>
    <xf numFmtId="0" fontId="4" fillId="0" borderId="4" xfId="0" applyFont="1" applyBorder="1" applyAlignment="1">
      <alignment vertical="center"/>
    </xf>
    <xf numFmtId="0" fontId="4" fillId="0" borderId="5" xfId="0" applyFont="1" applyBorder="1" applyAlignment="1">
      <alignment vertical="center"/>
    </xf>
    <xf numFmtId="3" fontId="13" fillId="0" borderId="56" xfId="0" applyNumberFormat="1" applyFont="1" applyBorder="1" applyAlignment="1">
      <alignment horizontal="right" vertical="center" wrapText="1"/>
    </xf>
    <xf numFmtId="0" fontId="4" fillId="0" borderId="56" xfId="0" applyFont="1" applyBorder="1" applyAlignment="1">
      <alignment vertical="center" wrapText="1"/>
    </xf>
    <xf numFmtId="4" fontId="13" fillId="0" borderId="56" xfId="0" applyNumberFormat="1" applyFont="1" applyBorder="1" applyAlignment="1">
      <alignment horizontal="right" vertical="center" wrapText="1"/>
    </xf>
    <xf numFmtId="3" fontId="13" fillId="0" borderId="4" xfId="0" applyNumberFormat="1" applyFont="1" applyFill="1" applyBorder="1" applyAlignment="1">
      <alignment horizontal="right" vertical="center" wrapText="1"/>
    </xf>
    <xf numFmtId="0" fontId="3" fillId="0" borderId="4" xfId="0" applyFont="1" applyFill="1" applyBorder="1" applyAlignment="1">
      <alignment vertical="center"/>
    </xf>
    <xf numFmtId="3" fontId="13" fillId="0" borderId="2" xfId="0" applyNumberFormat="1" applyFont="1" applyFill="1" applyBorder="1" applyAlignment="1">
      <alignment horizontal="right" vertical="center" wrapText="1"/>
    </xf>
    <xf numFmtId="0" fontId="3" fillId="0" borderId="2" xfId="0" applyFont="1" applyFill="1" applyBorder="1" applyAlignment="1">
      <alignment vertical="center"/>
    </xf>
    <xf numFmtId="3" fontId="13" fillId="2" borderId="34" xfId="0" applyNumberFormat="1" applyFont="1" applyFill="1" applyBorder="1" applyAlignment="1">
      <alignment horizontal="right" vertical="center" wrapText="1"/>
    </xf>
    <xf numFmtId="3" fontId="4" fillId="0" borderId="34" xfId="0" applyNumberFormat="1" applyFont="1" applyBorder="1" applyAlignment="1">
      <alignment vertical="center" wrapText="1"/>
    </xf>
    <xf numFmtId="3" fontId="13" fillId="0" borderId="6" xfId="0" applyNumberFormat="1" applyFont="1" applyFill="1" applyBorder="1" applyAlignment="1">
      <alignment horizontal="right" vertical="center" wrapText="1"/>
    </xf>
    <xf numFmtId="0" fontId="3" fillId="0" borderId="7" xfId="0" applyFont="1" applyFill="1" applyBorder="1" applyAlignment="1">
      <alignment vertical="center"/>
    </xf>
    <xf numFmtId="0" fontId="12" fillId="2" borderId="20" xfId="0" applyFont="1" applyFill="1" applyBorder="1" applyAlignment="1">
      <alignment horizontal="center" vertical="center" wrapText="1"/>
    </xf>
    <xf numFmtId="0" fontId="12" fillId="2" borderId="38" xfId="0" applyFont="1" applyFill="1" applyBorder="1" applyAlignment="1">
      <alignment horizontal="center" vertical="center" wrapText="1"/>
    </xf>
    <xf numFmtId="3" fontId="13" fillId="0" borderId="10" xfId="0" applyNumberFormat="1" applyFont="1" applyBorder="1" applyAlignment="1">
      <alignment horizontal="right" vertical="center" wrapText="1"/>
    </xf>
    <xf numFmtId="0" fontId="4" fillId="0" borderId="39" xfId="0" applyFont="1" applyBorder="1" applyAlignment="1">
      <alignment vertical="center" wrapText="1"/>
    </xf>
    <xf numFmtId="0" fontId="35" fillId="2" borderId="65" xfId="0" applyFont="1" applyFill="1" applyBorder="1" applyAlignment="1">
      <alignment vertical="center" wrapText="1"/>
    </xf>
    <xf numFmtId="0" fontId="0" fillId="0" borderId="63" xfId="0" applyFont="1" applyBorder="1" applyAlignment="1">
      <alignment vertical="center"/>
    </xf>
    <xf numFmtId="0" fontId="0" fillId="0" borderId="74" xfId="0" applyFont="1" applyBorder="1" applyAlignment="1">
      <alignment vertical="center"/>
    </xf>
    <xf numFmtId="0" fontId="0" fillId="0" borderId="18" xfId="0" applyBorder="1" applyAlignment="1">
      <alignment vertical="center"/>
    </xf>
    <xf numFmtId="0" fontId="0" fillId="0" borderId="59" xfId="0" applyBorder="1" applyAlignment="1">
      <alignment vertical="center"/>
    </xf>
    <xf numFmtId="0" fontId="0" fillId="0" borderId="75" xfId="0" applyBorder="1" applyAlignment="1">
      <alignment vertical="center"/>
    </xf>
    <xf numFmtId="3" fontId="13" fillId="0" borderId="8" xfId="0" applyNumberFormat="1" applyFont="1" applyFill="1" applyBorder="1" applyAlignment="1">
      <alignment horizontal="right" vertical="center" wrapText="1"/>
    </xf>
    <xf numFmtId="0" fontId="3" fillId="0" borderId="8" xfId="0" applyFont="1" applyFill="1" applyBorder="1" applyAlignment="1">
      <alignment vertical="center"/>
    </xf>
    <xf numFmtId="0" fontId="13" fillId="0" borderId="30" xfId="0" applyFont="1" applyBorder="1" applyAlignment="1">
      <alignment vertical="center" wrapText="1"/>
    </xf>
    <xf numFmtId="0" fontId="4" fillId="0" borderId="8" xfId="0" applyFont="1" applyBorder="1" applyAlignment="1">
      <alignment vertical="center"/>
    </xf>
    <xf numFmtId="0" fontId="4" fillId="0" borderId="17" xfId="0" applyFont="1" applyBorder="1" applyAlignment="1">
      <alignment vertical="center"/>
    </xf>
    <xf numFmtId="3" fontId="13" fillId="0" borderId="57" xfId="0" applyNumberFormat="1" applyFont="1" applyBorder="1" applyAlignment="1">
      <alignment horizontal="right" vertical="center" wrapText="1"/>
    </xf>
    <xf numFmtId="0" fontId="4" fillId="0" borderId="57" xfId="0" applyFont="1" applyBorder="1" applyAlignment="1">
      <alignment vertical="center" wrapText="1"/>
    </xf>
    <xf numFmtId="3" fontId="13" fillId="0" borderId="18" xfId="0" applyNumberFormat="1" applyFont="1" applyBorder="1" applyAlignment="1">
      <alignment horizontal="right" vertical="center" wrapText="1"/>
    </xf>
    <xf numFmtId="0" fontId="4" fillId="0" borderId="59" xfId="0" applyFont="1" applyBorder="1" applyAlignment="1">
      <alignment vertical="center" wrapText="1"/>
    </xf>
    <xf numFmtId="3" fontId="13" fillId="0" borderId="40" xfId="0" applyNumberFormat="1" applyFont="1" applyBorder="1" applyAlignment="1">
      <alignment horizontal="right" vertical="center" wrapText="1"/>
    </xf>
    <xf numFmtId="0" fontId="4" fillId="0" borderId="58" xfId="0" applyFont="1" applyBorder="1" applyAlignment="1">
      <alignment vertical="center" wrapText="1"/>
    </xf>
    <xf numFmtId="0" fontId="13" fillId="2" borderId="45" xfId="0" applyFont="1" applyFill="1" applyBorder="1" applyAlignment="1">
      <alignment horizontal="center" vertical="center" wrapText="1"/>
    </xf>
    <xf numFmtId="0" fontId="4" fillId="0" borderId="40" xfId="0" applyFont="1" applyBorder="1" applyAlignment="1">
      <alignment horizontal="center" vertical="center" wrapText="1"/>
    </xf>
    <xf numFmtId="3" fontId="13" fillId="0" borderId="43" xfId="0" applyNumberFormat="1" applyFont="1" applyBorder="1" applyAlignment="1">
      <alignment horizontal="right" vertical="center" wrapText="1"/>
    </xf>
    <xf numFmtId="3" fontId="13" fillId="2" borderId="53" xfId="0" applyNumberFormat="1" applyFont="1" applyFill="1" applyBorder="1" applyAlignment="1">
      <alignment horizontal="right" vertical="center" wrapText="1"/>
    </xf>
    <xf numFmtId="3" fontId="13" fillId="0" borderId="42" xfId="0" applyNumberFormat="1" applyFont="1" applyBorder="1" applyAlignment="1">
      <alignment horizontal="right" vertical="center" wrapText="1"/>
    </xf>
    <xf numFmtId="0" fontId="3" fillId="0" borderId="3" xfId="0" applyFont="1" applyFill="1" applyBorder="1" applyAlignment="1">
      <alignment vertical="center"/>
    </xf>
    <xf numFmtId="0" fontId="3" fillId="0" borderId="5"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2" borderId="45" xfId="0" applyFont="1" applyFill="1" applyBorder="1" applyAlignment="1">
      <alignment vertical="center" wrapText="1"/>
    </xf>
    <xf numFmtId="0" fontId="4" fillId="0" borderId="34" xfId="0" applyFont="1" applyBorder="1" applyAlignment="1">
      <alignment vertical="center"/>
    </xf>
    <xf numFmtId="0" fontId="4" fillId="0" borderId="35" xfId="0" applyFont="1" applyBorder="1" applyAlignment="1">
      <alignment vertical="center"/>
    </xf>
    <xf numFmtId="0" fontId="3" fillId="0" borderId="17" xfId="0" applyFont="1" applyFill="1" applyBorder="1" applyAlignment="1">
      <alignment vertical="center"/>
    </xf>
    <xf numFmtId="3" fontId="4" fillId="0" borderId="35" xfId="0" applyNumberFormat="1" applyFont="1" applyBorder="1" applyAlignment="1">
      <alignment vertical="center" wrapText="1"/>
    </xf>
    <xf numFmtId="3" fontId="13" fillId="0" borderId="44" xfId="0" applyNumberFormat="1" applyFont="1" applyBorder="1" applyAlignment="1">
      <alignment horizontal="right" vertical="center" wrapText="1"/>
    </xf>
    <xf numFmtId="4" fontId="13" fillId="0" borderId="43" xfId="0" applyNumberFormat="1" applyFont="1" applyBorder="1" applyAlignment="1">
      <alignment horizontal="right" vertical="center" wrapText="1"/>
    </xf>
    <xf numFmtId="1" fontId="34" fillId="0" borderId="59" xfId="0" applyNumberFormat="1" applyFont="1" applyBorder="1" applyAlignment="1">
      <alignment horizontal="right" vertical="top"/>
    </xf>
    <xf numFmtId="0" fontId="0" fillId="0" borderId="59" xfId="0" applyBorder="1" applyAlignment="1">
      <alignment horizontal="right"/>
    </xf>
    <xf numFmtId="3" fontId="13" fillId="2" borderId="45" xfId="0" applyNumberFormat="1" applyFont="1" applyFill="1" applyBorder="1" applyAlignment="1">
      <alignment horizontal="right" vertical="center" wrapText="1"/>
    </xf>
    <xf numFmtId="0" fontId="3" fillId="2" borderId="41"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2"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13" xfId="0" applyFont="1" applyFill="1" applyBorder="1" applyAlignment="1">
      <alignment horizontal="center" vertical="center"/>
    </xf>
    <xf numFmtId="0" fontId="2" fillId="2" borderId="13" xfId="0" applyFont="1" applyFill="1" applyBorder="1" applyAlignment="1">
      <alignment vertical="center"/>
    </xf>
    <xf numFmtId="0" fontId="2" fillId="2" borderId="48" xfId="0" applyFont="1" applyFill="1" applyBorder="1" applyAlignment="1">
      <alignment vertical="center"/>
    </xf>
    <xf numFmtId="0" fontId="10" fillId="2" borderId="45" xfId="0" applyFont="1" applyFill="1" applyBorder="1" applyAlignment="1">
      <alignment horizontal="center" vertical="center"/>
    </xf>
    <xf numFmtId="0" fontId="10" fillId="2" borderId="34" xfId="0" applyFont="1" applyFill="1" applyBorder="1" applyAlignment="1">
      <alignment horizontal="center"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0" fontId="3" fillId="2" borderId="61" xfId="0" applyFont="1" applyFill="1" applyBorder="1" applyAlignment="1">
      <alignment vertical="center"/>
    </xf>
    <xf numFmtId="0" fontId="3" fillId="2" borderId="60" xfId="0" applyFont="1" applyFill="1" applyBorder="1" applyAlignment="1">
      <alignment vertical="center"/>
    </xf>
    <xf numFmtId="0" fontId="10" fillId="2" borderId="52" xfId="0" applyFont="1" applyFill="1" applyBorder="1" applyAlignment="1">
      <alignment horizontal="center" vertical="center"/>
    </xf>
    <xf numFmtId="0" fontId="2" fillId="2" borderId="14" xfId="0" applyFont="1" applyFill="1" applyBorder="1" applyAlignment="1">
      <alignment vertical="center"/>
    </xf>
    <xf numFmtId="3" fontId="2" fillId="2" borderId="20" xfId="0" applyNumberFormat="1" applyFont="1" applyFill="1" applyBorder="1" applyAlignment="1">
      <alignment horizontal="left" vertical="center" wrapText="1"/>
    </xf>
    <xf numFmtId="0" fontId="0" fillId="0" borderId="38" xfId="0" applyFont="1" applyBorder="1" applyAlignment="1">
      <alignment horizontal="left" wrapText="1"/>
    </xf>
    <xf numFmtId="0" fontId="2" fillId="2" borderId="41" xfId="0" applyFont="1" applyFill="1" applyBorder="1" applyAlignment="1">
      <alignment horizontal="center" vertical="center"/>
    </xf>
    <xf numFmtId="0" fontId="2" fillId="2" borderId="58" xfId="0" applyFont="1" applyFill="1" applyBorder="1" applyAlignment="1">
      <alignment horizontal="center" vertical="center"/>
    </xf>
    <xf numFmtId="3" fontId="3" fillId="2" borderId="41" xfId="0" applyNumberFormat="1" applyFont="1" applyFill="1" applyBorder="1" applyAlignment="1">
      <alignment horizontal="center" vertical="center"/>
    </xf>
    <xf numFmtId="3" fontId="3" fillId="2" borderId="58" xfId="0" applyNumberFormat="1" applyFont="1" applyFill="1" applyBorder="1" applyAlignment="1">
      <alignment horizontal="center" vertical="center"/>
    </xf>
    <xf numFmtId="3" fontId="3" fillId="2" borderId="40" xfId="0" applyNumberFormat="1" applyFont="1" applyFill="1" applyBorder="1" applyAlignment="1">
      <alignment horizontal="center" vertical="center"/>
    </xf>
    <xf numFmtId="3" fontId="3" fillId="2" borderId="53" xfId="0" applyNumberFormat="1"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3" fontId="2" fillId="2" borderId="65" xfId="0" applyNumberFormat="1" applyFont="1" applyFill="1" applyBorder="1" applyAlignment="1">
      <alignment horizontal="left" vertical="center" wrapText="1"/>
    </xf>
    <xf numFmtId="0" fontId="0" fillId="0" borderId="18" xfId="0" applyFont="1" applyBorder="1" applyAlignment="1">
      <alignment horizontal="left" wrapText="1"/>
    </xf>
    <xf numFmtId="3" fontId="3" fillId="2" borderId="65" xfId="0" applyNumberFormat="1" applyFont="1" applyFill="1" applyBorder="1" applyAlignment="1">
      <alignment horizontal="left" vertical="center" wrapText="1"/>
    </xf>
    <xf numFmtId="0" fontId="4" fillId="0" borderId="18" xfId="0" applyFont="1" applyBorder="1" applyAlignment="1">
      <alignment horizontal="left" wrapText="1"/>
    </xf>
    <xf numFmtId="3" fontId="2" fillId="2" borderId="65" xfId="0" applyNumberFormat="1" applyFont="1" applyFill="1" applyBorder="1" applyAlignment="1">
      <alignment horizontal="left" vertical="center"/>
    </xf>
    <xf numFmtId="0" fontId="0" fillId="0" borderId="18" xfId="0" applyFont="1" applyBorder="1" applyAlignment="1">
      <alignment horizontal="left"/>
    </xf>
    <xf numFmtId="0" fontId="1" fillId="0" borderId="0" xfId="0" applyFont="1" applyAlignment="1">
      <alignment horizontal="center" vertical="center"/>
    </xf>
    <xf numFmtId="3" fontId="13" fillId="2" borderId="47" xfId="0" applyNumberFormat="1" applyFont="1" applyFill="1" applyBorder="1" applyAlignment="1">
      <alignment horizontal="right" vertical="center" wrapText="1"/>
    </xf>
    <xf numFmtId="3" fontId="4" fillId="0" borderId="72" xfId="0" applyNumberFormat="1" applyFont="1" applyBorder="1" applyAlignment="1">
      <alignment vertical="center" wrapText="1"/>
    </xf>
    <xf numFmtId="4" fontId="13" fillId="0" borderId="50" xfId="0" applyNumberFormat="1" applyFont="1" applyBorder="1" applyAlignment="1">
      <alignment horizontal="right" vertical="center" wrapText="1"/>
    </xf>
    <xf numFmtId="0" fontId="0" fillId="0" borderId="76" xfId="0" applyBorder="1" applyAlignment="1">
      <alignment vertical="center" wrapText="1"/>
    </xf>
    <xf numFmtId="0" fontId="0" fillId="0" borderId="49" xfId="0" applyBorder="1" applyAlignment="1">
      <alignment vertical="center" wrapText="1"/>
    </xf>
    <xf numFmtId="0" fontId="0" fillId="0" borderId="77" xfId="0" applyBorder="1" applyAlignment="1">
      <alignment vertical="center" wrapText="1"/>
    </xf>
    <xf numFmtId="0" fontId="0" fillId="0" borderId="11" xfId="0" applyBorder="1" applyAlignment="1">
      <alignment vertical="center" wrapText="1"/>
    </xf>
    <xf numFmtId="0" fontId="0" fillId="0" borderId="78" xfId="0" applyBorder="1" applyAlignment="1">
      <alignment vertical="center" wrapText="1"/>
    </xf>
    <xf numFmtId="0" fontId="35" fillId="2" borderId="40" xfId="0"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0" fontId="0" fillId="0" borderId="68" xfId="0" applyBorder="1" applyAlignment="1">
      <alignment vertical="center" wrapText="1"/>
    </xf>
    <xf numFmtId="3" fontId="0" fillId="0" borderId="68" xfId="0" applyNumberFormat="1" applyBorder="1" applyAlignment="1">
      <alignment vertical="center" wrapText="1"/>
    </xf>
    <xf numFmtId="0" fontId="4" fillId="0" borderId="68" xfId="0" applyFont="1" applyBorder="1" applyAlignment="1">
      <alignment vertical="center" wrapText="1"/>
    </xf>
    <xf numFmtId="0" fontId="35" fillId="2" borderId="25" xfId="0" applyFont="1" applyFill="1" applyBorder="1" applyAlignment="1">
      <alignment vertical="center" wrapText="1"/>
    </xf>
    <xf numFmtId="0" fontId="0" fillId="0" borderId="6" xfId="0" applyBorder="1" applyAlignment="1">
      <alignment vertical="center"/>
    </xf>
    <xf numFmtId="0" fontId="0" fillId="0" borderId="34" xfId="0" applyBorder="1" applyAlignment="1">
      <alignment vertical="center"/>
    </xf>
    <xf numFmtId="0" fontId="4" fillId="0" borderId="44" xfId="0" applyFont="1" applyBorder="1" applyAlignment="1">
      <alignment vertical="center"/>
    </xf>
    <xf numFmtId="0" fontId="0" fillId="0" borderId="57"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42" xfId="0" applyBorder="1" applyAlignment="1">
      <alignment vertical="center"/>
    </xf>
    <xf numFmtId="0" fontId="0" fillId="0" borderId="69" xfId="0" applyBorder="1" applyAlignment="1">
      <alignment vertical="center"/>
    </xf>
    <xf numFmtId="0" fontId="0" fillId="0" borderId="36" xfId="0" applyBorder="1" applyAlignment="1">
      <alignment vertical="center"/>
    </xf>
    <xf numFmtId="0" fontId="3" fillId="2" borderId="41"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0" fillId="0" borderId="62"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0" xfId="0" applyFont="1" applyFill="1" applyBorder="1" applyAlignment="1">
      <alignment vertical="center"/>
    </xf>
    <xf numFmtId="0" fontId="3" fillId="2" borderId="38" xfId="0" applyFont="1" applyFill="1" applyBorder="1" applyAlignment="1">
      <alignment vertical="center"/>
    </xf>
    <xf numFmtId="0" fontId="4" fillId="0" borderId="65" xfId="0" applyFont="1" applyBorder="1" applyAlignment="1">
      <alignment vertical="top" wrapText="1"/>
    </xf>
    <xf numFmtId="0" fontId="4" fillId="0" borderId="63" xfId="0" applyFont="1" applyBorder="1" applyAlignment="1">
      <alignment vertical="top" wrapText="1"/>
    </xf>
    <xf numFmtId="0" fontId="4" fillId="0" borderId="74" xfId="0" applyFont="1" applyBorder="1" applyAlignment="1">
      <alignment wrapText="1"/>
    </xf>
    <xf numFmtId="0" fontId="4" fillId="0" borderId="26" xfId="0" applyFont="1" applyBorder="1" applyAlignment="1">
      <alignment vertical="top" wrapText="1"/>
    </xf>
    <xf numFmtId="0" fontId="4" fillId="0" borderId="77" xfId="0" applyFont="1" applyBorder="1" applyAlignment="1">
      <alignment wrapText="1"/>
    </xf>
    <xf numFmtId="0" fontId="4" fillId="0" borderId="18" xfId="0" applyFont="1" applyBorder="1" applyAlignment="1">
      <alignment vertical="top" wrapText="1"/>
    </xf>
    <xf numFmtId="0" fontId="4" fillId="0" borderId="59" xfId="0" applyFont="1" applyBorder="1" applyAlignment="1">
      <alignment vertical="top" wrapText="1"/>
    </xf>
    <xf numFmtId="0" fontId="4" fillId="0" borderId="75" xfId="0" applyFont="1" applyBorder="1" applyAlignment="1">
      <alignment wrapText="1"/>
    </xf>
    <xf numFmtId="0" fontId="3" fillId="2" borderId="6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62" xfId="0" applyBorder="1" applyAlignment="1">
      <alignment/>
    </xf>
    <xf numFmtId="0" fontId="3" fillId="2" borderId="6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0" fillId="0" borderId="0" xfId="0" applyAlignment="1">
      <alignment/>
    </xf>
    <xf numFmtId="0" fontId="3" fillId="2" borderId="52" xfId="0" applyFont="1" applyFill="1" applyBorder="1" applyAlignment="1">
      <alignment horizontal="left" vertical="center" wrapText="1"/>
    </xf>
    <xf numFmtId="0" fontId="4" fillId="0" borderId="48" xfId="0" applyFont="1" applyBorder="1" applyAlignment="1">
      <alignment/>
    </xf>
    <xf numFmtId="0" fontId="4" fillId="0" borderId="25" xfId="0" applyFont="1" applyBorder="1" applyAlignment="1">
      <alignment wrapText="1"/>
    </xf>
    <xf numFmtId="0" fontId="4" fillId="0" borderId="47" xfId="0" applyFont="1" applyBorder="1" applyAlignment="1">
      <alignment/>
    </xf>
    <xf numFmtId="0" fontId="3" fillId="0" borderId="30" xfId="0" applyFont="1" applyBorder="1" applyAlignment="1">
      <alignment vertical="center" wrapText="1"/>
    </xf>
    <xf numFmtId="0" fontId="0" fillId="0" borderId="50" xfId="0" applyBorder="1" applyAlignment="1">
      <alignment/>
    </xf>
    <xf numFmtId="0" fontId="0" fillId="0" borderId="65" xfId="0" applyBorder="1" applyAlignment="1">
      <alignment vertical="top" wrapText="1"/>
    </xf>
    <xf numFmtId="0" fontId="0" fillId="0" borderId="63" xfId="0" applyBorder="1" applyAlignment="1">
      <alignment vertical="top" wrapText="1"/>
    </xf>
    <xf numFmtId="0" fontId="0" fillId="0" borderId="74" xfId="0" applyBorder="1" applyAlignment="1">
      <alignment wrapText="1"/>
    </xf>
    <xf numFmtId="0" fontId="0" fillId="0" borderId="26" xfId="0" applyBorder="1" applyAlignment="1">
      <alignment vertical="top" wrapText="1"/>
    </xf>
    <xf numFmtId="0" fontId="0" fillId="0" borderId="0" xfId="0" applyBorder="1" applyAlignment="1">
      <alignment vertical="top" wrapText="1"/>
    </xf>
    <xf numFmtId="0" fontId="0" fillId="0" borderId="77" xfId="0" applyBorder="1" applyAlignment="1">
      <alignment wrapText="1"/>
    </xf>
    <xf numFmtId="0" fontId="0" fillId="0" borderId="18" xfId="0" applyBorder="1" applyAlignment="1">
      <alignment vertical="top" wrapText="1"/>
    </xf>
    <xf numFmtId="0" fontId="0" fillId="0" borderId="59" xfId="0" applyBorder="1" applyAlignment="1">
      <alignment vertical="top" wrapText="1"/>
    </xf>
    <xf numFmtId="0" fontId="0" fillId="0" borderId="75" xfId="0" applyBorder="1" applyAlignment="1">
      <alignment wrapText="1"/>
    </xf>
    <xf numFmtId="0" fontId="4" fillId="0" borderId="13" xfId="0" applyFont="1" applyBorder="1" applyAlignment="1">
      <alignment/>
    </xf>
    <xf numFmtId="0" fontId="0" fillId="0" borderId="13" xfId="0" applyBorder="1" applyAlignment="1">
      <alignment/>
    </xf>
    <xf numFmtId="0" fontId="4" fillId="0" borderId="6" xfId="0" applyFont="1" applyBorder="1" applyAlignment="1">
      <alignment/>
    </xf>
    <xf numFmtId="0" fontId="0" fillId="0" borderId="6" xfId="0" applyBorder="1" applyAlignment="1">
      <alignment/>
    </xf>
    <xf numFmtId="0" fontId="3" fillId="0" borderId="24" xfId="0" applyFont="1" applyBorder="1" applyAlignment="1">
      <alignment vertical="center" wrapText="1"/>
    </xf>
    <xf numFmtId="0" fontId="0" fillId="0" borderId="2" xfId="0" applyBorder="1" applyAlignment="1">
      <alignment/>
    </xf>
    <xf numFmtId="0" fontId="3" fillId="0" borderId="23" xfId="0" applyFont="1" applyBorder="1" applyAlignment="1">
      <alignment vertical="center" wrapText="1"/>
    </xf>
    <xf numFmtId="0" fontId="0" fillId="0" borderId="4" xfId="0" applyBorder="1" applyAlignment="1">
      <alignment/>
    </xf>
    <xf numFmtId="0" fontId="13" fillId="0" borderId="23" xfId="0" applyFont="1" applyBorder="1" applyAlignment="1">
      <alignment horizontal="justify" vertical="center"/>
    </xf>
    <xf numFmtId="0" fontId="3" fillId="2" borderId="45" xfId="0" applyFont="1" applyFill="1" applyBorder="1" applyAlignment="1">
      <alignment vertical="center"/>
    </xf>
    <xf numFmtId="0" fontId="4" fillId="0" borderId="34" xfId="0" applyFont="1" applyBorder="1" applyAlignment="1">
      <alignment vertical="center"/>
    </xf>
    <xf numFmtId="0" fontId="4" fillId="0" borderId="40" xfId="0" applyFont="1" applyBorder="1" applyAlignment="1">
      <alignment vertical="center"/>
    </xf>
    <xf numFmtId="0" fontId="0" fillId="0" borderId="58" xfId="0" applyBorder="1" applyAlignment="1">
      <alignment/>
    </xf>
    <xf numFmtId="0" fontId="13" fillId="0" borderId="30" xfId="0" applyFont="1" applyBorder="1" applyAlignment="1">
      <alignment horizontal="justify" vertical="center"/>
    </xf>
    <xf numFmtId="0" fontId="0" fillId="0" borderId="17" xfId="0" applyBorder="1" applyAlignment="1">
      <alignment/>
    </xf>
    <xf numFmtId="0" fontId="13" fillId="2" borderId="45" xfId="0" applyFont="1" applyFill="1" applyBorder="1" applyAlignment="1">
      <alignment horizontal="justify" vertical="center"/>
    </xf>
    <xf numFmtId="0" fontId="0" fillId="0" borderId="35" xfId="0" applyBorder="1" applyAlignment="1">
      <alignment/>
    </xf>
    <xf numFmtId="0" fontId="2" fillId="2" borderId="52" xfId="0" applyFont="1" applyFill="1" applyBorder="1" applyAlignment="1">
      <alignment horizontal="left" vertical="center"/>
    </xf>
    <xf numFmtId="0" fontId="0" fillId="0" borderId="14" xfId="0" applyBorder="1" applyAlignment="1">
      <alignment/>
    </xf>
    <xf numFmtId="0" fontId="0" fillId="0" borderId="23" xfId="0" applyBorder="1" applyAlignment="1">
      <alignment horizontal="left" vertical="center"/>
    </xf>
    <xf numFmtId="0" fontId="0" fillId="0" borderId="12" xfId="0" applyBorder="1" applyAlignment="1">
      <alignment/>
    </xf>
    <xf numFmtId="0" fontId="3" fillId="0" borderId="31" xfId="0" applyFont="1" applyBorder="1" applyAlignment="1">
      <alignment vertical="center" wrapText="1"/>
    </xf>
    <xf numFmtId="0" fontId="0" fillId="0" borderId="9" xfId="0" applyBorder="1" applyAlignment="1">
      <alignment/>
    </xf>
    <xf numFmtId="0" fontId="3" fillId="2" borderId="2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3" fillId="2"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3" fillId="2" borderId="76"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75" xfId="0" applyBorder="1" applyAlignment="1">
      <alignment horizontal="center" vertical="center" wrapText="1"/>
    </xf>
    <xf numFmtId="0" fontId="3" fillId="2" borderId="5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14" xfId="0" applyFont="1" applyFill="1" applyBorder="1" applyAlignment="1">
      <alignment horizontal="center" vertical="center"/>
    </xf>
    <xf numFmtId="3" fontId="3" fillId="2" borderId="41"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 fillId="2" borderId="5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3" fontId="4" fillId="0" borderId="24" xfId="0" applyNumberFormat="1" applyFont="1" applyFill="1" applyBorder="1" applyAlignment="1">
      <alignment vertical="center" wrapText="1"/>
    </xf>
    <xf numFmtId="0" fontId="0" fillId="0" borderId="3" xfId="0" applyBorder="1" applyAlignment="1">
      <alignment/>
    </xf>
    <xf numFmtId="3" fontId="4" fillId="0" borderId="23"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0" fontId="0" fillId="0" borderId="8" xfId="0" applyBorder="1" applyAlignment="1">
      <alignment/>
    </xf>
    <xf numFmtId="3" fontId="3" fillId="2" borderId="45" xfId="0" applyNumberFormat="1" applyFont="1" applyFill="1" applyBorder="1" applyAlignment="1">
      <alignment vertical="center" wrapText="1"/>
    </xf>
    <xf numFmtId="0" fontId="2" fillId="2" borderId="34" xfId="0" applyFont="1" applyFill="1" applyBorder="1" applyAlignment="1">
      <alignment/>
    </xf>
    <xf numFmtId="0" fontId="2" fillId="2" borderId="35" xfId="0" applyFont="1" applyFill="1" applyBorder="1" applyAlignment="1">
      <alignment/>
    </xf>
    <xf numFmtId="3" fontId="4" fillId="0" borderId="52" xfId="0" applyNumberFormat="1" applyFont="1" applyFill="1"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0" fontId="0" fillId="0" borderId="5" xfId="0" applyBorder="1" applyAlignment="1">
      <alignment vertical="center" wrapText="1"/>
    </xf>
    <xf numFmtId="0" fontId="0" fillId="0" borderId="23" xfId="0" applyBorder="1" applyAlignment="1">
      <alignment/>
    </xf>
    <xf numFmtId="3" fontId="3" fillId="2" borderId="43" xfId="0" applyNumberFormat="1" applyFont="1" applyFill="1" applyBorder="1" applyAlignment="1">
      <alignment horizontal="left" vertical="center" wrapText="1"/>
    </xf>
    <xf numFmtId="0" fontId="0" fillId="0" borderId="56" xfId="0" applyBorder="1" applyAlignment="1">
      <alignment/>
    </xf>
    <xf numFmtId="0" fontId="0" fillId="0" borderId="68" xfId="0" applyBorder="1" applyAlignment="1">
      <alignment/>
    </xf>
    <xf numFmtId="3" fontId="3" fillId="2" borderId="43" xfId="0" applyNumberFormat="1" applyFont="1" applyFill="1" applyBorder="1" applyAlignment="1">
      <alignment horizontal="center" vertical="center" wrapText="1"/>
    </xf>
    <xf numFmtId="0" fontId="0" fillId="0" borderId="56" xfId="0" applyBorder="1" applyAlignment="1">
      <alignment horizontal="center" vertical="center" wrapText="1"/>
    </xf>
    <xf numFmtId="0" fontId="0" fillId="0" borderId="68" xfId="0" applyBorder="1" applyAlignment="1">
      <alignment horizontal="center" vertical="center" wrapText="1"/>
    </xf>
    <xf numFmtId="3" fontId="4" fillId="0" borderId="46" xfId="0" applyNumberFormat="1" applyFont="1" applyFill="1" applyBorder="1" applyAlignment="1">
      <alignment vertical="center" wrapText="1"/>
    </xf>
    <xf numFmtId="0" fontId="0" fillId="0" borderId="1" xfId="0" applyFill="1" applyBorder="1" applyAlignment="1">
      <alignment/>
    </xf>
    <xf numFmtId="0" fontId="0" fillId="0" borderId="19" xfId="0" applyFill="1" applyBorder="1" applyAlignment="1">
      <alignment/>
    </xf>
    <xf numFmtId="3" fontId="3" fillId="2" borderId="41" xfId="0" applyNumberFormat="1" applyFont="1" applyFill="1" applyBorder="1" applyAlignment="1">
      <alignment horizontal="left" vertical="center" wrapText="1"/>
    </xf>
    <xf numFmtId="3" fontId="3" fillId="2" borderId="18" xfId="0" applyNumberFormat="1" applyFont="1" applyFill="1" applyBorder="1" applyAlignment="1">
      <alignment horizontal="left" vertical="center" wrapText="1"/>
    </xf>
    <xf numFmtId="0" fontId="0" fillId="0" borderId="59" xfId="0" applyBorder="1" applyAlignment="1">
      <alignment/>
    </xf>
    <xf numFmtId="0" fontId="0" fillId="0" borderId="75" xfId="0" applyBorder="1" applyAlignment="1">
      <alignment/>
    </xf>
    <xf numFmtId="3" fontId="3" fillId="2" borderId="18" xfId="0" applyNumberFormat="1" applyFont="1" applyFill="1" applyBorder="1" applyAlignment="1">
      <alignment horizontal="center" vertical="center" wrapText="1"/>
    </xf>
    <xf numFmtId="0" fontId="0" fillId="0" borderId="74" xfId="0" applyBorder="1" applyAlignment="1">
      <alignment vertical="top" wrapText="1"/>
    </xf>
    <xf numFmtId="0" fontId="0" fillId="0" borderId="77" xfId="0" applyBorder="1" applyAlignment="1">
      <alignment vertical="top" wrapText="1"/>
    </xf>
    <xf numFmtId="0" fontId="0" fillId="0" borderId="75" xfId="0" applyBorder="1" applyAlignment="1">
      <alignment vertical="top" wrapText="1"/>
    </xf>
    <xf numFmtId="0" fontId="4" fillId="0" borderId="0" xfId="0" applyFont="1" applyAlignment="1">
      <alignment vertical="top" wrapText="1"/>
    </xf>
    <xf numFmtId="0" fontId="40" fillId="5" borderId="4" xfId="0" applyFont="1" applyFill="1" applyBorder="1" applyAlignment="1">
      <alignment vertical="center" wrapText="1"/>
    </xf>
    <xf numFmtId="0" fontId="4" fillId="5" borderId="4" xfId="0" applyFont="1" applyFill="1" applyBorder="1" applyAlignment="1">
      <alignment vertical="center" wrapText="1"/>
    </xf>
    <xf numFmtId="0" fontId="13"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39" fillId="4" borderId="4" xfId="0" applyFont="1" applyFill="1" applyBorder="1" applyAlignment="1">
      <alignment horizontal="left" vertical="center" wrapText="1"/>
    </xf>
    <xf numFmtId="0" fontId="4" fillId="4" borderId="4" xfId="0" applyFont="1" applyFill="1" applyBorder="1" applyAlignment="1">
      <alignment vertical="center" wrapText="1"/>
    </xf>
    <xf numFmtId="0" fontId="13" fillId="4"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13" fillId="6" borderId="3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39" fillId="6" borderId="4" xfId="0" applyFont="1" applyFill="1" applyBorder="1" applyAlignment="1">
      <alignment horizontal="left" vertical="center" wrapText="1"/>
    </xf>
    <xf numFmtId="0" fontId="4" fillId="6" borderId="4" xfId="0" applyFont="1" applyFill="1" applyBorder="1" applyAlignment="1">
      <alignment vertical="center"/>
    </xf>
    <xf numFmtId="0" fontId="39" fillId="6" borderId="6" xfId="0" applyFont="1" applyFill="1" applyBorder="1" applyAlignment="1">
      <alignment horizontal="left" vertical="center" wrapText="1"/>
    </xf>
    <xf numFmtId="0" fontId="4" fillId="6" borderId="6" xfId="0" applyFont="1" applyFill="1" applyBorder="1" applyAlignment="1">
      <alignment vertical="center"/>
    </xf>
    <xf numFmtId="0" fontId="39" fillId="3" borderId="4" xfId="0" applyFont="1" applyFill="1" applyBorder="1" applyAlignment="1">
      <alignment horizontal="left" vertical="center" wrapText="1"/>
    </xf>
    <xf numFmtId="0" fontId="38" fillId="7" borderId="13" xfId="0" applyFont="1" applyFill="1" applyBorder="1" applyAlignment="1">
      <alignment horizontal="center" vertical="top" wrapText="1"/>
    </xf>
    <xf numFmtId="0" fontId="4" fillId="0" borderId="13" xfId="0" applyFont="1" applyBorder="1" applyAlignment="1">
      <alignment/>
    </xf>
    <xf numFmtId="0" fontId="38" fillId="3" borderId="23" xfId="0" applyFont="1" applyFill="1" applyBorder="1" applyAlignment="1">
      <alignment horizontal="center" vertical="center" wrapText="1"/>
    </xf>
    <xf numFmtId="0" fontId="4" fillId="0" borderId="23" xfId="0" applyFont="1" applyBorder="1" applyAlignment="1">
      <alignment vertical="center" wrapText="1"/>
    </xf>
    <xf numFmtId="0" fontId="4" fillId="0" borderId="23" xfId="0" applyFont="1" applyBorder="1" applyAlignment="1">
      <alignment vertical="center"/>
    </xf>
    <xf numFmtId="0" fontId="4" fillId="0" borderId="30" xfId="0" applyFont="1" applyBorder="1" applyAlignment="1">
      <alignment vertical="center"/>
    </xf>
    <xf numFmtId="0" fontId="13" fillId="2" borderId="34" xfId="0" applyFont="1" applyFill="1" applyBorder="1" applyAlignment="1">
      <alignment horizontal="right" vertical="center" wrapText="1"/>
    </xf>
    <xf numFmtId="3" fontId="13" fillId="0" borderId="2" xfId="0" applyNumberFormat="1" applyFont="1" applyBorder="1" applyAlignment="1">
      <alignment horizontal="right" vertical="center" wrapText="1"/>
    </xf>
    <xf numFmtId="3" fontId="13" fillId="0" borderId="4" xfId="0" applyNumberFormat="1" applyFont="1" applyBorder="1" applyAlignment="1">
      <alignment horizontal="right" vertical="center" wrapText="1"/>
    </xf>
    <xf numFmtId="0" fontId="4" fillId="0" borderId="12" xfId="0" applyFont="1" applyBorder="1" applyAlignment="1">
      <alignment vertical="center"/>
    </xf>
    <xf numFmtId="0" fontId="4" fillId="0" borderId="50" xfId="0" applyFont="1" applyBorder="1" applyAlignment="1">
      <alignment vertical="center"/>
    </xf>
    <xf numFmtId="0" fontId="0" fillId="0" borderId="40" xfId="0" applyBorder="1" applyAlignment="1">
      <alignment vertical="center"/>
    </xf>
    <xf numFmtId="0" fontId="35" fillId="2" borderId="34" xfId="0" applyFont="1" applyFill="1" applyBorder="1" applyAlignment="1">
      <alignment horizontal="right" vertical="center" wrapText="1"/>
    </xf>
    <xf numFmtId="0" fontId="0" fillId="0" borderId="35" xfId="0" applyBorder="1" applyAlignment="1">
      <alignment vertical="center"/>
    </xf>
    <xf numFmtId="3" fontId="13" fillId="2" borderId="2" xfId="0" applyNumberFormat="1" applyFont="1" applyFill="1" applyBorder="1" applyAlignment="1">
      <alignment horizontal="right" vertical="center" wrapText="1"/>
    </xf>
    <xf numFmtId="3" fontId="13" fillId="2" borderId="4" xfId="0" applyNumberFormat="1" applyFont="1" applyFill="1" applyBorder="1" applyAlignment="1">
      <alignment horizontal="right" vertical="center" wrapText="1"/>
    </xf>
    <xf numFmtId="3" fontId="13" fillId="2" borderId="8" xfId="0" applyNumberFormat="1" applyFont="1" applyFill="1" applyBorder="1" applyAlignment="1">
      <alignment horizontal="right" vertical="center" wrapText="1"/>
    </xf>
    <xf numFmtId="0" fontId="4" fillId="0" borderId="11" xfId="0" applyFont="1" applyBorder="1" applyAlignment="1">
      <alignment vertical="center"/>
    </xf>
    <xf numFmtId="0" fontId="0" fillId="0" borderId="65" xfId="0" applyBorder="1" applyAlignment="1">
      <alignment vertical="top"/>
    </xf>
    <xf numFmtId="0" fontId="0" fillId="0" borderId="63" xfId="0" applyBorder="1" applyAlignment="1">
      <alignment vertical="top"/>
    </xf>
    <xf numFmtId="0" fontId="0" fillId="0" borderId="74" xfId="0" applyBorder="1" applyAlignment="1">
      <alignment/>
    </xf>
    <xf numFmtId="0" fontId="0" fillId="0" borderId="26" xfId="0" applyBorder="1" applyAlignment="1">
      <alignment vertical="top"/>
    </xf>
    <xf numFmtId="0" fontId="0" fillId="0" borderId="0" xfId="0" applyBorder="1" applyAlignment="1">
      <alignment vertical="top"/>
    </xf>
    <xf numFmtId="0" fontId="0" fillId="0" borderId="77" xfId="0" applyBorder="1" applyAlignment="1">
      <alignment/>
    </xf>
    <xf numFmtId="0" fontId="0" fillId="0" borderId="18" xfId="0" applyBorder="1" applyAlignment="1">
      <alignment vertical="top"/>
    </xf>
    <xf numFmtId="0" fontId="0" fillId="0" borderId="59" xfId="0" applyBorder="1" applyAlignment="1">
      <alignment vertical="top"/>
    </xf>
    <xf numFmtId="0" fontId="4" fillId="0" borderId="0" xfId="0" applyFont="1" applyBorder="1" applyAlignment="1">
      <alignment vertical="top"/>
    </xf>
    <xf numFmtId="0" fontId="0" fillId="2" borderId="26"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77" xfId="0" applyFill="1" applyBorder="1" applyAlignment="1">
      <alignment horizontal="center" vertical="center" wrapText="1"/>
    </xf>
    <xf numFmtId="0" fontId="0" fillId="2" borderId="75" xfId="0" applyFill="1" applyBorder="1" applyAlignment="1">
      <alignment horizontal="center" vertical="center" wrapText="1"/>
    </xf>
    <xf numFmtId="0" fontId="4" fillId="0" borderId="65" xfId="0" applyFont="1" applyBorder="1" applyAlignment="1">
      <alignment vertical="top"/>
    </xf>
    <xf numFmtId="0" fontId="4" fillId="0" borderId="63" xfId="0" applyFont="1" applyBorder="1" applyAlignment="1">
      <alignment vertical="top"/>
    </xf>
    <xf numFmtId="0" fontId="4" fillId="0" borderId="74" xfId="0" applyFont="1" applyBorder="1" applyAlignment="1">
      <alignment/>
    </xf>
    <xf numFmtId="0" fontId="4" fillId="0" borderId="26" xfId="0" applyFont="1" applyBorder="1" applyAlignment="1">
      <alignment vertical="top"/>
    </xf>
    <xf numFmtId="0" fontId="4" fillId="0" borderId="77" xfId="0" applyFont="1" applyBorder="1" applyAlignment="1">
      <alignment/>
    </xf>
    <xf numFmtId="0" fontId="4" fillId="0" borderId="18" xfId="0" applyFont="1" applyBorder="1" applyAlignment="1">
      <alignment vertical="top"/>
    </xf>
    <xf numFmtId="0" fontId="4" fillId="0" borderId="59" xfId="0" applyFont="1" applyBorder="1" applyAlignment="1">
      <alignment vertical="top"/>
    </xf>
    <xf numFmtId="0" fontId="4" fillId="0" borderId="75" xfId="0" applyFont="1" applyBorder="1" applyAlignment="1">
      <alignment/>
    </xf>
    <xf numFmtId="0" fontId="13" fillId="0" borderId="24" xfId="0" applyFont="1" applyBorder="1" applyAlignment="1">
      <alignment horizontal="justify" vertical="center"/>
    </xf>
    <xf numFmtId="0" fontId="0" fillId="0" borderId="25" xfId="0" applyBorder="1" applyAlignment="1">
      <alignment horizontal="left" vertical="center"/>
    </xf>
    <xf numFmtId="0" fontId="0" fillId="0" borderId="57" xfId="0" applyBorder="1" applyAlignment="1">
      <alignment/>
    </xf>
    <xf numFmtId="0" fontId="0" fillId="0" borderId="28" xfId="0" applyBorder="1" applyAlignment="1">
      <alignment/>
    </xf>
    <xf numFmtId="0" fontId="0" fillId="0" borderId="49" xfId="0" applyBorder="1" applyAlignment="1">
      <alignment/>
    </xf>
    <xf numFmtId="0" fontId="0" fillId="0" borderId="0" xfId="0" applyBorder="1" applyAlignment="1">
      <alignment/>
    </xf>
    <xf numFmtId="0" fontId="0" fillId="0" borderId="33" xfId="0" applyBorder="1" applyAlignment="1">
      <alignment/>
    </xf>
    <xf numFmtId="0" fontId="3" fillId="2" borderId="79"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3" xfId="0" applyFont="1" applyFill="1" applyBorder="1" applyAlignment="1">
      <alignment horizontal="center" vertical="center" wrapText="1"/>
    </xf>
    <xf numFmtId="3" fontId="4" fillId="0" borderId="35" xfId="0" applyNumberFormat="1" applyFont="1" applyBorder="1" applyAlignment="1">
      <alignment vertical="center"/>
    </xf>
    <xf numFmtId="3" fontId="13" fillId="0" borderId="50" xfId="0" applyNumberFormat="1" applyFont="1" applyBorder="1" applyAlignment="1">
      <alignment horizontal="right" vertical="center" wrapText="1"/>
    </xf>
    <xf numFmtId="0" fontId="4" fillId="0" borderId="76" xfId="0" applyFont="1" applyBorder="1" applyAlignment="1">
      <alignment vertical="center"/>
    </xf>
    <xf numFmtId="0" fontId="0" fillId="0" borderId="49" xfId="0" applyBorder="1" applyAlignment="1">
      <alignment vertical="center"/>
    </xf>
    <xf numFmtId="0" fontId="0" fillId="0" borderId="77" xfId="0" applyBorder="1" applyAlignment="1">
      <alignment vertical="center"/>
    </xf>
    <xf numFmtId="0" fontId="0" fillId="0" borderId="10" xfId="0" applyBorder="1" applyAlignment="1">
      <alignment vertical="center"/>
    </xf>
    <xf numFmtId="0" fontId="13" fillId="0" borderId="44" xfId="0" applyFont="1" applyBorder="1" applyAlignment="1">
      <alignment vertical="center" wrapText="1"/>
    </xf>
    <xf numFmtId="0" fontId="4" fillId="0" borderId="57" xfId="0" applyFont="1" applyBorder="1" applyAlignment="1">
      <alignment vertical="center"/>
    </xf>
    <xf numFmtId="0" fontId="4" fillId="0" borderId="28" xfId="0" applyFont="1" applyBorder="1" applyAlignment="1">
      <alignment vertical="center"/>
    </xf>
    <xf numFmtId="3" fontId="13" fillId="0" borderId="8" xfId="0" applyNumberFormat="1" applyFont="1" applyBorder="1" applyAlignment="1">
      <alignment horizontal="right" vertical="center" wrapText="1"/>
    </xf>
    <xf numFmtId="0" fontId="0" fillId="0" borderId="11" xfId="0" applyBorder="1" applyAlignment="1">
      <alignment/>
    </xf>
    <xf numFmtId="0" fontId="0" fillId="0" borderId="69" xfId="0" applyBorder="1" applyAlignment="1">
      <alignment/>
    </xf>
    <xf numFmtId="0" fontId="0" fillId="0" borderId="36" xfId="0" applyBorder="1" applyAlignment="1">
      <alignment/>
    </xf>
    <xf numFmtId="0" fontId="3" fillId="2" borderId="65"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4" fillId="0" borderId="57" xfId="0" applyFont="1" applyBorder="1" applyAlignment="1">
      <alignment vertical="top"/>
    </xf>
    <xf numFmtId="0" fontId="4" fillId="0" borderId="28" xfId="0" applyFont="1" applyBorder="1" applyAlignment="1">
      <alignment/>
    </xf>
    <xf numFmtId="0" fontId="4" fillId="0" borderId="49" xfId="0" applyFont="1" applyBorder="1" applyAlignment="1">
      <alignment vertical="top"/>
    </xf>
    <xf numFmtId="0" fontId="4" fillId="0" borderId="33" xfId="0" applyFont="1" applyBorder="1" applyAlignment="1">
      <alignment/>
    </xf>
    <xf numFmtId="0" fontId="4" fillId="0" borderId="11" xfId="0" applyFont="1" applyBorder="1" applyAlignment="1">
      <alignment vertical="top"/>
    </xf>
    <xf numFmtId="0" fontId="4" fillId="0" borderId="69" xfId="0" applyFont="1" applyBorder="1" applyAlignment="1">
      <alignment vertical="top"/>
    </xf>
    <xf numFmtId="0" fontId="4" fillId="0" borderId="36" xfId="0" applyFont="1" applyBorder="1" applyAlignment="1">
      <alignment/>
    </xf>
    <xf numFmtId="0" fontId="0" fillId="0" borderId="57" xfId="0" applyBorder="1" applyAlignment="1">
      <alignment vertical="top" wrapText="1"/>
    </xf>
    <xf numFmtId="0" fontId="0" fillId="0" borderId="28" xfId="0" applyBorder="1" applyAlignment="1">
      <alignment wrapText="1"/>
    </xf>
    <xf numFmtId="0" fontId="0" fillId="0" borderId="49" xfId="0" applyBorder="1" applyAlignment="1">
      <alignment vertical="top" wrapText="1"/>
    </xf>
    <xf numFmtId="0" fontId="0" fillId="0" borderId="33" xfId="0" applyBorder="1" applyAlignment="1">
      <alignment wrapText="1"/>
    </xf>
    <xf numFmtId="0" fontId="0" fillId="0" borderId="11" xfId="0" applyBorder="1" applyAlignment="1">
      <alignment vertical="top" wrapText="1"/>
    </xf>
    <xf numFmtId="0" fontId="0" fillId="0" borderId="69" xfId="0" applyBorder="1" applyAlignment="1">
      <alignment vertical="top" wrapText="1"/>
    </xf>
    <xf numFmtId="0" fontId="0" fillId="0" borderId="36" xfId="0" applyBorder="1" applyAlignment="1">
      <alignment wrapText="1"/>
    </xf>
    <xf numFmtId="0" fontId="0" fillId="2" borderId="58" xfId="0" applyFill="1" applyBorder="1" applyAlignment="1">
      <alignment horizontal="center" vertical="center" wrapText="1"/>
    </xf>
    <xf numFmtId="0" fontId="0" fillId="2" borderId="62" xfId="0" applyFill="1" applyBorder="1" applyAlignment="1">
      <alignment horizontal="center" vertical="center" wrapText="1"/>
    </xf>
    <xf numFmtId="3" fontId="3" fillId="2" borderId="42" xfId="0" applyNumberFormat="1" applyFont="1" applyFill="1" applyBorder="1" applyAlignment="1">
      <alignment horizontal="left" vertical="center" wrapText="1"/>
    </xf>
    <xf numFmtId="0" fontId="0" fillId="0" borderId="69" xfId="0" applyBorder="1" applyAlignment="1">
      <alignment/>
    </xf>
    <xf numFmtId="0" fontId="0" fillId="0" borderId="78" xfId="0" applyBorder="1" applyAlignment="1">
      <alignment/>
    </xf>
    <xf numFmtId="3" fontId="3" fillId="2" borderId="42"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78" xfId="0" applyBorder="1" applyAlignment="1">
      <alignment horizontal="center" vertical="center" wrapText="1"/>
    </xf>
    <xf numFmtId="0" fontId="4" fillId="0" borderId="28" xfId="0" applyFont="1" applyBorder="1" applyAlignment="1">
      <alignment wrapText="1"/>
    </xf>
    <xf numFmtId="0" fontId="4" fillId="0" borderId="33" xfId="0" applyFont="1" applyBorder="1" applyAlignment="1">
      <alignment wrapText="1"/>
    </xf>
    <xf numFmtId="0" fontId="4" fillId="0" borderId="36" xfId="0" applyFont="1" applyBorder="1" applyAlignment="1">
      <alignment wrapText="1"/>
    </xf>
    <xf numFmtId="0" fontId="3" fillId="2"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lignment horizontal="center" vertical="center" wrapText="1"/>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2" borderId="66" xfId="0" applyFont="1" applyFill="1" applyBorder="1" applyAlignment="1">
      <alignment horizontal="center" vertical="center"/>
    </xf>
    <xf numFmtId="3" fontId="4" fillId="0" borderId="25" xfId="0" applyNumberFormat="1" applyFont="1" applyFill="1" applyBorder="1" applyAlignment="1">
      <alignment vertical="center" wrapText="1"/>
    </xf>
    <xf numFmtId="3" fontId="4" fillId="2" borderId="45" xfId="0" applyNumberFormat="1" applyFont="1" applyFill="1" applyBorder="1" applyAlignment="1">
      <alignment vertical="center" wrapText="1"/>
    </xf>
    <xf numFmtId="0" fontId="0" fillId="2" borderId="34" xfId="0" applyFill="1" applyBorder="1" applyAlignment="1">
      <alignment/>
    </xf>
    <xf numFmtId="0" fontId="0" fillId="2" borderId="35" xfId="0" applyFill="1" applyBorder="1" applyAlignment="1">
      <alignment/>
    </xf>
    <xf numFmtId="3" fontId="4" fillId="0" borderId="26" xfId="0" applyNumberFormat="1" applyFont="1" applyFill="1" applyBorder="1" applyAlignment="1">
      <alignment vertical="center" wrapText="1"/>
    </xf>
    <xf numFmtId="3" fontId="3" fillId="2" borderId="65" xfId="0" applyNumberFormat="1" applyFont="1" applyFill="1" applyBorder="1" applyAlignment="1">
      <alignment horizontal="center" vertical="center" wrapText="1"/>
    </xf>
    <xf numFmtId="0" fontId="0" fillId="0" borderId="63" xfId="0" applyBorder="1" applyAlignment="1">
      <alignment horizontal="center" vertical="center" wrapText="1"/>
    </xf>
    <xf numFmtId="0" fontId="0" fillId="0" borderId="74" xfId="0" applyBorder="1" applyAlignment="1">
      <alignment horizontal="center" vertical="center" wrapText="1"/>
    </xf>
    <xf numFmtId="0" fontId="3" fillId="0" borderId="65" xfId="0" applyFont="1" applyBorder="1" applyAlignment="1">
      <alignment vertical="center" wrapText="1"/>
    </xf>
    <xf numFmtId="0" fontId="3" fillId="0" borderId="63" xfId="0" applyFont="1" applyBorder="1" applyAlignment="1">
      <alignment vertical="center" wrapText="1"/>
    </xf>
    <xf numFmtId="0" fontId="3" fillId="0" borderId="74" xfId="0" applyFont="1" applyBorder="1" applyAlignment="1">
      <alignment vertical="center" wrapText="1"/>
    </xf>
    <xf numFmtId="0" fontId="3" fillId="0" borderId="18" xfId="0" applyFont="1" applyBorder="1" applyAlignment="1">
      <alignment vertical="center" wrapText="1"/>
    </xf>
    <xf numFmtId="0" fontId="3" fillId="0" borderId="59" xfId="0" applyFont="1" applyBorder="1" applyAlignment="1">
      <alignment vertical="center" wrapText="1"/>
    </xf>
    <xf numFmtId="0" fontId="3" fillId="0" borderId="75" xfId="0" applyFont="1" applyBorder="1" applyAlignment="1">
      <alignment vertical="center" wrapText="1"/>
    </xf>
    <xf numFmtId="0" fontId="0" fillId="0" borderId="63" xfId="0" applyBorder="1" applyAlignment="1">
      <alignment/>
    </xf>
    <xf numFmtId="0" fontId="3" fillId="2"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47" xfId="0" applyBorder="1" applyAlignment="1">
      <alignment horizontal="center" vertical="center" wrapText="1"/>
    </xf>
    <xf numFmtId="0" fontId="13" fillId="2" borderId="21" xfId="0" applyFont="1" applyFill="1" applyBorder="1" applyAlignment="1">
      <alignment vertical="center" wrapText="1"/>
    </xf>
    <xf numFmtId="0" fontId="4" fillId="0" borderId="64" xfId="0" applyFont="1" applyBorder="1" applyAlignment="1">
      <alignment vertical="center"/>
    </xf>
    <xf numFmtId="0" fontId="13" fillId="0" borderId="52" xfId="0" applyFont="1" applyBorder="1" applyAlignment="1">
      <alignment vertical="center" wrapText="1"/>
    </xf>
    <xf numFmtId="0" fontId="4" fillId="0" borderId="13" xfId="0" applyFont="1" applyBorder="1" applyAlignment="1">
      <alignment vertical="center"/>
    </xf>
    <xf numFmtId="4" fontId="13" fillId="2" borderId="64" xfId="0" applyNumberFormat="1" applyFont="1" applyFill="1" applyBorder="1" applyAlignment="1">
      <alignment horizontal="right" vertical="center" wrapText="1"/>
    </xf>
    <xf numFmtId="0" fontId="4" fillId="0" borderId="22" xfId="0" applyFont="1" applyBorder="1" applyAlignment="1">
      <alignment vertical="center"/>
    </xf>
    <xf numFmtId="3" fontId="13" fillId="0" borderId="13" xfId="0" applyNumberFormat="1" applyFont="1" applyBorder="1" applyAlignment="1">
      <alignment horizontal="right" vertical="center" wrapText="1"/>
    </xf>
    <xf numFmtId="0" fontId="4" fillId="0" borderId="14" xfId="0" applyFont="1" applyBorder="1" applyAlignment="1">
      <alignment vertical="center"/>
    </xf>
    <xf numFmtId="0" fontId="4" fillId="2" borderId="34" xfId="0" applyFont="1" applyFill="1" applyBorder="1" applyAlignment="1">
      <alignment vertical="center"/>
    </xf>
    <xf numFmtId="0" fontId="13" fillId="2" borderId="52" xfId="0" applyFont="1" applyFill="1" applyBorder="1" applyAlignment="1">
      <alignment vertical="center" wrapText="1"/>
    </xf>
    <xf numFmtId="4" fontId="13" fillId="2" borderId="34" xfId="0" applyNumberFormat="1" applyFont="1" applyFill="1" applyBorder="1" applyAlignment="1">
      <alignment horizontal="right" vertical="center" wrapText="1"/>
    </xf>
    <xf numFmtId="4" fontId="13" fillId="2" borderId="13" xfId="0" applyNumberFormat="1" applyFont="1" applyFill="1" applyBorder="1" applyAlignment="1">
      <alignment horizontal="right" vertical="center" wrapText="1"/>
    </xf>
    <xf numFmtId="0" fontId="13" fillId="2" borderId="13" xfId="0" applyFont="1" applyFill="1" applyBorder="1" applyAlignment="1">
      <alignment horizontal="right" vertical="center" wrapText="1"/>
    </xf>
    <xf numFmtId="3" fontId="13" fillId="0" borderId="6" xfId="0" applyNumberFormat="1" applyFont="1" applyBorder="1" applyAlignment="1">
      <alignment horizontal="right" vertical="center" wrapText="1"/>
    </xf>
    <xf numFmtId="0" fontId="4" fillId="0" borderId="7" xfId="0" applyFont="1" applyBorder="1" applyAlignment="1">
      <alignment vertical="center"/>
    </xf>
    <xf numFmtId="0" fontId="4" fillId="2" borderId="35" xfId="0" applyFont="1" applyFill="1" applyBorder="1" applyAlignment="1">
      <alignment vertical="center"/>
    </xf>
    <xf numFmtId="0" fontId="13" fillId="0" borderId="25" xfId="0" applyFont="1" applyBorder="1" applyAlignment="1">
      <alignment vertical="center" wrapText="1"/>
    </xf>
    <xf numFmtId="0" fontId="4" fillId="0" borderId="6" xfId="0" applyFont="1" applyBorder="1" applyAlignment="1">
      <alignment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E"/>
                <a:ea typeface="Arial CE"/>
                <a:cs typeface="Arial CE"/>
              </a:rPr>
              <a:t>Hospodářský výsledek 2003</a:t>
            </a:r>
          </a:p>
        </c:rich>
      </c:tx>
      <c:layout/>
      <c:spPr>
        <a:noFill/>
        <a:ln>
          <a:noFill/>
        </a:ln>
      </c:spPr>
    </c:title>
    <c:plotArea>
      <c:layout>
        <c:manualLayout>
          <c:xMode val="edge"/>
          <c:yMode val="edge"/>
          <c:x val="0.013"/>
          <c:y val="0.07475"/>
          <c:w val="0.97375"/>
          <c:h val="0.89925"/>
        </c:manualLayout>
      </c:layout>
      <c:lineChart>
        <c:grouping val="standard"/>
        <c:varyColors val="0"/>
        <c:ser>
          <c:idx val="0"/>
          <c:order val="0"/>
          <c:tx>
            <c:strRef>
              <c:f>Hospodaření!$A$6</c:f>
              <c:strCache>
                <c:ptCount val="1"/>
                <c:pt idx="0">
                  <c:v>Havlíčkův Brod</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Hospodaření!$I$6:$I$17</c:f>
              <c:numCache/>
            </c:numRef>
          </c:val>
          <c:smooth val="0"/>
        </c:ser>
        <c:ser>
          <c:idx val="1"/>
          <c:order val="1"/>
          <c:tx>
            <c:strRef>
              <c:f>Hospodaření!$A$18</c:f>
              <c:strCache>
                <c:ptCount val="1"/>
                <c:pt idx="0">
                  <c:v>Jihlava</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Hospodaření!$I$18:$I$29</c:f>
              <c:numCache/>
            </c:numRef>
          </c:val>
          <c:smooth val="0"/>
        </c:ser>
        <c:ser>
          <c:idx val="2"/>
          <c:order val="2"/>
          <c:tx>
            <c:strRef>
              <c:f>Hospodaření!$A$30</c:f>
              <c:strCache>
                <c:ptCount val="1"/>
                <c:pt idx="0">
                  <c:v>Pelhřimov</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Hospodaření!$I$30:$I$41</c:f>
              <c:numCache/>
            </c:numRef>
          </c:val>
          <c:smooth val="0"/>
        </c:ser>
        <c:ser>
          <c:idx val="3"/>
          <c:order val="3"/>
          <c:tx>
            <c:strRef>
              <c:f>Hospodaření!$A$42</c:f>
              <c:strCache>
                <c:ptCount val="1"/>
                <c:pt idx="0">
                  <c:v>Třebíč</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Hospodaření!$I$42:$I$53</c:f>
              <c:numCache/>
            </c:numRef>
          </c:val>
          <c:smooth val="0"/>
        </c:ser>
        <c:ser>
          <c:idx val="4"/>
          <c:order val="4"/>
          <c:tx>
            <c:strRef>
              <c:f>Hospodaření!$A$54</c:f>
              <c:strCache>
                <c:ptCount val="1"/>
                <c:pt idx="0">
                  <c:v>Nové Město na Moravě</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Hospodaření!$I$54:$I$65</c:f>
              <c:numCache/>
            </c:numRef>
          </c:val>
          <c:smooth val="0"/>
        </c:ser>
        <c:marker val="1"/>
        <c:axId val="28381753"/>
        <c:axId val="54109186"/>
      </c:lineChart>
      <c:catAx>
        <c:axId val="28381753"/>
        <c:scaling>
          <c:orientation val="minMax"/>
        </c:scaling>
        <c:axPos val="b"/>
        <c:delete val="0"/>
        <c:numFmt formatCode="General" sourceLinked="1"/>
        <c:majorTickMark val="out"/>
        <c:minorTickMark val="none"/>
        <c:tickLblPos val="nextTo"/>
        <c:crossAx val="54109186"/>
        <c:crosses val="autoZero"/>
        <c:auto val="1"/>
        <c:lblOffset val="100"/>
        <c:noMultiLvlLbl val="0"/>
      </c:catAx>
      <c:valAx>
        <c:axId val="54109186"/>
        <c:scaling>
          <c:orientation val="minMax"/>
        </c:scaling>
        <c:axPos val="l"/>
        <c:majorGridlines/>
        <c:delete val="0"/>
        <c:numFmt formatCode="General" sourceLinked="1"/>
        <c:majorTickMark val="out"/>
        <c:minorTickMark val="none"/>
        <c:tickLblPos val="nextTo"/>
        <c:txPr>
          <a:bodyPr/>
          <a:lstStyle/>
          <a:p>
            <a:pPr>
              <a:defRPr lang="en-US" cap="none" sz="850" b="1" i="0" u="none" baseline="0">
                <a:latin typeface="Arial CE"/>
                <a:ea typeface="Arial CE"/>
                <a:cs typeface="Arial CE"/>
              </a:defRPr>
            </a:pPr>
          </a:p>
        </c:txPr>
        <c:crossAx val="28381753"/>
        <c:crossesAt val="1"/>
        <c:crossBetween val="between"/>
        <c:dispUnits/>
      </c:valAx>
      <c:dTable>
        <c:showHorzBorder val="1"/>
        <c:showVertBorder val="1"/>
        <c:showOutline val="1"/>
        <c:showKeys val="1"/>
        <c:txPr>
          <a:bodyPr vert="horz" rot="0"/>
          <a:lstStyle/>
          <a:p>
            <a:pPr>
              <a:defRPr lang="en-US" cap="none" sz="7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CE"/>
          <a:ea typeface="Arial CE"/>
          <a:cs typeface="Arial CE"/>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E"/>
                <a:ea typeface="Arial CE"/>
                <a:cs typeface="Arial CE"/>
              </a:rPr>
              <a:t>procentuální složení průměrné mzdy</a:t>
            </a:r>
          </a:p>
        </c:rich>
      </c:tx>
      <c:layout/>
      <c:spPr>
        <a:noFill/>
        <a:ln>
          <a:noFill/>
        </a:ln>
      </c:spPr>
    </c:title>
    <c:plotArea>
      <c:layout>
        <c:manualLayout>
          <c:xMode val="edge"/>
          <c:yMode val="edge"/>
          <c:x val="0"/>
          <c:y val="0.068"/>
          <c:w val="1"/>
          <c:h val="0.932"/>
        </c:manualLayout>
      </c:layout>
      <c:barChart>
        <c:barDir val="col"/>
        <c:grouping val="clustered"/>
        <c:varyColors val="0"/>
        <c:ser>
          <c:idx val="0"/>
          <c:order val="0"/>
          <c:tx>
            <c:strRef>
              <c:f>'Rozklad mezd'!$B$63:$C$63</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mezd'!$A$65:$A$72</c:f>
              <c:strCache/>
            </c:strRef>
          </c:cat>
          <c:val>
            <c:numRef>
              <c:f>'Rozklad mezd'!$C$65:$C$72</c:f>
              <c:numCache/>
            </c:numRef>
          </c:val>
        </c:ser>
        <c:ser>
          <c:idx val="1"/>
          <c:order val="1"/>
          <c:tx>
            <c:strRef>
              <c:f>'Rozklad mezd'!$D$63:$E$63</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mezd'!$A$65:$A$72</c:f>
              <c:strCache/>
            </c:strRef>
          </c:cat>
          <c:val>
            <c:numRef>
              <c:f>'Rozklad mezd'!$E$65:$E$72</c:f>
              <c:numCache/>
            </c:numRef>
          </c:val>
        </c:ser>
        <c:ser>
          <c:idx val="2"/>
          <c:order val="2"/>
          <c:tx>
            <c:strRef>
              <c:f>'Rozklad mezd'!$F$63:$G$63</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mezd'!$A$65:$A$72</c:f>
              <c:strCache/>
            </c:strRef>
          </c:cat>
          <c:val>
            <c:numRef>
              <c:f>'Rozklad mezd'!$G$65:$G$72</c:f>
              <c:numCache/>
            </c:numRef>
          </c:val>
        </c:ser>
        <c:ser>
          <c:idx val="3"/>
          <c:order val="3"/>
          <c:tx>
            <c:strRef>
              <c:f>'Rozklad mezd'!$H$63:$I$63</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mezd'!$A$65:$A$72</c:f>
              <c:strCache/>
            </c:strRef>
          </c:cat>
          <c:val>
            <c:numRef>
              <c:f>'Rozklad mezd'!$I$65:$I$72</c:f>
              <c:numCache/>
            </c:numRef>
          </c:val>
        </c:ser>
        <c:ser>
          <c:idx val="4"/>
          <c:order val="4"/>
          <c:tx>
            <c:strRef>
              <c:f>'Rozklad mezd'!$J$63:$K$63</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mezd'!$A$65:$A$72</c:f>
              <c:strCache/>
            </c:strRef>
          </c:cat>
          <c:val>
            <c:numRef>
              <c:f>'Rozklad mezd'!$K$65:$K$72</c:f>
              <c:numCache/>
            </c:numRef>
          </c:val>
        </c:ser>
        <c:axId val="6500195"/>
        <c:axId val="58501756"/>
      </c:barChart>
      <c:catAx>
        <c:axId val="6500195"/>
        <c:scaling>
          <c:orientation val="minMax"/>
        </c:scaling>
        <c:axPos val="b"/>
        <c:delete val="0"/>
        <c:numFmt formatCode="General" sourceLinked="1"/>
        <c:majorTickMark val="out"/>
        <c:minorTickMark val="none"/>
        <c:tickLblPos val="nextTo"/>
        <c:crossAx val="58501756"/>
        <c:crosses val="autoZero"/>
        <c:auto val="1"/>
        <c:lblOffset val="100"/>
        <c:noMultiLvlLbl val="0"/>
      </c:catAx>
      <c:valAx>
        <c:axId val="58501756"/>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6500195"/>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E"/>
                <a:ea typeface="Arial CE"/>
                <a:cs typeface="Arial CE"/>
              </a:rPr>
              <a:t>ostatní zdrav. pracovníci nelékaři s odb. způsobilostí</a:t>
            </a:r>
          </a:p>
        </c:rich>
      </c:tx>
      <c:layout>
        <c:manualLayout>
          <c:xMode val="factor"/>
          <c:yMode val="factor"/>
          <c:x val="0.05675"/>
          <c:y val="-0.021"/>
        </c:manualLayout>
      </c:layout>
      <c:spPr>
        <a:noFill/>
        <a:ln>
          <a:noFill/>
        </a:ln>
      </c:spPr>
    </c:title>
    <c:plotArea>
      <c:layout>
        <c:manualLayout>
          <c:xMode val="edge"/>
          <c:yMode val="edge"/>
          <c:x val="0"/>
          <c:y val="0.03975"/>
          <c:w val="1"/>
          <c:h val="0.90775"/>
        </c:manualLayout>
      </c:layout>
      <c:barChart>
        <c:barDir val="col"/>
        <c:grouping val="clustered"/>
        <c:varyColors val="0"/>
        <c:ser>
          <c:idx val="0"/>
          <c:order val="0"/>
          <c:tx>
            <c:strRef>
              <c:f>'Rozklad mezd'!$B$90:$C$90</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mezd'!$A$91:$A$99</c:f>
              <c:strCache/>
            </c:strRef>
          </c:cat>
          <c:val>
            <c:numRef>
              <c:f>'Rozklad mezd'!$B$91:$B$99</c:f>
              <c:numCache/>
            </c:numRef>
          </c:val>
        </c:ser>
        <c:ser>
          <c:idx val="1"/>
          <c:order val="1"/>
          <c:tx>
            <c:strRef>
              <c:f>'Rozklad mezd'!$D$90:$E$90</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mezd'!$A$91:$A$99</c:f>
              <c:strCache/>
            </c:strRef>
          </c:cat>
          <c:val>
            <c:numRef>
              <c:f>'Rozklad mezd'!$D$91:$D$99</c:f>
              <c:numCache/>
            </c:numRef>
          </c:val>
        </c:ser>
        <c:ser>
          <c:idx val="2"/>
          <c:order val="2"/>
          <c:tx>
            <c:strRef>
              <c:f>'Rozklad mezd'!$F$90:$G$90</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mezd'!$A$91:$A$99</c:f>
              <c:strCache/>
            </c:strRef>
          </c:cat>
          <c:val>
            <c:numRef>
              <c:f>'Rozklad mezd'!$F$91:$F$99</c:f>
              <c:numCache/>
            </c:numRef>
          </c:val>
        </c:ser>
        <c:ser>
          <c:idx val="3"/>
          <c:order val="3"/>
          <c:tx>
            <c:strRef>
              <c:f>'Rozklad mezd'!$H$90:$I$90</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mezd'!$A$91:$A$99</c:f>
              <c:strCache/>
            </c:strRef>
          </c:cat>
          <c:val>
            <c:numRef>
              <c:f>'Rozklad mezd'!$H$91:$H$99</c:f>
              <c:numCache/>
            </c:numRef>
          </c:val>
        </c:ser>
        <c:ser>
          <c:idx val="4"/>
          <c:order val="4"/>
          <c:tx>
            <c:strRef>
              <c:f>'Rozklad mezd'!$J$90:$K$90</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mezd'!$A$91:$A$99</c:f>
              <c:strCache/>
            </c:strRef>
          </c:cat>
          <c:val>
            <c:numRef>
              <c:f>'Rozklad mezd'!$J$91:$J$99</c:f>
              <c:numCache/>
            </c:numRef>
          </c:val>
        </c:ser>
        <c:axId val="56753757"/>
        <c:axId val="41021766"/>
      </c:barChart>
      <c:catAx>
        <c:axId val="56753757"/>
        <c:scaling>
          <c:orientation val="minMax"/>
        </c:scaling>
        <c:axPos val="b"/>
        <c:delete val="0"/>
        <c:numFmt formatCode="General" sourceLinked="1"/>
        <c:majorTickMark val="out"/>
        <c:minorTickMark val="none"/>
        <c:tickLblPos val="nextTo"/>
        <c:crossAx val="41021766"/>
        <c:crosses val="autoZero"/>
        <c:auto val="1"/>
        <c:lblOffset val="100"/>
        <c:noMultiLvlLbl val="0"/>
      </c:catAx>
      <c:valAx>
        <c:axId val="41021766"/>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56753757"/>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procentuální složení průměrné mzdy</a:t>
            </a:r>
          </a:p>
        </c:rich>
      </c:tx>
      <c:layout/>
      <c:spPr>
        <a:noFill/>
        <a:ln>
          <a:noFill/>
        </a:ln>
      </c:spPr>
    </c:title>
    <c:plotArea>
      <c:layout>
        <c:manualLayout>
          <c:xMode val="edge"/>
          <c:yMode val="edge"/>
          <c:x val="0"/>
          <c:y val="0.07275"/>
          <c:w val="1"/>
          <c:h val="0.89725"/>
        </c:manualLayout>
      </c:layout>
      <c:barChart>
        <c:barDir val="col"/>
        <c:grouping val="clustered"/>
        <c:varyColors val="0"/>
        <c:ser>
          <c:idx val="0"/>
          <c:order val="0"/>
          <c:tx>
            <c:strRef>
              <c:f>'Rozklad mezd'!$B$90:$C$90</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mezd'!$A$92:$A$99</c:f>
              <c:strCache/>
            </c:strRef>
          </c:cat>
          <c:val>
            <c:numRef>
              <c:f>'Rozklad mezd'!$C$92:$C$99</c:f>
              <c:numCache/>
            </c:numRef>
          </c:val>
        </c:ser>
        <c:ser>
          <c:idx val="1"/>
          <c:order val="1"/>
          <c:tx>
            <c:strRef>
              <c:f>'Rozklad mezd'!$D$90:$E$90</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mezd'!$A$92:$A$99</c:f>
              <c:strCache/>
            </c:strRef>
          </c:cat>
          <c:val>
            <c:numRef>
              <c:f>'Rozklad mezd'!$E$92:$E$99</c:f>
              <c:numCache/>
            </c:numRef>
          </c:val>
        </c:ser>
        <c:ser>
          <c:idx val="2"/>
          <c:order val="2"/>
          <c:tx>
            <c:strRef>
              <c:f>'Rozklad mezd'!$F$90:$G$90</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mezd'!$A$92:$A$99</c:f>
              <c:strCache/>
            </c:strRef>
          </c:cat>
          <c:val>
            <c:numRef>
              <c:f>'Rozklad mezd'!$G$92:$G$99</c:f>
              <c:numCache/>
            </c:numRef>
          </c:val>
        </c:ser>
        <c:ser>
          <c:idx val="3"/>
          <c:order val="3"/>
          <c:tx>
            <c:strRef>
              <c:f>'Rozklad mezd'!$H$90:$I$90</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mezd'!$A$92:$A$99</c:f>
              <c:strCache/>
            </c:strRef>
          </c:cat>
          <c:val>
            <c:numRef>
              <c:f>'Rozklad mezd'!$I$92:$I$99</c:f>
              <c:numCache/>
            </c:numRef>
          </c:val>
        </c:ser>
        <c:ser>
          <c:idx val="4"/>
          <c:order val="4"/>
          <c:tx>
            <c:strRef>
              <c:f>'Rozklad mezd'!$J$90:$K$90</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mezd'!$A$92:$A$99</c:f>
              <c:strCache/>
            </c:strRef>
          </c:cat>
          <c:val>
            <c:numRef>
              <c:f>'Rozklad mezd'!$K$92:$K$99</c:f>
              <c:numCache/>
            </c:numRef>
          </c:val>
        </c:ser>
        <c:axId val="33651575"/>
        <c:axId val="34428720"/>
      </c:barChart>
      <c:catAx>
        <c:axId val="33651575"/>
        <c:scaling>
          <c:orientation val="minMax"/>
        </c:scaling>
        <c:axPos val="b"/>
        <c:delete val="0"/>
        <c:numFmt formatCode="General" sourceLinked="1"/>
        <c:majorTickMark val="out"/>
        <c:minorTickMark val="none"/>
        <c:tickLblPos val="nextTo"/>
        <c:crossAx val="34428720"/>
        <c:crosses val="autoZero"/>
        <c:auto val="1"/>
        <c:lblOffset val="100"/>
        <c:noMultiLvlLbl val="0"/>
      </c:catAx>
      <c:valAx>
        <c:axId val="34428720"/>
        <c:scaling>
          <c:orientation val="minMax"/>
        </c:scaling>
        <c:axPos val="l"/>
        <c:majorGridlines/>
        <c:delete val="0"/>
        <c:numFmt formatCode="General" sourceLinked="1"/>
        <c:majorTickMark val="out"/>
        <c:minorTickMark val="none"/>
        <c:tickLblPos val="nextTo"/>
        <c:txPr>
          <a:bodyPr/>
          <a:lstStyle/>
          <a:p>
            <a:pPr>
              <a:defRPr lang="en-US" cap="none" sz="600" b="1" i="0" u="none" baseline="0">
                <a:latin typeface="Arial CE"/>
                <a:ea typeface="Arial CE"/>
                <a:cs typeface="Arial CE"/>
              </a:defRPr>
            </a:pPr>
          </a:p>
        </c:txPr>
        <c:crossAx val="33651575"/>
        <c:crossesAt val="1"/>
        <c:crossBetween val="between"/>
        <c:dispUnits/>
      </c:valAx>
      <c:dTable>
        <c:showHorzBorder val="1"/>
        <c:showVertBorder val="1"/>
        <c:showOutline val="1"/>
        <c:showKeys val="1"/>
        <c:txPr>
          <a:bodyPr vert="horz" rot="0"/>
          <a:lstStyle/>
          <a:p>
            <a:pPr>
              <a:defRPr lang="en-US" cap="none" sz="6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E"/>
                <a:ea typeface="Arial CE"/>
                <a:cs typeface="Arial CE"/>
              </a:rPr>
              <a:t>  zdrav. pracovníci nelékaři s odb. a special. způsobilostí </a:t>
            </a:r>
          </a:p>
        </c:rich>
      </c:tx>
      <c:layout>
        <c:manualLayout>
          <c:xMode val="factor"/>
          <c:yMode val="factor"/>
          <c:x val="0.05425"/>
          <c:y val="-0.01275"/>
        </c:manualLayout>
      </c:layout>
      <c:spPr>
        <a:noFill/>
        <a:ln>
          <a:noFill/>
        </a:ln>
      </c:spPr>
    </c:title>
    <c:plotArea>
      <c:layout>
        <c:manualLayout>
          <c:xMode val="edge"/>
          <c:yMode val="edge"/>
          <c:x val="0"/>
          <c:y val="0.0525"/>
          <c:w val="1"/>
          <c:h val="0.9475"/>
        </c:manualLayout>
      </c:layout>
      <c:barChart>
        <c:barDir val="col"/>
        <c:grouping val="clustered"/>
        <c:varyColors val="0"/>
        <c:ser>
          <c:idx val="0"/>
          <c:order val="0"/>
          <c:tx>
            <c:strRef>
              <c:f>'Rozklad mezd'!$B$117:$C$117</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mezd'!$A$118:$A$126</c:f>
              <c:strCache/>
            </c:strRef>
          </c:cat>
          <c:val>
            <c:numRef>
              <c:f>'Rozklad mezd'!$B$118:$B$126</c:f>
              <c:numCache/>
            </c:numRef>
          </c:val>
        </c:ser>
        <c:ser>
          <c:idx val="1"/>
          <c:order val="1"/>
          <c:tx>
            <c:strRef>
              <c:f>'Rozklad mezd'!$D$117:$E$117</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mezd'!$A$118:$A$126</c:f>
              <c:strCache/>
            </c:strRef>
          </c:cat>
          <c:val>
            <c:numRef>
              <c:f>'Rozklad mezd'!$D$118:$D$126</c:f>
              <c:numCache/>
            </c:numRef>
          </c:val>
        </c:ser>
        <c:ser>
          <c:idx val="2"/>
          <c:order val="2"/>
          <c:tx>
            <c:strRef>
              <c:f>'Rozklad mezd'!$F$117:$G$117</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mezd'!$A$118:$A$126</c:f>
              <c:strCache/>
            </c:strRef>
          </c:cat>
          <c:val>
            <c:numRef>
              <c:f>'Rozklad mezd'!$F$118:$F$126</c:f>
              <c:numCache/>
            </c:numRef>
          </c:val>
        </c:ser>
        <c:ser>
          <c:idx val="3"/>
          <c:order val="3"/>
          <c:tx>
            <c:strRef>
              <c:f>'Rozklad mezd'!$H$117:$I$117</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mezd'!$A$118:$A$126</c:f>
              <c:strCache/>
            </c:strRef>
          </c:cat>
          <c:val>
            <c:numRef>
              <c:f>'Rozklad mezd'!$H$118:$H$126</c:f>
              <c:numCache/>
            </c:numRef>
          </c:val>
        </c:ser>
        <c:ser>
          <c:idx val="4"/>
          <c:order val="4"/>
          <c:tx>
            <c:strRef>
              <c:f>'Rozklad mezd'!$J$117:$K$117</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mezd'!$A$118:$A$126</c:f>
              <c:strCache/>
            </c:strRef>
          </c:cat>
          <c:val>
            <c:numRef>
              <c:f>'Rozklad mezd'!$J$118:$J$126</c:f>
              <c:numCache/>
            </c:numRef>
          </c:val>
        </c:ser>
        <c:axId val="41423025"/>
        <c:axId val="37262906"/>
      </c:barChart>
      <c:catAx>
        <c:axId val="41423025"/>
        <c:scaling>
          <c:orientation val="minMax"/>
        </c:scaling>
        <c:axPos val="b"/>
        <c:delete val="0"/>
        <c:numFmt formatCode="General" sourceLinked="1"/>
        <c:majorTickMark val="out"/>
        <c:minorTickMark val="none"/>
        <c:tickLblPos val="nextTo"/>
        <c:crossAx val="37262906"/>
        <c:crosses val="autoZero"/>
        <c:auto val="1"/>
        <c:lblOffset val="100"/>
        <c:noMultiLvlLbl val="0"/>
      </c:catAx>
      <c:valAx>
        <c:axId val="37262906"/>
        <c:scaling>
          <c:orientation val="minMax"/>
        </c:scaling>
        <c:axPos val="l"/>
        <c:majorGridlines/>
        <c:delete val="0"/>
        <c:numFmt formatCode="General" sourceLinked="1"/>
        <c:majorTickMark val="out"/>
        <c:minorTickMark val="none"/>
        <c:tickLblPos val="nextTo"/>
        <c:txPr>
          <a:bodyPr/>
          <a:lstStyle/>
          <a:p>
            <a:pPr>
              <a:defRPr lang="en-US" cap="none" sz="525" b="1" i="0" u="none" baseline="0">
                <a:latin typeface="Arial CE"/>
                <a:ea typeface="Arial CE"/>
                <a:cs typeface="Arial CE"/>
              </a:defRPr>
            </a:pPr>
          </a:p>
        </c:txPr>
        <c:crossAx val="41423025"/>
        <c:crossesAt val="1"/>
        <c:crossBetween val="between"/>
        <c:dispUnits/>
      </c:valAx>
      <c:dTable>
        <c:showHorzBorder val="1"/>
        <c:showVertBorder val="1"/>
        <c:showOutline val="1"/>
        <c:showKeys val="1"/>
        <c:txPr>
          <a:bodyPr vert="horz" rot="0"/>
          <a:lstStyle/>
          <a:p>
            <a:pPr>
              <a:defRPr lang="en-US" cap="none" sz="5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procentuální složení průměrné mzdy</a:t>
            </a:r>
          </a:p>
        </c:rich>
      </c:tx>
      <c:layout/>
      <c:spPr>
        <a:noFill/>
        <a:ln>
          <a:noFill/>
        </a:ln>
      </c:spPr>
    </c:title>
    <c:plotArea>
      <c:layout>
        <c:manualLayout>
          <c:xMode val="edge"/>
          <c:yMode val="edge"/>
          <c:x val="0"/>
          <c:y val="0.07175"/>
          <c:w val="1"/>
          <c:h val="0.92825"/>
        </c:manualLayout>
      </c:layout>
      <c:barChart>
        <c:barDir val="col"/>
        <c:grouping val="clustered"/>
        <c:varyColors val="0"/>
        <c:ser>
          <c:idx val="0"/>
          <c:order val="0"/>
          <c:tx>
            <c:strRef>
              <c:f>'Rozklad mezd'!$B$117:$C$117</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mezd'!$A$119:$A$126</c:f>
              <c:strCache/>
            </c:strRef>
          </c:cat>
          <c:val>
            <c:numRef>
              <c:f>'Rozklad mezd'!$C$119:$C$126</c:f>
              <c:numCache/>
            </c:numRef>
          </c:val>
        </c:ser>
        <c:ser>
          <c:idx val="1"/>
          <c:order val="1"/>
          <c:tx>
            <c:strRef>
              <c:f>'Rozklad mezd'!$D$117:$E$117</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mezd'!$A$119:$A$126</c:f>
              <c:strCache/>
            </c:strRef>
          </c:cat>
          <c:val>
            <c:numRef>
              <c:f>'Rozklad mezd'!$E$119:$E$126</c:f>
              <c:numCache/>
            </c:numRef>
          </c:val>
        </c:ser>
        <c:ser>
          <c:idx val="2"/>
          <c:order val="2"/>
          <c:tx>
            <c:strRef>
              <c:f>'Rozklad mezd'!$F$117:$G$117</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mezd'!$A$119:$A$126</c:f>
              <c:strCache/>
            </c:strRef>
          </c:cat>
          <c:val>
            <c:numRef>
              <c:f>'Rozklad mezd'!$G$119:$G$126</c:f>
              <c:numCache/>
            </c:numRef>
          </c:val>
        </c:ser>
        <c:ser>
          <c:idx val="3"/>
          <c:order val="3"/>
          <c:tx>
            <c:strRef>
              <c:f>'Rozklad mezd'!$H$117:$I$117</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mezd'!$A$119:$A$126</c:f>
              <c:strCache/>
            </c:strRef>
          </c:cat>
          <c:val>
            <c:numRef>
              <c:f>'Rozklad mezd'!$I$119:$I$126</c:f>
              <c:numCache/>
            </c:numRef>
          </c:val>
        </c:ser>
        <c:ser>
          <c:idx val="4"/>
          <c:order val="4"/>
          <c:tx>
            <c:strRef>
              <c:f>'Rozklad mezd'!$J$117:$K$117</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mezd'!$A$119:$A$126</c:f>
              <c:strCache/>
            </c:strRef>
          </c:cat>
          <c:val>
            <c:numRef>
              <c:f>'Rozklad mezd'!$K$119:$K$126</c:f>
              <c:numCache/>
            </c:numRef>
          </c:val>
        </c:ser>
        <c:axId val="66930699"/>
        <c:axId val="65505380"/>
      </c:barChart>
      <c:catAx>
        <c:axId val="66930699"/>
        <c:scaling>
          <c:orientation val="minMax"/>
        </c:scaling>
        <c:axPos val="b"/>
        <c:delete val="0"/>
        <c:numFmt formatCode="General" sourceLinked="1"/>
        <c:majorTickMark val="out"/>
        <c:minorTickMark val="none"/>
        <c:tickLblPos val="nextTo"/>
        <c:crossAx val="65505380"/>
        <c:crosses val="autoZero"/>
        <c:auto val="1"/>
        <c:lblOffset val="100"/>
        <c:noMultiLvlLbl val="0"/>
      </c:catAx>
      <c:valAx>
        <c:axId val="65505380"/>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66930699"/>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CE"/>
          <a:ea typeface="Arial CE"/>
          <a:cs typeface="Arial CE"/>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latin typeface="Arial CE"/>
                <a:ea typeface="Arial CE"/>
                <a:cs typeface="Arial CE"/>
              </a:rPr>
              <a:t>zdrav.prac. Nelékaři pod odbornáým dohledem nebo přímým vedením</a:t>
            </a:r>
          </a:p>
        </c:rich>
      </c:tx>
      <c:layout/>
      <c:spPr>
        <a:noFill/>
        <a:ln>
          <a:noFill/>
        </a:ln>
      </c:spPr>
    </c:title>
    <c:plotArea>
      <c:layout>
        <c:manualLayout>
          <c:xMode val="edge"/>
          <c:yMode val="edge"/>
          <c:x val="0"/>
          <c:y val="0.04425"/>
          <c:w val="1"/>
          <c:h val="0.95575"/>
        </c:manualLayout>
      </c:layout>
      <c:barChart>
        <c:barDir val="col"/>
        <c:grouping val="clustered"/>
        <c:varyColors val="0"/>
        <c:ser>
          <c:idx val="0"/>
          <c:order val="0"/>
          <c:tx>
            <c:strRef>
              <c:f>'Rozklad mezd'!$B$144:$C$144</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mezd'!$A$145:$A$153</c:f>
              <c:strCache/>
            </c:strRef>
          </c:cat>
          <c:val>
            <c:numRef>
              <c:f>'Rozklad mezd'!$B$145:$B$153</c:f>
              <c:numCache/>
            </c:numRef>
          </c:val>
        </c:ser>
        <c:ser>
          <c:idx val="1"/>
          <c:order val="1"/>
          <c:tx>
            <c:strRef>
              <c:f>'Rozklad mezd'!$D$144:$E$144</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mezd'!$A$145:$A$153</c:f>
              <c:strCache/>
            </c:strRef>
          </c:cat>
          <c:val>
            <c:numRef>
              <c:f>'Rozklad mezd'!$D$145:$D$153</c:f>
              <c:numCache/>
            </c:numRef>
          </c:val>
        </c:ser>
        <c:ser>
          <c:idx val="2"/>
          <c:order val="2"/>
          <c:tx>
            <c:strRef>
              <c:f>'Rozklad mezd'!$F$144:$G$144</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mezd'!$A$145:$A$153</c:f>
              <c:strCache/>
            </c:strRef>
          </c:cat>
          <c:val>
            <c:numRef>
              <c:f>'Rozklad mezd'!$F$145:$F$153</c:f>
              <c:numCache/>
            </c:numRef>
          </c:val>
        </c:ser>
        <c:ser>
          <c:idx val="3"/>
          <c:order val="3"/>
          <c:tx>
            <c:strRef>
              <c:f>'Rozklad mezd'!$H$144:$I$144</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mezd'!$A$145:$A$153</c:f>
              <c:strCache/>
            </c:strRef>
          </c:cat>
          <c:val>
            <c:numRef>
              <c:f>'Rozklad mezd'!$H$145:$H$153</c:f>
              <c:numCache/>
            </c:numRef>
          </c:val>
        </c:ser>
        <c:ser>
          <c:idx val="4"/>
          <c:order val="4"/>
          <c:tx>
            <c:strRef>
              <c:f>'Rozklad mezd'!$J$144:$K$144</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mezd'!$A$145:$A$153</c:f>
              <c:strCache/>
            </c:strRef>
          </c:cat>
          <c:val>
            <c:numRef>
              <c:f>'Rozklad mezd'!$J$145:$J$153</c:f>
              <c:numCache/>
            </c:numRef>
          </c:val>
        </c:ser>
        <c:axId val="52677509"/>
        <c:axId val="4335534"/>
      </c:barChart>
      <c:catAx>
        <c:axId val="52677509"/>
        <c:scaling>
          <c:orientation val="minMax"/>
        </c:scaling>
        <c:axPos val="b"/>
        <c:delete val="0"/>
        <c:numFmt formatCode="General" sourceLinked="1"/>
        <c:majorTickMark val="out"/>
        <c:minorTickMark val="none"/>
        <c:tickLblPos val="nextTo"/>
        <c:crossAx val="4335534"/>
        <c:crosses val="autoZero"/>
        <c:auto val="1"/>
        <c:lblOffset val="100"/>
        <c:noMultiLvlLbl val="0"/>
      </c:catAx>
      <c:valAx>
        <c:axId val="4335534"/>
        <c:scaling>
          <c:orientation val="minMax"/>
        </c:scaling>
        <c:axPos val="l"/>
        <c:majorGridlines/>
        <c:delete val="0"/>
        <c:numFmt formatCode="General" sourceLinked="1"/>
        <c:majorTickMark val="out"/>
        <c:minorTickMark val="none"/>
        <c:tickLblPos val="nextTo"/>
        <c:txPr>
          <a:bodyPr/>
          <a:lstStyle/>
          <a:p>
            <a:pPr>
              <a:defRPr lang="en-US" cap="none" sz="550" b="1" i="0" u="none" baseline="0">
                <a:latin typeface="Arial CE"/>
                <a:ea typeface="Arial CE"/>
                <a:cs typeface="Arial CE"/>
              </a:defRPr>
            </a:pPr>
          </a:p>
        </c:txPr>
        <c:crossAx val="52677509"/>
        <c:crossesAt val="1"/>
        <c:crossBetween val="between"/>
        <c:dispUnits/>
      </c:valAx>
      <c:dTable>
        <c:showHorzBorder val="1"/>
        <c:showVertBorder val="1"/>
        <c:showOutline val="1"/>
        <c:showKeys val="1"/>
        <c:txPr>
          <a:bodyPr vert="horz" rot="0"/>
          <a:lstStyle/>
          <a:p>
            <a:pPr>
              <a:defRPr lang="en-US" cap="none" sz="55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CE"/>
                <a:ea typeface="Arial CE"/>
                <a:cs typeface="Arial CE"/>
              </a:rPr>
              <a:t>procentuální složení průměrné mzdy</a:t>
            </a:r>
          </a:p>
        </c:rich>
      </c:tx>
      <c:layout/>
      <c:spPr>
        <a:noFill/>
        <a:ln>
          <a:noFill/>
        </a:ln>
      </c:spPr>
    </c:title>
    <c:plotArea>
      <c:layout>
        <c:manualLayout>
          <c:xMode val="edge"/>
          <c:yMode val="edge"/>
          <c:x val="0"/>
          <c:y val="0.0675"/>
          <c:w val="1"/>
          <c:h val="0.9325"/>
        </c:manualLayout>
      </c:layout>
      <c:barChart>
        <c:barDir val="col"/>
        <c:grouping val="clustered"/>
        <c:varyColors val="0"/>
        <c:ser>
          <c:idx val="0"/>
          <c:order val="0"/>
          <c:tx>
            <c:strRef>
              <c:f>'Rozklad mezd'!$B$144:$C$144</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mezd'!$A$146:$A$153</c:f>
              <c:strCache/>
            </c:strRef>
          </c:cat>
          <c:val>
            <c:numRef>
              <c:f>'Rozklad mezd'!$C$146:$C$153</c:f>
              <c:numCache/>
            </c:numRef>
          </c:val>
        </c:ser>
        <c:ser>
          <c:idx val="1"/>
          <c:order val="1"/>
          <c:tx>
            <c:strRef>
              <c:f>'Rozklad mezd'!$D$144:$E$144</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mezd'!$A$146:$A$153</c:f>
              <c:strCache/>
            </c:strRef>
          </c:cat>
          <c:val>
            <c:numRef>
              <c:f>'Rozklad mezd'!$E$146:$E$153</c:f>
              <c:numCache/>
            </c:numRef>
          </c:val>
        </c:ser>
        <c:ser>
          <c:idx val="2"/>
          <c:order val="2"/>
          <c:tx>
            <c:strRef>
              <c:f>'Rozklad mezd'!$F$144:$G$144</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mezd'!$A$146:$A$153</c:f>
              <c:strCache/>
            </c:strRef>
          </c:cat>
          <c:val>
            <c:numRef>
              <c:f>'Rozklad mezd'!$G$146:$G$153</c:f>
              <c:numCache/>
            </c:numRef>
          </c:val>
        </c:ser>
        <c:ser>
          <c:idx val="3"/>
          <c:order val="3"/>
          <c:tx>
            <c:strRef>
              <c:f>'Rozklad mezd'!$H$144:$I$144</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mezd'!$A$146:$A$153</c:f>
              <c:strCache/>
            </c:strRef>
          </c:cat>
          <c:val>
            <c:numRef>
              <c:f>'Rozklad mezd'!$I$146:$I$153</c:f>
              <c:numCache/>
            </c:numRef>
          </c:val>
        </c:ser>
        <c:ser>
          <c:idx val="4"/>
          <c:order val="4"/>
          <c:tx>
            <c:strRef>
              <c:f>'Rozklad mezd'!$J$144:$K$144</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mezd'!$A$146:$A$153</c:f>
              <c:strCache/>
            </c:strRef>
          </c:cat>
          <c:val>
            <c:numRef>
              <c:f>'Rozklad mezd'!$K$146:$K$153</c:f>
              <c:numCache/>
            </c:numRef>
          </c:val>
        </c:ser>
        <c:axId val="39019807"/>
        <c:axId val="15633944"/>
      </c:barChart>
      <c:catAx>
        <c:axId val="39019807"/>
        <c:scaling>
          <c:orientation val="minMax"/>
        </c:scaling>
        <c:axPos val="b"/>
        <c:delete val="0"/>
        <c:numFmt formatCode="General" sourceLinked="1"/>
        <c:majorTickMark val="out"/>
        <c:minorTickMark val="none"/>
        <c:tickLblPos val="nextTo"/>
        <c:crossAx val="15633944"/>
        <c:crosses val="autoZero"/>
        <c:auto val="1"/>
        <c:lblOffset val="100"/>
        <c:noMultiLvlLbl val="0"/>
      </c:catAx>
      <c:valAx>
        <c:axId val="15633944"/>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39019807"/>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THP</a:t>
            </a:r>
          </a:p>
        </c:rich>
      </c:tx>
      <c:layout/>
      <c:spPr>
        <a:noFill/>
        <a:ln>
          <a:noFill/>
        </a:ln>
      </c:spPr>
    </c:title>
    <c:plotArea>
      <c:layout>
        <c:manualLayout>
          <c:xMode val="edge"/>
          <c:yMode val="edge"/>
          <c:x val="0"/>
          <c:y val="0.0725"/>
          <c:w val="1"/>
          <c:h val="0.9275"/>
        </c:manualLayout>
      </c:layout>
      <c:barChart>
        <c:barDir val="col"/>
        <c:grouping val="clustered"/>
        <c:varyColors val="0"/>
        <c:ser>
          <c:idx val="0"/>
          <c:order val="0"/>
          <c:tx>
            <c:strRef>
              <c:f>'Rozklad mezd'!$B$171:$C$171</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mezd'!$A$172:$A$180</c:f>
              <c:strCache/>
            </c:strRef>
          </c:cat>
          <c:val>
            <c:numRef>
              <c:f>'Rozklad mezd'!$B$172:$B$180</c:f>
              <c:numCache/>
            </c:numRef>
          </c:val>
        </c:ser>
        <c:ser>
          <c:idx val="1"/>
          <c:order val="1"/>
          <c:tx>
            <c:strRef>
              <c:f>'Rozklad mezd'!$D$171:$E$171</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mezd'!$A$172:$A$180</c:f>
              <c:strCache/>
            </c:strRef>
          </c:cat>
          <c:val>
            <c:numRef>
              <c:f>'Rozklad mezd'!$D$172:$D$180</c:f>
              <c:numCache/>
            </c:numRef>
          </c:val>
        </c:ser>
        <c:ser>
          <c:idx val="2"/>
          <c:order val="2"/>
          <c:tx>
            <c:strRef>
              <c:f>'Rozklad mezd'!$F$171:$G$171</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mezd'!$A$172:$A$180</c:f>
              <c:strCache/>
            </c:strRef>
          </c:cat>
          <c:val>
            <c:numRef>
              <c:f>'Rozklad mezd'!$F$172:$F$180</c:f>
              <c:numCache/>
            </c:numRef>
          </c:val>
        </c:ser>
        <c:ser>
          <c:idx val="3"/>
          <c:order val="3"/>
          <c:tx>
            <c:strRef>
              <c:f>'Rozklad mezd'!$H$171:$I$171</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mezd'!$A$172:$A$180</c:f>
              <c:strCache/>
            </c:strRef>
          </c:cat>
          <c:val>
            <c:numRef>
              <c:f>'Rozklad mezd'!$H$172:$H$180</c:f>
              <c:numCache/>
            </c:numRef>
          </c:val>
        </c:ser>
        <c:ser>
          <c:idx val="4"/>
          <c:order val="4"/>
          <c:tx>
            <c:strRef>
              <c:f>'Rozklad mezd'!$J$171:$K$171</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mezd'!$A$172:$A$180</c:f>
              <c:strCache/>
            </c:strRef>
          </c:cat>
          <c:val>
            <c:numRef>
              <c:f>'Rozklad mezd'!$J$172:$J$180</c:f>
              <c:numCache/>
            </c:numRef>
          </c:val>
        </c:ser>
        <c:axId val="6487769"/>
        <c:axId val="58389922"/>
      </c:barChart>
      <c:catAx>
        <c:axId val="6487769"/>
        <c:scaling>
          <c:orientation val="minMax"/>
        </c:scaling>
        <c:axPos val="b"/>
        <c:delete val="0"/>
        <c:numFmt formatCode="General" sourceLinked="1"/>
        <c:majorTickMark val="out"/>
        <c:minorTickMark val="none"/>
        <c:tickLblPos val="nextTo"/>
        <c:crossAx val="58389922"/>
        <c:crosses val="autoZero"/>
        <c:auto val="1"/>
        <c:lblOffset val="100"/>
        <c:noMultiLvlLbl val="0"/>
      </c:catAx>
      <c:valAx>
        <c:axId val="58389922"/>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6487769"/>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THP</a:t>
            </a:r>
          </a:p>
        </c:rich>
      </c:tx>
      <c:layout/>
      <c:spPr>
        <a:noFill/>
        <a:ln>
          <a:noFill/>
        </a:ln>
      </c:spPr>
    </c:title>
    <c:plotArea>
      <c:layout>
        <c:manualLayout>
          <c:xMode val="edge"/>
          <c:yMode val="edge"/>
          <c:x val="0"/>
          <c:y val="0.07675"/>
          <c:w val="1"/>
          <c:h val="0.92325"/>
        </c:manualLayout>
      </c:layout>
      <c:barChart>
        <c:barDir val="col"/>
        <c:grouping val="clustered"/>
        <c:varyColors val="0"/>
        <c:ser>
          <c:idx val="0"/>
          <c:order val="0"/>
          <c:tx>
            <c:strRef>
              <c:f>'Rozklad mezd'!$B$171:$C$171</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mezd'!$A$173:$A$180</c:f>
              <c:strCache/>
            </c:strRef>
          </c:cat>
          <c:val>
            <c:numRef>
              <c:f>'Rozklad mezd'!$C$173:$C$180</c:f>
              <c:numCache/>
            </c:numRef>
          </c:val>
        </c:ser>
        <c:ser>
          <c:idx val="1"/>
          <c:order val="1"/>
          <c:tx>
            <c:strRef>
              <c:f>'Rozklad mezd'!$D$171:$E$171</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mezd'!$A$173:$A$180</c:f>
              <c:strCache/>
            </c:strRef>
          </c:cat>
          <c:val>
            <c:numRef>
              <c:f>'Rozklad mezd'!$E$173:$E$180</c:f>
              <c:numCache/>
            </c:numRef>
          </c:val>
        </c:ser>
        <c:ser>
          <c:idx val="2"/>
          <c:order val="2"/>
          <c:tx>
            <c:strRef>
              <c:f>'Rozklad mezd'!$F$171:$G$171</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mezd'!$A$173:$A$180</c:f>
              <c:strCache/>
            </c:strRef>
          </c:cat>
          <c:val>
            <c:numRef>
              <c:f>'Rozklad mezd'!$G$173:$G$180</c:f>
              <c:numCache/>
            </c:numRef>
          </c:val>
        </c:ser>
        <c:ser>
          <c:idx val="3"/>
          <c:order val="3"/>
          <c:tx>
            <c:strRef>
              <c:f>'Rozklad mezd'!$H$171:$I$171</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mezd'!$A$173:$A$180</c:f>
              <c:strCache/>
            </c:strRef>
          </c:cat>
          <c:val>
            <c:numRef>
              <c:f>'Rozklad mezd'!$I$173:$I$180</c:f>
              <c:numCache/>
            </c:numRef>
          </c:val>
        </c:ser>
        <c:ser>
          <c:idx val="4"/>
          <c:order val="4"/>
          <c:tx>
            <c:strRef>
              <c:f>'Rozklad mezd'!$J$171:$K$171</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mezd'!$A$173:$A$180</c:f>
              <c:strCache/>
            </c:strRef>
          </c:cat>
          <c:val>
            <c:numRef>
              <c:f>'Rozklad mezd'!$K$173:$K$180</c:f>
              <c:numCache/>
            </c:numRef>
          </c:val>
        </c:ser>
        <c:axId val="55747251"/>
        <c:axId val="31963212"/>
      </c:barChart>
      <c:catAx>
        <c:axId val="55747251"/>
        <c:scaling>
          <c:orientation val="minMax"/>
        </c:scaling>
        <c:axPos val="b"/>
        <c:delete val="0"/>
        <c:numFmt formatCode="General" sourceLinked="1"/>
        <c:majorTickMark val="out"/>
        <c:minorTickMark val="none"/>
        <c:tickLblPos val="nextTo"/>
        <c:crossAx val="31963212"/>
        <c:crosses val="autoZero"/>
        <c:auto val="1"/>
        <c:lblOffset val="100"/>
        <c:noMultiLvlLbl val="0"/>
      </c:catAx>
      <c:valAx>
        <c:axId val="31963212"/>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55747251"/>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Dělníci - složení průměrné mzdy</a:t>
            </a:r>
          </a:p>
        </c:rich>
      </c:tx>
      <c:layout/>
      <c:spPr>
        <a:noFill/>
        <a:ln>
          <a:noFill/>
        </a:ln>
      </c:spPr>
    </c:title>
    <c:plotArea>
      <c:layout>
        <c:manualLayout>
          <c:xMode val="edge"/>
          <c:yMode val="edge"/>
          <c:x val="0"/>
          <c:y val="0.0765"/>
          <c:w val="1"/>
          <c:h val="0.9235"/>
        </c:manualLayout>
      </c:layout>
      <c:barChart>
        <c:barDir val="col"/>
        <c:grouping val="clustered"/>
        <c:varyColors val="0"/>
        <c:ser>
          <c:idx val="0"/>
          <c:order val="0"/>
          <c:tx>
            <c:strRef>
              <c:f>'Rozklad mezd'!$B$199:$C$199</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mezd'!$A$200:$A$208</c:f>
              <c:strCache/>
            </c:strRef>
          </c:cat>
          <c:val>
            <c:numRef>
              <c:f>'Rozklad mezd'!$B$200:$B$208</c:f>
              <c:numCache/>
            </c:numRef>
          </c:val>
        </c:ser>
        <c:ser>
          <c:idx val="1"/>
          <c:order val="1"/>
          <c:tx>
            <c:strRef>
              <c:f>'Rozklad mezd'!$D$199:$E$199</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mezd'!$A$200:$A$208</c:f>
              <c:strCache/>
            </c:strRef>
          </c:cat>
          <c:val>
            <c:numRef>
              <c:f>'Rozklad mezd'!$D$200:$D$208</c:f>
              <c:numCache/>
            </c:numRef>
          </c:val>
        </c:ser>
        <c:ser>
          <c:idx val="2"/>
          <c:order val="2"/>
          <c:tx>
            <c:strRef>
              <c:f>'Rozklad mezd'!$F$199:$G$199</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mezd'!$A$200:$A$208</c:f>
              <c:strCache/>
            </c:strRef>
          </c:cat>
          <c:val>
            <c:numRef>
              <c:f>'Rozklad mezd'!$F$200:$F$208</c:f>
              <c:numCache/>
            </c:numRef>
          </c:val>
        </c:ser>
        <c:ser>
          <c:idx val="3"/>
          <c:order val="3"/>
          <c:tx>
            <c:strRef>
              <c:f>'Rozklad mezd'!$H$199:$I$199</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mezd'!$A$200:$A$208</c:f>
              <c:strCache/>
            </c:strRef>
          </c:cat>
          <c:val>
            <c:numRef>
              <c:f>'Rozklad mezd'!$H$200:$H$208</c:f>
              <c:numCache/>
            </c:numRef>
          </c:val>
        </c:ser>
        <c:ser>
          <c:idx val="4"/>
          <c:order val="4"/>
          <c:tx>
            <c:strRef>
              <c:f>'Rozklad mezd'!$J$199:$K$199</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mezd'!$A$200:$A$208</c:f>
              <c:strCache/>
            </c:strRef>
          </c:cat>
          <c:val>
            <c:numRef>
              <c:f>'Rozklad mezd'!$J$200:$J$208</c:f>
              <c:numCache/>
            </c:numRef>
          </c:val>
        </c:ser>
        <c:axId val="19233453"/>
        <c:axId val="38883350"/>
      </c:barChart>
      <c:catAx>
        <c:axId val="19233453"/>
        <c:scaling>
          <c:orientation val="minMax"/>
        </c:scaling>
        <c:axPos val="b"/>
        <c:delete val="0"/>
        <c:numFmt formatCode="General" sourceLinked="1"/>
        <c:majorTickMark val="out"/>
        <c:minorTickMark val="none"/>
        <c:tickLblPos val="nextTo"/>
        <c:crossAx val="38883350"/>
        <c:crosses val="autoZero"/>
        <c:auto val="1"/>
        <c:lblOffset val="100"/>
        <c:noMultiLvlLbl val="0"/>
      </c:catAx>
      <c:valAx>
        <c:axId val="38883350"/>
        <c:scaling>
          <c:orientation val="minMax"/>
        </c:scaling>
        <c:axPos val="l"/>
        <c:majorGridlines/>
        <c:delete val="0"/>
        <c:numFmt formatCode="General" sourceLinked="1"/>
        <c:majorTickMark val="out"/>
        <c:minorTickMark val="none"/>
        <c:tickLblPos val="nextTo"/>
        <c:txPr>
          <a:bodyPr/>
          <a:lstStyle/>
          <a:p>
            <a:pPr>
              <a:defRPr lang="en-US" cap="none" sz="650" b="1" i="0" u="none" baseline="0">
                <a:latin typeface="Arial CE"/>
                <a:ea typeface="Arial CE"/>
                <a:cs typeface="Arial CE"/>
              </a:defRPr>
            </a:pPr>
          </a:p>
        </c:txPr>
        <c:crossAx val="19233453"/>
        <c:crossesAt val="1"/>
        <c:crossBetween val="between"/>
        <c:dispUnits/>
      </c:valAx>
      <c:dTable>
        <c:showHorzBorder val="1"/>
        <c:showVertBorder val="1"/>
        <c:showOutline val="1"/>
        <c:showKeys val="1"/>
        <c:txPr>
          <a:bodyPr vert="horz" rot="0"/>
          <a:lstStyle/>
          <a:p>
            <a:pPr>
              <a:defRPr lang="en-US" cap="none" sz="65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E"/>
                <a:ea typeface="Arial CE"/>
                <a:cs typeface="Arial CE"/>
              </a:rPr>
              <a:t>Hospodářský výsledek 2004</a:t>
            </a:r>
          </a:p>
        </c:rich>
      </c:tx>
      <c:layout/>
      <c:spPr>
        <a:noFill/>
        <a:ln>
          <a:noFill/>
        </a:ln>
      </c:spPr>
    </c:title>
    <c:plotArea>
      <c:layout>
        <c:manualLayout>
          <c:xMode val="edge"/>
          <c:yMode val="edge"/>
          <c:x val="0.013"/>
          <c:y val="0.07025"/>
          <c:w val="0.97375"/>
          <c:h val="0.90375"/>
        </c:manualLayout>
      </c:layout>
      <c:lineChart>
        <c:grouping val="standard"/>
        <c:varyColors val="0"/>
        <c:ser>
          <c:idx val="0"/>
          <c:order val="0"/>
          <c:tx>
            <c:strRef>
              <c:f>Hospodaření!$A$6</c:f>
              <c:strCache>
                <c:ptCount val="1"/>
                <c:pt idx="0">
                  <c:v>Havlíčkův Brod</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Hospodaření!$J$6:$J$17</c:f>
              <c:numCache/>
            </c:numRef>
          </c:val>
          <c:smooth val="0"/>
        </c:ser>
        <c:ser>
          <c:idx val="1"/>
          <c:order val="1"/>
          <c:tx>
            <c:strRef>
              <c:f>Hospodaření!$A$18</c:f>
              <c:strCache>
                <c:ptCount val="1"/>
                <c:pt idx="0">
                  <c:v>Jihlava</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Hospodaření!$J$18:$J$29</c:f>
              <c:numCache/>
            </c:numRef>
          </c:val>
          <c:smooth val="0"/>
        </c:ser>
        <c:ser>
          <c:idx val="2"/>
          <c:order val="2"/>
          <c:tx>
            <c:strRef>
              <c:f>Hospodaření!$A$30</c:f>
              <c:strCache>
                <c:ptCount val="1"/>
                <c:pt idx="0">
                  <c:v>Pelhřimov</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Hospodaření!$J$30:$J$41</c:f>
              <c:numCache/>
            </c:numRef>
          </c:val>
          <c:smooth val="0"/>
        </c:ser>
        <c:ser>
          <c:idx val="3"/>
          <c:order val="3"/>
          <c:tx>
            <c:strRef>
              <c:f>Hospodaření!$A$42</c:f>
              <c:strCache>
                <c:ptCount val="1"/>
                <c:pt idx="0">
                  <c:v>Třebíč</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Hospodaření!$J$42:$J$53</c:f>
              <c:numCache/>
            </c:numRef>
          </c:val>
          <c:smooth val="0"/>
        </c:ser>
        <c:ser>
          <c:idx val="4"/>
          <c:order val="4"/>
          <c:tx>
            <c:strRef>
              <c:f>Hospodaření!$A$54</c:f>
              <c:strCache>
                <c:ptCount val="1"/>
                <c:pt idx="0">
                  <c:v>Nové Město na Moravě</c:v>
                </c:pt>
              </c:strCache>
            </c:strRef>
          </c:tx>
          <c:extLst>
            <c:ext xmlns:c14="http://schemas.microsoft.com/office/drawing/2007/8/2/chart" uri="{6F2FDCE9-48DA-4B69-8628-5D25D57E5C99}">
              <c14:invertSolidFillFmt>
                <c14:spPr>
                  <a:solidFill>
                    <a:srgbClr val="000000"/>
                  </a:solidFill>
                </c14:spPr>
              </c14:invertSolidFillFmt>
            </c:ext>
          </c:extLst>
          <c:cat>
            <c:strRef>
              <c:f>Hospodaření!$B$6:$B$17</c:f>
              <c:strCache/>
            </c:strRef>
          </c:cat>
          <c:val>
            <c:numRef>
              <c:f>Hospodaření!$J$54:$J$65</c:f>
              <c:numCache/>
            </c:numRef>
          </c:val>
          <c:smooth val="0"/>
        </c:ser>
        <c:marker val="1"/>
        <c:axId val="17220627"/>
        <c:axId val="20767916"/>
      </c:lineChart>
      <c:catAx>
        <c:axId val="17220627"/>
        <c:scaling>
          <c:orientation val="minMax"/>
        </c:scaling>
        <c:axPos val="b"/>
        <c:delete val="0"/>
        <c:numFmt formatCode="General" sourceLinked="1"/>
        <c:majorTickMark val="out"/>
        <c:minorTickMark val="none"/>
        <c:tickLblPos val="nextTo"/>
        <c:crossAx val="20767916"/>
        <c:crosses val="autoZero"/>
        <c:auto val="1"/>
        <c:lblOffset val="100"/>
        <c:noMultiLvlLbl val="0"/>
      </c:catAx>
      <c:valAx>
        <c:axId val="20767916"/>
        <c:scaling>
          <c:orientation val="minMax"/>
        </c:scaling>
        <c:axPos val="l"/>
        <c:majorGridlines/>
        <c:delete val="0"/>
        <c:numFmt formatCode="General" sourceLinked="1"/>
        <c:majorTickMark val="out"/>
        <c:minorTickMark val="none"/>
        <c:tickLblPos val="nextTo"/>
        <c:txPr>
          <a:bodyPr/>
          <a:lstStyle/>
          <a:p>
            <a:pPr>
              <a:defRPr lang="en-US" cap="none" sz="850" b="1" i="0" u="none" baseline="0">
                <a:latin typeface="Arial CE"/>
                <a:ea typeface="Arial CE"/>
                <a:cs typeface="Arial CE"/>
              </a:defRPr>
            </a:pPr>
          </a:p>
        </c:txPr>
        <c:crossAx val="17220627"/>
        <c:crossesAt val="1"/>
        <c:crossBetween val="between"/>
        <c:dispUnits/>
      </c:valAx>
      <c:dTable>
        <c:showHorzBorder val="1"/>
        <c:showVertBorder val="1"/>
        <c:showOutline val="1"/>
        <c:showKeys val="1"/>
        <c:txPr>
          <a:bodyPr vert="horz" rot="0"/>
          <a:lstStyle/>
          <a:p>
            <a:pPr>
              <a:defRPr lang="en-US" cap="none" sz="7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CE"/>
          <a:ea typeface="Arial CE"/>
          <a:cs typeface="Arial CE"/>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Dělníci - procentuální složení průměrné mzdy</a:t>
            </a:r>
          </a:p>
        </c:rich>
      </c:tx>
      <c:layout/>
      <c:spPr>
        <a:noFill/>
        <a:ln>
          <a:noFill/>
        </a:ln>
      </c:spPr>
    </c:title>
    <c:plotArea>
      <c:layout>
        <c:manualLayout>
          <c:xMode val="edge"/>
          <c:yMode val="edge"/>
          <c:x val="0"/>
          <c:y val="0.0795"/>
          <c:w val="1"/>
          <c:h val="0.9205"/>
        </c:manualLayout>
      </c:layout>
      <c:barChart>
        <c:barDir val="col"/>
        <c:grouping val="clustered"/>
        <c:varyColors val="0"/>
        <c:ser>
          <c:idx val="0"/>
          <c:order val="0"/>
          <c:tx>
            <c:strRef>
              <c:f>'Rozklad mezd'!$B$199:$C$199</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mezd'!$A$201:$A$208</c:f>
              <c:strCache/>
            </c:strRef>
          </c:cat>
          <c:val>
            <c:numRef>
              <c:f>'Rozklad mezd'!$C$201:$C$208</c:f>
              <c:numCache/>
            </c:numRef>
          </c:val>
        </c:ser>
        <c:ser>
          <c:idx val="1"/>
          <c:order val="1"/>
          <c:tx>
            <c:strRef>
              <c:f>'Rozklad mezd'!$D$199:$E$199</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mezd'!$A$201:$A$208</c:f>
              <c:strCache/>
            </c:strRef>
          </c:cat>
          <c:val>
            <c:numRef>
              <c:f>'Rozklad mezd'!$E$201:$E$208</c:f>
              <c:numCache/>
            </c:numRef>
          </c:val>
        </c:ser>
        <c:ser>
          <c:idx val="2"/>
          <c:order val="2"/>
          <c:tx>
            <c:strRef>
              <c:f>'Rozklad mezd'!$F$199:$G$199</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mezd'!$A$201:$A$208</c:f>
              <c:strCache/>
            </c:strRef>
          </c:cat>
          <c:val>
            <c:numRef>
              <c:f>'Rozklad mezd'!$G$201:$G$208</c:f>
              <c:numCache/>
            </c:numRef>
          </c:val>
        </c:ser>
        <c:ser>
          <c:idx val="3"/>
          <c:order val="3"/>
          <c:tx>
            <c:strRef>
              <c:f>'Rozklad mezd'!$H$199:$I$199</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mezd'!$A$201:$A$208</c:f>
              <c:strCache/>
            </c:strRef>
          </c:cat>
          <c:val>
            <c:numRef>
              <c:f>'Rozklad mezd'!$I$201:$I$208</c:f>
              <c:numCache/>
            </c:numRef>
          </c:val>
        </c:ser>
        <c:ser>
          <c:idx val="4"/>
          <c:order val="4"/>
          <c:tx>
            <c:strRef>
              <c:f>'Rozklad mezd'!$J$199:$K$199</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mezd'!$A$201:$A$208</c:f>
              <c:strCache/>
            </c:strRef>
          </c:cat>
          <c:val>
            <c:numRef>
              <c:f>'Rozklad mezd'!$K$201:$K$208</c:f>
              <c:numCache/>
            </c:numRef>
          </c:val>
        </c:ser>
        <c:axId val="14405831"/>
        <c:axId val="62543616"/>
      </c:barChart>
      <c:catAx>
        <c:axId val="14405831"/>
        <c:scaling>
          <c:orientation val="minMax"/>
        </c:scaling>
        <c:axPos val="b"/>
        <c:delete val="0"/>
        <c:numFmt formatCode="General" sourceLinked="1"/>
        <c:majorTickMark val="out"/>
        <c:minorTickMark val="none"/>
        <c:tickLblPos val="nextTo"/>
        <c:crossAx val="62543616"/>
        <c:crosses val="autoZero"/>
        <c:auto val="1"/>
        <c:lblOffset val="100"/>
        <c:noMultiLvlLbl val="0"/>
      </c:catAx>
      <c:valAx>
        <c:axId val="62543616"/>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14405831"/>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E"/>
                <a:ea typeface="Arial CE"/>
                <a:cs typeface="Arial CE"/>
              </a:rPr>
              <a:t>Nemocnice celkem - složení průměrné mzdy</a:t>
            </a:r>
          </a:p>
        </c:rich>
      </c:tx>
      <c:layout/>
      <c:spPr>
        <a:noFill/>
        <a:ln>
          <a:noFill/>
        </a:ln>
      </c:spPr>
    </c:title>
    <c:plotArea>
      <c:layout>
        <c:manualLayout>
          <c:xMode val="edge"/>
          <c:yMode val="edge"/>
          <c:x val="0"/>
          <c:y val="0.075"/>
          <c:w val="1"/>
          <c:h val="0.925"/>
        </c:manualLayout>
      </c:layout>
      <c:barChart>
        <c:barDir val="col"/>
        <c:grouping val="clustered"/>
        <c:varyColors val="0"/>
        <c:ser>
          <c:idx val="0"/>
          <c:order val="0"/>
          <c:tx>
            <c:strRef>
              <c:f>'Rozklad mezd'!$B$231:$C$231</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mezd'!$A$232:$A$240</c:f>
              <c:strCache/>
            </c:strRef>
          </c:cat>
          <c:val>
            <c:numRef>
              <c:f>'Rozklad mezd'!$B$232:$B$240</c:f>
              <c:numCache/>
            </c:numRef>
          </c:val>
        </c:ser>
        <c:ser>
          <c:idx val="1"/>
          <c:order val="1"/>
          <c:tx>
            <c:strRef>
              <c:f>'Rozklad mezd'!$D$231:$E$231</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mezd'!$A$232:$A$240</c:f>
              <c:strCache/>
            </c:strRef>
          </c:cat>
          <c:val>
            <c:numRef>
              <c:f>'Rozklad mezd'!$D$232:$D$240</c:f>
              <c:numCache/>
            </c:numRef>
          </c:val>
        </c:ser>
        <c:ser>
          <c:idx val="2"/>
          <c:order val="2"/>
          <c:tx>
            <c:strRef>
              <c:f>'Rozklad mezd'!$F$231:$G$231</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mezd'!$A$232:$A$240</c:f>
              <c:strCache/>
            </c:strRef>
          </c:cat>
          <c:val>
            <c:numRef>
              <c:f>'Rozklad mezd'!$F$232:$F$240</c:f>
              <c:numCache/>
            </c:numRef>
          </c:val>
        </c:ser>
        <c:ser>
          <c:idx val="3"/>
          <c:order val="3"/>
          <c:tx>
            <c:strRef>
              <c:f>'Rozklad mezd'!$H$231:$I$231</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mezd'!$A$232:$A$240</c:f>
              <c:strCache/>
            </c:strRef>
          </c:cat>
          <c:val>
            <c:numRef>
              <c:f>'Rozklad mezd'!$H$232:$H$240</c:f>
              <c:numCache/>
            </c:numRef>
          </c:val>
        </c:ser>
        <c:ser>
          <c:idx val="4"/>
          <c:order val="4"/>
          <c:tx>
            <c:strRef>
              <c:f>'Rozklad mezd'!$J$231:$K$231</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mezd'!$A$232:$A$240</c:f>
              <c:strCache/>
            </c:strRef>
          </c:cat>
          <c:val>
            <c:numRef>
              <c:f>'Rozklad mezd'!$J$232:$J$240</c:f>
              <c:numCache/>
            </c:numRef>
          </c:val>
        </c:ser>
        <c:axId val="26021633"/>
        <c:axId val="32868106"/>
      </c:barChart>
      <c:catAx>
        <c:axId val="26021633"/>
        <c:scaling>
          <c:orientation val="minMax"/>
        </c:scaling>
        <c:axPos val="b"/>
        <c:delete val="0"/>
        <c:numFmt formatCode="General" sourceLinked="1"/>
        <c:majorTickMark val="out"/>
        <c:minorTickMark val="none"/>
        <c:tickLblPos val="nextTo"/>
        <c:crossAx val="32868106"/>
        <c:crosses val="autoZero"/>
        <c:auto val="1"/>
        <c:lblOffset val="100"/>
        <c:noMultiLvlLbl val="0"/>
      </c:catAx>
      <c:valAx>
        <c:axId val="32868106"/>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26021633"/>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CE"/>
          <a:ea typeface="Arial CE"/>
          <a:cs typeface="Arial CE"/>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E"/>
                <a:ea typeface="Arial CE"/>
                <a:cs typeface="Arial CE"/>
              </a:rPr>
              <a:t>Nemocnice celkem - procentuální složení průměrné mzdy</a:t>
            </a:r>
          </a:p>
        </c:rich>
      </c:tx>
      <c:layout/>
      <c:spPr>
        <a:noFill/>
        <a:ln>
          <a:noFill/>
        </a:ln>
      </c:spPr>
    </c:title>
    <c:plotArea>
      <c:layout>
        <c:manualLayout>
          <c:xMode val="edge"/>
          <c:yMode val="edge"/>
          <c:x val="0"/>
          <c:y val="0.11825"/>
          <c:w val="1"/>
          <c:h val="0.88175"/>
        </c:manualLayout>
      </c:layout>
      <c:barChart>
        <c:barDir val="col"/>
        <c:grouping val="clustered"/>
        <c:varyColors val="0"/>
        <c:ser>
          <c:idx val="0"/>
          <c:order val="0"/>
          <c:tx>
            <c:strRef>
              <c:f>'Rozklad mezd'!$B$231:$C$231</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mezd'!$A$233:$A$240</c:f>
              <c:strCache/>
            </c:strRef>
          </c:cat>
          <c:val>
            <c:numRef>
              <c:f>'Rozklad mezd'!$C$233:$C$240</c:f>
              <c:numCache/>
            </c:numRef>
          </c:val>
        </c:ser>
        <c:ser>
          <c:idx val="1"/>
          <c:order val="1"/>
          <c:tx>
            <c:strRef>
              <c:f>'Rozklad mezd'!$D$231:$E$231</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mezd'!$A$233:$A$240</c:f>
              <c:strCache/>
            </c:strRef>
          </c:cat>
          <c:val>
            <c:numRef>
              <c:f>'Rozklad mezd'!$E$233:$E$240</c:f>
              <c:numCache/>
            </c:numRef>
          </c:val>
        </c:ser>
        <c:ser>
          <c:idx val="2"/>
          <c:order val="2"/>
          <c:tx>
            <c:strRef>
              <c:f>'Rozklad mezd'!$F$231:$G$231</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mezd'!$A$233:$A$240</c:f>
              <c:strCache/>
            </c:strRef>
          </c:cat>
          <c:val>
            <c:numRef>
              <c:f>'Rozklad mezd'!$G$233:$G$240</c:f>
              <c:numCache/>
            </c:numRef>
          </c:val>
        </c:ser>
        <c:ser>
          <c:idx val="3"/>
          <c:order val="3"/>
          <c:tx>
            <c:strRef>
              <c:f>'Rozklad mezd'!$H$231:$I$231</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mezd'!$A$233:$A$240</c:f>
              <c:strCache/>
            </c:strRef>
          </c:cat>
          <c:val>
            <c:numRef>
              <c:f>'Rozklad mezd'!$I$233:$I$240</c:f>
              <c:numCache/>
            </c:numRef>
          </c:val>
        </c:ser>
        <c:ser>
          <c:idx val="4"/>
          <c:order val="4"/>
          <c:tx>
            <c:strRef>
              <c:f>'Rozklad mezd'!$J$231:$K$231</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mezd'!$A$233:$A$240</c:f>
              <c:strCache/>
            </c:strRef>
          </c:cat>
          <c:val>
            <c:numRef>
              <c:f>'Rozklad mezd'!$K$233:$K$240</c:f>
              <c:numCache/>
            </c:numRef>
          </c:val>
        </c:ser>
        <c:axId val="27377499"/>
        <c:axId val="45070900"/>
      </c:barChart>
      <c:catAx>
        <c:axId val="27377499"/>
        <c:scaling>
          <c:orientation val="minMax"/>
        </c:scaling>
        <c:axPos val="b"/>
        <c:delete val="0"/>
        <c:numFmt formatCode="General" sourceLinked="1"/>
        <c:majorTickMark val="out"/>
        <c:minorTickMark val="none"/>
        <c:tickLblPos val="nextTo"/>
        <c:crossAx val="45070900"/>
        <c:crosses val="autoZero"/>
        <c:auto val="1"/>
        <c:lblOffset val="100"/>
        <c:noMultiLvlLbl val="0"/>
      </c:catAx>
      <c:valAx>
        <c:axId val="45070900"/>
        <c:scaling>
          <c:orientation val="minMax"/>
        </c:scaling>
        <c:axPos val="l"/>
        <c:majorGridlines/>
        <c:delete val="0"/>
        <c:numFmt formatCode="General" sourceLinked="1"/>
        <c:majorTickMark val="out"/>
        <c:minorTickMark val="none"/>
        <c:tickLblPos val="nextTo"/>
        <c:txPr>
          <a:bodyPr/>
          <a:lstStyle/>
          <a:p>
            <a:pPr>
              <a:defRPr lang="en-US" cap="none" sz="650" b="1" i="0" u="none" baseline="0">
                <a:latin typeface="Arial CE"/>
                <a:ea typeface="Arial CE"/>
                <a:cs typeface="Arial CE"/>
              </a:defRPr>
            </a:pPr>
          </a:p>
        </c:txPr>
        <c:crossAx val="27377499"/>
        <c:crossesAt val="1"/>
        <c:crossBetween val="between"/>
        <c:dispUnits/>
      </c:valAx>
      <c:dTable>
        <c:showHorzBorder val="1"/>
        <c:showVertBorder val="1"/>
        <c:showOutline val="1"/>
        <c:showKeys val="1"/>
        <c:txPr>
          <a:bodyPr vert="horz" rot="0"/>
          <a:lstStyle/>
          <a:p>
            <a:pPr>
              <a:defRPr lang="en-US" cap="none" sz="65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E"/>
                <a:ea typeface="Arial CE"/>
                <a:cs typeface="Arial CE"/>
              </a:rPr>
              <a:t>Vývoj závazků po lhůtě splatnosti</a:t>
            </a:r>
          </a:p>
        </c:rich>
      </c:tx>
      <c:layout>
        <c:manualLayout>
          <c:xMode val="factor"/>
          <c:yMode val="factor"/>
          <c:x val="0.049"/>
          <c:y val="0"/>
        </c:manualLayout>
      </c:layout>
      <c:spPr>
        <a:noFill/>
        <a:ln>
          <a:noFill/>
        </a:ln>
      </c:spPr>
    </c:title>
    <c:plotArea>
      <c:layout>
        <c:manualLayout>
          <c:xMode val="edge"/>
          <c:yMode val="edge"/>
          <c:x val="0.012"/>
          <c:y val="0.07375"/>
          <c:w val="0.976"/>
          <c:h val="0.89975"/>
        </c:manualLayout>
      </c:layout>
      <c:lineChart>
        <c:grouping val="standard"/>
        <c:varyColors val="0"/>
        <c:ser>
          <c:idx val="0"/>
          <c:order val="0"/>
          <c:tx>
            <c:strRef>
              <c:f>'POHL-záv'!$A$40</c:f>
              <c:strCache>
                <c:ptCount val="1"/>
                <c:pt idx="0">
                  <c:v>Havlíčkův Brod</c:v>
                </c:pt>
              </c:strCache>
            </c:strRef>
          </c:tx>
          <c:extLst>
            <c:ext xmlns:c14="http://schemas.microsoft.com/office/drawing/2007/8/2/chart" uri="{6F2FDCE9-48DA-4B69-8628-5D25D57E5C99}">
              <c14:invertSolidFillFmt>
                <c14:spPr>
                  <a:solidFill>
                    <a:srgbClr val="000000"/>
                  </a:solidFill>
                </c14:spPr>
              </c14:invertSolidFillFmt>
            </c:ext>
          </c:extLst>
          <c:val>
            <c:numRef>
              <c:f>('POHL-záv'!$C$7,'POHL-záv'!$E$7,'POHL-záv'!$G$7,'POHL-záv'!$I$7,'POHL-záv'!$K$7,'POHL-záv'!$M$7,'POHL-záv'!$C$18,'POHL-záv'!$E$18,'POHL-záv'!$G$18,'POHL-záv'!$I$18,'POHL-záv'!$K$18,'POHL-záv'!$M$18)</c:f>
              <c:numCache/>
            </c:numRef>
          </c:val>
          <c:smooth val="0"/>
        </c:ser>
        <c:ser>
          <c:idx val="1"/>
          <c:order val="1"/>
          <c:tx>
            <c:strRef>
              <c:f>'POHL-záv'!$A$8</c:f>
              <c:strCache>
                <c:ptCount val="1"/>
                <c:pt idx="0">
                  <c:v>Jihlava</c:v>
                </c:pt>
              </c:strCache>
            </c:strRef>
          </c:tx>
          <c:extLst>
            <c:ext xmlns:c14="http://schemas.microsoft.com/office/drawing/2007/8/2/chart" uri="{6F2FDCE9-48DA-4B69-8628-5D25D57E5C99}">
              <c14:invertSolidFillFmt>
                <c14:spPr>
                  <a:solidFill>
                    <a:srgbClr val="000000"/>
                  </a:solidFill>
                </c14:spPr>
              </c14:invertSolidFillFmt>
            </c:ext>
          </c:extLst>
          <c:val>
            <c:numRef>
              <c:f>('POHL-záv'!$C$8,'POHL-záv'!$E$8,'POHL-záv'!$G$8,'POHL-záv'!$I$8,'POHL-záv'!$K$8,'POHL-záv'!$M$8,'POHL-záv'!$C$19,'POHL-záv'!$E$19,'POHL-záv'!$G$19,'POHL-záv'!$I$19,'POHL-záv'!$K$19,'POHL-záv'!$M$19)</c:f>
              <c:numCache/>
            </c:numRef>
          </c:val>
          <c:smooth val="0"/>
        </c:ser>
        <c:ser>
          <c:idx val="2"/>
          <c:order val="2"/>
          <c:tx>
            <c:strRef>
              <c:f>'POHL-záv'!$A$9</c:f>
              <c:strCache>
                <c:ptCount val="1"/>
                <c:pt idx="0">
                  <c:v>Pelhřimov</c:v>
                </c:pt>
              </c:strCache>
            </c:strRef>
          </c:tx>
          <c:extLst>
            <c:ext xmlns:c14="http://schemas.microsoft.com/office/drawing/2007/8/2/chart" uri="{6F2FDCE9-48DA-4B69-8628-5D25D57E5C99}">
              <c14:invertSolidFillFmt>
                <c14:spPr>
                  <a:solidFill>
                    <a:srgbClr val="000000"/>
                  </a:solidFill>
                </c14:spPr>
              </c14:invertSolidFillFmt>
            </c:ext>
          </c:extLst>
          <c:val>
            <c:numRef>
              <c:f>('POHL-záv'!$C$9,'POHL-záv'!$E$9,'POHL-záv'!$G$9,'POHL-záv'!$I$9,'POHL-záv'!$K$9,'POHL-záv'!$M$9,'POHL-záv'!$C$20,'POHL-záv'!$E$20,'POHL-záv'!$G$20,'POHL-záv'!$I$20,'POHL-záv'!$K$20,'POHL-záv'!$M$20)</c:f>
              <c:numCache/>
            </c:numRef>
          </c:val>
          <c:smooth val="0"/>
        </c:ser>
        <c:ser>
          <c:idx val="3"/>
          <c:order val="3"/>
          <c:tx>
            <c:strRef>
              <c:f>'POHL-záv'!$A$10</c:f>
              <c:strCache>
                <c:ptCount val="1"/>
                <c:pt idx="0">
                  <c:v>Třebíč</c:v>
                </c:pt>
              </c:strCache>
            </c:strRef>
          </c:tx>
          <c:extLst>
            <c:ext xmlns:c14="http://schemas.microsoft.com/office/drawing/2007/8/2/chart" uri="{6F2FDCE9-48DA-4B69-8628-5D25D57E5C99}">
              <c14:invertSolidFillFmt>
                <c14:spPr>
                  <a:solidFill>
                    <a:srgbClr val="000000"/>
                  </a:solidFill>
                </c14:spPr>
              </c14:invertSolidFillFmt>
            </c:ext>
          </c:extLst>
          <c:val>
            <c:numRef>
              <c:f>('POHL-záv'!$C$10,'POHL-záv'!$E$10,'POHL-záv'!$G$10,'POHL-záv'!$I$10,'POHL-záv'!$K$10,'POHL-záv'!$M$10,'POHL-záv'!$C$21,'POHL-záv'!$E$21,'POHL-záv'!$G$21,'POHL-záv'!$I$21,'POHL-záv'!$K$21,'POHL-záv'!$M$21)</c:f>
              <c:numCache/>
            </c:numRef>
          </c:val>
          <c:smooth val="0"/>
        </c:ser>
        <c:ser>
          <c:idx val="4"/>
          <c:order val="4"/>
          <c:tx>
            <c:strRef>
              <c:f>'POHL-záv'!$A$11</c:f>
              <c:strCache>
                <c:ptCount val="1"/>
                <c:pt idx="0">
                  <c:v>Nové Město </c:v>
                </c:pt>
              </c:strCache>
            </c:strRef>
          </c:tx>
          <c:extLst>
            <c:ext xmlns:c14="http://schemas.microsoft.com/office/drawing/2007/8/2/chart" uri="{6F2FDCE9-48DA-4B69-8628-5D25D57E5C99}">
              <c14:invertSolidFillFmt>
                <c14:spPr>
                  <a:solidFill>
                    <a:srgbClr val="000000"/>
                  </a:solidFill>
                </c14:spPr>
              </c14:invertSolidFillFmt>
            </c:ext>
          </c:extLst>
          <c:val>
            <c:numRef>
              <c:f>('POHL-záv'!$C$11,'POHL-záv'!$E$11,'POHL-záv'!$G$11,'POHL-záv'!$I$11,'POHL-záv'!$K$11,'POHL-záv'!$M$11,'POHL-záv'!$C$22,'POHL-záv'!$E$22,'POHL-záv'!$G$22,'POHL-záv'!$I$22,'POHL-záv'!$K$22,'POHL-záv'!$M$22)</c:f>
              <c:numCache/>
            </c:numRef>
          </c:val>
          <c:smooth val="0"/>
        </c:ser>
        <c:marker val="1"/>
        <c:axId val="52693517"/>
        <c:axId val="4479606"/>
      </c:lineChart>
      <c:catAx>
        <c:axId val="52693517"/>
        <c:scaling>
          <c:orientation val="minMax"/>
        </c:scaling>
        <c:axPos val="b"/>
        <c:delete val="0"/>
        <c:numFmt formatCode="General" sourceLinked="1"/>
        <c:majorTickMark val="out"/>
        <c:minorTickMark val="none"/>
        <c:tickLblPos val="nextTo"/>
        <c:crossAx val="4479606"/>
        <c:crosses val="autoZero"/>
        <c:auto val="1"/>
        <c:lblOffset val="100"/>
        <c:noMultiLvlLbl val="0"/>
      </c:catAx>
      <c:valAx>
        <c:axId val="4479606"/>
        <c:scaling>
          <c:orientation val="minMax"/>
        </c:scaling>
        <c:axPos val="l"/>
        <c:majorGridlines/>
        <c:delete val="0"/>
        <c:numFmt formatCode="General" sourceLinked="1"/>
        <c:majorTickMark val="out"/>
        <c:minorTickMark val="none"/>
        <c:tickLblPos val="nextTo"/>
        <c:txPr>
          <a:bodyPr/>
          <a:lstStyle/>
          <a:p>
            <a:pPr>
              <a:defRPr lang="en-US" cap="none" sz="600" b="1" i="0" u="none" baseline="0">
                <a:latin typeface="Arial CE"/>
                <a:ea typeface="Arial CE"/>
                <a:cs typeface="Arial CE"/>
              </a:defRPr>
            </a:pPr>
          </a:p>
        </c:txPr>
        <c:crossAx val="52693517"/>
        <c:crossesAt val="1"/>
        <c:crossBetween val="between"/>
        <c:dispUnits/>
      </c:valAx>
      <c:dTable>
        <c:showHorzBorder val="1"/>
        <c:showVertBorder val="1"/>
        <c:showOutline val="1"/>
        <c:showKeys val="1"/>
        <c:txPr>
          <a:bodyPr vert="horz" rot="0"/>
          <a:lstStyle/>
          <a:p>
            <a:pPr>
              <a:defRPr lang="en-US" cap="none" sz="6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Rozdíl pohledávky - závazky</a:t>
            </a:r>
          </a:p>
        </c:rich>
      </c:tx>
      <c:layout>
        <c:manualLayout>
          <c:xMode val="factor"/>
          <c:yMode val="factor"/>
          <c:x val="-0.0035"/>
          <c:y val="-0.0075"/>
        </c:manualLayout>
      </c:layout>
      <c:spPr>
        <a:noFill/>
        <a:ln>
          <a:noFill/>
        </a:ln>
      </c:spPr>
    </c:title>
    <c:plotArea>
      <c:layout>
        <c:manualLayout>
          <c:xMode val="edge"/>
          <c:yMode val="edge"/>
          <c:x val="0.012"/>
          <c:y val="0.075"/>
          <c:w val="0.9845"/>
          <c:h val="0.811"/>
        </c:manualLayout>
      </c:layout>
      <c:lineChart>
        <c:grouping val="standard"/>
        <c:varyColors val="0"/>
        <c:ser>
          <c:idx val="0"/>
          <c:order val="0"/>
          <c:tx>
            <c:strRef>
              <c:f>'POHL-záv'!$A$73</c:f>
              <c:strCache>
                <c:ptCount val="1"/>
                <c:pt idx="0">
                  <c:v>Havlíčkův Brod</c:v>
                </c:pt>
              </c:strCache>
            </c:strRef>
          </c:tx>
          <c:extLst>
            <c:ext xmlns:c14="http://schemas.microsoft.com/office/drawing/2007/8/2/chart" uri="{6F2FDCE9-48DA-4B69-8628-5D25D57E5C99}">
              <c14:invertSolidFillFmt>
                <c14:spPr>
                  <a:solidFill>
                    <a:srgbClr val="000000"/>
                  </a:solidFill>
                </c14:spPr>
              </c14:invertSolidFillFmt>
            </c:ext>
          </c:extLst>
          <c:cat>
            <c:strRef>
              <c:f>'POHL-záv'!$B$72:$M$72</c:f>
              <c:strCache/>
            </c:strRef>
          </c:cat>
          <c:val>
            <c:numRef>
              <c:f>'POHL-záv'!$B$73:$M$73</c:f>
              <c:numCache/>
            </c:numRef>
          </c:val>
          <c:smooth val="0"/>
        </c:ser>
        <c:ser>
          <c:idx val="1"/>
          <c:order val="1"/>
          <c:tx>
            <c:strRef>
              <c:f>'POHL-záv'!$A$74</c:f>
              <c:strCache>
                <c:ptCount val="1"/>
                <c:pt idx="0">
                  <c:v>Jihlava</c:v>
                </c:pt>
              </c:strCache>
            </c:strRef>
          </c:tx>
          <c:extLst>
            <c:ext xmlns:c14="http://schemas.microsoft.com/office/drawing/2007/8/2/chart" uri="{6F2FDCE9-48DA-4B69-8628-5D25D57E5C99}">
              <c14:invertSolidFillFmt>
                <c14:spPr>
                  <a:solidFill>
                    <a:srgbClr val="000000"/>
                  </a:solidFill>
                </c14:spPr>
              </c14:invertSolidFillFmt>
            </c:ext>
          </c:extLst>
          <c:cat>
            <c:strRef>
              <c:f>'POHL-záv'!$B$72:$M$72</c:f>
              <c:strCache/>
            </c:strRef>
          </c:cat>
          <c:val>
            <c:numRef>
              <c:f>'POHL-záv'!$B$74:$M$74</c:f>
              <c:numCache/>
            </c:numRef>
          </c:val>
          <c:smooth val="0"/>
        </c:ser>
        <c:ser>
          <c:idx val="2"/>
          <c:order val="2"/>
          <c:tx>
            <c:strRef>
              <c:f>'POHL-záv'!$A$75</c:f>
              <c:strCache>
                <c:ptCount val="1"/>
                <c:pt idx="0">
                  <c:v>Pelhřimov</c:v>
                </c:pt>
              </c:strCache>
            </c:strRef>
          </c:tx>
          <c:extLst>
            <c:ext xmlns:c14="http://schemas.microsoft.com/office/drawing/2007/8/2/chart" uri="{6F2FDCE9-48DA-4B69-8628-5D25D57E5C99}">
              <c14:invertSolidFillFmt>
                <c14:spPr>
                  <a:solidFill>
                    <a:srgbClr val="000000"/>
                  </a:solidFill>
                </c14:spPr>
              </c14:invertSolidFillFmt>
            </c:ext>
          </c:extLst>
          <c:cat>
            <c:strRef>
              <c:f>'POHL-záv'!$B$72:$M$72</c:f>
              <c:strCache/>
            </c:strRef>
          </c:cat>
          <c:val>
            <c:numRef>
              <c:f>'POHL-záv'!$B$75:$M$75</c:f>
              <c:numCache/>
            </c:numRef>
          </c:val>
          <c:smooth val="0"/>
        </c:ser>
        <c:ser>
          <c:idx val="3"/>
          <c:order val="3"/>
          <c:tx>
            <c:strRef>
              <c:f>'POHL-záv'!$A$76</c:f>
              <c:strCache>
                <c:ptCount val="1"/>
                <c:pt idx="0">
                  <c:v>Třebíč</c:v>
                </c:pt>
              </c:strCache>
            </c:strRef>
          </c:tx>
          <c:extLst>
            <c:ext xmlns:c14="http://schemas.microsoft.com/office/drawing/2007/8/2/chart" uri="{6F2FDCE9-48DA-4B69-8628-5D25D57E5C99}">
              <c14:invertSolidFillFmt>
                <c14:spPr>
                  <a:solidFill>
                    <a:srgbClr val="000000"/>
                  </a:solidFill>
                </c14:spPr>
              </c14:invertSolidFillFmt>
            </c:ext>
          </c:extLst>
          <c:cat>
            <c:strRef>
              <c:f>'POHL-záv'!$B$72:$M$72</c:f>
              <c:strCache/>
            </c:strRef>
          </c:cat>
          <c:val>
            <c:numRef>
              <c:f>'POHL-záv'!$B$76:$M$76</c:f>
              <c:numCache/>
            </c:numRef>
          </c:val>
          <c:smooth val="0"/>
        </c:ser>
        <c:ser>
          <c:idx val="4"/>
          <c:order val="4"/>
          <c:tx>
            <c:strRef>
              <c:f>'POHL-záv'!$A$77</c:f>
              <c:strCache>
                <c:ptCount val="1"/>
                <c:pt idx="0">
                  <c:v>Nové Město</c:v>
                </c:pt>
              </c:strCache>
            </c:strRef>
          </c:tx>
          <c:extLst>
            <c:ext xmlns:c14="http://schemas.microsoft.com/office/drawing/2007/8/2/chart" uri="{6F2FDCE9-48DA-4B69-8628-5D25D57E5C99}">
              <c14:invertSolidFillFmt>
                <c14:spPr>
                  <a:solidFill>
                    <a:srgbClr val="000000"/>
                  </a:solidFill>
                </c14:spPr>
              </c14:invertSolidFillFmt>
            </c:ext>
          </c:extLst>
          <c:cat>
            <c:strRef>
              <c:f>'POHL-záv'!$B$72:$M$72</c:f>
              <c:strCache/>
            </c:strRef>
          </c:cat>
          <c:val>
            <c:numRef>
              <c:f>'POHL-záv'!$B$77:$M$77</c:f>
              <c:numCache/>
            </c:numRef>
          </c:val>
          <c:smooth val="0"/>
        </c:ser>
        <c:marker val="1"/>
        <c:axId val="40316455"/>
        <c:axId val="27303776"/>
      </c:lineChart>
      <c:catAx>
        <c:axId val="40316455"/>
        <c:scaling>
          <c:orientation val="minMax"/>
        </c:scaling>
        <c:axPos val="b"/>
        <c:delete val="1"/>
        <c:majorTickMark val="out"/>
        <c:minorTickMark val="none"/>
        <c:tickLblPos val="nextTo"/>
        <c:crossAx val="27303776"/>
        <c:crosses val="autoZero"/>
        <c:auto val="1"/>
        <c:lblOffset val="100"/>
        <c:noMultiLvlLbl val="0"/>
      </c:catAx>
      <c:valAx>
        <c:axId val="27303776"/>
        <c:scaling>
          <c:orientation val="minMax"/>
        </c:scaling>
        <c:axPos val="l"/>
        <c:majorGridlines/>
        <c:delete val="0"/>
        <c:numFmt formatCode="General" sourceLinked="1"/>
        <c:majorTickMark val="out"/>
        <c:minorTickMark val="none"/>
        <c:tickLblPos val="nextTo"/>
        <c:txPr>
          <a:bodyPr/>
          <a:lstStyle/>
          <a:p>
            <a:pPr>
              <a:defRPr lang="en-US" cap="none" sz="725" b="1" i="0" u="none" baseline="0">
                <a:latin typeface="Arial CE"/>
                <a:ea typeface="Arial CE"/>
                <a:cs typeface="Arial CE"/>
              </a:defRPr>
            </a:pPr>
          </a:p>
        </c:txPr>
        <c:crossAx val="40316455"/>
        <c:crossesAt val="1"/>
        <c:crossBetween val="between"/>
        <c:dispUnits/>
      </c:valAx>
      <c:spPr>
        <a:solidFill>
          <a:srgbClr val="C0C0C0"/>
        </a:solidFill>
        <a:ln w="12700">
          <a:solidFill>
            <a:srgbClr val="808080"/>
          </a:solidFill>
        </a:ln>
      </c:spPr>
    </c:plotArea>
    <c:legend>
      <c:legendPos val="b"/>
      <c:layout>
        <c:manualLayout>
          <c:xMode val="edge"/>
          <c:yMode val="edge"/>
          <c:x val="0"/>
          <c:y val="0.92225"/>
          <c:w val="0.9845"/>
          <c:h val="0.06625"/>
        </c:manualLayout>
      </c:layout>
      <c:overlay val="0"/>
      <c:txPr>
        <a:bodyPr vert="horz" rot="0"/>
        <a:lstStyle/>
        <a:p>
          <a:pPr>
            <a:defRPr lang="en-US" cap="none" sz="1000" b="1" i="0" u="none" baseline="0">
              <a:latin typeface="Arial CE"/>
              <a:ea typeface="Arial CE"/>
              <a:cs typeface="Arial CE"/>
            </a:defRPr>
          </a:pPr>
        </a:p>
      </c:txPr>
    </c:legend>
    <c:plotVisOnly val="1"/>
    <c:dispBlanksAs val="gap"/>
    <c:showDLblsOverMax val="0"/>
  </c:chart>
  <c:txPr>
    <a:bodyPr vert="horz" rot="0"/>
    <a:lstStyle/>
    <a:p>
      <a:pPr>
        <a:defRPr lang="en-US" cap="none" sz="1200" b="0" i="0" u="none" baseline="0">
          <a:latin typeface="Arial CE"/>
          <a:ea typeface="Arial CE"/>
          <a:cs typeface="Arial CE"/>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E"/>
                <a:ea typeface="Arial CE"/>
                <a:cs typeface="Arial CE"/>
              </a:rPr>
              <a:t>Lékaři - složení průměrné mzdy</a:t>
            </a:r>
          </a:p>
        </c:rich>
      </c:tx>
      <c:layout>
        <c:manualLayout>
          <c:xMode val="factor"/>
          <c:yMode val="factor"/>
          <c:x val="0"/>
          <c:y val="-0.00325"/>
        </c:manualLayout>
      </c:layout>
      <c:spPr>
        <a:noFill/>
        <a:ln>
          <a:noFill/>
        </a:ln>
      </c:spPr>
    </c:title>
    <c:plotArea>
      <c:layout>
        <c:manualLayout>
          <c:xMode val="edge"/>
          <c:yMode val="edge"/>
          <c:x val="0"/>
          <c:y val="0.06325"/>
          <c:w val="1"/>
          <c:h val="0.93675"/>
        </c:manualLayout>
      </c:layout>
      <c:barChart>
        <c:barDir val="col"/>
        <c:grouping val="clustered"/>
        <c:varyColors val="0"/>
        <c:ser>
          <c:idx val="0"/>
          <c:order val="0"/>
          <c:tx>
            <c:strRef>
              <c:f>'Rozklad mezd'!$B$5:$C$5</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mezd'!$A$6:$A$14</c:f>
              <c:strCache/>
            </c:strRef>
          </c:cat>
          <c:val>
            <c:numRef>
              <c:f>'Rozklad mezd'!$B$6:$B$14</c:f>
              <c:numCache/>
            </c:numRef>
          </c:val>
        </c:ser>
        <c:ser>
          <c:idx val="1"/>
          <c:order val="1"/>
          <c:tx>
            <c:strRef>
              <c:f>'Rozklad mezd'!$D$5:$E$5</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mezd'!$A$6:$A$14</c:f>
              <c:strCache/>
            </c:strRef>
          </c:cat>
          <c:val>
            <c:numRef>
              <c:f>'Rozklad mezd'!$D$6:$D$14</c:f>
              <c:numCache/>
            </c:numRef>
          </c:val>
        </c:ser>
        <c:ser>
          <c:idx val="2"/>
          <c:order val="2"/>
          <c:tx>
            <c:strRef>
              <c:f>'Rozklad mezd'!$F$5:$G$5</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mezd'!$A$6:$A$14</c:f>
              <c:strCache/>
            </c:strRef>
          </c:cat>
          <c:val>
            <c:numRef>
              <c:f>'Rozklad mezd'!$F$6:$F$14</c:f>
              <c:numCache/>
            </c:numRef>
          </c:val>
        </c:ser>
        <c:ser>
          <c:idx val="3"/>
          <c:order val="3"/>
          <c:tx>
            <c:strRef>
              <c:f>'Rozklad mezd'!$H$5:$I$5</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mezd'!$A$6:$A$14</c:f>
              <c:strCache/>
            </c:strRef>
          </c:cat>
          <c:val>
            <c:numRef>
              <c:f>'Rozklad mezd'!$H$6:$H$14</c:f>
              <c:numCache/>
            </c:numRef>
          </c:val>
        </c:ser>
        <c:ser>
          <c:idx val="4"/>
          <c:order val="4"/>
          <c:tx>
            <c:strRef>
              <c:f>'Rozklad mezd'!$J$5:$K$5</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mezd'!$A$6:$A$14</c:f>
              <c:strCache/>
            </c:strRef>
          </c:cat>
          <c:val>
            <c:numRef>
              <c:f>'Rozklad mezd'!$J$6:$J$14</c:f>
              <c:numCache/>
            </c:numRef>
          </c:val>
        </c:ser>
        <c:axId val="44407393"/>
        <c:axId val="64122218"/>
      </c:barChart>
      <c:catAx>
        <c:axId val="44407393"/>
        <c:scaling>
          <c:orientation val="minMax"/>
        </c:scaling>
        <c:axPos val="b"/>
        <c:delete val="0"/>
        <c:numFmt formatCode="General" sourceLinked="1"/>
        <c:majorTickMark val="out"/>
        <c:minorTickMark val="none"/>
        <c:tickLblPos val="nextTo"/>
        <c:crossAx val="64122218"/>
        <c:crosses val="autoZero"/>
        <c:auto val="1"/>
        <c:lblOffset val="100"/>
        <c:noMultiLvlLbl val="0"/>
      </c:catAx>
      <c:valAx>
        <c:axId val="64122218"/>
        <c:scaling>
          <c:orientation val="minMax"/>
        </c:scaling>
        <c:axPos val="l"/>
        <c:majorGridlines/>
        <c:delete val="0"/>
        <c:numFmt formatCode="General" sourceLinked="1"/>
        <c:majorTickMark val="out"/>
        <c:minorTickMark val="none"/>
        <c:tickLblPos val="nextTo"/>
        <c:txPr>
          <a:bodyPr/>
          <a:lstStyle/>
          <a:p>
            <a:pPr>
              <a:defRPr lang="en-US" cap="none" sz="650" b="1" i="0" u="none" baseline="0">
                <a:latin typeface="Arial CE"/>
                <a:ea typeface="Arial CE"/>
                <a:cs typeface="Arial CE"/>
              </a:defRPr>
            </a:pPr>
          </a:p>
        </c:txPr>
        <c:crossAx val="44407393"/>
        <c:crossesAt val="1"/>
        <c:crossBetween val="between"/>
        <c:dispUnits/>
      </c:valAx>
      <c:dTable>
        <c:showHorzBorder val="1"/>
        <c:showVertBorder val="1"/>
        <c:showOutline val="1"/>
        <c:showKeys val="0"/>
        <c:txPr>
          <a:bodyPr vert="horz" rot="0"/>
          <a:lstStyle/>
          <a:p>
            <a:pPr>
              <a:defRPr lang="en-US" cap="none" sz="6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CE"/>
                <a:ea typeface="Arial CE"/>
                <a:cs typeface="Arial CE"/>
              </a:rPr>
              <a:t>Lékaři - procentuální složení průměrné mzdy</a:t>
            </a:r>
          </a:p>
        </c:rich>
      </c:tx>
      <c:layout/>
      <c:spPr>
        <a:noFill/>
        <a:ln>
          <a:noFill/>
        </a:ln>
      </c:spPr>
    </c:title>
    <c:plotArea>
      <c:layout>
        <c:manualLayout>
          <c:xMode val="edge"/>
          <c:yMode val="edge"/>
          <c:x val="0"/>
          <c:y val="0.08575"/>
          <c:w val="1"/>
          <c:h val="0.91425"/>
        </c:manualLayout>
      </c:layout>
      <c:barChart>
        <c:barDir val="col"/>
        <c:grouping val="clustered"/>
        <c:varyColors val="0"/>
        <c:ser>
          <c:idx val="0"/>
          <c:order val="0"/>
          <c:tx>
            <c:strRef>
              <c:f>'Rozklad mezd'!$B$5:$C$5</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mezd'!$A$7:$A$15</c:f>
              <c:strCache/>
            </c:strRef>
          </c:cat>
          <c:val>
            <c:numRef>
              <c:f>'Rozklad mezd'!$C$7:$C$14</c:f>
              <c:numCache/>
            </c:numRef>
          </c:val>
        </c:ser>
        <c:ser>
          <c:idx val="1"/>
          <c:order val="1"/>
          <c:tx>
            <c:strRef>
              <c:f>'Rozklad mezd'!$D$5:$E$5</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mezd'!$A$7:$A$15</c:f>
              <c:strCache/>
            </c:strRef>
          </c:cat>
          <c:val>
            <c:numRef>
              <c:f>'Rozklad mezd'!$E$7:$E$14</c:f>
              <c:numCache/>
            </c:numRef>
          </c:val>
        </c:ser>
        <c:ser>
          <c:idx val="2"/>
          <c:order val="2"/>
          <c:tx>
            <c:strRef>
              <c:f>'Rozklad mezd'!$F$5:$G$5</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mezd'!$A$7:$A$15</c:f>
              <c:strCache/>
            </c:strRef>
          </c:cat>
          <c:val>
            <c:numRef>
              <c:f>'Rozklad mezd'!$G$7:$G$14</c:f>
              <c:numCache/>
            </c:numRef>
          </c:val>
        </c:ser>
        <c:ser>
          <c:idx val="3"/>
          <c:order val="3"/>
          <c:tx>
            <c:strRef>
              <c:f>'Rozklad mezd'!$H$5:$I$5</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mezd'!$A$7:$A$15</c:f>
              <c:strCache/>
            </c:strRef>
          </c:cat>
          <c:val>
            <c:numRef>
              <c:f>'Rozklad mezd'!$I$7:$I$14</c:f>
              <c:numCache/>
            </c:numRef>
          </c:val>
        </c:ser>
        <c:ser>
          <c:idx val="4"/>
          <c:order val="4"/>
          <c:tx>
            <c:strRef>
              <c:f>'Rozklad mezd'!$J$5:$K$5</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mezd'!$A$7:$A$15</c:f>
              <c:strCache/>
            </c:strRef>
          </c:cat>
          <c:val>
            <c:numRef>
              <c:f>'Rozklad mezd'!$K$7:$K$14</c:f>
              <c:numCache/>
            </c:numRef>
          </c:val>
        </c:ser>
        <c:axId val="40229051"/>
        <c:axId val="26517140"/>
      </c:barChart>
      <c:catAx>
        <c:axId val="40229051"/>
        <c:scaling>
          <c:orientation val="minMax"/>
        </c:scaling>
        <c:axPos val="b"/>
        <c:delete val="0"/>
        <c:numFmt formatCode="General" sourceLinked="1"/>
        <c:majorTickMark val="out"/>
        <c:minorTickMark val="none"/>
        <c:tickLblPos val="nextTo"/>
        <c:crossAx val="26517140"/>
        <c:crosses val="autoZero"/>
        <c:auto val="1"/>
        <c:lblOffset val="100"/>
        <c:noMultiLvlLbl val="0"/>
      </c:catAx>
      <c:valAx>
        <c:axId val="26517140"/>
        <c:scaling>
          <c:orientation val="minMax"/>
        </c:scaling>
        <c:axPos val="l"/>
        <c:majorGridlines/>
        <c:delete val="0"/>
        <c:numFmt formatCode="General" sourceLinked="1"/>
        <c:majorTickMark val="out"/>
        <c:minorTickMark val="none"/>
        <c:tickLblPos val="nextTo"/>
        <c:txPr>
          <a:bodyPr/>
          <a:lstStyle/>
          <a:p>
            <a:pPr>
              <a:defRPr lang="en-US" cap="none" sz="675" b="1" i="0" u="none" baseline="0">
                <a:latin typeface="Arial CE"/>
                <a:ea typeface="Arial CE"/>
                <a:cs typeface="Arial CE"/>
              </a:defRPr>
            </a:pPr>
          </a:p>
        </c:txPr>
        <c:crossAx val="40229051"/>
        <c:crossesAt val="1"/>
        <c:crossBetween val="between"/>
        <c:dispUnits/>
      </c:valAx>
      <c:dTable>
        <c:showHorzBorder val="1"/>
        <c:showVertBorder val="1"/>
        <c:showOutline val="1"/>
        <c:showKeys val="1"/>
        <c:txPr>
          <a:bodyPr vert="horz" rot="0"/>
          <a:lstStyle/>
          <a:p>
            <a:pPr>
              <a:defRPr lang="en-US" cap="none" sz="6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CE"/>
          <a:ea typeface="Arial CE"/>
          <a:cs typeface="Arial CE"/>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CE"/>
                <a:ea typeface="Arial CE"/>
                <a:cs typeface="Arial CE"/>
              </a:rPr>
              <a:t>Farmaceuti</a:t>
            </a:r>
          </a:p>
        </c:rich>
      </c:tx>
      <c:layout/>
      <c:spPr>
        <a:noFill/>
        <a:ln>
          <a:noFill/>
        </a:ln>
      </c:spPr>
    </c:title>
    <c:plotArea>
      <c:layout>
        <c:manualLayout>
          <c:xMode val="edge"/>
          <c:yMode val="edge"/>
          <c:x val="0"/>
          <c:y val="0.08575"/>
          <c:w val="0.976"/>
          <c:h val="0.90975"/>
        </c:manualLayout>
      </c:layout>
      <c:barChart>
        <c:barDir val="col"/>
        <c:grouping val="clustered"/>
        <c:varyColors val="0"/>
        <c:ser>
          <c:idx val="0"/>
          <c:order val="0"/>
          <c:tx>
            <c:strRef>
              <c:f>'Rozklad mezd'!$B$32:$C$32</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mezd'!$A$33:$A$41</c:f>
              <c:strCache/>
            </c:strRef>
          </c:cat>
          <c:val>
            <c:numRef>
              <c:f>'Rozklad mezd'!$B$33:$B$41</c:f>
              <c:numCache/>
            </c:numRef>
          </c:val>
        </c:ser>
        <c:ser>
          <c:idx val="1"/>
          <c:order val="1"/>
          <c:tx>
            <c:strRef>
              <c:f>'Rozklad mezd'!$D$32:$E$32</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mezd'!$A$33:$A$41</c:f>
              <c:strCache/>
            </c:strRef>
          </c:cat>
          <c:val>
            <c:numRef>
              <c:f>'Rozklad mezd'!$D$33:$D$41</c:f>
              <c:numCache/>
            </c:numRef>
          </c:val>
        </c:ser>
        <c:ser>
          <c:idx val="2"/>
          <c:order val="2"/>
          <c:tx>
            <c:strRef>
              <c:f>'Rozklad mezd'!$F$32:$G$32</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mezd'!$A$33:$A$41</c:f>
              <c:strCache/>
            </c:strRef>
          </c:cat>
          <c:val>
            <c:numRef>
              <c:f>'Rozklad mezd'!$F$33:$F$41</c:f>
              <c:numCache/>
            </c:numRef>
          </c:val>
        </c:ser>
        <c:ser>
          <c:idx val="3"/>
          <c:order val="3"/>
          <c:tx>
            <c:strRef>
              <c:f>'Rozklad mezd'!$H$32:$I$32</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mezd'!$A$33:$A$41</c:f>
              <c:strCache/>
            </c:strRef>
          </c:cat>
          <c:val>
            <c:numRef>
              <c:f>'Rozklad mezd'!$H$33:$H$41</c:f>
              <c:numCache/>
            </c:numRef>
          </c:val>
        </c:ser>
        <c:ser>
          <c:idx val="4"/>
          <c:order val="4"/>
          <c:tx>
            <c:strRef>
              <c:f>'Rozklad mezd'!$J$32:$K$32</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mezd'!$A$33:$A$41</c:f>
              <c:strCache/>
            </c:strRef>
          </c:cat>
          <c:val>
            <c:numRef>
              <c:f>'Rozklad mezd'!$J$33:$J$41</c:f>
              <c:numCache/>
            </c:numRef>
          </c:val>
        </c:ser>
        <c:axId val="37327669"/>
        <c:axId val="404702"/>
      </c:barChart>
      <c:catAx>
        <c:axId val="37327669"/>
        <c:scaling>
          <c:orientation val="minMax"/>
        </c:scaling>
        <c:axPos val="b"/>
        <c:delete val="0"/>
        <c:numFmt formatCode="General" sourceLinked="1"/>
        <c:majorTickMark val="out"/>
        <c:minorTickMark val="none"/>
        <c:tickLblPos val="nextTo"/>
        <c:crossAx val="404702"/>
        <c:crosses val="autoZero"/>
        <c:auto val="1"/>
        <c:lblOffset val="100"/>
        <c:noMultiLvlLbl val="0"/>
      </c:catAx>
      <c:valAx>
        <c:axId val="404702"/>
        <c:scaling>
          <c:orientation val="minMax"/>
        </c:scaling>
        <c:axPos val="l"/>
        <c:majorGridlines/>
        <c:delete val="0"/>
        <c:numFmt formatCode="General" sourceLinked="1"/>
        <c:majorTickMark val="out"/>
        <c:minorTickMark val="none"/>
        <c:tickLblPos val="nextTo"/>
        <c:txPr>
          <a:bodyPr/>
          <a:lstStyle/>
          <a:p>
            <a:pPr>
              <a:defRPr lang="en-US" cap="none" sz="650" b="1" i="0" u="none" baseline="0">
                <a:latin typeface="Arial CE"/>
                <a:ea typeface="Arial CE"/>
                <a:cs typeface="Arial CE"/>
              </a:defRPr>
            </a:pPr>
          </a:p>
        </c:txPr>
        <c:crossAx val="37327669"/>
        <c:crossesAt val="1"/>
        <c:crossBetween val="between"/>
        <c:dispUnits/>
      </c:valAx>
      <c:dTable>
        <c:showHorzBorder val="1"/>
        <c:showVertBorder val="1"/>
        <c:showOutline val="1"/>
        <c:showKeys val="1"/>
        <c:txPr>
          <a:bodyPr vert="horz" rot="0"/>
          <a:lstStyle/>
          <a:p>
            <a:pPr>
              <a:defRPr lang="en-US" cap="none" sz="6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E"/>
                <a:ea typeface="Arial CE"/>
                <a:cs typeface="Arial CE"/>
              </a:rPr>
              <a:t>Farmaceuti - procentuální složení průměrné mzdy</a:t>
            </a:r>
          </a:p>
        </c:rich>
      </c:tx>
      <c:layout/>
      <c:spPr>
        <a:noFill/>
        <a:ln>
          <a:noFill/>
        </a:ln>
      </c:spPr>
    </c:title>
    <c:plotArea>
      <c:layout>
        <c:manualLayout>
          <c:xMode val="edge"/>
          <c:yMode val="edge"/>
          <c:x val="0"/>
          <c:y val="0.08225"/>
          <c:w val="1"/>
          <c:h val="0.91625"/>
        </c:manualLayout>
      </c:layout>
      <c:barChart>
        <c:barDir val="col"/>
        <c:grouping val="clustered"/>
        <c:varyColors val="0"/>
        <c:ser>
          <c:idx val="0"/>
          <c:order val="0"/>
          <c:tx>
            <c:strRef>
              <c:f>'Rozklad mezd'!$B$32:$C$32</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mezd'!$A$34:$A$41</c:f>
              <c:strCache/>
            </c:strRef>
          </c:cat>
          <c:val>
            <c:numRef>
              <c:f>'Rozklad mezd'!$C$34:$C$41</c:f>
              <c:numCache/>
            </c:numRef>
          </c:val>
        </c:ser>
        <c:ser>
          <c:idx val="1"/>
          <c:order val="1"/>
          <c:tx>
            <c:strRef>
              <c:f>'Rozklad mezd'!$D$32:$E$32</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mezd'!$A$34:$A$41</c:f>
              <c:strCache/>
            </c:strRef>
          </c:cat>
          <c:val>
            <c:numRef>
              <c:f>'Rozklad mezd'!$E$34:$E$41</c:f>
              <c:numCache/>
            </c:numRef>
          </c:val>
        </c:ser>
        <c:ser>
          <c:idx val="2"/>
          <c:order val="2"/>
          <c:tx>
            <c:strRef>
              <c:f>'Rozklad mezd'!$F$32:$G$32</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mezd'!$A$34:$A$41</c:f>
              <c:strCache/>
            </c:strRef>
          </c:cat>
          <c:val>
            <c:numRef>
              <c:f>'Rozklad mezd'!$G$34:$G$41</c:f>
              <c:numCache/>
            </c:numRef>
          </c:val>
        </c:ser>
        <c:ser>
          <c:idx val="3"/>
          <c:order val="3"/>
          <c:tx>
            <c:strRef>
              <c:f>'Rozklad mezd'!$H$32:$I$32</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mezd'!$A$34:$A$41</c:f>
              <c:strCache/>
            </c:strRef>
          </c:cat>
          <c:val>
            <c:numRef>
              <c:f>'Rozklad mezd'!$I$34:$I$41</c:f>
              <c:numCache/>
            </c:numRef>
          </c:val>
        </c:ser>
        <c:ser>
          <c:idx val="4"/>
          <c:order val="4"/>
          <c:tx>
            <c:strRef>
              <c:f>'Rozklad mezd'!$J$32:$K$32</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mezd'!$A$34:$A$41</c:f>
              <c:strCache/>
            </c:strRef>
          </c:cat>
          <c:val>
            <c:numRef>
              <c:f>'Rozklad mezd'!$K$34:$K$41</c:f>
              <c:numCache/>
            </c:numRef>
          </c:val>
        </c:ser>
        <c:axId val="3642319"/>
        <c:axId val="32780872"/>
      </c:barChart>
      <c:catAx>
        <c:axId val="3642319"/>
        <c:scaling>
          <c:orientation val="minMax"/>
        </c:scaling>
        <c:axPos val="b"/>
        <c:delete val="0"/>
        <c:numFmt formatCode="General" sourceLinked="1"/>
        <c:majorTickMark val="out"/>
        <c:minorTickMark val="none"/>
        <c:tickLblPos val="nextTo"/>
        <c:crossAx val="32780872"/>
        <c:crosses val="autoZero"/>
        <c:auto val="1"/>
        <c:lblOffset val="100"/>
        <c:noMultiLvlLbl val="0"/>
      </c:catAx>
      <c:valAx>
        <c:axId val="32780872"/>
        <c:scaling>
          <c:orientation val="minMax"/>
        </c:scaling>
        <c:axPos val="l"/>
        <c:majorGridlines/>
        <c:delete val="0"/>
        <c:numFmt formatCode="General" sourceLinked="1"/>
        <c:majorTickMark val="out"/>
        <c:minorTickMark val="none"/>
        <c:tickLblPos val="nextTo"/>
        <c:txPr>
          <a:bodyPr/>
          <a:lstStyle/>
          <a:p>
            <a:pPr>
              <a:defRPr lang="en-US" cap="none" sz="650" b="1" i="0" u="none" baseline="0">
                <a:latin typeface="Arial CE"/>
                <a:ea typeface="Arial CE"/>
                <a:cs typeface="Arial CE"/>
              </a:defRPr>
            </a:pPr>
          </a:p>
        </c:txPr>
        <c:crossAx val="3642319"/>
        <c:crossesAt val="1"/>
        <c:crossBetween val="between"/>
        <c:dispUnits/>
      </c:valAx>
      <c:dTable>
        <c:showHorzBorder val="1"/>
        <c:showVertBorder val="1"/>
        <c:showOutline val="1"/>
        <c:showKeys val="1"/>
        <c:txPr>
          <a:bodyPr vert="horz" rot="0"/>
          <a:lstStyle/>
          <a:p>
            <a:pPr>
              <a:defRPr lang="en-US" cap="none" sz="60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E"/>
                <a:ea typeface="Arial CE"/>
                <a:cs typeface="Arial CE"/>
              </a:rPr>
              <a:t>všeobecné sestry a porodní asistentky</a:t>
            </a:r>
          </a:p>
        </c:rich>
      </c:tx>
      <c:layout/>
      <c:spPr>
        <a:noFill/>
        <a:ln>
          <a:noFill/>
        </a:ln>
      </c:spPr>
    </c:title>
    <c:plotArea>
      <c:layout>
        <c:manualLayout>
          <c:xMode val="edge"/>
          <c:yMode val="edge"/>
          <c:x val="0"/>
          <c:y val="0.08075"/>
          <c:w val="1"/>
          <c:h val="0.91925"/>
        </c:manualLayout>
      </c:layout>
      <c:barChart>
        <c:barDir val="col"/>
        <c:grouping val="clustered"/>
        <c:varyColors val="0"/>
        <c:ser>
          <c:idx val="0"/>
          <c:order val="0"/>
          <c:tx>
            <c:strRef>
              <c:f>'Rozklad mezd'!$B$63:$C$63</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mezd'!$A$64:$A$72</c:f>
              <c:strCache/>
            </c:strRef>
          </c:cat>
          <c:val>
            <c:numRef>
              <c:f>'Rozklad mezd'!$B$64:$B$72</c:f>
              <c:numCache/>
            </c:numRef>
          </c:val>
        </c:ser>
        <c:ser>
          <c:idx val="1"/>
          <c:order val="1"/>
          <c:tx>
            <c:strRef>
              <c:f>'Rozklad mezd'!$D$63:$E$63</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mezd'!$A$64:$A$72</c:f>
              <c:strCache/>
            </c:strRef>
          </c:cat>
          <c:val>
            <c:numRef>
              <c:f>'Rozklad mezd'!$D$64:$D$72</c:f>
              <c:numCache/>
            </c:numRef>
          </c:val>
        </c:ser>
        <c:ser>
          <c:idx val="2"/>
          <c:order val="2"/>
          <c:tx>
            <c:strRef>
              <c:f>'Rozklad mezd'!$F$63:$G$63</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mezd'!$A$64:$A$72</c:f>
              <c:strCache/>
            </c:strRef>
          </c:cat>
          <c:val>
            <c:numRef>
              <c:f>'Rozklad mezd'!$F$64:$F$72</c:f>
              <c:numCache/>
            </c:numRef>
          </c:val>
        </c:ser>
        <c:ser>
          <c:idx val="3"/>
          <c:order val="3"/>
          <c:tx>
            <c:strRef>
              <c:f>'Rozklad mezd'!$H$63:$I$63</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mezd'!$A$64:$A$72</c:f>
              <c:strCache/>
            </c:strRef>
          </c:cat>
          <c:val>
            <c:numRef>
              <c:f>'Rozklad mezd'!$H$64:$H$72</c:f>
              <c:numCache/>
            </c:numRef>
          </c:val>
        </c:ser>
        <c:ser>
          <c:idx val="4"/>
          <c:order val="4"/>
          <c:tx>
            <c:strRef>
              <c:f>'Rozklad mezd'!$J$63:$K$63</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mezd'!$A$64:$A$72</c:f>
              <c:strCache/>
            </c:strRef>
          </c:cat>
          <c:val>
            <c:numRef>
              <c:f>'Rozklad mezd'!$J$64:$J$72</c:f>
              <c:numCache/>
            </c:numRef>
          </c:val>
        </c:ser>
        <c:axId val="26592393"/>
        <c:axId val="38004946"/>
      </c:barChart>
      <c:catAx>
        <c:axId val="26592393"/>
        <c:scaling>
          <c:orientation val="minMax"/>
        </c:scaling>
        <c:axPos val="b"/>
        <c:delete val="0"/>
        <c:numFmt formatCode="General" sourceLinked="1"/>
        <c:majorTickMark val="out"/>
        <c:minorTickMark val="none"/>
        <c:tickLblPos val="nextTo"/>
        <c:crossAx val="38004946"/>
        <c:crosses val="autoZero"/>
        <c:auto val="1"/>
        <c:lblOffset val="100"/>
        <c:noMultiLvlLbl val="0"/>
      </c:catAx>
      <c:valAx>
        <c:axId val="38004946"/>
        <c:scaling>
          <c:orientation val="minMax"/>
        </c:scaling>
        <c:axPos val="l"/>
        <c:majorGridlines/>
        <c:delete val="0"/>
        <c:numFmt formatCode="General" sourceLinked="1"/>
        <c:majorTickMark val="out"/>
        <c:minorTickMark val="none"/>
        <c:tickLblPos val="nextTo"/>
        <c:txPr>
          <a:bodyPr/>
          <a:lstStyle/>
          <a:p>
            <a:pPr>
              <a:defRPr lang="en-US" cap="none" sz="650" b="1" i="0" u="none" baseline="0">
                <a:latin typeface="Arial CE"/>
                <a:ea typeface="Arial CE"/>
                <a:cs typeface="Arial CE"/>
              </a:defRPr>
            </a:pPr>
          </a:p>
        </c:txPr>
        <c:crossAx val="26592393"/>
        <c:crossesAt val="1"/>
        <c:crossBetween val="between"/>
        <c:dispUnits/>
      </c:valAx>
      <c:dTable>
        <c:showHorzBorder val="1"/>
        <c:showVertBorder val="1"/>
        <c:showOutline val="1"/>
        <c:showKeys val="1"/>
        <c:txPr>
          <a:bodyPr vert="horz" rot="0"/>
          <a:lstStyle/>
          <a:p>
            <a:pPr>
              <a:defRPr lang="en-US" cap="none" sz="65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57150</xdr:rowOff>
    </xdr:from>
    <xdr:to>
      <xdr:col>11</xdr:col>
      <xdr:colOff>0</xdr:colOff>
      <xdr:row>90</xdr:row>
      <xdr:rowOff>85725</xdr:rowOff>
    </xdr:to>
    <xdr:graphicFrame>
      <xdr:nvGraphicFramePr>
        <xdr:cNvPr id="1" name="Chart 1"/>
        <xdr:cNvGraphicFramePr/>
      </xdr:nvGraphicFramePr>
      <xdr:xfrm>
        <a:off x="0" y="11277600"/>
        <a:ext cx="8401050" cy="3752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91</xdr:row>
      <xdr:rowOff>28575</xdr:rowOff>
    </xdr:from>
    <xdr:to>
      <xdr:col>10</xdr:col>
      <xdr:colOff>733425</xdr:colOff>
      <xdr:row>114</xdr:row>
      <xdr:rowOff>47625</xdr:rowOff>
    </xdr:to>
    <xdr:graphicFrame>
      <xdr:nvGraphicFramePr>
        <xdr:cNvPr id="2" name="Chart 2"/>
        <xdr:cNvGraphicFramePr/>
      </xdr:nvGraphicFramePr>
      <xdr:xfrm>
        <a:off x="0" y="15135225"/>
        <a:ext cx="8401050" cy="37433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0</xdr:rowOff>
    </xdr:from>
    <xdr:to>
      <xdr:col>12</xdr:col>
      <xdr:colOff>657225</xdr:colOff>
      <xdr:row>68</xdr:row>
      <xdr:rowOff>104775</xdr:rowOff>
    </xdr:to>
    <xdr:graphicFrame>
      <xdr:nvGraphicFramePr>
        <xdr:cNvPr id="1" name="Chart 3"/>
        <xdr:cNvGraphicFramePr/>
      </xdr:nvGraphicFramePr>
      <xdr:xfrm>
        <a:off x="19050" y="9344025"/>
        <a:ext cx="9067800" cy="36671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78</xdr:row>
      <xdr:rowOff>0</xdr:rowOff>
    </xdr:from>
    <xdr:to>
      <xdr:col>12</xdr:col>
      <xdr:colOff>666750</xdr:colOff>
      <xdr:row>98</xdr:row>
      <xdr:rowOff>152400</xdr:rowOff>
    </xdr:to>
    <xdr:graphicFrame>
      <xdr:nvGraphicFramePr>
        <xdr:cNvPr id="2" name="Chart 4"/>
        <xdr:cNvGraphicFramePr/>
      </xdr:nvGraphicFramePr>
      <xdr:xfrm>
        <a:off x="19050" y="15268575"/>
        <a:ext cx="9077325"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9525</xdr:rowOff>
    </xdr:from>
    <xdr:to>
      <xdr:col>4</xdr:col>
      <xdr:colOff>733425</xdr:colOff>
      <xdr:row>29</xdr:row>
      <xdr:rowOff>9525</xdr:rowOff>
    </xdr:to>
    <xdr:graphicFrame>
      <xdr:nvGraphicFramePr>
        <xdr:cNvPr id="1" name="Chart 1"/>
        <xdr:cNvGraphicFramePr/>
      </xdr:nvGraphicFramePr>
      <xdr:xfrm>
        <a:off x="0" y="2990850"/>
        <a:ext cx="4505325" cy="30670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15</xdr:row>
      <xdr:rowOff>9525</xdr:rowOff>
    </xdr:from>
    <xdr:to>
      <xdr:col>10</xdr:col>
      <xdr:colOff>742950</xdr:colOff>
      <xdr:row>29</xdr:row>
      <xdr:rowOff>9525</xdr:rowOff>
    </xdr:to>
    <xdr:graphicFrame>
      <xdr:nvGraphicFramePr>
        <xdr:cNvPr id="2" name="Chart 2"/>
        <xdr:cNvGraphicFramePr/>
      </xdr:nvGraphicFramePr>
      <xdr:xfrm>
        <a:off x="4638675" y="2990850"/>
        <a:ext cx="4505325" cy="3067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9525</xdr:rowOff>
    </xdr:from>
    <xdr:to>
      <xdr:col>5</xdr:col>
      <xdr:colOff>0</xdr:colOff>
      <xdr:row>58</xdr:row>
      <xdr:rowOff>114300</xdr:rowOff>
    </xdr:to>
    <xdr:graphicFrame>
      <xdr:nvGraphicFramePr>
        <xdr:cNvPr id="3" name="Chart 3"/>
        <xdr:cNvGraphicFramePr/>
      </xdr:nvGraphicFramePr>
      <xdr:xfrm>
        <a:off x="0" y="8915400"/>
        <a:ext cx="4638675" cy="2943225"/>
      </xdr:xfrm>
      <a:graphic>
        <a:graphicData uri="http://schemas.openxmlformats.org/drawingml/2006/chart">
          <c:chart xmlns:c="http://schemas.openxmlformats.org/drawingml/2006/chart" r:id="rId3"/>
        </a:graphicData>
      </a:graphic>
    </xdr:graphicFrame>
    <xdr:clientData/>
  </xdr:twoCellAnchor>
  <xdr:twoCellAnchor>
    <xdr:from>
      <xdr:col>4</xdr:col>
      <xdr:colOff>723900</xdr:colOff>
      <xdr:row>42</xdr:row>
      <xdr:rowOff>9525</xdr:rowOff>
    </xdr:from>
    <xdr:to>
      <xdr:col>10</xdr:col>
      <xdr:colOff>733425</xdr:colOff>
      <xdr:row>58</xdr:row>
      <xdr:rowOff>114300</xdr:rowOff>
    </xdr:to>
    <xdr:graphicFrame>
      <xdr:nvGraphicFramePr>
        <xdr:cNvPr id="4" name="Chart 4"/>
        <xdr:cNvGraphicFramePr/>
      </xdr:nvGraphicFramePr>
      <xdr:xfrm>
        <a:off x="4495800" y="8915400"/>
        <a:ext cx="4638675" cy="29432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73</xdr:row>
      <xdr:rowOff>19050</xdr:rowOff>
    </xdr:from>
    <xdr:to>
      <xdr:col>5</xdr:col>
      <xdr:colOff>19050</xdr:colOff>
      <xdr:row>87</xdr:row>
      <xdr:rowOff>9525</xdr:rowOff>
    </xdr:to>
    <xdr:graphicFrame>
      <xdr:nvGraphicFramePr>
        <xdr:cNvPr id="5" name="Chart 5"/>
        <xdr:cNvGraphicFramePr/>
      </xdr:nvGraphicFramePr>
      <xdr:xfrm>
        <a:off x="9525" y="14820900"/>
        <a:ext cx="4648200" cy="3057525"/>
      </xdr:xfrm>
      <a:graphic>
        <a:graphicData uri="http://schemas.openxmlformats.org/drawingml/2006/chart">
          <c:chart xmlns:c="http://schemas.openxmlformats.org/drawingml/2006/chart" r:id="rId5"/>
        </a:graphicData>
      </a:graphic>
    </xdr:graphicFrame>
    <xdr:clientData/>
  </xdr:twoCellAnchor>
  <xdr:twoCellAnchor>
    <xdr:from>
      <xdr:col>5</xdr:col>
      <xdr:colOff>9525</xdr:colOff>
      <xdr:row>73</xdr:row>
      <xdr:rowOff>19050</xdr:rowOff>
    </xdr:from>
    <xdr:to>
      <xdr:col>10</xdr:col>
      <xdr:colOff>742950</xdr:colOff>
      <xdr:row>87</xdr:row>
      <xdr:rowOff>9525</xdr:rowOff>
    </xdr:to>
    <xdr:graphicFrame>
      <xdr:nvGraphicFramePr>
        <xdr:cNvPr id="6" name="Chart 6"/>
        <xdr:cNvGraphicFramePr/>
      </xdr:nvGraphicFramePr>
      <xdr:xfrm>
        <a:off x="4648200" y="14820900"/>
        <a:ext cx="4495800" cy="3057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100</xdr:row>
      <xdr:rowOff>0</xdr:rowOff>
    </xdr:from>
    <xdr:to>
      <xdr:col>5</xdr:col>
      <xdr:colOff>0</xdr:colOff>
      <xdr:row>114</xdr:row>
      <xdr:rowOff>180975</xdr:rowOff>
    </xdr:to>
    <xdr:graphicFrame>
      <xdr:nvGraphicFramePr>
        <xdr:cNvPr id="7" name="Chart 7"/>
        <xdr:cNvGraphicFramePr/>
      </xdr:nvGraphicFramePr>
      <xdr:xfrm>
        <a:off x="0" y="20373975"/>
        <a:ext cx="4638675" cy="3248025"/>
      </xdr:xfrm>
      <a:graphic>
        <a:graphicData uri="http://schemas.openxmlformats.org/drawingml/2006/chart">
          <c:chart xmlns:c="http://schemas.openxmlformats.org/drawingml/2006/chart" r:id="rId7"/>
        </a:graphicData>
      </a:graphic>
    </xdr:graphicFrame>
    <xdr:clientData/>
  </xdr:twoCellAnchor>
  <xdr:twoCellAnchor>
    <xdr:from>
      <xdr:col>5</xdr:col>
      <xdr:colOff>9525</xdr:colOff>
      <xdr:row>100</xdr:row>
      <xdr:rowOff>0</xdr:rowOff>
    </xdr:from>
    <xdr:to>
      <xdr:col>11</xdr:col>
      <xdr:colOff>0</xdr:colOff>
      <xdr:row>114</xdr:row>
      <xdr:rowOff>180975</xdr:rowOff>
    </xdr:to>
    <xdr:graphicFrame>
      <xdr:nvGraphicFramePr>
        <xdr:cNvPr id="8" name="Chart 8"/>
        <xdr:cNvGraphicFramePr/>
      </xdr:nvGraphicFramePr>
      <xdr:xfrm>
        <a:off x="4648200" y="20373975"/>
        <a:ext cx="4505325" cy="3248025"/>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127</xdr:row>
      <xdr:rowOff>9525</xdr:rowOff>
    </xdr:from>
    <xdr:to>
      <xdr:col>5</xdr:col>
      <xdr:colOff>9525</xdr:colOff>
      <xdr:row>141</xdr:row>
      <xdr:rowOff>0</xdr:rowOff>
    </xdr:to>
    <xdr:graphicFrame>
      <xdr:nvGraphicFramePr>
        <xdr:cNvPr id="9" name="Chart 9"/>
        <xdr:cNvGraphicFramePr/>
      </xdr:nvGraphicFramePr>
      <xdr:xfrm>
        <a:off x="19050" y="25927050"/>
        <a:ext cx="4629150" cy="3057525"/>
      </xdr:xfrm>
      <a:graphic>
        <a:graphicData uri="http://schemas.openxmlformats.org/drawingml/2006/chart">
          <c:chart xmlns:c="http://schemas.openxmlformats.org/drawingml/2006/chart" r:id="rId9"/>
        </a:graphicData>
      </a:graphic>
    </xdr:graphicFrame>
    <xdr:clientData/>
  </xdr:twoCellAnchor>
  <xdr:twoCellAnchor>
    <xdr:from>
      <xdr:col>5</xdr:col>
      <xdr:colOff>19050</xdr:colOff>
      <xdr:row>127</xdr:row>
      <xdr:rowOff>9525</xdr:rowOff>
    </xdr:from>
    <xdr:to>
      <xdr:col>10</xdr:col>
      <xdr:colOff>733425</xdr:colOff>
      <xdr:row>141</xdr:row>
      <xdr:rowOff>0</xdr:rowOff>
    </xdr:to>
    <xdr:graphicFrame>
      <xdr:nvGraphicFramePr>
        <xdr:cNvPr id="10" name="Chart 10"/>
        <xdr:cNvGraphicFramePr/>
      </xdr:nvGraphicFramePr>
      <xdr:xfrm>
        <a:off x="4657725" y="25927050"/>
        <a:ext cx="4476750" cy="3057525"/>
      </xdr:xfrm>
      <a:graphic>
        <a:graphicData uri="http://schemas.openxmlformats.org/drawingml/2006/chart">
          <c:chart xmlns:c="http://schemas.openxmlformats.org/drawingml/2006/chart" r:id="rId10"/>
        </a:graphicData>
      </a:graphic>
    </xdr:graphicFrame>
    <xdr:clientData/>
  </xdr:twoCellAnchor>
  <xdr:twoCellAnchor>
    <xdr:from>
      <xdr:col>0</xdr:col>
      <xdr:colOff>9525</xdr:colOff>
      <xdr:row>154</xdr:row>
      <xdr:rowOff>28575</xdr:rowOff>
    </xdr:from>
    <xdr:to>
      <xdr:col>5</xdr:col>
      <xdr:colOff>0</xdr:colOff>
      <xdr:row>168</xdr:row>
      <xdr:rowOff>0</xdr:rowOff>
    </xdr:to>
    <xdr:graphicFrame>
      <xdr:nvGraphicFramePr>
        <xdr:cNvPr id="11" name="Chart 11"/>
        <xdr:cNvGraphicFramePr/>
      </xdr:nvGraphicFramePr>
      <xdr:xfrm>
        <a:off x="9525" y="31565850"/>
        <a:ext cx="4629150" cy="3038475"/>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154</xdr:row>
      <xdr:rowOff>28575</xdr:rowOff>
    </xdr:from>
    <xdr:to>
      <xdr:col>10</xdr:col>
      <xdr:colOff>742950</xdr:colOff>
      <xdr:row>168</xdr:row>
      <xdr:rowOff>0</xdr:rowOff>
    </xdr:to>
    <xdr:graphicFrame>
      <xdr:nvGraphicFramePr>
        <xdr:cNvPr id="12" name="Chart 12"/>
        <xdr:cNvGraphicFramePr/>
      </xdr:nvGraphicFramePr>
      <xdr:xfrm>
        <a:off x="4648200" y="31565850"/>
        <a:ext cx="4495800" cy="3038475"/>
      </xdr:xfrm>
      <a:graphic>
        <a:graphicData uri="http://schemas.openxmlformats.org/drawingml/2006/chart">
          <c:chart xmlns:c="http://schemas.openxmlformats.org/drawingml/2006/chart" r:id="rId12"/>
        </a:graphicData>
      </a:graphic>
    </xdr:graphicFrame>
    <xdr:clientData/>
  </xdr:twoCellAnchor>
  <xdr:twoCellAnchor>
    <xdr:from>
      <xdr:col>0</xdr:col>
      <xdr:colOff>9525</xdr:colOff>
      <xdr:row>181</xdr:row>
      <xdr:rowOff>19050</xdr:rowOff>
    </xdr:from>
    <xdr:to>
      <xdr:col>4</xdr:col>
      <xdr:colOff>733425</xdr:colOff>
      <xdr:row>196</xdr:row>
      <xdr:rowOff>180975</xdr:rowOff>
    </xdr:to>
    <xdr:graphicFrame>
      <xdr:nvGraphicFramePr>
        <xdr:cNvPr id="13" name="Chart 13"/>
        <xdr:cNvGraphicFramePr/>
      </xdr:nvGraphicFramePr>
      <xdr:xfrm>
        <a:off x="9525" y="37404675"/>
        <a:ext cx="4495800" cy="344805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181</xdr:row>
      <xdr:rowOff>19050</xdr:rowOff>
    </xdr:from>
    <xdr:to>
      <xdr:col>10</xdr:col>
      <xdr:colOff>742950</xdr:colOff>
      <xdr:row>196</xdr:row>
      <xdr:rowOff>180975</xdr:rowOff>
    </xdr:to>
    <xdr:graphicFrame>
      <xdr:nvGraphicFramePr>
        <xdr:cNvPr id="14" name="Chart 14"/>
        <xdr:cNvGraphicFramePr/>
      </xdr:nvGraphicFramePr>
      <xdr:xfrm>
        <a:off x="4638675" y="37404675"/>
        <a:ext cx="4505325" cy="3448050"/>
      </xdr:xfrm>
      <a:graphic>
        <a:graphicData uri="http://schemas.openxmlformats.org/drawingml/2006/chart">
          <c:chart xmlns:c="http://schemas.openxmlformats.org/drawingml/2006/chart" r:id="rId14"/>
        </a:graphicData>
      </a:graphic>
    </xdr:graphicFrame>
    <xdr:clientData/>
  </xdr:twoCellAnchor>
  <xdr:twoCellAnchor>
    <xdr:from>
      <xdr:col>0</xdr:col>
      <xdr:colOff>9525</xdr:colOff>
      <xdr:row>209</xdr:row>
      <xdr:rowOff>9525</xdr:rowOff>
    </xdr:from>
    <xdr:to>
      <xdr:col>5</xdr:col>
      <xdr:colOff>0</xdr:colOff>
      <xdr:row>227</xdr:row>
      <xdr:rowOff>133350</xdr:rowOff>
    </xdr:to>
    <xdr:graphicFrame>
      <xdr:nvGraphicFramePr>
        <xdr:cNvPr id="15" name="Chart 15"/>
        <xdr:cNvGraphicFramePr/>
      </xdr:nvGraphicFramePr>
      <xdr:xfrm>
        <a:off x="9525" y="43462575"/>
        <a:ext cx="4629150" cy="3038475"/>
      </xdr:xfrm>
      <a:graphic>
        <a:graphicData uri="http://schemas.openxmlformats.org/drawingml/2006/chart">
          <c:chart xmlns:c="http://schemas.openxmlformats.org/drawingml/2006/chart" r:id="rId15"/>
        </a:graphicData>
      </a:graphic>
    </xdr:graphicFrame>
    <xdr:clientData/>
  </xdr:twoCellAnchor>
  <xdr:twoCellAnchor>
    <xdr:from>
      <xdr:col>5</xdr:col>
      <xdr:colOff>9525</xdr:colOff>
      <xdr:row>209</xdr:row>
      <xdr:rowOff>9525</xdr:rowOff>
    </xdr:from>
    <xdr:to>
      <xdr:col>10</xdr:col>
      <xdr:colOff>742950</xdr:colOff>
      <xdr:row>227</xdr:row>
      <xdr:rowOff>133350</xdr:rowOff>
    </xdr:to>
    <xdr:graphicFrame>
      <xdr:nvGraphicFramePr>
        <xdr:cNvPr id="16" name="Chart 16"/>
        <xdr:cNvGraphicFramePr/>
      </xdr:nvGraphicFramePr>
      <xdr:xfrm>
        <a:off x="4648200" y="43462575"/>
        <a:ext cx="4495800" cy="3038475"/>
      </xdr:xfrm>
      <a:graphic>
        <a:graphicData uri="http://schemas.openxmlformats.org/drawingml/2006/chart">
          <c:chart xmlns:c="http://schemas.openxmlformats.org/drawingml/2006/chart" r:id="rId16"/>
        </a:graphicData>
      </a:graphic>
    </xdr:graphicFrame>
    <xdr:clientData/>
  </xdr:twoCellAnchor>
  <xdr:twoCellAnchor>
    <xdr:from>
      <xdr:col>0</xdr:col>
      <xdr:colOff>28575</xdr:colOff>
      <xdr:row>241</xdr:row>
      <xdr:rowOff>66675</xdr:rowOff>
    </xdr:from>
    <xdr:to>
      <xdr:col>4</xdr:col>
      <xdr:colOff>723900</xdr:colOff>
      <xdr:row>260</xdr:row>
      <xdr:rowOff>19050</xdr:rowOff>
    </xdr:to>
    <xdr:graphicFrame>
      <xdr:nvGraphicFramePr>
        <xdr:cNvPr id="17" name="Chart 17"/>
        <xdr:cNvGraphicFramePr/>
      </xdr:nvGraphicFramePr>
      <xdr:xfrm>
        <a:off x="28575" y="49329975"/>
        <a:ext cx="4467225" cy="3028950"/>
      </xdr:xfrm>
      <a:graphic>
        <a:graphicData uri="http://schemas.openxmlformats.org/drawingml/2006/chart">
          <c:chart xmlns:c="http://schemas.openxmlformats.org/drawingml/2006/chart" r:id="rId17"/>
        </a:graphicData>
      </a:graphic>
    </xdr:graphicFrame>
    <xdr:clientData/>
  </xdr:twoCellAnchor>
  <xdr:twoCellAnchor>
    <xdr:from>
      <xdr:col>4</xdr:col>
      <xdr:colOff>723900</xdr:colOff>
      <xdr:row>241</xdr:row>
      <xdr:rowOff>66675</xdr:rowOff>
    </xdr:from>
    <xdr:to>
      <xdr:col>10</xdr:col>
      <xdr:colOff>742950</xdr:colOff>
      <xdr:row>260</xdr:row>
      <xdr:rowOff>19050</xdr:rowOff>
    </xdr:to>
    <xdr:graphicFrame>
      <xdr:nvGraphicFramePr>
        <xdr:cNvPr id="18" name="Chart 18"/>
        <xdr:cNvGraphicFramePr/>
      </xdr:nvGraphicFramePr>
      <xdr:xfrm>
        <a:off x="4495800" y="49329975"/>
        <a:ext cx="4648200" cy="3028950"/>
      </xdr:xfrm>
      <a:graphic>
        <a:graphicData uri="http://schemas.openxmlformats.org/drawingml/2006/chart">
          <c:chart xmlns:c="http://schemas.openxmlformats.org/drawingml/2006/chart" r:id="rId1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241</xdr:row>
      <xdr:rowOff>28575</xdr:rowOff>
    </xdr:from>
    <xdr:to>
      <xdr:col>12</xdr:col>
      <xdr:colOff>0</xdr:colOff>
      <xdr:row>284</xdr:row>
      <xdr:rowOff>114300</xdr:rowOff>
    </xdr:to>
    <xdr:sp>
      <xdr:nvSpPr>
        <xdr:cNvPr id="1" name="TextBox 1"/>
        <xdr:cNvSpPr txBox="1">
          <a:spLocks noChangeArrowheads="1"/>
        </xdr:cNvSpPr>
      </xdr:nvSpPr>
      <xdr:spPr>
        <a:xfrm>
          <a:off x="28575" y="41557575"/>
          <a:ext cx="9715500" cy="7048500"/>
        </a:xfrm>
        <a:prstGeom prst="rect">
          <a:avLst/>
        </a:prstGeom>
        <a:solidFill>
          <a:srgbClr val="FFFFFF"/>
        </a:solidFill>
        <a:ln w="9525" cmpd="sng">
          <a:noFill/>
        </a:ln>
      </xdr:spPr>
      <xdr:txBody>
        <a:bodyPr vertOverflow="clip" wrap="square"/>
        <a:p>
          <a:pPr algn="l">
            <a:defRPr/>
          </a:pPr>
          <a:r>
            <a:rPr lang="en-US" cap="none" sz="800" b="1" i="0" u="none" baseline="0">
              <a:latin typeface="Arial CE"/>
              <a:ea typeface="Arial CE"/>
              <a:cs typeface="Arial CE"/>
            </a:rPr>
            <a:t>Management:</a:t>
          </a:r>
          <a:r>
            <a:rPr lang="en-US" cap="none" sz="800" b="0" i="0" u="none" baseline="0">
              <a:latin typeface="Arial CE"/>
              <a:ea typeface="Arial CE"/>
              <a:cs typeface="Arial CE"/>
            </a:rPr>
            <a:t>
 Nemocnice Jihlava již několik let sleduje spokojenost pacientů s pobytem na jednotlivých odděleních pomocí dotazníků, které jsou každý měsíc vyhodnocovány a podle připomínek prováděna nápravná opatření. Otázky jsou zaměřeny především na kvalitu poskytované péče, na vystupování a jednání pracovníků nemocnice, ale i na spokojenost se stravou, čistotou v nemocnici, na srozumitelnost, poskytovaných informací a podobně. Pacienti mají možnost upozornit i na jiný problém, se kterým se v nemocnici setkali. 
 Ve směru k našim klientům průběžně pracujeme na zlepšování obsahu internetových stránek.
 Bylo zavedeno vydávání Týdeníčku, kde pravidelně informujeme spolupracovníky i klienty o významných událostech.
 Dne 5.2.2004 byl spuštěn provoz lineárního urychlovače, který předznamenává vznik onkologického centra Kraje Vysočina v Nemocnici Jihlava
</a:t>
          </a:r>
          <a:r>
            <a:rPr lang="en-US" cap="none" sz="800" b="1" i="0" u="none" baseline="0">
              <a:latin typeface="Arial CE"/>
              <a:ea typeface="Arial CE"/>
              <a:cs typeface="Arial CE"/>
            </a:rPr>
            <a:t>ODN: </a:t>
          </a:r>
          <a:r>
            <a:rPr lang="en-US" cap="none" sz="800" b="0" i="0" u="none" baseline="0">
              <a:latin typeface="Arial CE"/>
              <a:ea typeface="Arial CE"/>
              <a:cs typeface="Arial CE"/>
            </a:rPr>
            <a:t>
 Účast na grantu Úspěšné stárnutí ve spolupráci se Zdravotním ústavem 
 Práce v expertní pracovní skupině zabývající se některými aspekty paliativní péče v Kraji Vysočina 
</a:t>
          </a:r>
          <a:r>
            <a:rPr lang="en-US" cap="none" sz="800" b="1" i="0" u="none" baseline="0">
              <a:latin typeface="Arial CE"/>
              <a:ea typeface="Arial CE"/>
              <a:cs typeface="Arial CE"/>
            </a:rPr>
            <a:t>ONM: </a:t>
          </a:r>
          <a:r>
            <a:rPr lang="en-US" cap="none" sz="800" b="0" i="0" u="none" baseline="0">
              <a:latin typeface="Arial CE"/>
              <a:ea typeface="Arial CE"/>
              <a:cs typeface="Arial CE"/>
            </a:rPr>
            <a:t>
 Oddělení v současné době nabízí přes 50 diagnostických a několik terapeutických metod.
 Mezi novinky patří vypracování podrobného postupu pro dg. akutní a subakutní Charcotovy osteoartropatie u diabetiků (ve spolupráci s podologickou ambulancí interního oddělení) a vypracování podrobného diagnostického postupu lymfocsintigrafií u pacientů před lymfodrenážemi (ve spolupráci s kožním oddělením).
 Meziroční nárůst výkonů oddělení činil 7,6 %.
</a:t>
          </a:r>
          <a:r>
            <a:rPr lang="en-US" cap="none" sz="800" b="1" i="0" u="none" baseline="0">
              <a:latin typeface="Arial CE"/>
              <a:ea typeface="Arial CE"/>
              <a:cs typeface="Arial CE"/>
            </a:rPr>
            <a:t>Gynekologicko - porodnické oddělení:</a:t>
          </a:r>
          <a:r>
            <a:rPr lang="en-US" cap="none" sz="800" b="0" i="0" u="none" baseline="0">
              <a:latin typeface="Arial CE"/>
              <a:ea typeface="Arial CE"/>
              <a:cs typeface="Arial CE"/>
            </a:rPr>
            <a:t>
 Maternofetální medicína - zavedení do porodnické praxe intrapartální fetální pulzní oxymetrie .
 Kontinuální nárůst porodnosti (2002 – 699, 2003 – 841, 2004 – 932)
 Zprovozněn 2. nadstandartních pokojů na oddělení rizikového těhotenství a šestinedělí.
 Zpracován projekt „Family rooms“.
 Sloučení porodního a novorozeneckého oddělení v jeden funkční celek. 
 Podána žádost MZ ČR o ustanovení „Centra intermediární perinatální péče“ v NJ.  
 Reprodukční gynekologie – započetí spolupráce se Sanatoriem SANUS, Hradec Králové v oblasti asistované reprodukce.
 Nárůst podílu minimálně invazivní chirurgie v celkové operačné léčbě.
 Onkogynekologie - nárůst záchytu onkogynekologických onemocnění (2003 – 39, 2004 – 53) a nárůst radikální onkogynekologické operativy (2003 – 12, 2004 – 22).
 Vzdělávací aktivity - 10 krajských gynekologicko – porodnických seminářů v rámci celoživotního vzdělávání (ČLK)
 Nárůst přednáškové  ( 2003 – 13, 2004 – 25) a publikační činnosti (2003 – 7, 2004 – 22) 
</a:t>
          </a:r>
          <a:r>
            <a:rPr lang="en-US" cap="none" sz="800" b="1" i="0" u="none" baseline="0">
              <a:latin typeface="Arial CE"/>
              <a:ea typeface="Arial CE"/>
              <a:cs typeface="Arial CE"/>
            </a:rPr>
            <a:t>TRN:</a:t>
          </a:r>
          <a:r>
            <a:rPr lang="en-US" cap="none" sz="800" b="0" i="0" u="none" baseline="0">
              <a:latin typeface="Arial CE"/>
              <a:ea typeface="Arial CE"/>
              <a:cs typeface="Arial CE"/>
            </a:rPr>
            <a:t>
 V červenci 2004 byl otevřen nový endoskopický sál oddělení, který vznikl adaptací prostor bývalého rtg pracoviště plicního oddělení. Nový endoskopický sál přináší zlepšené  pracovní prostředí  zdravot. personálu, ale je přínosem i pro nemocné.
 V roce 2004 byl  na oddělení TRN  proveden dosud  nejvyšší  počet bronchoskopií, celkem 863. Plicní oddělení NJ vykazuje nejvyšší  počet těchto výkonů v kraji.
 Dne 3.8.2004  provedli lékaři TRN ve spolupráci s ORO Jihlava první brachyterapii v kraji Vysočina, a to u nemocného s bronchogenním karcinomem.  Brachyterapie průduškových nádorů je symptomatická léčba, která nemocným s již vyčerpanými možnostmi onkologické léčby umožňuje zlepšení kvality života. Výkon bude poskytován indikovaným nemocným z celého kraje Vysočina a z některých přilehlých oblastí (Dačicko ).
 V září 2004 získalo oddělení TRN výsadní právo v kraji Vysočina indikovat domácí léčbu tekutým kyslíkem  systémem Heimox-mobil. V rámci ČR mají toto oprávnění pouze krajské a fakultní nemocnice. 
</a:t>
          </a:r>
          <a:r>
            <a:rPr lang="en-US" cap="none" sz="800" b="1" i="0" u="none" baseline="0">
              <a:latin typeface="Arial CE"/>
              <a:ea typeface="Arial CE"/>
              <a:cs typeface="Arial CE"/>
            </a:rPr>
            <a:t>Ortopedie:</a:t>
          </a:r>
          <a:r>
            <a:rPr lang="en-US" cap="none" sz="800" b="0" i="0" u="none" baseline="0">
              <a:latin typeface="Arial CE"/>
              <a:ea typeface="Arial CE"/>
              <a:cs typeface="Arial CE"/>
            </a:rPr>
            <a:t>
 Podařilo se navýšit počty implantací totálních endoprotéz kyčelních a kolenních kloubů, takže jsme se dostali na hranici 150 TEP kyčlí a 100 TEP kolenních kloubů. Poněkud poklesly čekací doby na TEP kyčle /dlouhé čekací doby zůstávají na TRP kolenních kloubů/.
 Byly zavedena implantace TEP loketních kloubů, která je přínosem pro revmatiky a oběti poúrazové destrukce loketních kloubů.
 Byla zavedena metoda miniinvazivního přístupu při implantaci poloviční náhrady kolenního kloubu /tzv. UNI koleno/, kdy z malého řezu a přístupu je nahrazena jen postižená část kolenního kloubu. Na tyto operace je čekací doba jen minimální.</a:t>
          </a:r>
          <a:r>
            <a:rPr lang="en-US" cap="none" sz="1000" b="0" i="0" u="none" baseline="0">
              <a:latin typeface="Arial CE"/>
              <a:ea typeface="Arial CE"/>
              <a:cs typeface="Arial CE"/>
            </a:rPr>
            <a:t>
</a:t>
          </a:r>
          <a:r>
            <a:rPr lang="en-US" cap="none" sz="800" b="1" i="0" u="none" baseline="0">
              <a:latin typeface="Arial CE"/>
              <a:ea typeface="Arial CE"/>
              <a:cs typeface="Arial CE"/>
            </a:rPr>
            <a:t>Neurologie:</a:t>
          </a:r>
          <a:r>
            <a:rPr lang="en-US" cap="none" sz="800" b="0" i="0" u="none" baseline="0">
              <a:latin typeface="Arial CE"/>
              <a:ea typeface="Arial CE"/>
              <a:cs typeface="Arial CE"/>
            </a:rPr>
            <a:t>
 Otevřením pěti ambulantních poraden pro pacienty kraje Vysočina došlo k výraznému zkvalitnění lékařské péče v oboru neurologie..
 Myoskeletární poradna se věnuje široké škále problémů, které jsou způsobeny onemocněním páteře a míšních nervů. 
 Poradna pro demyelinizační onemocnění se zaměřuje na problematiku roztroušené sklerozy mozkomíšní a jiných degenerativních chorob nervového systému. 
 Nově byla otevřena poradna pro záchvatová onemocnění. Ta řeší nemocné s epilepsií a migrenou. 
 Další je poradna pro nervosvalová onemocnění. Sem patří především myasthenia gravis a různé typy myopatií. Současně se vedoucí této poradny specializuje na léčbu botulotoxinem u řady neurologických onemocnění, jako je cervikální dystonie nebo hemispazmus lícního nervu. 
 Poradna cerebrovasculární řeší problematiku cévních příhod mozkových. Současně probíhají přípravy na vznik iktové jednotky a zajištění léčby mozkových infarktů tromolyzou.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7"/>
  <sheetViews>
    <sheetView tabSelected="1" workbookViewId="0" topLeftCell="A1">
      <selection activeCell="E2" sqref="E2"/>
    </sheetView>
  </sheetViews>
  <sheetFormatPr defaultColWidth="9.00390625" defaultRowHeight="12.75"/>
  <cols>
    <col min="1" max="1" width="14.00390625" style="430" customWidth="1"/>
    <col min="2" max="3" width="9.625" style="431" customWidth="1"/>
    <col min="4" max="4" width="4.75390625" style="409" customWidth="1"/>
    <col min="5" max="6" width="8.75390625" style="431" customWidth="1"/>
    <col min="7" max="7" width="3.625" style="431" customWidth="1"/>
    <col min="8" max="8" width="6.75390625" style="0" hidden="1" customWidth="1"/>
    <col min="9" max="9" width="6.75390625" style="0" customWidth="1"/>
    <col min="10" max="10" width="4.75390625" style="409" customWidth="1"/>
    <col min="11" max="12" width="7.25390625" style="0" customWidth="1"/>
    <col min="13" max="13" width="4.75390625" style="0" customWidth="1"/>
    <col min="14" max="15" width="6.25390625" style="0" customWidth="1"/>
    <col min="16" max="16" width="4.75390625" style="409" customWidth="1"/>
    <col min="17" max="18" width="7.25390625" style="0" customWidth="1"/>
    <col min="19" max="19" width="4.75390625" style="0" customWidth="1"/>
    <col min="20" max="21" width="8.00390625" style="0" customWidth="1"/>
    <col min="22" max="22" width="4.75390625" style="409" customWidth="1"/>
    <col min="23" max="24" width="7.25390625" style="0" customWidth="1"/>
    <col min="25" max="25" width="4.75390625" style="0" customWidth="1"/>
    <col min="26" max="27" width="8.00390625" style="0" customWidth="1"/>
    <col min="28" max="28" width="4.75390625" style="409" customWidth="1"/>
    <col min="29" max="30" width="7.25390625" style="0" customWidth="1"/>
    <col min="31" max="31" width="4.75390625" style="0" customWidth="1"/>
  </cols>
  <sheetData>
    <row r="1" ht="12.75">
      <c r="T1" s="503" t="s">
        <v>263</v>
      </c>
    </row>
    <row r="2" ht="12.75">
      <c r="T2" s="503" t="s">
        <v>264</v>
      </c>
    </row>
    <row r="3" spans="1:29" ht="16.5" thickBot="1">
      <c r="A3" s="29" t="s">
        <v>325</v>
      </c>
      <c r="B3" s="559"/>
      <c r="C3" s="559"/>
      <c r="D3" s="560"/>
      <c r="E3" s="559"/>
      <c r="F3" s="559"/>
      <c r="G3" s="559"/>
      <c r="H3" s="561"/>
      <c r="I3" s="561"/>
      <c r="J3" s="560"/>
      <c r="K3" s="561"/>
      <c r="L3" s="561"/>
      <c r="M3" s="561"/>
      <c r="N3" s="561"/>
      <c r="O3" s="561"/>
      <c r="P3" s="560"/>
      <c r="Q3" s="561"/>
      <c r="R3" s="561"/>
      <c r="S3" s="561"/>
      <c r="T3" s="561"/>
      <c r="U3" s="561"/>
      <c r="V3" s="560"/>
      <c r="W3" s="561"/>
      <c r="X3" s="561"/>
      <c r="Y3" s="561"/>
      <c r="Z3" s="561"/>
      <c r="AA3" s="561"/>
      <c r="AB3" s="560"/>
      <c r="AC3" s="561"/>
    </row>
    <row r="4" spans="1:21" s="432" customFormat="1" ht="37.5" customHeight="1" thickBot="1">
      <c r="A4" s="562" t="s">
        <v>2</v>
      </c>
      <c r="B4" s="563" t="s">
        <v>309</v>
      </c>
      <c r="C4" s="563" t="s">
        <v>310</v>
      </c>
      <c r="D4" s="653" t="s">
        <v>308</v>
      </c>
      <c r="E4" s="654"/>
      <c r="F4" s="654"/>
      <c r="G4" s="654"/>
      <c r="H4" s="655"/>
      <c r="I4" s="642" t="s">
        <v>311</v>
      </c>
      <c r="J4" s="642"/>
      <c r="K4" s="642"/>
      <c r="L4" s="642"/>
      <c r="M4" s="642"/>
      <c r="N4" s="642"/>
      <c r="O4" s="642"/>
      <c r="P4" s="642"/>
      <c r="Q4" s="642"/>
      <c r="R4" s="642"/>
      <c r="S4" s="642"/>
      <c r="T4" s="642"/>
      <c r="U4" s="643"/>
    </row>
    <row r="5" spans="1:28" s="508" customFormat="1" ht="33.75" customHeight="1">
      <c r="A5" s="629" t="s">
        <v>8</v>
      </c>
      <c r="B5" s="564">
        <v>37622</v>
      </c>
      <c r="C5" s="564">
        <v>37908</v>
      </c>
      <c r="D5" s="625" t="s">
        <v>312</v>
      </c>
      <c r="E5" s="625"/>
      <c r="F5" s="625"/>
      <c r="G5" s="625"/>
      <c r="H5" s="626"/>
      <c r="I5" s="645" t="s">
        <v>313</v>
      </c>
      <c r="J5" s="646"/>
      <c r="K5" s="646"/>
      <c r="L5" s="646"/>
      <c r="M5" s="646"/>
      <c r="N5" s="646"/>
      <c r="O5" s="646"/>
      <c r="P5" s="646"/>
      <c r="Q5" s="646"/>
      <c r="R5" s="646"/>
      <c r="S5" s="646"/>
      <c r="T5" s="646"/>
      <c r="U5" s="644"/>
      <c r="V5" s="565"/>
      <c r="AB5" s="565"/>
    </row>
    <row r="6" spans="1:28" s="508" customFormat="1" ht="33.75" customHeight="1">
      <c r="A6" s="650"/>
      <c r="B6" s="566">
        <v>37909</v>
      </c>
      <c r="C6" s="566">
        <v>37986</v>
      </c>
      <c r="D6" s="637" t="s">
        <v>314</v>
      </c>
      <c r="E6" s="637"/>
      <c r="F6" s="637"/>
      <c r="G6" s="637"/>
      <c r="H6" s="638"/>
      <c r="I6" s="647" t="s">
        <v>315</v>
      </c>
      <c r="J6" s="648"/>
      <c r="K6" s="648"/>
      <c r="L6" s="648"/>
      <c r="M6" s="648"/>
      <c r="N6" s="648"/>
      <c r="O6" s="648"/>
      <c r="P6" s="648"/>
      <c r="Q6" s="648"/>
      <c r="R6" s="648"/>
      <c r="S6" s="648"/>
      <c r="T6" s="648"/>
      <c r="U6" s="649"/>
      <c r="V6" s="565"/>
      <c r="AB6" s="565"/>
    </row>
    <row r="7" spans="1:28" s="508" customFormat="1" ht="33.75" customHeight="1" thickBot="1">
      <c r="A7" s="628"/>
      <c r="B7" s="567">
        <v>37987</v>
      </c>
      <c r="C7" s="568"/>
      <c r="D7" s="651" t="s">
        <v>316</v>
      </c>
      <c r="E7" s="651"/>
      <c r="F7" s="651"/>
      <c r="G7" s="651"/>
      <c r="H7" s="652"/>
      <c r="I7" s="639" t="s">
        <v>317</v>
      </c>
      <c r="J7" s="640"/>
      <c r="K7" s="640"/>
      <c r="L7" s="640"/>
      <c r="M7" s="640"/>
      <c r="N7" s="640"/>
      <c r="O7" s="640"/>
      <c r="P7" s="640"/>
      <c r="Q7" s="640"/>
      <c r="R7" s="640"/>
      <c r="S7" s="640"/>
      <c r="T7" s="640"/>
      <c r="U7" s="641"/>
      <c r="V7" s="565"/>
      <c r="AB7" s="565"/>
    </row>
    <row r="8" spans="1:28" s="39" customFormat="1" ht="33.75" customHeight="1">
      <c r="A8" s="629" t="s">
        <v>7</v>
      </c>
      <c r="B8" s="564">
        <v>37622</v>
      </c>
      <c r="C8" s="564">
        <v>37894</v>
      </c>
      <c r="D8" s="625" t="s">
        <v>318</v>
      </c>
      <c r="E8" s="625"/>
      <c r="F8" s="625"/>
      <c r="G8" s="625"/>
      <c r="H8" s="626"/>
      <c r="I8" s="645" t="s">
        <v>313</v>
      </c>
      <c r="J8" s="646"/>
      <c r="K8" s="646"/>
      <c r="L8" s="646"/>
      <c r="M8" s="646"/>
      <c r="N8" s="646"/>
      <c r="O8" s="646"/>
      <c r="P8" s="646"/>
      <c r="Q8" s="646"/>
      <c r="R8" s="646"/>
      <c r="S8" s="646"/>
      <c r="T8" s="646"/>
      <c r="U8" s="644"/>
      <c r="V8" s="432"/>
      <c r="AB8" s="432"/>
    </row>
    <row r="9" spans="1:28" s="39" customFormat="1" ht="33.75" customHeight="1">
      <c r="A9" s="630"/>
      <c r="B9" s="566">
        <v>37895</v>
      </c>
      <c r="C9" s="569">
        <v>38151</v>
      </c>
      <c r="D9" s="627" t="s">
        <v>319</v>
      </c>
      <c r="E9" s="623"/>
      <c r="F9" s="623"/>
      <c r="G9" s="623"/>
      <c r="H9" s="624"/>
      <c r="I9" s="647" t="s">
        <v>320</v>
      </c>
      <c r="J9" s="648"/>
      <c r="K9" s="648"/>
      <c r="L9" s="648"/>
      <c r="M9" s="648"/>
      <c r="N9" s="648"/>
      <c r="O9" s="648"/>
      <c r="P9" s="648"/>
      <c r="Q9" s="648"/>
      <c r="R9" s="648"/>
      <c r="S9" s="648"/>
      <c r="T9" s="648"/>
      <c r="U9" s="649"/>
      <c r="V9" s="432"/>
      <c r="AB9" s="432"/>
    </row>
    <row r="10" spans="1:28" s="39" customFormat="1" ht="33.75" customHeight="1" thickBot="1">
      <c r="A10" s="628"/>
      <c r="B10" s="573">
        <v>38152</v>
      </c>
      <c r="C10" s="568"/>
      <c r="D10" s="651" t="s">
        <v>321</v>
      </c>
      <c r="E10" s="651"/>
      <c r="F10" s="651"/>
      <c r="G10" s="651"/>
      <c r="H10" s="652"/>
      <c r="I10" s="632" t="s">
        <v>317</v>
      </c>
      <c r="J10" s="633"/>
      <c r="K10" s="633"/>
      <c r="L10" s="633"/>
      <c r="M10" s="633"/>
      <c r="N10" s="633"/>
      <c r="O10" s="633"/>
      <c r="P10" s="633"/>
      <c r="Q10" s="633"/>
      <c r="R10" s="633"/>
      <c r="S10" s="633"/>
      <c r="T10" s="633"/>
      <c r="U10" s="634"/>
      <c r="V10" s="432"/>
      <c r="AB10" s="432"/>
    </row>
    <row r="11" spans="1:28" s="39" customFormat="1" ht="33.75" customHeight="1" thickBot="1">
      <c r="A11" s="570" t="s">
        <v>6</v>
      </c>
      <c r="B11" s="571">
        <v>36717</v>
      </c>
      <c r="C11" s="571"/>
      <c r="D11" s="663" t="s">
        <v>319</v>
      </c>
      <c r="E11" s="663"/>
      <c r="F11" s="663"/>
      <c r="G11" s="663"/>
      <c r="H11" s="664"/>
      <c r="I11" s="636" t="s">
        <v>313</v>
      </c>
      <c r="J11" s="635"/>
      <c r="K11" s="635"/>
      <c r="L11" s="635"/>
      <c r="M11" s="635"/>
      <c r="N11" s="635"/>
      <c r="O11" s="635"/>
      <c r="P11" s="635"/>
      <c r="Q11" s="635"/>
      <c r="R11" s="635"/>
      <c r="S11" s="635"/>
      <c r="T11" s="635"/>
      <c r="U11" s="631"/>
      <c r="V11" s="432"/>
      <c r="AB11" s="432"/>
    </row>
    <row r="12" spans="1:28" s="39" customFormat="1" ht="33.75" customHeight="1">
      <c r="A12" s="629" t="s">
        <v>5</v>
      </c>
      <c r="B12" s="564">
        <v>37622</v>
      </c>
      <c r="C12" s="564">
        <v>37894</v>
      </c>
      <c r="D12" s="625" t="s">
        <v>322</v>
      </c>
      <c r="E12" s="625"/>
      <c r="F12" s="625"/>
      <c r="G12" s="625"/>
      <c r="H12" s="626"/>
      <c r="I12" s="645" t="s">
        <v>313</v>
      </c>
      <c r="J12" s="646"/>
      <c r="K12" s="646"/>
      <c r="L12" s="646"/>
      <c r="M12" s="646"/>
      <c r="N12" s="646"/>
      <c r="O12" s="646"/>
      <c r="P12" s="646"/>
      <c r="Q12" s="646"/>
      <c r="R12" s="646"/>
      <c r="S12" s="646"/>
      <c r="T12" s="646"/>
      <c r="U12" s="644"/>
      <c r="V12" s="432"/>
      <c r="AB12" s="432"/>
    </row>
    <row r="13" spans="1:28" s="39" customFormat="1" ht="33.75" customHeight="1">
      <c r="A13" s="630"/>
      <c r="B13" s="566">
        <v>37895</v>
      </c>
      <c r="C13" s="569">
        <v>38168</v>
      </c>
      <c r="D13" s="637" t="s">
        <v>323</v>
      </c>
      <c r="E13" s="637"/>
      <c r="F13" s="637"/>
      <c r="G13" s="637"/>
      <c r="H13" s="638"/>
      <c r="I13" s="660" t="s">
        <v>320</v>
      </c>
      <c r="J13" s="661"/>
      <c r="K13" s="661"/>
      <c r="L13" s="661"/>
      <c r="M13" s="661"/>
      <c r="N13" s="661"/>
      <c r="O13" s="661"/>
      <c r="P13" s="661"/>
      <c r="Q13" s="661"/>
      <c r="R13" s="661"/>
      <c r="S13" s="661"/>
      <c r="T13" s="661"/>
      <c r="U13" s="662"/>
      <c r="V13" s="432"/>
      <c r="AB13" s="432"/>
    </row>
    <row r="14" spans="1:28" s="39" customFormat="1" ht="33.75" customHeight="1" thickBot="1">
      <c r="A14" s="628"/>
      <c r="B14" s="574">
        <v>38169</v>
      </c>
      <c r="C14" s="568"/>
      <c r="D14" s="651" t="s">
        <v>323</v>
      </c>
      <c r="E14" s="651"/>
      <c r="F14" s="651"/>
      <c r="G14" s="651"/>
      <c r="H14" s="652"/>
      <c r="I14" s="639" t="s">
        <v>317</v>
      </c>
      <c r="J14" s="640"/>
      <c r="K14" s="640"/>
      <c r="L14" s="640"/>
      <c r="M14" s="640"/>
      <c r="N14" s="640"/>
      <c r="O14" s="640"/>
      <c r="P14" s="640"/>
      <c r="Q14" s="640"/>
      <c r="R14" s="640"/>
      <c r="S14" s="640"/>
      <c r="T14" s="640"/>
      <c r="U14" s="641"/>
      <c r="V14" s="432"/>
      <c r="AB14" s="432"/>
    </row>
    <row r="15" spans="1:28" s="39" customFormat="1" ht="33.75" customHeight="1">
      <c r="A15" s="658" t="s">
        <v>210</v>
      </c>
      <c r="B15" s="564">
        <v>33604</v>
      </c>
      <c r="C15" s="564">
        <v>38168</v>
      </c>
      <c r="D15" s="621" t="s">
        <v>324</v>
      </c>
      <c r="E15" s="621"/>
      <c r="F15" s="621"/>
      <c r="G15" s="621"/>
      <c r="H15" s="622"/>
      <c r="I15" s="645" t="s">
        <v>313</v>
      </c>
      <c r="J15" s="646"/>
      <c r="K15" s="646"/>
      <c r="L15" s="646"/>
      <c r="M15" s="646"/>
      <c r="N15" s="646"/>
      <c r="O15" s="646"/>
      <c r="P15" s="646"/>
      <c r="Q15" s="646"/>
      <c r="R15" s="646"/>
      <c r="S15" s="646"/>
      <c r="T15" s="646"/>
      <c r="U15" s="644"/>
      <c r="V15" s="432"/>
      <c r="AB15" s="432"/>
    </row>
    <row r="16" spans="1:28" s="39" customFormat="1" ht="33.75" customHeight="1" thickBot="1">
      <c r="A16" s="659"/>
      <c r="B16" s="572">
        <v>38169</v>
      </c>
      <c r="C16" s="572">
        <v>38168</v>
      </c>
      <c r="D16" s="656" t="s">
        <v>324</v>
      </c>
      <c r="E16" s="656"/>
      <c r="F16" s="656"/>
      <c r="G16" s="656"/>
      <c r="H16" s="657"/>
      <c r="I16" s="632" t="s">
        <v>317</v>
      </c>
      <c r="J16" s="633"/>
      <c r="K16" s="633"/>
      <c r="L16" s="633"/>
      <c r="M16" s="633"/>
      <c r="N16" s="633"/>
      <c r="O16" s="633"/>
      <c r="P16" s="633"/>
      <c r="Q16" s="633"/>
      <c r="R16" s="633"/>
      <c r="S16" s="633"/>
      <c r="T16" s="633"/>
      <c r="U16" s="634"/>
      <c r="V16" s="432"/>
      <c r="AB16" s="432"/>
    </row>
    <row r="17" spans="1:28" s="39" customFormat="1" ht="12.75">
      <c r="A17" s="575"/>
      <c r="B17" s="576"/>
      <c r="C17" s="576"/>
      <c r="D17" s="432"/>
      <c r="E17" s="576"/>
      <c r="F17" s="576"/>
      <c r="G17" s="576"/>
      <c r="J17" s="432"/>
      <c r="P17" s="432"/>
      <c r="V17" s="432"/>
      <c r="AB17" s="432"/>
    </row>
  </sheetData>
  <mergeCells count="30">
    <mergeCell ref="D16:H16"/>
    <mergeCell ref="I16:U16"/>
    <mergeCell ref="A15:A16"/>
    <mergeCell ref="I9:U9"/>
    <mergeCell ref="D14:H14"/>
    <mergeCell ref="I13:U13"/>
    <mergeCell ref="A12:A14"/>
    <mergeCell ref="D11:H11"/>
    <mergeCell ref="D12:H12"/>
    <mergeCell ref="D10:H10"/>
    <mergeCell ref="I6:U6"/>
    <mergeCell ref="A5:A7"/>
    <mergeCell ref="D7:H7"/>
    <mergeCell ref="D4:H4"/>
    <mergeCell ref="D5:H5"/>
    <mergeCell ref="D6:H6"/>
    <mergeCell ref="A8:A10"/>
    <mergeCell ref="D8:H8"/>
    <mergeCell ref="D9:H9"/>
    <mergeCell ref="D15:H15"/>
    <mergeCell ref="I15:U15"/>
    <mergeCell ref="I4:U4"/>
    <mergeCell ref="D13:H13"/>
    <mergeCell ref="I14:U14"/>
    <mergeCell ref="I11:U11"/>
    <mergeCell ref="I12:U12"/>
    <mergeCell ref="I10:U10"/>
    <mergeCell ref="I8:U8"/>
    <mergeCell ref="I5:U5"/>
    <mergeCell ref="I7:U7"/>
  </mergeCells>
  <printOptions horizontalCentered="1"/>
  <pageMargins left="0.15748031496062992" right="0.15748031496062992" top="0.2755905511811024" bottom="0.2362204724409449" header="0.2362204724409449" footer="0.1968503937007874"/>
  <pageSetup horizontalDpi="300" verticalDpi="300" orientation="portrait" paperSize="9" scale="70" r:id="rId1"/>
</worksheet>
</file>

<file path=xl/worksheets/sheet10.xml><?xml version="1.0" encoding="utf-8"?>
<worksheet xmlns="http://schemas.openxmlformats.org/spreadsheetml/2006/main" xmlns:r="http://schemas.openxmlformats.org/officeDocument/2006/relationships">
  <dimension ref="A2:L220"/>
  <sheetViews>
    <sheetView workbookViewId="0" topLeftCell="A1">
      <selection activeCell="A1" sqref="A1"/>
    </sheetView>
  </sheetViews>
  <sheetFormatPr defaultColWidth="9.00390625" defaultRowHeight="12.75"/>
  <cols>
    <col min="1" max="1" width="10.625" style="0" customWidth="1"/>
    <col min="2" max="11" width="10.75390625" style="0" customWidth="1"/>
    <col min="12" max="12" width="9.75390625" style="0" customWidth="1"/>
  </cols>
  <sheetData>
    <row r="2" spans="1:11" ht="18">
      <c r="A2" s="944" t="s">
        <v>68</v>
      </c>
      <c r="B2" s="945"/>
      <c r="C2" s="945"/>
      <c r="D2" s="945"/>
      <c r="E2" s="945"/>
      <c r="F2" s="945"/>
      <c r="G2" s="945"/>
      <c r="H2" s="945"/>
      <c r="I2" s="945"/>
      <c r="J2" s="945"/>
      <c r="K2" s="945"/>
    </row>
    <row r="3" ht="15.75">
      <c r="A3" s="29"/>
    </row>
    <row r="4" spans="1:10" ht="17.25" customHeight="1" thickBot="1">
      <c r="A4" s="95" t="s">
        <v>61</v>
      </c>
      <c r="J4" s="558" t="s">
        <v>274</v>
      </c>
    </row>
    <row r="5" spans="1:10" ht="12.75" customHeight="1" thickBot="1">
      <c r="A5" s="679" t="s">
        <v>39</v>
      </c>
      <c r="B5" s="920" t="s">
        <v>3</v>
      </c>
      <c r="C5" s="920"/>
      <c r="D5" s="936"/>
      <c r="E5" s="919" t="s">
        <v>4</v>
      </c>
      <c r="F5" s="706"/>
      <c r="G5" s="707"/>
      <c r="H5" s="919" t="s">
        <v>24</v>
      </c>
      <c r="I5" s="920"/>
      <c r="J5" s="921"/>
    </row>
    <row r="6" spans="1:10" ht="13.5" thickBot="1">
      <c r="A6" s="680"/>
      <c r="B6" s="86">
        <v>2003</v>
      </c>
      <c r="C6" s="10">
        <v>2004</v>
      </c>
      <c r="D6" s="94" t="s">
        <v>1</v>
      </c>
      <c r="E6" s="1">
        <v>2003</v>
      </c>
      <c r="F6" s="10">
        <v>2004</v>
      </c>
      <c r="G6" s="94" t="s">
        <v>1</v>
      </c>
      <c r="H6" s="1">
        <v>2003</v>
      </c>
      <c r="I6" s="10">
        <v>2004</v>
      </c>
      <c r="J6" s="94" t="s">
        <v>1</v>
      </c>
    </row>
    <row r="7" spans="1:10" ht="12.75">
      <c r="A7" s="53" t="s">
        <v>40</v>
      </c>
      <c r="B7" s="13">
        <v>40837</v>
      </c>
      <c r="C7" s="82">
        <v>43732</v>
      </c>
      <c r="D7" s="114">
        <f aca="true" t="shared" si="0" ref="D7:D18">+C7-B7</f>
        <v>2895</v>
      </c>
      <c r="E7" s="91">
        <v>40961</v>
      </c>
      <c r="F7" s="14">
        <v>40263</v>
      </c>
      <c r="G7" s="114">
        <f aca="true" t="shared" si="1" ref="G7:G18">+F7-E7</f>
        <v>-698</v>
      </c>
      <c r="H7" s="112">
        <f aca="true" t="shared" si="2" ref="H7:H18">+E7-B7</f>
        <v>124</v>
      </c>
      <c r="I7" s="113">
        <f aca="true" t="shared" si="3" ref="I7:I18">+F7-C7</f>
        <v>-3469</v>
      </c>
      <c r="J7" s="114">
        <f aca="true" t="shared" si="4" ref="J7:J18">+I7-H7</f>
        <v>-3593</v>
      </c>
    </row>
    <row r="8" spans="1:10" ht="12.75">
      <c r="A8" s="55" t="s">
        <v>41</v>
      </c>
      <c r="B8" s="4">
        <v>79152</v>
      </c>
      <c r="C8" s="12">
        <v>85818</v>
      </c>
      <c r="D8" s="115">
        <f t="shared" si="0"/>
        <v>6666</v>
      </c>
      <c r="E8" s="27">
        <v>82378</v>
      </c>
      <c r="F8" s="5">
        <v>80802</v>
      </c>
      <c r="G8" s="115">
        <f t="shared" si="1"/>
        <v>-1576</v>
      </c>
      <c r="H8" s="112">
        <f t="shared" si="2"/>
        <v>3226</v>
      </c>
      <c r="I8" s="113">
        <f t="shared" si="3"/>
        <v>-5016</v>
      </c>
      <c r="J8" s="115">
        <f t="shared" si="4"/>
        <v>-8242</v>
      </c>
    </row>
    <row r="9" spans="1:10" ht="12.75">
      <c r="A9" s="55" t="s">
        <v>42</v>
      </c>
      <c r="B9" s="4">
        <v>117441</v>
      </c>
      <c r="C9" s="12">
        <v>130527</v>
      </c>
      <c r="D9" s="115">
        <f t="shared" si="0"/>
        <v>13086</v>
      </c>
      <c r="E9" s="27">
        <v>127709</v>
      </c>
      <c r="F9" s="5">
        <v>130281</v>
      </c>
      <c r="G9" s="115">
        <f t="shared" si="1"/>
        <v>2572</v>
      </c>
      <c r="H9" s="112">
        <f t="shared" si="2"/>
        <v>10268</v>
      </c>
      <c r="I9" s="113">
        <f t="shared" si="3"/>
        <v>-246</v>
      </c>
      <c r="J9" s="115">
        <f t="shared" si="4"/>
        <v>-10514</v>
      </c>
    </row>
    <row r="10" spans="1:10" ht="12.75">
      <c r="A10" s="55" t="s">
        <v>43</v>
      </c>
      <c r="B10" s="4">
        <v>156824</v>
      </c>
      <c r="C10" s="12">
        <v>176136</v>
      </c>
      <c r="D10" s="115">
        <f t="shared" si="0"/>
        <v>19312</v>
      </c>
      <c r="E10" s="27">
        <v>171611</v>
      </c>
      <c r="F10" s="5">
        <v>174194</v>
      </c>
      <c r="G10" s="115">
        <f t="shared" si="1"/>
        <v>2583</v>
      </c>
      <c r="H10" s="112">
        <f t="shared" si="2"/>
        <v>14787</v>
      </c>
      <c r="I10" s="113">
        <f t="shared" si="3"/>
        <v>-1942</v>
      </c>
      <c r="J10" s="115">
        <f t="shared" si="4"/>
        <v>-16729</v>
      </c>
    </row>
    <row r="11" spans="1:10" ht="12.75">
      <c r="A11" s="55" t="s">
        <v>44</v>
      </c>
      <c r="B11" s="4">
        <v>206229</v>
      </c>
      <c r="C11" s="12">
        <v>221733</v>
      </c>
      <c r="D11" s="115">
        <f t="shared" si="0"/>
        <v>15504</v>
      </c>
      <c r="E11" s="27">
        <v>200846</v>
      </c>
      <c r="F11" s="5">
        <v>216049</v>
      </c>
      <c r="G11" s="115">
        <f t="shared" si="1"/>
        <v>15203</v>
      </c>
      <c r="H11" s="112">
        <f t="shared" si="2"/>
        <v>-5383</v>
      </c>
      <c r="I11" s="113">
        <f t="shared" si="3"/>
        <v>-5684</v>
      </c>
      <c r="J11" s="115">
        <f t="shared" si="4"/>
        <v>-301</v>
      </c>
    </row>
    <row r="12" spans="1:10" ht="12.75">
      <c r="A12" s="55" t="s">
        <v>45</v>
      </c>
      <c r="B12" s="9">
        <v>261063</v>
      </c>
      <c r="C12" s="83">
        <v>263778</v>
      </c>
      <c r="D12" s="115">
        <f t="shared" si="0"/>
        <v>2715</v>
      </c>
      <c r="E12" s="44">
        <v>249471</v>
      </c>
      <c r="F12" s="45">
        <v>267629</v>
      </c>
      <c r="G12" s="115">
        <f t="shared" si="1"/>
        <v>18158</v>
      </c>
      <c r="H12" s="112">
        <f t="shared" si="2"/>
        <v>-11592</v>
      </c>
      <c r="I12" s="113">
        <f t="shared" si="3"/>
        <v>3851</v>
      </c>
      <c r="J12" s="115">
        <f t="shared" si="4"/>
        <v>15443</v>
      </c>
    </row>
    <row r="13" spans="1:10" ht="12.75">
      <c r="A13" s="55" t="s">
        <v>46</v>
      </c>
      <c r="B13" s="8">
        <v>304342</v>
      </c>
      <c r="C13" s="84">
        <v>308724</v>
      </c>
      <c r="D13" s="115">
        <f t="shared" si="0"/>
        <v>4382</v>
      </c>
      <c r="E13" s="42">
        <v>294372</v>
      </c>
      <c r="F13" s="43">
        <v>309252</v>
      </c>
      <c r="G13" s="115">
        <f t="shared" si="1"/>
        <v>14880</v>
      </c>
      <c r="H13" s="112">
        <f t="shared" si="2"/>
        <v>-9970</v>
      </c>
      <c r="I13" s="113">
        <f t="shared" si="3"/>
        <v>528</v>
      </c>
      <c r="J13" s="115">
        <f t="shared" si="4"/>
        <v>10498</v>
      </c>
    </row>
    <row r="14" spans="1:10" ht="12.75">
      <c r="A14" s="55" t="s">
        <v>47</v>
      </c>
      <c r="B14" s="8">
        <v>344752</v>
      </c>
      <c r="C14" s="84">
        <v>351939</v>
      </c>
      <c r="D14" s="115">
        <f t="shared" si="0"/>
        <v>7187</v>
      </c>
      <c r="E14" s="42">
        <v>334551</v>
      </c>
      <c r="F14" s="43">
        <v>351787</v>
      </c>
      <c r="G14" s="115">
        <f t="shared" si="1"/>
        <v>17236</v>
      </c>
      <c r="H14" s="116">
        <f t="shared" si="2"/>
        <v>-10201</v>
      </c>
      <c r="I14" s="117">
        <f t="shared" si="3"/>
        <v>-152</v>
      </c>
      <c r="J14" s="115">
        <f t="shared" si="4"/>
        <v>10049</v>
      </c>
    </row>
    <row r="15" spans="1:10" ht="12.75">
      <c r="A15" s="55" t="s">
        <v>48</v>
      </c>
      <c r="B15" s="8">
        <v>386788</v>
      </c>
      <c r="C15" s="84">
        <v>395914</v>
      </c>
      <c r="D15" s="115">
        <f t="shared" si="0"/>
        <v>9126</v>
      </c>
      <c r="E15" s="42">
        <v>376467</v>
      </c>
      <c r="F15" s="43">
        <v>401026</v>
      </c>
      <c r="G15" s="115">
        <f t="shared" si="1"/>
        <v>24559</v>
      </c>
      <c r="H15" s="112">
        <f t="shared" si="2"/>
        <v>-10321</v>
      </c>
      <c r="I15" s="113">
        <f t="shared" si="3"/>
        <v>5112</v>
      </c>
      <c r="J15" s="115">
        <f t="shared" si="4"/>
        <v>15433</v>
      </c>
    </row>
    <row r="16" spans="1:10" ht="12.75">
      <c r="A16" s="57" t="s">
        <v>49</v>
      </c>
      <c r="B16" s="8">
        <v>429180</v>
      </c>
      <c r="C16" s="84">
        <v>439054</v>
      </c>
      <c r="D16" s="115">
        <f t="shared" si="0"/>
        <v>9874</v>
      </c>
      <c r="E16" s="42">
        <v>416902</v>
      </c>
      <c r="F16" s="43">
        <v>443150</v>
      </c>
      <c r="G16" s="115">
        <f t="shared" si="1"/>
        <v>26248</v>
      </c>
      <c r="H16" s="116">
        <f t="shared" si="2"/>
        <v>-12278</v>
      </c>
      <c r="I16" s="117">
        <f t="shared" si="3"/>
        <v>4096</v>
      </c>
      <c r="J16" s="115">
        <f t="shared" si="4"/>
        <v>16374</v>
      </c>
    </row>
    <row r="17" spans="1:10" ht="12.75">
      <c r="A17" s="55" t="s">
        <v>50</v>
      </c>
      <c r="B17" s="8">
        <v>480243</v>
      </c>
      <c r="C17" s="84">
        <v>487967</v>
      </c>
      <c r="D17" s="115">
        <f t="shared" si="0"/>
        <v>7724</v>
      </c>
      <c r="E17" s="42">
        <v>455909</v>
      </c>
      <c r="F17" s="43">
        <v>490192</v>
      </c>
      <c r="G17" s="115">
        <f t="shared" si="1"/>
        <v>34283</v>
      </c>
      <c r="H17" s="116">
        <f t="shared" si="2"/>
        <v>-24334</v>
      </c>
      <c r="I17" s="117">
        <f t="shared" si="3"/>
        <v>2225</v>
      </c>
      <c r="J17" s="115">
        <f t="shared" si="4"/>
        <v>26559</v>
      </c>
    </row>
    <row r="18" spans="1:10" ht="13.5" thickBot="1">
      <c r="A18" s="59" t="s">
        <v>51</v>
      </c>
      <c r="B18" s="6">
        <v>524740</v>
      </c>
      <c r="C18" s="85">
        <f>531790.23+2228.9</f>
        <v>534019.13</v>
      </c>
      <c r="D18" s="120">
        <f t="shared" si="0"/>
        <v>9279.130000000005</v>
      </c>
      <c r="E18" s="31">
        <v>522437</v>
      </c>
      <c r="F18" s="7">
        <v>534151</v>
      </c>
      <c r="G18" s="120">
        <f t="shared" si="1"/>
        <v>11714</v>
      </c>
      <c r="H18" s="118">
        <f t="shared" si="2"/>
        <v>-2303</v>
      </c>
      <c r="I18" s="119">
        <f t="shared" si="3"/>
        <v>131.86999999999534</v>
      </c>
      <c r="J18" s="120">
        <f t="shared" si="4"/>
        <v>2434.8699999999953</v>
      </c>
    </row>
    <row r="20" spans="1:12" ht="12.75" customHeight="1">
      <c r="A20" s="668" t="s">
        <v>277</v>
      </c>
      <c r="B20" s="669"/>
      <c r="C20" s="669"/>
      <c r="D20" s="669"/>
      <c r="E20" s="669"/>
      <c r="F20" s="669"/>
      <c r="G20" s="669"/>
      <c r="H20" s="669"/>
      <c r="I20" s="669"/>
      <c r="J20" s="669"/>
      <c r="K20" s="669"/>
      <c r="L20" s="1144"/>
    </row>
    <row r="21" spans="1:12" ht="12.75">
      <c r="A21" s="671"/>
      <c r="B21" s="672"/>
      <c r="C21" s="672"/>
      <c r="D21" s="672"/>
      <c r="E21" s="672"/>
      <c r="F21" s="672"/>
      <c r="G21" s="672"/>
      <c r="H21" s="672"/>
      <c r="I21" s="672"/>
      <c r="J21" s="672"/>
      <c r="K21" s="672"/>
      <c r="L21" s="1145"/>
    </row>
    <row r="22" spans="1:12" ht="12.75">
      <c r="A22" s="671"/>
      <c r="B22" s="672"/>
      <c r="C22" s="672"/>
      <c r="D22" s="672"/>
      <c r="E22" s="672"/>
      <c r="F22" s="672"/>
      <c r="G22" s="672"/>
      <c r="H22" s="672"/>
      <c r="I22" s="672"/>
      <c r="J22" s="672"/>
      <c r="K22" s="672"/>
      <c r="L22" s="1145"/>
    </row>
    <row r="23" spans="1:12" ht="12.75">
      <c r="A23" s="671"/>
      <c r="B23" s="672"/>
      <c r="C23" s="672"/>
      <c r="D23" s="672"/>
      <c r="E23" s="672"/>
      <c r="F23" s="672"/>
      <c r="G23" s="672"/>
      <c r="H23" s="672"/>
      <c r="I23" s="672"/>
      <c r="J23" s="672"/>
      <c r="K23" s="672"/>
      <c r="L23" s="1145"/>
    </row>
    <row r="24" spans="1:12" ht="12.75">
      <c r="A24" s="671"/>
      <c r="B24" s="672"/>
      <c r="C24" s="672"/>
      <c r="D24" s="672"/>
      <c r="E24" s="672"/>
      <c r="F24" s="672"/>
      <c r="G24" s="672"/>
      <c r="H24" s="672"/>
      <c r="I24" s="672"/>
      <c r="J24" s="672"/>
      <c r="K24" s="672"/>
      <c r="L24" s="1145"/>
    </row>
    <row r="25" spans="1:12" ht="12.75">
      <c r="A25" s="671"/>
      <c r="B25" s="672"/>
      <c r="C25" s="672"/>
      <c r="D25" s="672"/>
      <c r="E25" s="672"/>
      <c r="F25" s="672"/>
      <c r="G25" s="672"/>
      <c r="H25" s="672"/>
      <c r="I25" s="672"/>
      <c r="J25" s="672"/>
      <c r="K25" s="672"/>
      <c r="L25" s="1145"/>
    </row>
    <row r="26" spans="1:12" ht="12.75">
      <c r="A26" s="671"/>
      <c r="B26" s="672"/>
      <c r="C26" s="672"/>
      <c r="D26" s="672"/>
      <c r="E26" s="672"/>
      <c r="F26" s="672"/>
      <c r="G26" s="672"/>
      <c r="H26" s="672"/>
      <c r="I26" s="672"/>
      <c r="J26" s="672"/>
      <c r="K26" s="672"/>
      <c r="L26" s="1145"/>
    </row>
    <row r="27" spans="1:12" ht="12.75">
      <c r="A27" s="671"/>
      <c r="B27" s="672"/>
      <c r="C27" s="672"/>
      <c r="D27" s="672"/>
      <c r="E27" s="672"/>
      <c r="F27" s="672"/>
      <c r="G27" s="672"/>
      <c r="H27" s="672"/>
      <c r="I27" s="672"/>
      <c r="J27" s="672"/>
      <c r="K27" s="672"/>
      <c r="L27" s="1145"/>
    </row>
    <row r="28" spans="1:12" ht="12.75">
      <c r="A28" s="671"/>
      <c r="B28" s="672"/>
      <c r="C28" s="672"/>
      <c r="D28" s="672"/>
      <c r="E28" s="672"/>
      <c r="F28" s="672"/>
      <c r="G28" s="672"/>
      <c r="H28" s="672"/>
      <c r="I28" s="672"/>
      <c r="J28" s="672"/>
      <c r="K28" s="672"/>
      <c r="L28" s="1145"/>
    </row>
    <row r="29" spans="1:12" ht="12.75">
      <c r="A29" s="671"/>
      <c r="B29" s="672"/>
      <c r="C29" s="672"/>
      <c r="D29" s="672"/>
      <c r="E29" s="672"/>
      <c r="F29" s="672"/>
      <c r="G29" s="672"/>
      <c r="H29" s="672"/>
      <c r="I29" s="672"/>
      <c r="J29" s="672"/>
      <c r="K29" s="672"/>
      <c r="L29" s="1145"/>
    </row>
    <row r="30" spans="1:12" ht="12.75">
      <c r="A30" s="671"/>
      <c r="B30" s="672"/>
      <c r="C30" s="672"/>
      <c r="D30" s="672"/>
      <c r="E30" s="672"/>
      <c r="F30" s="672"/>
      <c r="G30" s="672"/>
      <c r="H30" s="672"/>
      <c r="I30" s="672"/>
      <c r="J30" s="672"/>
      <c r="K30" s="672"/>
      <c r="L30" s="1145"/>
    </row>
    <row r="31" spans="1:12" ht="12.75">
      <c r="A31" s="674"/>
      <c r="B31" s="675"/>
      <c r="C31" s="675"/>
      <c r="D31" s="675"/>
      <c r="E31" s="675"/>
      <c r="F31" s="675"/>
      <c r="G31" s="675"/>
      <c r="H31" s="675"/>
      <c r="I31" s="675"/>
      <c r="J31" s="675"/>
      <c r="K31" s="675"/>
      <c r="L31" s="1146"/>
    </row>
    <row r="32" spans="1:11" ht="12.75">
      <c r="A32" s="76"/>
      <c r="B32" s="76"/>
      <c r="C32" s="76"/>
      <c r="D32" s="76"/>
      <c r="E32" s="76"/>
      <c r="F32" s="76"/>
      <c r="G32" s="76"/>
      <c r="H32" s="76"/>
      <c r="I32" s="76"/>
      <c r="J32" s="76"/>
      <c r="K32" s="76"/>
    </row>
    <row r="33" ht="16.5" thickBot="1">
      <c r="A33" s="29" t="s">
        <v>62</v>
      </c>
    </row>
    <row r="34" spans="1:12" ht="19.5" customHeight="1">
      <c r="A34" s="985" t="s">
        <v>35</v>
      </c>
      <c r="B34" s="1102" t="s">
        <v>36</v>
      </c>
      <c r="C34" s="934" t="s">
        <v>37</v>
      </c>
      <c r="D34" s="934" t="s">
        <v>38</v>
      </c>
      <c r="E34" s="922" t="s">
        <v>11</v>
      </c>
      <c r="F34" s="942" t="s">
        <v>52</v>
      </c>
      <c r="G34" s="685"/>
      <c r="H34" s="685"/>
      <c r="I34" s="685"/>
      <c r="J34" s="685"/>
      <c r="K34" s="685"/>
      <c r="L34" s="924" t="s">
        <v>69</v>
      </c>
    </row>
    <row r="35" spans="1:12" s="39" customFormat="1" ht="24" customHeight="1" thickBot="1">
      <c r="A35" s="986"/>
      <c r="B35" s="1103"/>
      <c r="C35" s="1104" t="s">
        <v>37</v>
      </c>
      <c r="D35" s="1104" t="s">
        <v>38</v>
      </c>
      <c r="E35" s="1105" t="s">
        <v>11</v>
      </c>
      <c r="F35" s="103" t="s">
        <v>53</v>
      </c>
      <c r="G35" s="103" t="s">
        <v>54</v>
      </c>
      <c r="H35" s="103" t="s">
        <v>55</v>
      </c>
      <c r="I35" s="103" t="s">
        <v>56</v>
      </c>
      <c r="J35" s="103" t="s">
        <v>57</v>
      </c>
      <c r="K35" s="81" t="s">
        <v>11</v>
      </c>
      <c r="L35" s="925"/>
    </row>
    <row r="36" spans="1:12" ht="13.5" thickBot="1">
      <c r="A36" s="105">
        <v>37986</v>
      </c>
      <c r="B36" s="104">
        <v>18484</v>
      </c>
      <c r="C36" s="51">
        <v>0</v>
      </c>
      <c r="D36" s="51">
        <v>0</v>
      </c>
      <c r="E36" s="52">
        <f aca="true" t="shared" si="5" ref="E36:E48">SUM(B36:D36)</f>
        <v>18484</v>
      </c>
      <c r="F36" s="69">
        <v>-41</v>
      </c>
      <c r="G36" s="51">
        <v>-1</v>
      </c>
      <c r="H36" s="51">
        <v>0</v>
      </c>
      <c r="I36" s="51">
        <v>0</v>
      </c>
      <c r="J36" s="51">
        <v>-3</v>
      </c>
      <c r="K36" s="126">
        <f aca="true" t="shared" si="6" ref="K36:K48">SUM(F36:J36)</f>
        <v>-45</v>
      </c>
      <c r="L36" s="138">
        <v>30249</v>
      </c>
    </row>
    <row r="37" spans="1:12" ht="12.75">
      <c r="A37" s="53">
        <v>38017</v>
      </c>
      <c r="B37" s="54">
        <v>30243</v>
      </c>
      <c r="C37" s="48">
        <v>185</v>
      </c>
      <c r="D37" s="48">
        <v>0</v>
      </c>
      <c r="E37" s="106">
        <f t="shared" si="5"/>
        <v>30428</v>
      </c>
      <c r="F37" s="70">
        <v>9010</v>
      </c>
      <c r="G37" s="48">
        <v>0</v>
      </c>
      <c r="H37" s="48">
        <v>0</v>
      </c>
      <c r="I37" s="48">
        <v>0</v>
      </c>
      <c r="J37" s="48">
        <v>-3</v>
      </c>
      <c r="K37" s="127">
        <f t="shared" si="6"/>
        <v>9007</v>
      </c>
      <c r="L37" s="132"/>
    </row>
    <row r="38" spans="1:12" ht="12.75">
      <c r="A38" s="55">
        <v>38046</v>
      </c>
      <c r="B38" s="56">
        <v>34394</v>
      </c>
      <c r="C38" s="49">
        <v>370</v>
      </c>
      <c r="D38" s="97">
        <v>0</v>
      </c>
      <c r="E38" s="106">
        <f t="shared" si="5"/>
        <v>34764</v>
      </c>
      <c r="F38" s="62">
        <v>8270</v>
      </c>
      <c r="G38" s="49">
        <v>0</v>
      </c>
      <c r="H38" s="49">
        <v>0</v>
      </c>
      <c r="I38" s="49">
        <v>0</v>
      </c>
      <c r="J38" s="49">
        <v>-3</v>
      </c>
      <c r="K38" s="128">
        <f t="shared" si="6"/>
        <v>8267</v>
      </c>
      <c r="L38" s="130"/>
    </row>
    <row r="39" spans="1:12" ht="12.75">
      <c r="A39" s="55">
        <v>38077</v>
      </c>
      <c r="B39" s="56">
        <v>31651</v>
      </c>
      <c r="C39" s="49">
        <v>572</v>
      </c>
      <c r="D39" s="49">
        <v>0</v>
      </c>
      <c r="E39" s="106">
        <f t="shared" si="5"/>
        <v>32223</v>
      </c>
      <c r="F39" s="62">
        <v>4600</v>
      </c>
      <c r="G39" s="49">
        <v>0</v>
      </c>
      <c r="H39" s="49">
        <v>0</v>
      </c>
      <c r="I39" s="49">
        <v>0</v>
      </c>
      <c r="J39" s="49">
        <v>-3</v>
      </c>
      <c r="K39" s="128">
        <f t="shared" si="6"/>
        <v>4597</v>
      </c>
      <c r="L39" s="130"/>
    </row>
    <row r="40" spans="1:12" ht="12.75">
      <c r="A40" s="55">
        <v>38107</v>
      </c>
      <c r="B40" s="56">
        <v>35583</v>
      </c>
      <c r="C40" s="49">
        <v>784</v>
      </c>
      <c r="D40" s="49">
        <v>0</v>
      </c>
      <c r="E40" s="106">
        <f t="shared" si="5"/>
        <v>36367</v>
      </c>
      <c r="F40" s="62">
        <v>3694</v>
      </c>
      <c r="G40" s="49">
        <v>-13</v>
      </c>
      <c r="H40" s="49">
        <v>0</v>
      </c>
      <c r="I40" s="49">
        <v>0</v>
      </c>
      <c r="J40" s="49">
        <v>-3</v>
      </c>
      <c r="K40" s="128">
        <f t="shared" si="6"/>
        <v>3678</v>
      </c>
      <c r="L40" s="130"/>
    </row>
    <row r="41" spans="1:12" ht="12.75">
      <c r="A41" s="55">
        <v>38138</v>
      </c>
      <c r="B41" s="56">
        <v>35655</v>
      </c>
      <c r="C41" s="49">
        <v>784</v>
      </c>
      <c r="D41" s="49">
        <v>0</v>
      </c>
      <c r="E41" s="106">
        <f t="shared" si="5"/>
        <v>36439</v>
      </c>
      <c r="F41" s="62">
        <v>4058</v>
      </c>
      <c r="G41" s="49">
        <v>-15</v>
      </c>
      <c r="H41" s="49">
        <v>-1</v>
      </c>
      <c r="I41" s="49">
        <v>0</v>
      </c>
      <c r="J41" s="49">
        <v>-3</v>
      </c>
      <c r="K41" s="128">
        <f t="shared" si="6"/>
        <v>4039</v>
      </c>
      <c r="L41" s="130"/>
    </row>
    <row r="42" spans="1:12" ht="12.75">
      <c r="A42" s="55">
        <v>38168</v>
      </c>
      <c r="B42" s="56">
        <v>39010</v>
      </c>
      <c r="C42" s="49">
        <v>40</v>
      </c>
      <c r="D42" s="49">
        <v>0</v>
      </c>
      <c r="E42" s="106">
        <f t="shared" si="5"/>
        <v>39050</v>
      </c>
      <c r="F42" s="62">
        <v>5364</v>
      </c>
      <c r="G42" s="49">
        <v>2641</v>
      </c>
      <c r="H42" s="49">
        <v>-1</v>
      </c>
      <c r="I42" s="49">
        <v>0</v>
      </c>
      <c r="J42" s="49">
        <v>-3</v>
      </c>
      <c r="K42" s="128">
        <f t="shared" si="6"/>
        <v>8001</v>
      </c>
      <c r="L42" s="130"/>
    </row>
    <row r="43" spans="1:12" ht="12.75">
      <c r="A43" s="55">
        <v>38199</v>
      </c>
      <c r="B43" s="56">
        <v>23832</v>
      </c>
      <c r="C43" s="49">
        <v>40</v>
      </c>
      <c r="D43" s="49">
        <v>0</v>
      </c>
      <c r="E43" s="106">
        <f t="shared" si="5"/>
        <v>23872</v>
      </c>
      <c r="F43" s="56">
        <v>107</v>
      </c>
      <c r="G43" s="49">
        <v>0</v>
      </c>
      <c r="H43" s="49">
        <v>-1</v>
      </c>
      <c r="I43" s="49">
        <v>0</v>
      </c>
      <c r="J43" s="49">
        <v>-3</v>
      </c>
      <c r="K43" s="128">
        <f t="shared" si="6"/>
        <v>103</v>
      </c>
      <c r="L43" s="130"/>
    </row>
    <row r="44" spans="1:12" ht="12.75">
      <c r="A44" s="55">
        <v>38230</v>
      </c>
      <c r="B44" s="56">
        <v>29640</v>
      </c>
      <c r="C44" s="49">
        <v>37</v>
      </c>
      <c r="D44" s="49">
        <v>0</v>
      </c>
      <c r="E44" s="106">
        <f t="shared" si="5"/>
        <v>29677</v>
      </c>
      <c r="F44" s="56">
        <v>-16</v>
      </c>
      <c r="G44" s="49">
        <v>0</v>
      </c>
      <c r="H44" s="49">
        <v>-1</v>
      </c>
      <c r="I44" s="49">
        <v>0</v>
      </c>
      <c r="J44" s="49">
        <v>-3</v>
      </c>
      <c r="K44" s="128">
        <f t="shared" si="6"/>
        <v>-20</v>
      </c>
      <c r="L44" s="130"/>
    </row>
    <row r="45" spans="1:12" ht="12.75">
      <c r="A45" s="55">
        <v>38260</v>
      </c>
      <c r="B45" s="56">
        <v>30228</v>
      </c>
      <c r="C45" s="49">
        <v>37</v>
      </c>
      <c r="D45" s="49">
        <v>0</v>
      </c>
      <c r="E45" s="106">
        <f t="shared" si="5"/>
        <v>30265</v>
      </c>
      <c r="F45" s="56">
        <v>166</v>
      </c>
      <c r="G45" s="49">
        <v>0</v>
      </c>
      <c r="H45" s="49">
        <v>-1</v>
      </c>
      <c r="I45" s="49">
        <v>0</v>
      </c>
      <c r="J45" s="49">
        <v>-3</v>
      </c>
      <c r="K45" s="128">
        <f t="shared" si="6"/>
        <v>162</v>
      </c>
      <c r="L45" s="130"/>
    </row>
    <row r="46" spans="1:12" ht="12.75">
      <c r="A46" s="57">
        <v>38291</v>
      </c>
      <c r="B46" s="58">
        <v>28190</v>
      </c>
      <c r="C46" s="50">
        <v>35</v>
      </c>
      <c r="D46" s="50">
        <v>0</v>
      </c>
      <c r="E46" s="106">
        <f t="shared" si="5"/>
        <v>28225</v>
      </c>
      <c r="F46" s="58">
        <v>2513</v>
      </c>
      <c r="G46" s="50">
        <v>-2</v>
      </c>
      <c r="H46" s="50">
        <v>0</v>
      </c>
      <c r="I46" s="50">
        <v>0</v>
      </c>
      <c r="J46" s="50">
        <v>-3</v>
      </c>
      <c r="K46" s="128">
        <f t="shared" si="6"/>
        <v>2508</v>
      </c>
      <c r="L46" s="130"/>
    </row>
    <row r="47" spans="1:12" ht="12.75">
      <c r="A47" s="55">
        <v>38321</v>
      </c>
      <c r="B47" s="56">
        <v>44557</v>
      </c>
      <c r="C47" s="49">
        <v>37</v>
      </c>
      <c r="D47" s="49">
        <v>0</v>
      </c>
      <c r="E47" s="106">
        <f t="shared" si="5"/>
        <v>44594</v>
      </c>
      <c r="F47" s="62">
        <v>3664</v>
      </c>
      <c r="G47" s="49">
        <v>-1</v>
      </c>
      <c r="H47" s="49">
        <v>0</v>
      </c>
      <c r="I47" s="49">
        <v>0</v>
      </c>
      <c r="J47" s="49">
        <v>-3</v>
      </c>
      <c r="K47" s="128">
        <f t="shared" si="6"/>
        <v>3660</v>
      </c>
      <c r="L47" s="130"/>
    </row>
    <row r="48" spans="1:12" ht="13.5" thickBot="1">
      <c r="A48" s="59">
        <v>38352</v>
      </c>
      <c r="B48" s="60">
        <v>22848</v>
      </c>
      <c r="C48" s="61">
        <v>0</v>
      </c>
      <c r="D48" s="61">
        <v>0</v>
      </c>
      <c r="E48" s="107">
        <f t="shared" si="5"/>
        <v>22848</v>
      </c>
      <c r="F48" s="60">
        <v>49</v>
      </c>
      <c r="G48" s="61">
        <v>0</v>
      </c>
      <c r="H48" s="61">
        <v>0</v>
      </c>
      <c r="I48" s="61">
        <v>0</v>
      </c>
      <c r="J48" s="61">
        <v>-3</v>
      </c>
      <c r="K48" s="129">
        <f t="shared" si="6"/>
        <v>46</v>
      </c>
      <c r="L48" s="131"/>
    </row>
    <row r="49" spans="1:12" ht="12.75">
      <c r="A49" s="137" t="s">
        <v>70</v>
      </c>
      <c r="B49" s="78"/>
      <c r="C49" s="78"/>
      <c r="D49" s="78"/>
      <c r="E49" s="133"/>
      <c r="F49" s="78"/>
      <c r="G49" s="78"/>
      <c r="H49" s="78"/>
      <c r="I49" s="78"/>
      <c r="J49" s="78"/>
      <c r="K49" s="134"/>
      <c r="L49" s="135"/>
    </row>
    <row r="50" spans="1:11" ht="12.75">
      <c r="A50" s="77"/>
      <c r="B50" s="78"/>
      <c r="C50" s="78"/>
      <c r="D50" s="78"/>
      <c r="E50" s="79"/>
      <c r="F50" s="78"/>
      <c r="G50" s="78"/>
      <c r="H50" s="78"/>
      <c r="I50" s="78"/>
      <c r="J50" s="78"/>
      <c r="K50" s="78"/>
    </row>
    <row r="51" ht="16.5" thickBot="1">
      <c r="A51" s="29" t="s">
        <v>63</v>
      </c>
    </row>
    <row r="52" spans="1:12" ht="24.75" customHeight="1">
      <c r="A52" s="985" t="s">
        <v>35</v>
      </c>
      <c r="B52" s="1102" t="s">
        <v>58</v>
      </c>
      <c r="C52" s="934" t="s">
        <v>59</v>
      </c>
      <c r="D52" s="934" t="s">
        <v>60</v>
      </c>
      <c r="E52" s="922" t="s">
        <v>11</v>
      </c>
      <c r="F52" s="684" t="s">
        <v>52</v>
      </c>
      <c r="G52" s="685"/>
      <c r="H52" s="685"/>
      <c r="I52" s="685"/>
      <c r="J52" s="685"/>
      <c r="K52" s="685"/>
      <c r="L52" s="679" t="s">
        <v>270</v>
      </c>
    </row>
    <row r="53" spans="1:12" ht="39" customHeight="1" thickBot="1">
      <c r="A53" s="986"/>
      <c r="B53" s="1103"/>
      <c r="C53" s="1104" t="s">
        <v>37</v>
      </c>
      <c r="D53" s="1104" t="s">
        <v>38</v>
      </c>
      <c r="E53" s="923" t="s">
        <v>11</v>
      </c>
      <c r="F53" s="89" t="s">
        <v>53</v>
      </c>
      <c r="G53" s="103" t="s">
        <v>54</v>
      </c>
      <c r="H53" s="103" t="s">
        <v>55</v>
      </c>
      <c r="I53" s="103" t="s">
        <v>56</v>
      </c>
      <c r="J53" s="103" t="s">
        <v>57</v>
      </c>
      <c r="K53" s="541" t="s">
        <v>11</v>
      </c>
      <c r="L53" s="941"/>
    </row>
    <row r="54" spans="1:12" ht="13.5" thickBot="1">
      <c r="A54" s="105">
        <v>37986</v>
      </c>
      <c r="B54" s="104">
        <v>61632</v>
      </c>
      <c r="C54" s="51">
        <v>1597</v>
      </c>
      <c r="D54" s="51">
        <v>201</v>
      </c>
      <c r="E54" s="52">
        <f aca="true" t="shared" si="7" ref="E54:E66">SUM(B54:D54)</f>
        <v>63430</v>
      </c>
      <c r="F54" s="69">
        <v>6632</v>
      </c>
      <c r="G54" s="51">
        <v>1175</v>
      </c>
      <c r="H54" s="51">
        <v>811</v>
      </c>
      <c r="I54" s="51">
        <v>1023</v>
      </c>
      <c r="J54" s="51">
        <v>173</v>
      </c>
      <c r="K54" s="126">
        <f aca="true" t="shared" si="8" ref="K54:K66">SUM(F54:J54)</f>
        <v>9814</v>
      </c>
      <c r="L54" s="138">
        <f>+E54-E36</f>
        <v>44946</v>
      </c>
    </row>
    <row r="55" spans="1:12" ht="12.75">
      <c r="A55" s="53">
        <v>38017</v>
      </c>
      <c r="B55" s="54">
        <v>57925</v>
      </c>
      <c r="C55" s="48">
        <v>296</v>
      </c>
      <c r="D55" s="48">
        <v>230</v>
      </c>
      <c r="E55" s="106">
        <f t="shared" si="7"/>
        <v>58451</v>
      </c>
      <c r="F55" s="70">
        <v>2429</v>
      </c>
      <c r="G55" s="48">
        <v>1033</v>
      </c>
      <c r="H55" s="48">
        <v>1138</v>
      </c>
      <c r="I55" s="48">
        <v>775</v>
      </c>
      <c r="J55" s="48">
        <v>451</v>
      </c>
      <c r="K55" s="127">
        <f t="shared" si="8"/>
        <v>5826</v>
      </c>
      <c r="L55" s="545">
        <f aca="true" t="shared" si="9" ref="L55:L66">+E55-E37</f>
        <v>28023</v>
      </c>
    </row>
    <row r="56" spans="1:12" ht="12.75">
      <c r="A56" s="55">
        <v>38046</v>
      </c>
      <c r="B56" s="56">
        <v>77243</v>
      </c>
      <c r="C56" s="49">
        <v>374</v>
      </c>
      <c r="D56" s="513">
        <v>255</v>
      </c>
      <c r="E56" s="106">
        <f t="shared" si="7"/>
        <v>77872</v>
      </c>
      <c r="F56" s="62">
        <v>7216</v>
      </c>
      <c r="G56" s="49">
        <v>1214</v>
      </c>
      <c r="H56" s="49">
        <v>1340</v>
      </c>
      <c r="I56" s="49">
        <v>940</v>
      </c>
      <c r="J56" s="49">
        <v>286</v>
      </c>
      <c r="K56" s="128">
        <f t="shared" si="8"/>
        <v>10996</v>
      </c>
      <c r="L56" s="136">
        <f t="shared" si="9"/>
        <v>43108</v>
      </c>
    </row>
    <row r="57" spans="1:12" ht="12.75">
      <c r="A57" s="55">
        <v>38077</v>
      </c>
      <c r="B57" s="56">
        <v>64910</v>
      </c>
      <c r="C57" s="49">
        <v>321</v>
      </c>
      <c r="D57" s="49">
        <v>199</v>
      </c>
      <c r="E57" s="106">
        <f t="shared" si="7"/>
        <v>65430</v>
      </c>
      <c r="F57" s="62">
        <v>6054</v>
      </c>
      <c r="G57" s="49">
        <v>409</v>
      </c>
      <c r="H57" s="49">
        <v>993</v>
      </c>
      <c r="I57" s="49">
        <v>518</v>
      </c>
      <c r="J57" s="49">
        <v>479</v>
      </c>
      <c r="K57" s="128">
        <f t="shared" si="8"/>
        <v>8453</v>
      </c>
      <c r="L57" s="136">
        <f t="shared" si="9"/>
        <v>33207</v>
      </c>
    </row>
    <row r="58" spans="1:12" ht="12.75">
      <c r="A58" s="55">
        <v>38107</v>
      </c>
      <c r="B58" s="56">
        <v>80052</v>
      </c>
      <c r="C58" s="49">
        <v>330</v>
      </c>
      <c r="D58" s="49">
        <v>212</v>
      </c>
      <c r="E58" s="106">
        <f t="shared" si="7"/>
        <v>80594</v>
      </c>
      <c r="F58" s="62">
        <v>8341</v>
      </c>
      <c r="G58" s="49">
        <v>819</v>
      </c>
      <c r="H58" s="49">
        <v>697</v>
      </c>
      <c r="I58" s="49">
        <v>468</v>
      </c>
      <c r="J58" s="49">
        <v>663</v>
      </c>
      <c r="K58" s="128">
        <f t="shared" si="8"/>
        <v>10988</v>
      </c>
      <c r="L58" s="136">
        <f t="shared" si="9"/>
        <v>44227</v>
      </c>
    </row>
    <row r="59" spans="1:12" ht="12.75">
      <c r="A59" s="55">
        <v>38138</v>
      </c>
      <c r="B59" s="56">
        <v>76955</v>
      </c>
      <c r="C59" s="49">
        <v>339</v>
      </c>
      <c r="D59" s="49">
        <v>240</v>
      </c>
      <c r="E59" s="106">
        <f t="shared" si="7"/>
        <v>77534</v>
      </c>
      <c r="F59" s="62">
        <v>21626</v>
      </c>
      <c r="G59" s="49">
        <v>1134</v>
      </c>
      <c r="H59" s="49">
        <v>555</v>
      </c>
      <c r="I59" s="49">
        <v>428</v>
      </c>
      <c r="J59" s="49">
        <v>607</v>
      </c>
      <c r="K59" s="128">
        <f t="shared" si="8"/>
        <v>24350</v>
      </c>
      <c r="L59" s="136">
        <f t="shared" si="9"/>
        <v>41095</v>
      </c>
    </row>
    <row r="60" spans="1:12" ht="12.75">
      <c r="A60" s="55">
        <v>38168</v>
      </c>
      <c r="B60" s="56">
        <v>80478</v>
      </c>
      <c r="C60" s="49">
        <v>305</v>
      </c>
      <c r="D60" s="49">
        <v>238</v>
      </c>
      <c r="E60" s="106">
        <f t="shared" si="7"/>
        <v>81021</v>
      </c>
      <c r="F60" s="62">
        <v>21620</v>
      </c>
      <c r="G60" s="49">
        <v>1244</v>
      </c>
      <c r="H60" s="49">
        <v>738</v>
      </c>
      <c r="I60" s="49">
        <v>439</v>
      </c>
      <c r="J60" s="49">
        <v>471</v>
      </c>
      <c r="K60" s="128">
        <f t="shared" si="8"/>
        <v>24512</v>
      </c>
      <c r="L60" s="136">
        <f t="shared" si="9"/>
        <v>41971</v>
      </c>
    </row>
    <row r="61" spans="1:12" ht="12.75">
      <c r="A61" s="55">
        <v>38199</v>
      </c>
      <c r="B61" s="56">
        <v>75311</v>
      </c>
      <c r="C61" s="49">
        <v>314</v>
      </c>
      <c r="D61" s="49">
        <v>236</v>
      </c>
      <c r="E61" s="106">
        <f t="shared" si="7"/>
        <v>75861</v>
      </c>
      <c r="F61" s="70">
        <v>17537</v>
      </c>
      <c r="G61" s="48">
        <v>1030</v>
      </c>
      <c r="H61" s="48">
        <v>1239</v>
      </c>
      <c r="I61" s="48">
        <v>553</v>
      </c>
      <c r="J61" s="48">
        <v>500</v>
      </c>
      <c r="K61" s="128">
        <f t="shared" si="8"/>
        <v>20859</v>
      </c>
      <c r="L61" s="136">
        <f t="shared" si="9"/>
        <v>51989</v>
      </c>
    </row>
    <row r="62" spans="1:12" ht="12.75">
      <c r="A62" s="55">
        <v>38230</v>
      </c>
      <c r="B62" s="56">
        <v>79385</v>
      </c>
      <c r="C62" s="49">
        <v>324</v>
      </c>
      <c r="D62" s="49">
        <v>273</v>
      </c>
      <c r="E62" s="106">
        <f t="shared" si="7"/>
        <v>79982</v>
      </c>
      <c r="F62" s="62">
        <v>8799</v>
      </c>
      <c r="G62" s="49">
        <v>832</v>
      </c>
      <c r="H62" s="49">
        <v>1533</v>
      </c>
      <c r="I62" s="49">
        <v>660</v>
      </c>
      <c r="J62" s="49">
        <v>303</v>
      </c>
      <c r="K62" s="128">
        <f t="shared" si="8"/>
        <v>12127</v>
      </c>
      <c r="L62" s="136">
        <f t="shared" si="9"/>
        <v>50305</v>
      </c>
    </row>
    <row r="63" spans="1:12" ht="12.75">
      <c r="A63" s="55">
        <v>38260</v>
      </c>
      <c r="B63" s="56">
        <v>96304</v>
      </c>
      <c r="C63" s="49">
        <v>333</v>
      </c>
      <c r="D63" s="49">
        <v>218</v>
      </c>
      <c r="E63" s="106">
        <f t="shared" si="7"/>
        <v>96855</v>
      </c>
      <c r="F63" s="62">
        <v>35541</v>
      </c>
      <c r="G63" s="49">
        <v>805</v>
      </c>
      <c r="H63" s="49">
        <v>846</v>
      </c>
      <c r="I63" s="49">
        <v>505</v>
      </c>
      <c r="J63" s="49">
        <v>264</v>
      </c>
      <c r="K63" s="128">
        <f t="shared" si="8"/>
        <v>37961</v>
      </c>
      <c r="L63" s="136">
        <f t="shared" si="9"/>
        <v>66590</v>
      </c>
    </row>
    <row r="64" spans="1:12" ht="12.75">
      <c r="A64" s="57">
        <v>38291</v>
      </c>
      <c r="B64" s="58">
        <v>96813</v>
      </c>
      <c r="C64" s="50">
        <v>342</v>
      </c>
      <c r="D64" s="50">
        <v>221</v>
      </c>
      <c r="E64" s="106">
        <f t="shared" si="7"/>
        <v>97376</v>
      </c>
      <c r="F64" s="72">
        <v>39187</v>
      </c>
      <c r="G64" s="50">
        <v>709</v>
      </c>
      <c r="H64" s="50">
        <v>1176</v>
      </c>
      <c r="I64" s="50">
        <v>773</v>
      </c>
      <c r="J64" s="50">
        <v>264</v>
      </c>
      <c r="K64" s="128">
        <f t="shared" si="8"/>
        <v>42109</v>
      </c>
      <c r="L64" s="136">
        <f t="shared" si="9"/>
        <v>69151</v>
      </c>
    </row>
    <row r="65" spans="1:12" ht="12.75">
      <c r="A65" s="55">
        <v>38321</v>
      </c>
      <c r="B65" s="56">
        <v>81301</v>
      </c>
      <c r="C65" s="49">
        <v>335</v>
      </c>
      <c r="D65" s="49">
        <v>219</v>
      </c>
      <c r="E65" s="106">
        <f t="shared" si="7"/>
        <v>81855</v>
      </c>
      <c r="F65" s="62">
        <v>22931</v>
      </c>
      <c r="G65" s="49">
        <v>2586</v>
      </c>
      <c r="H65" s="49">
        <v>998</v>
      </c>
      <c r="I65" s="49">
        <v>671</v>
      </c>
      <c r="J65" s="49">
        <v>264</v>
      </c>
      <c r="K65" s="128">
        <f t="shared" si="8"/>
        <v>27450</v>
      </c>
      <c r="L65" s="136">
        <f t="shared" si="9"/>
        <v>37261</v>
      </c>
    </row>
    <row r="66" spans="1:12" ht="13.5" thickBot="1">
      <c r="A66" s="59">
        <v>38352</v>
      </c>
      <c r="B66" s="60">
        <v>83251</v>
      </c>
      <c r="C66" s="61">
        <v>117</v>
      </c>
      <c r="D66" s="61">
        <v>64</v>
      </c>
      <c r="E66" s="107">
        <f t="shared" si="7"/>
        <v>83432</v>
      </c>
      <c r="F66" s="73">
        <v>17754</v>
      </c>
      <c r="G66" s="61">
        <v>1263</v>
      </c>
      <c r="H66" s="61">
        <v>938</v>
      </c>
      <c r="I66" s="61">
        <v>201</v>
      </c>
      <c r="J66" s="61">
        <v>268</v>
      </c>
      <c r="K66" s="129">
        <f t="shared" si="8"/>
        <v>20424</v>
      </c>
      <c r="L66" s="586">
        <f t="shared" si="9"/>
        <v>60584</v>
      </c>
    </row>
    <row r="68" spans="1:12" ht="12.75" customHeight="1">
      <c r="A68" s="668" t="s">
        <v>306</v>
      </c>
      <c r="B68" s="1122"/>
      <c r="C68" s="1122"/>
      <c r="D68" s="1122"/>
      <c r="E68" s="1122"/>
      <c r="F68" s="1122"/>
      <c r="G68" s="1122"/>
      <c r="H68" s="1122"/>
      <c r="I68" s="1122"/>
      <c r="J68" s="1122"/>
      <c r="K68" s="1122"/>
      <c r="L68" s="1123"/>
    </row>
    <row r="69" spans="1:12" ht="12.75">
      <c r="A69" s="1124"/>
      <c r="B69" s="1080"/>
      <c r="C69" s="1080"/>
      <c r="D69" s="1080"/>
      <c r="E69" s="1080"/>
      <c r="F69" s="1080"/>
      <c r="G69" s="1080"/>
      <c r="H69" s="1080"/>
      <c r="I69" s="1080"/>
      <c r="J69" s="1080"/>
      <c r="K69" s="1080"/>
      <c r="L69" s="1125"/>
    </row>
    <row r="70" spans="1:12" ht="12.75">
      <c r="A70" s="1124"/>
      <c r="B70" s="1080"/>
      <c r="C70" s="1080"/>
      <c r="D70" s="1080"/>
      <c r="E70" s="1080"/>
      <c r="F70" s="1080"/>
      <c r="G70" s="1080"/>
      <c r="H70" s="1080"/>
      <c r="I70" s="1080"/>
      <c r="J70" s="1080"/>
      <c r="K70" s="1080"/>
      <c r="L70" s="1125"/>
    </row>
    <row r="71" spans="1:12" ht="12.75">
      <c r="A71" s="1124"/>
      <c r="B71" s="1080"/>
      <c r="C71" s="1080"/>
      <c r="D71" s="1080"/>
      <c r="E71" s="1080"/>
      <c r="F71" s="1080"/>
      <c r="G71" s="1080"/>
      <c r="H71" s="1080"/>
      <c r="I71" s="1080"/>
      <c r="J71" s="1080"/>
      <c r="K71" s="1080"/>
      <c r="L71" s="1125"/>
    </row>
    <row r="72" spans="1:12" ht="12.75">
      <c r="A72" s="1124"/>
      <c r="B72" s="1080"/>
      <c r="C72" s="1080"/>
      <c r="D72" s="1080"/>
      <c r="E72" s="1080"/>
      <c r="F72" s="1080"/>
      <c r="G72" s="1080"/>
      <c r="H72" s="1080"/>
      <c r="I72" s="1080"/>
      <c r="J72" s="1080"/>
      <c r="K72" s="1080"/>
      <c r="L72" s="1125"/>
    </row>
    <row r="73" spans="1:12" ht="12.75">
      <c r="A73" s="1126"/>
      <c r="B73" s="1127"/>
      <c r="C73" s="1127"/>
      <c r="D73" s="1127"/>
      <c r="E73" s="1127"/>
      <c r="F73" s="1127"/>
      <c r="G73" s="1127"/>
      <c r="H73" s="1127"/>
      <c r="I73" s="1127"/>
      <c r="J73" s="1127"/>
      <c r="K73" s="1127"/>
      <c r="L73" s="1128"/>
    </row>
    <row r="78" ht="16.5" thickBot="1">
      <c r="A78" s="29" t="s">
        <v>84</v>
      </c>
    </row>
    <row r="79" spans="1:12" ht="21.75" customHeight="1">
      <c r="A79" s="947" t="s">
        <v>71</v>
      </c>
      <c r="B79" s="948"/>
      <c r="C79" s="996" t="s">
        <v>25</v>
      </c>
      <c r="D79" s="997"/>
      <c r="E79" s="1000"/>
      <c r="F79" s="947" t="s">
        <v>71</v>
      </c>
      <c r="G79" s="962"/>
      <c r="H79" s="963"/>
      <c r="I79" s="999" t="s">
        <v>28</v>
      </c>
      <c r="J79" s="997"/>
      <c r="K79" s="1000"/>
      <c r="L79" s="985" t="s">
        <v>166</v>
      </c>
    </row>
    <row r="80" spans="1:12" ht="27.75" thickBot="1">
      <c r="A80" s="949"/>
      <c r="B80" s="950"/>
      <c r="C80" s="154" t="s">
        <v>81</v>
      </c>
      <c r="D80" s="149" t="s">
        <v>82</v>
      </c>
      <c r="E80" s="150" t="s">
        <v>83</v>
      </c>
      <c r="F80" s="949"/>
      <c r="G80" s="964"/>
      <c r="H80" s="965"/>
      <c r="I80" s="156" t="s">
        <v>81</v>
      </c>
      <c r="J80" s="149" t="s">
        <v>82</v>
      </c>
      <c r="K80" s="150" t="s">
        <v>83</v>
      </c>
      <c r="L80" s="986"/>
    </row>
    <row r="81" spans="1:12" ht="20.25" customHeight="1">
      <c r="A81" s="951" t="s">
        <v>72</v>
      </c>
      <c r="B81" s="952"/>
      <c r="C81" s="142">
        <v>124.31</v>
      </c>
      <c r="D81" s="143">
        <v>52608681</v>
      </c>
      <c r="E81" s="155">
        <f aca="true" t="shared" si="10" ref="E81:E87">+IF(C81&gt;0,D81/C81/12,"")</f>
        <v>35267.128549593755</v>
      </c>
      <c r="F81" s="966" t="s">
        <v>72</v>
      </c>
      <c r="G81" s="967"/>
      <c r="H81" s="967"/>
      <c r="I81" s="231">
        <v>124.07</v>
      </c>
      <c r="J81" s="232">
        <v>54139056</v>
      </c>
      <c r="K81" s="155">
        <f aca="true" t="shared" si="11" ref="K81:K91">+IF(I81&gt;0,J81/I81/12,"")</f>
        <v>36363.24655436447</v>
      </c>
      <c r="L81" s="289">
        <f>+K81-E81</f>
        <v>1096.1180047707167</v>
      </c>
    </row>
    <row r="82" spans="1:12" ht="20.25" customHeight="1">
      <c r="A82" s="951" t="s">
        <v>73</v>
      </c>
      <c r="B82" s="952"/>
      <c r="C82" s="144">
        <v>4.68</v>
      </c>
      <c r="D82" s="145">
        <v>1286992</v>
      </c>
      <c r="E82" s="71">
        <f t="shared" si="10"/>
        <v>22916.52421652422</v>
      </c>
      <c r="F82" s="968" t="s">
        <v>73</v>
      </c>
      <c r="G82" s="969"/>
      <c r="H82" s="969"/>
      <c r="I82" s="158">
        <v>4</v>
      </c>
      <c r="J82" s="50">
        <v>1298831</v>
      </c>
      <c r="K82" s="71">
        <f t="shared" si="11"/>
        <v>27058.979166666668</v>
      </c>
      <c r="L82" s="287"/>
    </row>
    <row r="83" spans="1:12" ht="20.25" customHeight="1">
      <c r="A83" s="951" t="s">
        <v>74</v>
      </c>
      <c r="B83" s="952"/>
      <c r="C83" s="144">
        <v>7.43</v>
      </c>
      <c r="D83" s="145">
        <v>2017292</v>
      </c>
      <c r="E83" s="71">
        <f t="shared" si="10"/>
        <v>22625.527142216244</v>
      </c>
      <c r="F83" s="968" t="s">
        <v>110</v>
      </c>
      <c r="G83" s="969"/>
      <c r="H83" s="969"/>
      <c r="I83" s="158">
        <v>403.1</v>
      </c>
      <c r="J83" s="50">
        <v>80148124</v>
      </c>
      <c r="K83" s="71">
        <f t="shared" si="11"/>
        <v>16569.115190606135</v>
      </c>
      <c r="L83" s="287"/>
    </row>
    <row r="84" spans="1:12" ht="20.25" customHeight="1">
      <c r="A84" s="951" t="s">
        <v>75</v>
      </c>
      <c r="B84" s="952"/>
      <c r="C84" s="144">
        <v>1</v>
      </c>
      <c r="D84" s="145">
        <v>124306</v>
      </c>
      <c r="E84" s="71">
        <f t="shared" si="10"/>
        <v>10358.833333333334</v>
      </c>
      <c r="F84" s="968" t="s">
        <v>109</v>
      </c>
      <c r="G84" s="969"/>
      <c r="H84" s="969"/>
      <c r="I84" s="158">
        <v>68.57</v>
      </c>
      <c r="J84" s="50">
        <v>14472306</v>
      </c>
      <c r="K84" s="71">
        <f t="shared" si="11"/>
        <v>17588.23829663118</v>
      </c>
      <c r="L84" s="287"/>
    </row>
    <row r="85" spans="1:12" ht="20.25" customHeight="1">
      <c r="A85" s="951" t="s">
        <v>76</v>
      </c>
      <c r="B85" s="952"/>
      <c r="C85" s="144">
        <v>493.89</v>
      </c>
      <c r="D85" s="145">
        <v>100074495</v>
      </c>
      <c r="E85" s="71">
        <f t="shared" si="10"/>
        <v>16885.422361254532</v>
      </c>
      <c r="F85" s="968" t="s">
        <v>111</v>
      </c>
      <c r="G85" s="969"/>
      <c r="H85" s="969"/>
      <c r="I85" s="158">
        <v>14.47</v>
      </c>
      <c r="J85" s="50">
        <v>2499355</v>
      </c>
      <c r="K85" s="71">
        <f t="shared" si="11"/>
        <v>14393.889656761115</v>
      </c>
      <c r="L85" s="287"/>
    </row>
    <row r="86" spans="1:12" ht="20.25" customHeight="1">
      <c r="A86" s="951" t="s">
        <v>77</v>
      </c>
      <c r="B86" s="952"/>
      <c r="C86" s="144">
        <v>2</v>
      </c>
      <c r="D86" s="145">
        <v>338499</v>
      </c>
      <c r="E86" s="71">
        <f t="shared" si="10"/>
        <v>14104.125</v>
      </c>
      <c r="F86" s="968" t="s">
        <v>112</v>
      </c>
      <c r="G86" s="969"/>
      <c r="H86" s="969"/>
      <c r="I86" s="158">
        <v>86.54</v>
      </c>
      <c r="J86" s="50">
        <v>11215137</v>
      </c>
      <c r="K86" s="71">
        <f t="shared" si="11"/>
        <v>10799.569563207764</v>
      </c>
      <c r="L86" s="287"/>
    </row>
    <row r="87" spans="1:12" ht="20.25" customHeight="1">
      <c r="A87" s="951" t="s">
        <v>78</v>
      </c>
      <c r="B87" s="952"/>
      <c r="C87" s="144">
        <v>73.86</v>
      </c>
      <c r="D87" s="145">
        <v>9580536</v>
      </c>
      <c r="E87" s="71">
        <f t="shared" si="10"/>
        <v>10809.341998375305</v>
      </c>
      <c r="F87" s="968" t="s">
        <v>113</v>
      </c>
      <c r="G87" s="969"/>
      <c r="H87" s="969"/>
      <c r="I87" s="158">
        <v>7.11</v>
      </c>
      <c r="J87" s="50">
        <v>1915073</v>
      </c>
      <c r="K87" s="71">
        <f t="shared" si="11"/>
        <v>22445.76887013596</v>
      </c>
      <c r="L87" s="287"/>
    </row>
    <row r="88" spans="1:12" ht="20.25" customHeight="1">
      <c r="A88" s="951"/>
      <c r="B88" s="952"/>
      <c r="C88" s="144"/>
      <c r="D88" s="145"/>
      <c r="E88" s="71"/>
      <c r="F88" s="968" t="s">
        <v>114</v>
      </c>
      <c r="G88" s="969"/>
      <c r="H88" s="969"/>
      <c r="I88" s="158">
        <v>0</v>
      </c>
      <c r="J88" s="50">
        <v>0</v>
      </c>
      <c r="K88" s="71">
        <f t="shared" si="11"/>
      </c>
      <c r="L88" s="287"/>
    </row>
    <row r="89" spans="1:12" ht="20.25" customHeight="1">
      <c r="A89" s="951" t="s">
        <v>79</v>
      </c>
      <c r="B89" s="952"/>
      <c r="C89" s="144">
        <v>65.3</v>
      </c>
      <c r="D89" s="145">
        <v>11189804</v>
      </c>
      <c r="E89" s="71">
        <f>+IF(C89&gt;0,D89/C89/12,"")</f>
        <v>14279.994895354774</v>
      </c>
      <c r="F89" s="968" t="s">
        <v>79</v>
      </c>
      <c r="G89" s="969"/>
      <c r="H89" s="969"/>
      <c r="I89" s="157">
        <v>60.42</v>
      </c>
      <c r="J89" s="49">
        <v>10358807</v>
      </c>
      <c r="K89" s="71">
        <f t="shared" si="11"/>
        <v>14287.221394681672</v>
      </c>
      <c r="L89" s="287">
        <f>+K89-E89</f>
        <v>7.2264993268981925</v>
      </c>
    </row>
    <row r="90" spans="1:12" ht="20.25" customHeight="1" thickBot="1">
      <c r="A90" s="951" t="s">
        <v>80</v>
      </c>
      <c r="B90" s="952"/>
      <c r="C90" s="144">
        <v>170.9</v>
      </c>
      <c r="D90" s="145">
        <v>19160133</v>
      </c>
      <c r="E90" s="71">
        <f>+IF(C90&gt;0,D90/C90/12,"")</f>
        <v>9342.760386190754</v>
      </c>
      <c r="F90" s="983" t="s">
        <v>115</v>
      </c>
      <c r="G90" s="984"/>
      <c r="H90" s="984"/>
      <c r="I90" s="231">
        <v>160.03</v>
      </c>
      <c r="J90" s="232">
        <v>17706729</v>
      </c>
      <c r="K90" s="155">
        <f t="shared" si="11"/>
        <v>9220.525838905205</v>
      </c>
      <c r="L90" s="288">
        <f>+K90-E90</f>
        <v>-122.23454728554862</v>
      </c>
    </row>
    <row r="91" spans="1:12" s="39" customFormat="1" ht="22.5" customHeight="1" thickBot="1">
      <c r="A91" s="971" t="s">
        <v>11</v>
      </c>
      <c r="B91" s="973"/>
      <c r="C91" s="146">
        <f>SUM(C81:C90)</f>
        <v>943.3699999999999</v>
      </c>
      <c r="D91" s="51">
        <f>SUM(D81:D90)</f>
        <v>196380738</v>
      </c>
      <c r="E91" s="148">
        <f>+IF(C91&gt;0,D91/C91/12,"")</f>
        <v>17347.447449039086</v>
      </c>
      <c r="F91" s="971" t="s">
        <v>11</v>
      </c>
      <c r="G91" s="972"/>
      <c r="H91" s="909"/>
      <c r="I91" s="159">
        <f>SUM(I81:I90)</f>
        <v>928.31</v>
      </c>
      <c r="J91" s="51">
        <f>SUM(J81:J90)</f>
        <v>193753418</v>
      </c>
      <c r="K91" s="148">
        <f t="shared" si="11"/>
        <v>17393.024061646076</v>
      </c>
      <c r="L91" s="139">
        <f>+K91-E91</f>
        <v>45.57661260699024</v>
      </c>
    </row>
    <row r="93" spans="1:12" ht="12.75">
      <c r="A93" s="668" t="s">
        <v>305</v>
      </c>
      <c r="B93" s="1122"/>
      <c r="C93" s="1122"/>
      <c r="D93" s="1122"/>
      <c r="E93" s="1122"/>
      <c r="F93" s="1122"/>
      <c r="G93" s="1122"/>
      <c r="H93" s="1122"/>
      <c r="I93" s="1122"/>
      <c r="J93" s="1122"/>
      <c r="K93" s="1122"/>
      <c r="L93" s="1123"/>
    </row>
    <row r="94" spans="1:12" ht="12.75">
      <c r="A94" s="1124"/>
      <c r="B94" s="1080"/>
      <c r="C94" s="1080"/>
      <c r="D94" s="1080"/>
      <c r="E94" s="1080"/>
      <c r="F94" s="1080"/>
      <c r="G94" s="1080"/>
      <c r="H94" s="1080"/>
      <c r="I94" s="1080"/>
      <c r="J94" s="1080"/>
      <c r="K94" s="1080"/>
      <c r="L94" s="1125"/>
    </row>
    <row r="95" spans="1:12" ht="12.75">
      <c r="A95" s="1124"/>
      <c r="B95" s="1080"/>
      <c r="C95" s="1080"/>
      <c r="D95" s="1080"/>
      <c r="E95" s="1080"/>
      <c r="F95" s="1080"/>
      <c r="G95" s="1080"/>
      <c r="H95" s="1080"/>
      <c r="I95" s="1080"/>
      <c r="J95" s="1080"/>
      <c r="K95" s="1080"/>
      <c r="L95" s="1125"/>
    </row>
    <row r="96" spans="1:12" ht="12.75">
      <c r="A96" s="1124"/>
      <c r="B96" s="1080"/>
      <c r="C96" s="1080"/>
      <c r="D96" s="1080"/>
      <c r="E96" s="1080"/>
      <c r="F96" s="1080"/>
      <c r="G96" s="1080"/>
      <c r="H96" s="1080"/>
      <c r="I96" s="1080"/>
      <c r="J96" s="1080"/>
      <c r="K96" s="1080"/>
      <c r="L96" s="1125"/>
    </row>
    <row r="97" spans="1:12" ht="12.75">
      <c r="A97" s="1124"/>
      <c r="B97" s="1080"/>
      <c r="C97" s="1080"/>
      <c r="D97" s="1080"/>
      <c r="E97" s="1080"/>
      <c r="F97" s="1080"/>
      <c r="G97" s="1080"/>
      <c r="H97" s="1080"/>
      <c r="I97" s="1080"/>
      <c r="J97" s="1080"/>
      <c r="K97" s="1080"/>
      <c r="L97" s="1125"/>
    </row>
    <row r="98" spans="1:12" ht="12.75">
      <c r="A98" s="1124"/>
      <c r="B98" s="1080"/>
      <c r="C98" s="1080"/>
      <c r="D98" s="1080"/>
      <c r="E98" s="1080"/>
      <c r="F98" s="1080"/>
      <c r="G98" s="1080"/>
      <c r="H98" s="1080"/>
      <c r="I98" s="1080"/>
      <c r="J98" s="1080"/>
      <c r="K98" s="1080"/>
      <c r="L98" s="1125"/>
    </row>
    <row r="99" spans="1:12" ht="12.75">
      <c r="A99" s="1126"/>
      <c r="B99" s="1127"/>
      <c r="C99" s="1127"/>
      <c r="D99" s="1127"/>
      <c r="E99" s="1127"/>
      <c r="F99" s="1127"/>
      <c r="G99" s="1127"/>
      <c r="H99" s="1127"/>
      <c r="I99" s="1127"/>
      <c r="J99" s="1127"/>
      <c r="K99" s="1127"/>
      <c r="L99" s="1128"/>
    </row>
    <row r="102" spans="1:9" ht="16.5" thickBot="1">
      <c r="A102" s="29" t="s">
        <v>107</v>
      </c>
      <c r="B102" s="160"/>
      <c r="C102" s="160"/>
      <c r="D102" s="160"/>
      <c r="E102" s="160"/>
      <c r="F102" s="160"/>
      <c r="G102" s="160"/>
      <c r="H102" s="160"/>
      <c r="I102" s="160"/>
    </row>
    <row r="103" spans="1:12" ht="13.5" thickBot="1">
      <c r="A103" s="979" t="s">
        <v>85</v>
      </c>
      <c r="B103" s="980"/>
      <c r="C103" s="879" t="s">
        <v>86</v>
      </c>
      <c r="D103" s="974"/>
      <c r="E103" s="974"/>
      <c r="F103" s="974"/>
      <c r="G103" s="936"/>
      <c r="H103" s="878" t="s">
        <v>87</v>
      </c>
      <c r="I103" s="974"/>
      <c r="J103" s="974"/>
      <c r="K103" s="974"/>
      <c r="L103" s="936"/>
    </row>
    <row r="104" spans="1:12" ht="13.5" thickBot="1">
      <c r="A104" s="981"/>
      <c r="B104" s="696"/>
      <c r="C104" s="192">
        <v>2002</v>
      </c>
      <c r="D104" s="1">
        <v>2003</v>
      </c>
      <c r="E104" s="162" t="s">
        <v>88</v>
      </c>
      <c r="F104" s="10">
        <v>2004</v>
      </c>
      <c r="G104" s="162" t="s">
        <v>88</v>
      </c>
      <c r="H104" s="161">
        <v>2002</v>
      </c>
      <c r="I104" s="10">
        <v>2003</v>
      </c>
      <c r="J104" s="162" t="s">
        <v>88</v>
      </c>
      <c r="K104" s="102">
        <v>2004</v>
      </c>
      <c r="L104" s="187" t="s">
        <v>88</v>
      </c>
    </row>
    <row r="105" spans="1:12" ht="12.75">
      <c r="A105" s="970" t="s">
        <v>89</v>
      </c>
      <c r="B105" s="696"/>
      <c r="C105" s="210">
        <v>122</v>
      </c>
      <c r="D105" s="217">
        <v>122</v>
      </c>
      <c r="E105" s="218">
        <f>+D105-C105</f>
        <v>0</v>
      </c>
      <c r="F105" s="168">
        <v>122</v>
      </c>
      <c r="G105" s="164">
        <f aca="true" t="shared" si="12" ref="G105:G123">+F105-D105</f>
        <v>0</v>
      </c>
      <c r="H105" s="166">
        <f>33477/44530*100</f>
        <v>75.17853132719516</v>
      </c>
      <c r="I105" s="167">
        <v>74</v>
      </c>
      <c r="J105" s="167">
        <f>+I105-H105</f>
        <v>-1.1785313271951594</v>
      </c>
      <c r="K105" s="591">
        <f>31920/44652*100</f>
        <v>71.48615963450685</v>
      </c>
      <c r="L105" s="188">
        <f aca="true" t="shared" si="13" ref="L105:L123">+K105-I105</f>
        <v>-2.5138403654931523</v>
      </c>
    </row>
    <row r="106" spans="1:12" ht="12.75">
      <c r="A106" s="970" t="s">
        <v>90</v>
      </c>
      <c r="B106" s="696"/>
      <c r="C106" s="211">
        <v>22</v>
      </c>
      <c r="D106" s="212">
        <v>22</v>
      </c>
      <c r="E106" s="219">
        <f>+D106-C106</f>
        <v>0</v>
      </c>
      <c r="F106" s="174">
        <v>22</v>
      </c>
      <c r="G106" s="164">
        <f t="shared" si="12"/>
        <v>0</v>
      </c>
      <c r="H106" s="172">
        <f>0.551556662515567*100</f>
        <v>55.15566625155667</v>
      </c>
      <c r="I106" s="173">
        <v>57</v>
      </c>
      <c r="J106" s="173">
        <f>+I106-H106</f>
        <v>1.8443337484433329</v>
      </c>
      <c r="K106" s="592">
        <f>0.495156482861401*100</f>
        <v>49.51564828614009</v>
      </c>
      <c r="L106" s="188">
        <f t="shared" si="13"/>
        <v>-7.484351713859908</v>
      </c>
    </row>
    <row r="107" spans="1:12" ht="12.75">
      <c r="A107" s="970" t="s">
        <v>91</v>
      </c>
      <c r="B107" s="696"/>
      <c r="C107" s="211"/>
      <c r="D107" s="212"/>
      <c r="E107" s="219"/>
      <c r="F107" s="174"/>
      <c r="G107" s="164">
        <f t="shared" si="12"/>
        <v>0</v>
      </c>
      <c r="H107" s="172"/>
      <c r="I107" s="173"/>
      <c r="J107" s="173"/>
      <c r="K107" s="592"/>
      <c r="L107" s="188">
        <f t="shared" si="13"/>
        <v>0</v>
      </c>
    </row>
    <row r="108" spans="1:12" ht="12.75">
      <c r="A108" s="970" t="s">
        <v>92</v>
      </c>
      <c r="B108" s="696"/>
      <c r="C108" s="211">
        <v>44</v>
      </c>
      <c r="D108" s="212">
        <v>44</v>
      </c>
      <c r="E108" s="219">
        <f>+D108-C108</f>
        <v>0</v>
      </c>
      <c r="F108" s="174">
        <v>44</v>
      </c>
      <c r="G108" s="164">
        <f t="shared" si="12"/>
        <v>0</v>
      </c>
      <c r="H108" s="172">
        <f>0.715859724233457*100</f>
        <v>71.58597242334571</v>
      </c>
      <c r="I108" s="173">
        <v>66.2</v>
      </c>
      <c r="J108" s="173">
        <f>+I108-H108</f>
        <v>-5.385972423345706</v>
      </c>
      <c r="K108" s="592">
        <f>0.618293591654247*100</f>
        <v>61.829359165424734</v>
      </c>
      <c r="L108" s="188">
        <f t="shared" si="13"/>
        <v>-4.370640834575269</v>
      </c>
    </row>
    <row r="109" spans="1:12" ht="12.75">
      <c r="A109" s="970" t="s">
        <v>93</v>
      </c>
      <c r="B109" s="696"/>
      <c r="C109" s="211"/>
      <c r="D109" s="212"/>
      <c r="E109" s="219"/>
      <c r="F109" s="174"/>
      <c r="G109" s="164">
        <f t="shared" si="12"/>
        <v>0</v>
      </c>
      <c r="H109" s="172"/>
      <c r="I109" s="173"/>
      <c r="J109" s="173"/>
      <c r="K109" s="592"/>
      <c r="L109" s="188">
        <f t="shared" si="13"/>
        <v>0</v>
      </c>
    </row>
    <row r="110" spans="1:12" ht="12.75">
      <c r="A110" s="970" t="s">
        <v>94</v>
      </c>
      <c r="B110" s="696"/>
      <c r="C110" s="211">
        <v>50</v>
      </c>
      <c r="D110" s="212">
        <v>50</v>
      </c>
      <c r="E110" s="219">
        <f aca="true" t="shared" si="14" ref="E110:E118">+D110-C110</f>
        <v>0</v>
      </c>
      <c r="F110" s="174">
        <v>50</v>
      </c>
      <c r="G110" s="164">
        <f t="shared" si="12"/>
        <v>0</v>
      </c>
      <c r="H110" s="172">
        <f>0.699556251631428*100</f>
        <v>69.95562516314278</v>
      </c>
      <c r="I110" s="173">
        <v>75.8</v>
      </c>
      <c r="J110" s="173">
        <f aca="true" t="shared" si="15" ref="J110:J118">+I110-H110</f>
        <v>5.844374836857213</v>
      </c>
      <c r="K110" s="592">
        <f>0.680655737704918*100</f>
        <v>68.06557377049181</v>
      </c>
      <c r="L110" s="188">
        <f t="shared" si="13"/>
        <v>-7.734426229508188</v>
      </c>
    </row>
    <row r="111" spans="1:12" ht="12.75">
      <c r="A111" s="970" t="s">
        <v>95</v>
      </c>
      <c r="B111" s="696"/>
      <c r="C111" s="211">
        <v>59</v>
      </c>
      <c r="D111" s="212">
        <v>59</v>
      </c>
      <c r="E111" s="219">
        <f t="shared" si="14"/>
        <v>0</v>
      </c>
      <c r="F111" s="174">
        <v>59</v>
      </c>
      <c r="G111" s="164">
        <f t="shared" si="12"/>
        <v>0</v>
      </c>
      <c r="H111" s="172">
        <f>0.782447179010912*100</f>
        <v>78.24471790109125</v>
      </c>
      <c r="I111" s="173">
        <v>70.8</v>
      </c>
      <c r="J111" s="173">
        <f t="shared" si="15"/>
        <v>-7.444717901091252</v>
      </c>
      <c r="K111" s="592">
        <f>0.670649254422525*100</f>
        <v>67.06492544225247</v>
      </c>
      <c r="L111" s="188">
        <f t="shared" si="13"/>
        <v>-3.7350745577475237</v>
      </c>
    </row>
    <row r="112" spans="1:12" ht="12.75">
      <c r="A112" s="970" t="s">
        <v>96</v>
      </c>
      <c r="B112" s="696"/>
      <c r="C112" s="211">
        <v>82</v>
      </c>
      <c r="D112" s="212">
        <v>82</v>
      </c>
      <c r="E112" s="219">
        <f t="shared" si="14"/>
        <v>0</v>
      </c>
      <c r="F112" s="174">
        <v>82</v>
      </c>
      <c r="G112" s="164">
        <f t="shared" si="12"/>
        <v>0</v>
      </c>
      <c r="H112" s="172">
        <f>0.79164717674574*100</f>
        <v>79.164717674574</v>
      </c>
      <c r="I112" s="173">
        <v>82.4</v>
      </c>
      <c r="J112" s="173">
        <f t="shared" si="15"/>
        <v>3.235282325425999</v>
      </c>
      <c r="K112" s="592">
        <f>0.77995468479275*100</f>
        <v>77.99546847927495</v>
      </c>
      <c r="L112" s="188">
        <f t="shared" si="13"/>
        <v>-4.404531520725058</v>
      </c>
    </row>
    <row r="113" spans="1:12" ht="12.75">
      <c r="A113" s="970" t="s">
        <v>97</v>
      </c>
      <c r="B113" s="696"/>
      <c r="C113" s="211">
        <v>6</v>
      </c>
      <c r="D113" s="212">
        <v>6</v>
      </c>
      <c r="E113" s="219">
        <f t="shared" si="14"/>
        <v>0</v>
      </c>
      <c r="F113" s="174">
        <v>6</v>
      </c>
      <c r="G113" s="164">
        <f t="shared" si="12"/>
        <v>0</v>
      </c>
      <c r="H113" s="172">
        <f>0.721917808219178*100</f>
        <v>72.1917808219178</v>
      </c>
      <c r="I113" s="173">
        <v>77.8</v>
      </c>
      <c r="J113" s="173">
        <f t="shared" si="15"/>
        <v>5.608219178082194</v>
      </c>
      <c r="K113" s="592">
        <f>0.748178506375228*100</f>
        <v>74.81785063752277</v>
      </c>
      <c r="L113" s="188">
        <f t="shared" si="13"/>
        <v>-2.98214936247723</v>
      </c>
    </row>
    <row r="114" spans="1:12" ht="12.75">
      <c r="A114" s="970" t="s">
        <v>98</v>
      </c>
      <c r="B114" s="696"/>
      <c r="C114" s="211">
        <v>27</v>
      </c>
      <c r="D114" s="212">
        <v>27</v>
      </c>
      <c r="E114" s="219">
        <f t="shared" si="14"/>
        <v>0</v>
      </c>
      <c r="F114" s="174">
        <v>30</v>
      </c>
      <c r="G114" s="164">
        <f t="shared" si="12"/>
        <v>3</v>
      </c>
      <c r="H114" s="172">
        <v>78.24</v>
      </c>
      <c r="I114" s="173">
        <v>80.9</v>
      </c>
      <c r="J114" s="173">
        <f t="shared" si="15"/>
        <v>2.660000000000011</v>
      </c>
      <c r="K114" s="592">
        <f>0.792261494535788*100</f>
        <v>79.22614945357881</v>
      </c>
      <c r="L114" s="188">
        <f t="shared" si="13"/>
        <v>-1.6738505464211926</v>
      </c>
    </row>
    <row r="115" spans="1:12" ht="12.75">
      <c r="A115" s="970" t="s">
        <v>99</v>
      </c>
      <c r="B115" s="696"/>
      <c r="C115" s="211">
        <v>21</v>
      </c>
      <c r="D115" s="212">
        <v>21</v>
      </c>
      <c r="E115" s="219">
        <f t="shared" si="14"/>
        <v>0</v>
      </c>
      <c r="F115" s="174">
        <v>21</v>
      </c>
      <c r="G115" s="164">
        <f t="shared" si="12"/>
        <v>0</v>
      </c>
      <c r="H115" s="172">
        <f>0.681212381771281*100</f>
        <v>68.12123817712812</v>
      </c>
      <c r="I115" s="173">
        <v>76.7</v>
      </c>
      <c r="J115" s="173">
        <f t="shared" si="15"/>
        <v>8.578761822871883</v>
      </c>
      <c r="K115" s="592">
        <f>0.727816809784023*100</f>
        <v>72.78168097840229</v>
      </c>
      <c r="L115" s="188">
        <f t="shared" si="13"/>
        <v>-3.9183190215977106</v>
      </c>
    </row>
    <row r="116" spans="1:12" ht="12.75">
      <c r="A116" s="970" t="s">
        <v>100</v>
      </c>
      <c r="B116" s="696"/>
      <c r="C116" s="211">
        <v>20</v>
      </c>
      <c r="D116" s="212">
        <v>20</v>
      </c>
      <c r="E116" s="219">
        <f t="shared" si="14"/>
        <v>0</v>
      </c>
      <c r="F116" s="174">
        <v>11</v>
      </c>
      <c r="G116" s="164">
        <f t="shared" si="12"/>
        <v>-9</v>
      </c>
      <c r="H116" s="172">
        <f>0.616301369863014*100</f>
        <v>61.630136986301366</v>
      </c>
      <c r="I116" s="173">
        <v>69.8</v>
      </c>
      <c r="J116" s="173">
        <f t="shared" si="15"/>
        <v>8.169863013698631</v>
      </c>
      <c r="K116" s="592">
        <f>0.689665793931927*100</f>
        <v>68.96657939319267</v>
      </c>
      <c r="L116" s="188">
        <f t="shared" si="13"/>
        <v>-0.8334206068073229</v>
      </c>
    </row>
    <row r="117" spans="1:12" ht="12.75">
      <c r="A117" s="970" t="s">
        <v>101</v>
      </c>
      <c r="B117" s="696"/>
      <c r="C117" s="211">
        <v>12</v>
      </c>
      <c r="D117" s="212">
        <v>12</v>
      </c>
      <c r="E117" s="219">
        <f t="shared" si="14"/>
        <v>0</v>
      </c>
      <c r="F117" s="174">
        <v>11</v>
      </c>
      <c r="G117" s="164">
        <f t="shared" si="12"/>
        <v>-1</v>
      </c>
      <c r="H117" s="172">
        <f>0.726255707762557*100</f>
        <v>72.62557077625571</v>
      </c>
      <c r="I117" s="173">
        <v>76.3</v>
      </c>
      <c r="J117" s="173">
        <f t="shared" si="15"/>
        <v>3.6744292237442835</v>
      </c>
      <c r="K117" s="592">
        <f>0.70906976744186*100</f>
        <v>70.90697674418604</v>
      </c>
      <c r="L117" s="188">
        <f t="shared" si="13"/>
        <v>-5.393023255813958</v>
      </c>
    </row>
    <row r="118" spans="1:12" ht="12.75">
      <c r="A118" s="970" t="s">
        <v>102</v>
      </c>
      <c r="B118" s="696"/>
      <c r="C118" s="211">
        <v>20</v>
      </c>
      <c r="D118" s="212">
        <v>20</v>
      </c>
      <c r="E118" s="219">
        <f t="shared" si="14"/>
        <v>0</v>
      </c>
      <c r="F118" s="174">
        <v>20</v>
      </c>
      <c r="G118" s="164">
        <f t="shared" si="12"/>
        <v>0</v>
      </c>
      <c r="H118" s="172">
        <f>0.523770491803279*100</f>
        <v>52.37704918032787</v>
      </c>
      <c r="I118" s="173">
        <v>70.9</v>
      </c>
      <c r="J118" s="173">
        <f t="shared" si="15"/>
        <v>18.522950819672133</v>
      </c>
      <c r="K118" s="592">
        <f>0.659836065573771*100</f>
        <v>65.98360655737704</v>
      </c>
      <c r="L118" s="188">
        <f t="shared" si="13"/>
        <v>-4.916393442622962</v>
      </c>
    </row>
    <row r="119" spans="1:12" ht="12.75">
      <c r="A119" s="970" t="s">
        <v>103</v>
      </c>
      <c r="B119" s="696"/>
      <c r="C119" s="211"/>
      <c r="D119" s="212"/>
      <c r="E119" s="219"/>
      <c r="F119" s="174"/>
      <c r="G119" s="164">
        <f t="shared" si="12"/>
        <v>0</v>
      </c>
      <c r="H119" s="172"/>
      <c r="I119" s="173"/>
      <c r="J119" s="173"/>
      <c r="K119" s="592"/>
      <c r="L119" s="188">
        <f t="shared" si="13"/>
        <v>0</v>
      </c>
    </row>
    <row r="120" spans="1:12" ht="12.75">
      <c r="A120" s="970" t="s">
        <v>104</v>
      </c>
      <c r="B120" s="696"/>
      <c r="C120" s="211"/>
      <c r="D120" s="212"/>
      <c r="E120" s="219"/>
      <c r="F120" s="174"/>
      <c r="G120" s="164">
        <f t="shared" si="12"/>
        <v>0</v>
      </c>
      <c r="H120" s="172"/>
      <c r="I120" s="173"/>
      <c r="J120" s="173"/>
      <c r="K120" s="592"/>
      <c r="L120" s="188">
        <f t="shared" si="13"/>
        <v>0</v>
      </c>
    </row>
    <row r="121" spans="1:12" ht="12.75">
      <c r="A121" s="970" t="s">
        <v>105</v>
      </c>
      <c r="B121" s="696"/>
      <c r="C121" s="211"/>
      <c r="D121" s="212"/>
      <c r="E121" s="219"/>
      <c r="F121" s="174"/>
      <c r="G121" s="164">
        <f t="shared" si="12"/>
        <v>0</v>
      </c>
      <c r="H121" s="172"/>
      <c r="I121" s="173"/>
      <c r="J121" s="173"/>
      <c r="K121" s="592"/>
      <c r="L121" s="188">
        <f t="shared" si="13"/>
        <v>0</v>
      </c>
    </row>
    <row r="122" spans="1:12" ht="13.5" thickBot="1">
      <c r="A122" s="975" t="s">
        <v>106</v>
      </c>
      <c r="B122" s="976"/>
      <c r="C122" s="213"/>
      <c r="D122" s="214"/>
      <c r="E122" s="220"/>
      <c r="F122" s="180"/>
      <c r="G122" s="197">
        <f t="shared" si="12"/>
        <v>0</v>
      </c>
      <c r="H122" s="178"/>
      <c r="I122" s="179"/>
      <c r="J122" s="179"/>
      <c r="K122" s="601"/>
      <c r="L122" s="190">
        <f t="shared" si="13"/>
        <v>0</v>
      </c>
    </row>
    <row r="123" spans="1:12" ht="13.5" thickBot="1">
      <c r="A123" s="977" t="s">
        <v>11</v>
      </c>
      <c r="B123" s="978"/>
      <c r="C123" s="196">
        <f>SUM(C105:C122)</f>
        <v>485</v>
      </c>
      <c r="D123" s="181">
        <f>SUM(D105:D122)</f>
        <v>485</v>
      </c>
      <c r="E123" s="182">
        <f>+D123-C123</f>
        <v>0</v>
      </c>
      <c r="F123" s="183">
        <f>SUM(F105:F122)</f>
        <v>478</v>
      </c>
      <c r="G123" s="182">
        <f t="shared" si="12"/>
        <v>-7</v>
      </c>
      <c r="H123" s="184">
        <f>131910/173312*100</f>
        <v>76.11129062038404</v>
      </c>
      <c r="I123" s="185">
        <v>74.1</v>
      </c>
      <c r="J123" s="185">
        <f>+I123-H123</f>
        <v>-2.0112906203840453</v>
      </c>
      <c r="K123" s="602">
        <f>123851/176866*100</f>
        <v>70.02532991077992</v>
      </c>
      <c r="L123" s="191">
        <f t="shared" si="13"/>
        <v>-4.074670089220078</v>
      </c>
    </row>
    <row r="125" spans="1:12" ht="12.75">
      <c r="A125" s="668" t="s">
        <v>278</v>
      </c>
      <c r="B125" s="669"/>
      <c r="C125" s="669"/>
      <c r="D125" s="669"/>
      <c r="E125" s="669"/>
      <c r="F125" s="669"/>
      <c r="G125" s="669"/>
      <c r="H125" s="669"/>
      <c r="I125" s="669"/>
      <c r="J125" s="669"/>
      <c r="K125" s="669"/>
      <c r="L125" s="1144"/>
    </row>
    <row r="126" spans="1:12" ht="12.75">
      <c r="A126" s="671"/>
      <c r="B126" s="672"/>
      <c r="C126" s="672"/>
      <c r="D126" s="672"/>
      <c r="E126" s="672"/>
      <c r="F126" s="672"/>
      <c r="G126" s="672"/>
      <c r="H126" s="672"/>
      <c r="I126" s="672"/>
      <c r="J126" s="672"/>
      <c r="K126" s="672"/>
      <c r="L126" s="1145"/>
    </row>
    <row r="127" spans="1:12" ht="12.75">
      <c r="A127" s="671"/>
      <c r="B127" s="672"/>
      <c r="C127" s="672"/>
      <c r="D127" s="672"/>
      <c r="E127" s="672"/>
      <c r="F127" s="672"/>
      <c r="G127" s="672"/>
      <c r="H127" s="672"/>
      <c r="I127" s="672"/>
      <c r="J127" s="672"/>
      <c r="K127" s="672"/>
      <c r="L127" s="1145"/>
    </row>
    <row r="128" spans="1:12" ht="12.75">
      <c r="A128" s="671"/>
      <c r="B128" s="672"/>
      <c r="C128" s="672"/>
      <c r="D128" s="672"/>
      <c r="E128" s="672"/>
      <c r="F128" s="672"/>
      <c r="G128" s="672"/>
      <c r="H128" s="672"/>
      <c r="I128" s="672"/>
      <c r="J128" s="672"/>
      <c r="K128" s="672"/>
      <c r="L128" s="1145"/>
    </row>
    <row r="129" spans="1:12" ht="12.75">
      <c r="A129" s="671"/>
      <c r="B129" s="672"/>
      <c r="C129" s="672"/>
      <c r="D129" s="672"/>
      <c r="E129" s="672"/>
      <c r="F129" s="672"/>
      <c r="G129" s="672"/>
      <c r="H129" s="672"/>
      <c r="I129" s="672"/>
      <c r="J129" s="672"/>
      <c r="K129" s="672"/>
      <c r="L129" s="1145"/>
    </row>
    <row r="130" spans="1:12" ht="12.75">
      <c r="A130" s="671"/>
      <c r="B130" s="672"/>
      <c r="C130" s="672"/>
      <c r="D130" s="672"/>
      <c r="E130" s="672"/>
      <c r="F130" s="672"/>
      <c r="G130" s="672"/>
      <c r="H130" s="672"/>
      <c r="I130" s="672"/>
      <c r="J130" s="672"/>
      <c r="K130" s="672"/>
      <c r="L130" s="1145"/>
    </row>
    <row r="131" spans="1:12" ht="12.75">
      <c r="A131" s="674"/>
      <c r="B131" s="675"/>
      <c r="C131" s="675"/>
      <c r="D131" s="675"/>
      <c r="E131" s="675"/>
      <c r="F131" s="675"/>
      <c r="G131" s="675"/>
      <c r="H131" s="675"/>
      <c r="I131" s="675"/>
      <c r="J131" s="675"/>
      <c r="K131" s="675"/>
      <c r="L131" s="1146"/>
    </row>
    <row r="133" ht="16.5" thickBot="1">
      <c r="A133" s="29" t="s">
        <v>233</v>
      </c>
    </row>
    <row r="134" spans="1:12" s="478" customFormat="1" ht="21.75" customHeight="1" thickBot="1">
      <c r="A134" s="1184" t="s">
        <v>276</v>
      </c>
      <c r="B134" s="1178"/>
      <c r="C134" s="1178"/>
      <c r="D134" s="1178"/>
      <c r="E134" s="1187" t="s">
        <v>216</v>
      </c>
      <c r="F134" s="1182"/>
      <c r="H134" s="795" t="s">
        <v>275</v>
      </c>
      <c r="I134" s="909"/>
      <c r="J134" s="909"/>
      <c r="K134" s="1066" t="s">
        <v>216</v>
      </c>
      <c r="L134" s="1067"/>
    </row>
    <row r="135" spans="1:12" s="478" customFormat="1" ht="18.75" customHeight="1">
      <c r="A135" s="807" t="s">
        <v>217</v>
      </c>
      <c r="B135" s="808"/>
      <c r="C135" s="808"/>
      <c r="D135" s="808"/>
      <c r="E135" s="1062">
        <v>1535000</v>
      </c>
      <c r="F135" s="809"/>
      <c r="H135" s="800" t="s">
        <v>218</v>
      </c>
      <c r="I135" s="801"/>
      <c r="J135" s="801"/>
      <c r="K135" s="1061">
        <v>9266000</v>
      </c>
      <c r="L135" s="802"/>
    </row>
    <row r="136" spans="1:12" s="478" customFormat="1" ht="15.75" customHeight="1">
      <c r="A136" s="807" t="s">
        <v>218</v>
      </c>
      <c r="B136" s="808"/>
      <c r="C136" s="808"/>
      <c r="D136" s="808"/>
      <c r="E136" s="1062">
        <v>21334000</v>
      </c>
      <c r="F136" s="809"/>
      <c r="H136" s="807" t="s">
        <v>221</v>
      </c>
      <c r="I136" s="808"/>
      <c r="J136" s="808"/>
      <c r="K136" s="1062">
        <v>18526000</v>
      </c>
      <c r="L136" s="809"/>
    </row>
    <row r="137" spans="1:12" s="478" customFormat="1" ht="19.5" customHeight="1">
      <c r="A137" s="807" t="s">
        <v>219</v>
      </c>
      <c r="B137" s="808"/>
      <c r="C137" s="808"/>
      <c r="D137" s="808"/>
      <c r="E137" s="1062">
        <v>1351724.02</v>
      </c>
      <c r="F137" s="809"/>
      <c r="H137" s="807" t="s">
        <v>232</v>
      </c>
      <c r="I137" s="808"/>
      <c r="J137" s="808"/>
      <c r="K137" s="1062">
        <v>197956.5</v>
      </c>
      <c r="L137" s="809"/>
    </row>
    <row r="138" spans="1:12" s="478" customFormat="1" ht="15.75" customHeight="1">
      <c r="A138" s="807" t="s">
        <v>231</v>
      </c>
      <c r="B138" s="808"/>
      <c r="C138" s="808"/>
      <c r="D138" s="808"/>
      <c r="E138" s="1062">
        <v>12500</v>
      </c>
      <c r="F138" s="809"/>
      <c r="H138" s="1058"/>
      <c r="I138" s="808"/>
      <c r="J138" s="808"/>
      <c r="K138" s="808"/>
      <c r="L138" s="809"/>
    </row>
    <row r="139" spans="1:12" s="478" customFormat="1" ht="14.25" customHeight="1" thickBot="1">
      <c r="A139" s="1191" t="s">
        <v>226</v>
      </c>
      <c r="B139" s="1192"/>
      <c r="C139" s="1192"/>
      <c r="D139" s="1192"/>
      <c r="E139" s="1188">
        <v>1019047</v>
      </c>
      <c r="F139" s="1189"/>
      <c r="H139" s="1059"/>
      <c r="I139" s="834"/>
      <c r="J139" s="834"/>
      <c r="K139" s="834"/>
      <c r="L139" s="835"/>
    </row>
    <row r="140" spans="1:12" s="478" customFormat="1" ht="15.75" customHeight="1" thickBot="1">
      <c r="A140" s="851" t="s">
        <v>223</v>
      </c>
      <c r="B140" s="852"/>
      <c r="C140" s="852"/>
      <c r="D140" s="852"/>
      <c r="E140" s="817">
        <v>25252271.02</v>
      </c>
      <c r="F140" s="1190"/>
      <c r="H140" s="851" t="s">
        <v>225</v>
      </c>
      <c r="I140" s="1183"/>
      <c r="J140" s="1183"/>
      <c r="K140" s="817">
        <v>27989956.5</v>
      </c>
      <c r="L140" s="1107"/>
    </row>
    <row r="143" ht="15.75">
      <c r="A143" s="29" t="s">
        <v>227</v>
      </c>
    </row>
    <row r="144" ht="13.5" thickBot="1"/>
    <row r="145" spans="1:11" ht="12.75" customHeight="1">
      <c r="A145" s="1003" t="s">
        <v>116</v>
      </c>
      <c r="B145" s="963"/>
      <c r="C145" s="980"/>
      <c r="D145" s="294" t="s">
        <v>117</v>
      </c>
      <c r="E145" s="295"/>
      <c r="F145" s="257"/>
      <c r="G145" s="256" t="s">
        <v>161</v>
      </c>
      <c r="H145" s="295"/>
      <c r="I145" s="257"/>
      <c r="J145" s="1003" t="s">
        <v>162</v>
      </c>
      <c r="K145" s="1015"/>
    </row>
    <row r="146" spans="1:11" ht="12.75">
      <c r="A146" s="1004"/>
      <c r="B146" s="969"/>
      <c r="C146" s="696"/>
      <c r="D146" s="987" t="s">
        <v>118</v>
      </c>
      <c r="E146" s="990" t="s">
        <v>119</v>
      </c>
      <c r="F146" s="993" t="s">
        <v>11</v>
      </c>
      <c r="G146" s="987" t="s">
        <v>118</v>
      </c>
      <c r="H146" s="990" t="s">
        <v>119</v>
      </c>
      <c r="I146" s="993" t="s">
        <v>11</v>
      </c>
      <c r="J146" s="1016"/>
      <c r="K146" s="1017"/>
    </row>
    <row r="147" spans="1:11" ht="12.75">
      <c r="A147" s="1004"/>
      <c r="B147" s="969"/>
      <c r="C147" s="696"/>
      <c r="D147" s="988"/>
      <c r="E147" s="991" t="s">
        <v>120</v>
      </c>
      <c r="F147" s="994"/>
      <c r="G147" s="988"/>
      <c r="H147" s="991" t="s">
        <v>120</v>
      </c>
      <c r="I147" s="994"/>
      <c r="J147" s="1018"/>
      <c r="K147" s="696"/>
    </row>
    <row r="148" spans="1:11" ht="13.5" thickBot="1">
      <c r="A148" s="1005"/>
      <c r="B148" s="965"/>
      <c r="C148" s="702"/>
      <c r="D148" s="989"/>
      <c r="E148" s="992" t="s">
        <v>120</v>
      </c>
      <c r="F148" s="995"/>
      <c r="G148" s="989"/>
      <c r="H148" s="992" t="s">
        <v>120</v>
      </c>
      <c r="I148" s="995"/>
      <c r="J148" s="271" t="s">
        <v>88</v>
      </c>
      <c r="K148" s="272" t="s">
        <v>163</v>
      </c>
    </row>
    <row r="149" spans="1:11" ht="12.75">
      <c r="A149" s="1006" t="s">
        <v>122</v>
      </c>
      <c r="B149" s="967"/>
      <c r="C149" s="1007"/>
      <c r="D149" s="297">
        <v>447993</v>
      </c>
      <c r="E149" s="244">
        <v>1260</v>
      </c>
      <c r="F149" s="258">
        <f>SUM(D149:E149)</f>
        <v>449253</v>
      </c>
      <c r="G149" s="297">
        <v>438443</v>
      </c>
      <c r="H149" s="244">
        <v>977.29</v>
      </c>
      <c r="I149" s="258">
        <f aca="true" t="shared" si="16" ref="I149:I155">SUM(G149:H149)</f>
        <v>439420.29</v>
      </c>
      <c r="J149" s="278">
        <f>+I149-F149</f>
        <v>-9832.710000000021</v>
      </c>
      <c r="K149" s="281">
        <f>+I149/F149</f>
        <v>0.978113201247404</v>
      </c>
    </row>
    <row r="150" spans="1:11" ht="12.75">
      <c r="A150" s="1008" t="s">
        <v>123</v>
      </c>
      <c r="B150" s="969"/>
      <c r="C150" s="696"/>
      <c r="D150" s="290"/>
      <c r="E150" s="242"/>
      <c r="F150" s="258"/>
      <c r="G150" s="290">
        <v>431609</v>
      </c>
      <c r="H150" s="242"/>
      <c r="I150" s="258">
        <f t="shared" si="16"/>
        <v>431609</v>
      </c>
      <c r="J150" s="278"/>
      <c r="K150" s="281"/>
    </row>
    <row r="151" spans="1:11" ht="12.75">
      <c r="A151" s="1008" t="s">
        <v>124</v>
      </c>
      <c r="B151" s="969"/>
      <c r="C151" s="696"/>
      <c r="D151" s="290"/>
      <c r="E151" s="242"/>
      <c r="F151" s="258"/>
      <c r="G151" s="290">
        <v>6834</v>
      </c>
      <c r="H151" s="242"/>
      <c r="I151" s="258">
        <f t="shared" si="16"/>
        <v>6834</v>
      </c>
      <c r="J151" s="278"/>
      <c r="K151" s="281"/>
    </row>
    <row r="152" spans="1:11" ht="12.75">
      <c r="A152" s="1008" t="s">
        <v>125</v>
      </c>
      <c r="B152" s="969"/>
      <c r="C152" s="696"/>
      <c r="D152" s="290">
        <v>36432</v>
      </c>
      <c r="E152" s="242">
        <v>1080</v>
      </c>
      <c r="F152" s="258">
        <f>SUM(D152:E152)</f>
        <v>37512</v>
      </c>
      <c r="G152" s="290">
        <v>47780</v>
      </c>
      <c r="H152" s="242">
        <v>1652.27</v>
      </c>
      <c r="I152" s="258">
        <f t="shared" si="16"/>
        <v>49432.27</v>
      </c>
      <c r="J152" s="278">
        <f>+I152-F152</f>
        <v>11920.269999999997</v>
      </c>
      <c r="K152" s="281">
        <f>+I152/F152</f>
        <v>1.3177721795692043</v>
      </c>
    </row>
    <row r="153" spans="1:11" ht="12.75">
      <c r="A153" s="1008" t="s">
        <v>126</v>
      </c>
      <c r="B153" s="969"/>
      <c r="C153" s="696"/>
      <c r="D153" s="290"/>
      <c r="E153" s="242"/>
      <c r="F153" s="258"/>
      <c r="G153" s="290">
        <v>45335</v>
      </c>
      <c r="H153" s="242"/>
      <c r="I153" s="258">
        <f t="shared" si="16"/>
        <v>45335</v>
      </c>
      <c r="J153" s="278"/>
      <c r="K153" s="281"/>
    </row>
    <row r="154" spans="1:11" ht="12.75">
      <c r="A154" s="1008" t="s">
        <v>127</v>
      </c>
      <c r="B154" s="969"/>
      <c r="C154" s="696"/>
      <c r="D154" s="290">
        <v>14500</v>
      </c>
      <c r="E154" s="242">
        <v>0</v>
      </c>
      <c r="F154" s="258">
        <f>SUM(D154:E154)</f>
        <v>14500</v>
      </c>
      <c r="G154" s="290">
        <v>13075.16</v>
      </c>
      <c r="H154" s="242">
        <v>0</v>
      </c>
      <c r="I154" s="258">
        <f t="shared" si="16"/>
        <v>13075.16</v>
      </c>
      <c r="J154" s="278">
        <f>+I154-F154</f>
        <v>-1424.8400000000001</v>
      </c>
      <c r="K154" s="281">
        <f>+I154/F154</f>
        <v>0.9017351724137931</v>
      </c>
    </row>
    <row r="155" spans="1:11" ht="12.75">
      <c r="A155" s="1008" t="s">
        <v>128</v>
      </c>
      <c r="B155" s="969"/>
      <c r="C155" s="696"/>
      <c r="D155" s="290">
        <v>2696</v>
      </c>
      <c r="E155" s="242">
        <v>310</v>
      </c>
      <c r="F155" s="258">
        <f>SUM(D155:E155)</f>
        <v>3006</v>
      </c>
      <c r="G155" s="290">
        <f>1684.4+0.01+152.33+0.91</f>
        <v>1837.65</v>
      </c>
      <c r="H155" s="242">
        <v>302.1</v>
      </c>
      <c r="I155" s="258">
        <f t="shared" si="16"/>
        <v>2139.75</v>
      </c>
      <c r="J155" s="278">
        <f>+I155-F155</f>
        <v>-866.25</v>
      </c>
      <c r="K155" s="281">
        <f>+I155/F155</f>
        <v>0.7118263473053892</v>
      </c>
    </row>
    <row r="156" spans="1:11" ht="12.75">
      <c r="A156" s="1008" t="s">
        <v>129</v>
      </c>
      <c r="B156" s="969"/>
      <c r="C156" s="696"/>
      <c r="D156" s="290"/>
      <c r="E156" s="242"/>
      <c r="F156" s="258"/>
      <c r="G156" s="290"/>
      <c r="H156" s="242"/>
      <c r="I156" s="258"/>
      <c r="J156" s="278"/>
      <c r="K156" s="281"/>
    </row>
    <row r="157" spans="1:11" ht="12.75">
      <c r="A157" s="1008" t="s">
        <v>130</v>
      </c>
      <c r="B157" s="969"/>
      <c r="C157" s="696"/>
      <c r="D157" s="290">
        <v>4510</v>
      </c>
      <c r="E157" s="242">
        <v>90</v>
      </c>
      <c r="F157" s="258">
        <f>SUM(D157:E157)</f>
        <v>4600</v>
      </c>
      <c r="G157" s="290">
        <v>4788</v>
      </c>
      <c r="H157" s="242">
        <v>43.66</v>
      </c>
      <c r="I157" s="258">
        <f>SUM(G157:H157)</f>
        <v>4831.66</v>
      </c>
      <c r="J157" s="278">
        <f>+I157-F157</f>
        <v>231.65999999999985</v>
      </c>
      <c r="K157" s="281">
        <f>+I157/F157</f>
        <v>1.0503608695652173</v>
      </c>
    </row>
    <row r="158" spans="1:11" ht="12.75">
      <c r="A158" s="1008" t="s">
        <v>131</v>
      </c>
      <c r="B158" s="969"/>
      <c r="C158" s="696"/>
      <c r="D158" s="290"/>
      <c r="E158" s="242"/>
      <c r="F158" s="258"/>
      <c r="G158" s="290"/>
      <c r="H158" s="242"/>
      <c r="I158" s="258"/>
      <c r="J158" s="278"/>
      <c r="K158" s="281"/>
    </row>
    <row r="159" spans="1:11" ht="13.5" thickBot="1">
      <c r="A159" s="1009" t="s">
        <v>132</v>
      </c>
      <c r="B159" s="1010"/>
      <c r="C159" s="976"/>
      <c r="D159" s="293">
        <v>25252</v>
      </c>
      <c r="E159" s="245">
        <v>0</v>
      </c>
      <c r="F159" s="258">
        <f>SUM(D159:E159)</f>
        <v>25252</v>
      </c>
      <c r="G159" s="293">
        <v>25252</v>
      </c>
      <c r="H159" s="245">
        <v>0</v>
      </c>
      <c r="I159" s="258">
        <f>SUM(G159:H159)</f>
        <v>25252</v>
      </c>
      <c r="J159" s="278">
        <f>+I159-F159</f>
        <v>0</v>
      </c>
      <c r="K159" s="281">
        <f>+I159/F159</f>
        <v>1</v>
      </c>
    </row>
    <row r="160" spans="1:11" ht="13.5" thickBot="1">
      <c r="A160" s="1011" t="s">
        <v>4</v>
      </c>
      <c r="B160" s="1012"/>
      <c r="C160" s="1013"/>
      <c r="D160" s="299">
        <f aca="true" t="shared" si="17" ref="D160:I160">SUM(D149+D152+D154+D155+D157+D159)</f>
        <v>531383</v>
      </c>
      <c r="E160" s="246">
        <f t="shared" si="17"/>
        <v>2740</v>
      </c>
      <c r="F160" s="303">
        <f t="shared" si="17"/>
        <v>534123</v>
      </c>
      <c r="G160" s="299">
        <f t="shared" si="17"/>
        <v>531175.81</v>
      </c>
      <c r="H160" s="246">
        <f t="shared" si="17"/>
        <v>2975.3199999999997</v>
      </c>
      <c r="I160" s="303">
        <f t="shared" si="17"/>
        <v>534151.1299999999</v>
      </c>
      <c r="J160" s="279">
        <f>+I160-F160</f>
        <v>28.12999999988824</v>
      </c>
      <c r="K160" s="282">
        <f>+I160/F160</f>
        <v>1.0000526657717415</v>
      </c>
    </row>
    <row r="161" spans="4:5" ht="6" customHeight="1" thickBot="1">
      <c r="D161" s="308"/>
      <c r="E161" s="308"/>
    </row>
    <row r="162" spans="1:11" ht="12.75">
      <c r="A162" s="1014" t="s">
        <v>133</v>
      </c>
      <c r="B162" s="963"/>
      <c r="C162" s="980"/>
      <c r="D162" s="314">
        <v>135722</v>
      </c>
      <c r="E162" s="248">
        <v>890</v>
      </c>
      <c r="F162" s="249">
        <f>SUM(D162:E162)</f>
        <v>136612</v>
      </c>
      <c r="G162" s="314">
        <v>135467.04</v>
      </c>
      <c r="H162" s="248">
        <v>488.16</v>
      </c>
      <c r="I162" s="249">
        <f>SUM(G162:H162)</f>
        <v>135955.2</v>
      </c>
      <c r="J162" s="283">
        <f aca="true" t="shared" si="18" ref="J162:J184">+I162-F162</f>
        <v>-656.7999999999884</v>
      </c>
      <c r="K162" s="284">
        <f>+I162/F162</f>
        <v>0.9951922232307558</v>
      </c>
    </row>
    <row r="163" spans="1:11" ht="12.75">
      <c r="A163" s="1008" t="s">
        <v>134</v>
      </c>
      <c r="B163" s="969"/>
      <c r="C163" s="696"/>
      <c r="D163" s="300">
        <v>5998</v>
      </c>
      <c r="E163" s="240">
        <v>2</v>
      </c>
      <c r="F163" s="250">
        <f>SUM(D163:E163)</f>
        <v>6000</v>
      </c>
      <c r="G163" s="300">
        <v>5266</v>
      </c>
      <c r="H163" s="240">
        <v>0</v>
      </c>
      <c r="I163" s="250">
        <f>SUM(G163:H163)</f>
        <v>5266</v>
      </c>
      <c r="J163" s="278">
        <f t="shared" si="18"/>
        <v>-734</v>
      </c>
      <c r="K163" s="281">
        <f>+I163/F163</f>
        <v>0.8776666666666667</v>
      </c>
    </row>
    <row r="164" spans="1:11" ht="12.75">
      <c r="A164" s="1008" t="s">
        <v>135</v>
      </c>
      <c r="B164" s="969"/>
      <c r="C164" s="696"/>
      <c r="D164" s="291"/>
      <c r="E164" s="276"/>
      <c r="F164" s="250"/>
      <c r="G164" s="291">
        <v>30702</v>
      </c>
      <c r="H164" s="276">
        <v>0</v>
      </c>
      <c r="I164" s="250">
        <f aca="true" t="shared" si="19" ref="I164:I169">SUM(G164:H164)</f>
        <v>30702</v>
      </c>
      <c r="J164" s="278">
        <f t="shared" si="18"/>
        <v>30702</v>
      </c>
      <c r="K164" s="270"/>
    </row>
    <row r="165" spans="1:11" ht="12.75">
      <c r="A165" s="1008" t="s">
        <v>136</v>
      </c>
      <c r="B165" s="969"/>
      <c r="C165" s="696"/>
      <c r="D165" s="291"/>
      <c r="E165" s="276"/>
      <c r="F165" s="250"/>
      <c r="G165" s="291">
        <v>9791</v>
      </c>
      <c r="H165" s="276">
        <v>0</v>
      </c>
      <c r="I165" s="250">
        <f t="shared" si="19"/>
        <v>9791</v>
      </c>
      <c r="J165" s="278">
        <f t="shared" si="18"/>
        <v>9791</v>
      </c>
      <c r="K165" s="270"/>
    </row>
    <row r="166" spans="1:11" ht="12.75">
      <c r="A166" s="1008" t="s">
        <v>137</v>
      </c>
      <c r="B166" s="969"/>
      <c r="C166" s="696"/>
      <c r="D166" s="291"/>
      <c r="E166" s="276"/>
      <c r="F166" s="250"/>
      <c r="G166" s="291">
        <v>66967</v>
      </c>
      <c r="H166" s="276">
        <v>3</v>
      </c>
      <c r="I166" s="250">
        <f t="shared" si="19"/>
        <v>66970</v>
      </c>
      <c r="J166" s="278">
        <f t="shared" si="18"/>
        <v>66970</v>
      </c>
      <c r="K166" s="270"/>
    </row>
    <row r="167" spans="1:11" ht="12.75">
      <c r="A167" s="1008" t="s">
        <v>138</v>
      </c>
      <c r="B167" s="969"/>
      <c r="C167" s="696"/>
      <c r="D167" s="291"/>
      <c r="E167" s="276"/>
      <c r="F167" s="250"/>
      <c r="G167" s="291">
        <v>12412</v>
      </c>
      <c r="H167" s="276">
        <v>466</v>
      </c>
      <c r="I167" s="250">
        <f t="shared" si="19"/>
        <v>12878</v>
      </c>
      <c r="J167" s="278">
        <f t="shared" si="18"/>
        <v>12878</v>
      </c>
      <c r="K167" s="270"/>
    </row>
    <row r="168" spans="1:11" ht="12.75">
      <c r="A168" s="1008" t="s">
        <v>139</v>
      </c>
      <c r="B168" s="969"/>
      <c r="C168" s="696"/>
      <c r="D168" s="291"/>
      <c r="E168" s="276"/>
      <c r="F168" s="250"/>
      <c r="G168" s="291">
        <v>1244</v>
      </c>
      <c r="H168" s="276">
        <v>2</v>
      </c>
      <c r="I168" s="250">
        <f t="shared" si="19"/>
        <v>1246</v>
      </c>
      <c r="J168" s="278">
        <f t="shared" si="18"/>
        <v>1246</v>
      </c>
      <c r="K168" s="270"/>
    </row>
    <row r="169" spans="1:11" ht="12.75">
      <c r="A169" s="1008" t="s">
        <v>140</v>
      </c>
      <c r="B169" s="969"/>
      <c r="C169" s="696"/>
      <c r="D169" s="291"/>
      <c r="E169" s="276"/>
      <c r="F169" s="250"/>
      <c r="G169" s="291">
        <v>9085</v>
      </c>
      <c r="H169" s="276">
        <v>17</v>
      </c>
      <c r="I169" s="250">
        <f t="shared" si="19"/>
        <v>9102</v>
      </c>
      <c r="J169" s="278">
        <f t="shared" si="18"/>
        <v>9102</v>
      </c>
      <c r="K169" s="270"/>
    </row>
    <row r="170" spans="1:11" ht="12.75">
      <c r="A170" s="1008" t="s">
        <v>141</v>
      </c>
      <c r="B170" s="969"/>
      <c r="C170" s="696"/>
      <c r="D170" s="301">
        <v>5860</v>
      </c>
      <c r="E170" s="242">
        <v>10</v>
      </c>
      <c r="F170" s="250">
        <f aca="true" t="shared" si="20" ref="F170:F175">SUM(D170:E170)</f>
        <v>5870</v>
      </c>
      <c r="G170" s="301">
        <v>5792.23</v>
      </c>
      <c r="H170" s="242">
        <v>5.08</v>
      </c>
      <c r="I170" s="250">
        <f aca="true" t="shared" si="21" ref="I170:I184">SUM(G170:H170)</f>
        <v>5797.3099999999995</v>
      </c>
      <c r="J170" s="278">
        <f t="shared" si="18"/>
        <v>-72.69000000000051</v>
      </c>
      <c r="K170" s="281">
        <f aca="true" t="shared" si="22" ref="K170:K175">+I170/F170</f>
        <v>0.9876166950596251</v>
      </c>
    </row>
    <row r="171" spans="1:11" ht="12.75">
      <c r="A171" s="1008" t="s">
        <v>142</v>
      </c>
      <c r="B171" s="969"/>
      <c r="C171" s="696"/>
      <c r="D171" s="290">
        <v>12193</v>
      </c>
      <c r="E171" s="242">
        <v>107</v>
      </c>
      <c r="F171" s="250">
        <f t="shared" si="20"/>
        <v>12300</v>
      </c>
      <c r="G171" s="290">
        <v>13452.52</v>
      </c>
      <c r="H171" s="242">
        <v>95.09</v>
      </c>
      <c r="I171" s="250">
        <f t="shared" si="21"/>
        <v>13547.61</v>
      </c>
      <c r="J171" s="278">
        <f t="shared" si="18"/>
        <v>1247.6100000000006</v>
      </c>
      <c r="K171" s="281">
        <f t="shared" si="22"/>
        <v>1.1014317073170732</v>
      </c>
    </row>
    <row r="172" spans="1:11" ht="12.75">
      <c r="A172" s="1008" t="s">
        <v>143</v>
      </c>
      <c r="B172" s="969"/>
      <c r="C172" s="696"/>
      <c r="D172" s="290">
        <v>28570</v>
      </c>
      <c r="E172" s="242">
        <v>730</v>
      </c>
      <c r="F172" s="250">
        <f t="shared" si="20"/>
        <v>29300</v>
      </c>
      <c r="G172" s="290">
        <v>39685.7</v>
      </c>
      <c r="H172" s="242">
        <v>1409.77</v>
      </c>
      <c r="I172" s="250">
        <f t="shared" si="21"/>
        <v>41095.469999999994</v>
      </c>
      <c r="J172" s="278">
        <f t="shared" si="18"/>
        <v>11795.469999999994</v>
      </c>
      <c r="K172" s="281">
        <f t="shared" si="22"/>
        <v>1.4025757679180886</v>
      </c>
    </row>
    <row r="173" spans="1:11" ht="12.75">
      <c r="A173" s="1008" t="s">
        <v>144</v>
      </c>
      <c r="B173" s="969"/>
      <c r="C173" s="696"/>
      <c r="D173" s="290">
        <v>57470</v>
      </c>
      <c r="E173" s="242">
        <v>20</v>
      </c>
      <c r="F173" s="250">
        <f t="shared" si="20"/>
        <v>57490</v>
      </c>
      <c r="G173" s="290">
        <f>7199.92+741.99+34.01+50931.18</f>
        <v>58907.1</v>
      </c>
      <c r="H173" s="242">
        <f>1.78+0.1+9.03+37.78</f>
        <v>48.69</v>
      </c>
      <c r="I173" s="250">
        <f t="shared" si="21"/>
        <v>58955.79</v>
      </c>
      <c r="J173" s="278">
        <f t="shared" si="18"/>
        <v>1465.7900000000009</v>
      </c>
      <c r="K173" s="281">
        <f t="shared" si="22"/>
        <v>1.025496434162463</v>
      </c>
    </row>
    <row r="174" spans="1:11" ht="12.75">
      <c r="A174" s="1008" t="s">
        <v>145</v>
      </c>
      <c r="B174" s="969"/>
      <c r="C174" s="696"/>
      <c r="D174" s="290">
        <v>7241</v>
      </c>
      <c r="E174" s="242">
        <v>4</v>
      </c>
      <c r="F174" s="250">
        <f t="shared" si="20"/>
        <v>7245</v>
      </c>
      <c r="G174" s="290">
        <v>7199.92</v>
      </c>
      <c r="H174" s="242">
        <v>1.78</v>
      </c>
      <c r="I174" s="250">
        <f t="shared" si="21"/>
        <v>7201.7</v>
      </c>
      <c r="J174" s="278">
        <f t="shared" si="18"/>
        <v>-43.30000000000018</v>
      </c>
      <c r="K174" s="281">
        <f t="shared" si="22"/>
        <v>0.9940234644582471</v>
      </c>
    </row>
    <row r="175" spans="1:11" ht="12.75">
      <c r="A175" s="1008" t="s">
        <v>146</v>
      </c>
      <c r="B175" s="969"/>
      <c r="C175" s="696"/>
      <c r="D175" s="290">
        <v>49769</v>
      </c>
      <c r="E175" s="242">
        <v>16</v>
      </c>
      <c r="F175" s="250">
        <f t="shared" si="20"/>
        <v>49785</v>
      </c>
      <c r="G175" s="290">
        <v>50931.18</v>
      </c>
      <c r="H175" s="242">
        <v>37.78</v>
      </c>
      <c r="I175" s="250">
        <f t="shared" si="21"/>
        <v>50968.96</v>
      </c>
      <c r="J175" s="278">
        <f t="shared" si="18"/>
        <v>1183.9599999999991</v>
      </c>
      <c r="K175" s="281">
        <f t="shared" si="22"/>
        <v>1.0237814602792006</v>
      </c>
    </row>
    <row r="176" spans="1:11" ht="12.75">
      <c r="A176" s="1008" t="s">
        <v>147</v>
      </c>
      <c r="B176" s="969"/>
      <c r="C176" s="696"/>
      <c r="D176" s="290"/>
      <c r="E176" s="242"/>
      <c r="F176" s="250"/>
      <c r="G176" s="290">
        <v>2376</v>
      </c>
      <c r="H176" s="242">
        <v>0</v>
      </c>
      <c r="I176" s="250">
        <f t="shared" si="21"/>
        <v>2376</v>
      </c>
      <c r="J176" s="278">
        <f t="shared" si="18"/>
        <v>2376</v>
      </c>
      <c r="K176" s="270"/>
    </row>
    <row r="177" spans="1:11" ht="12.75">
      <c r="A177" s="1008" t="s">
        <v>148</v>
      </c>
      <c r="B177" s="969"/>
      <c r="C177" s="696"/>
      <c r="D177" s="290"/>
      <c r="E177" s="242"/>
      <c r="F177" s="250"/>
      <c r="G177" s="290">
        <v>183</v>
      </c>
      <c r="H177" s="242">
        <v>0</v>
      </c>
      <c r="I177" s="250">
        <f t="shared" si="21"/>
        <v>183</v>
      </c>
      <c r="J177" s="278">
        <f t="shared" si="18"/>
        <v>183</v>
      </c>
      <c r="K177" s="270"/>
    </row>
    <row r="178" spans="1:11" ht="12.75">
      <c r="A178" s="1008" t="s">
        <v>149</v>
      </c>
      <c r="B178" s="969"/>
      <c r="C178" s="696"/>
      <c r="D178" s="290"/>
      <c r="E178" s="242"/>
      <c r="F178" s="250"/>
      <c r="G178" s="290">
        <v>31313</v>
      </c>
      <c r="H178" s="242">
        <v>26</v>
      </c>
      <c r="I178" s="250">
        <f t="shared" si="21"/>
        <v>31339</v>
      </c>
      <c r="J178" s="278">
        <f t="shared" si="18"/>
        <v>31339</v>
      </c>
      <c r="K178" s="270"/>
    </row>
    <row r="179" spans="1:11" ht="12.75">
      <c r="A179" s="1008" t="s">
        <v>150</v>
      </c>
      <c r="B179" s="969"/>
      <c r="C179" s="696"/>
      <c r="D179" s="290"/>
      <c r="E179" s="242"/>
      <c r="F179" s="250"/>
      <c r="G179" s="290">
        <v>17059</v>
      </c>
      <c r="H179" s="242">
        <v>12</v>
      </c>
      <c r="I179" s="250">
        <f t="shared" si="21"/>
        <v>17071</v>
      </c>
      <c r="J179" s="278">
        <f t="shared" si="18"/>
        <v>17071</v>
      </c>
      <c r="K179" s="281"/>
    </row>
    <row r="180" spans="1:11" ht="12.75">
      <c r="A180" s="1008" t="s">
        <v>151</v>
      </c>
      <c r="B180" s="969"/>
      <c r="C180" s="696"/>
      <c r="D180" s="301">
        <v>282771</v>
      </c>
      <c r="E180" s="242">
        <v>130</v>
      </c>
      <c r="F180" s="250">
        <f>SUM(D180:E180)</f>
        <v>282901</v>
      </c>
      <c r="G180" s="301">
        <f>194866.08+68035.52+3889.66+87.89</f>
        <v>266879.14999999997</v>
      </c>
      <c r="H180" s="242">
        <f>79.04+25.16+4.07+0.34</f>
        <v>108.61000000000001</v>
      </c>
      <c r="I180" s="250">
        <f t="shared" si="21"/>
        <v>266987.75999999995</v>
      </c>
      <c r="J180" s="278">
        <f t="shared" si="18"/>
        <v>-15913.240000000049</v>
      </c>
      <c r="K180" s="281">
        <f>+I180/F180</f>
        <v>0.943749792330179</v>
      </c>
    </row>
    <row r="181" spans="1:11" ht="12.75">
      <c r="A181" s="1008" t="s">
        <v>152</v>
      </c>
      <c r="B181" s="969"/>
      <c r="C181" s="696"/>
      <c r="D181" s="301">
        <v>206386</v>
      </c>
      <c r="E181" s="242">
        <v>93</v>
      </c>
      <c r="F181" s="250">
        <f>SUM(D181:E181)</f>
        <v>206479</v>
      </c>
      <c r="G181" s="301">
        <v>194866.08</v>
      </c>
      <c r="H181" s="242">
        <v>79.04</v>
      </c>
      <c r="I181" s="250">
        <f t="shared" si="21"/>
        <v>194945.12</v>
      </c>
      <c r="J181" s="278">
        <f t="shared" si="18"/>
        <v>-11533.880000000005</v>
      </c>
      <c r="K181" s="281">
        <f>+I181/F181</f>
        <v>0.9441401789043922</v>
      </c>
    </row>
    <row r="182" spans="1:11" ht="12.75">
      <c r="A182" s="1008" t="s">
        <v>153</v>
      </c>
      <c r="B182" s="969"/>
      <c r="C182" s="696"/>
      <c r="D182" s="301">
        <v>205186</v>
      </c>
      <c r="E182" s="242">
        <v>93</v>
      </c>
      <c r="F182" s="250">
        <f>SUM(D182:E182)</f>
        <v>205279</v>
      </c>
      <c r="G182" s="301">
        <v>193645</v>
      </c>
      <c r="H182" s="242">
        <v>79</v>
      </c>
      <c r="I182" s="250">
        <f t="shared" si="21"/>
        <v>193724</v>
      </c>
      <c r="J182" s="278">
        <f t="shared" si="18"/>
        <v>-11555</v>
      </c>
      <c r="K182" s="281">
        <f>+I182/F182</f>
        <v>0.9437107546315016</v>
      </c>
    </row>
    <row r="183" spans="1:11" ht="12.75">
      <c r="A183" s="1008" t="s">
        <v>154</v>
      </c>
      <c r="B183" s="969"/>
      <c r="C183" s="696"/>
      <c r="D183" s="301">
        <v>1200</v>
      </c>
      <c r="E183" s="242">
        <v>0</v>
      </c>
      <c r="F183" s="250">
        <f>SUM(D183:E183)</f>
        <v>1200</v>
      </c>
      <c r="G183" s="301">
        <v>1221</v>
      </c>
      <c r="H183" s="242"/>
      <c r="I183" s="250">
        <f t="shared" si="21"/>
        <v>1221</v>
      </c>
      <c r="J183" s="278">
        <f t="shared" si="18"/>
        <v>21</v>
      </c>
      <c r="K183" s="281">
        <f>+I183/F183</f>
        <v>1.0175</v>
      </c>
    </row>
    <row r="184" spans="1:11" ht="12.75">
      <c r="A184" s="1008" t="s">
        <v>155</v>
      </c>
      <c r="B184" s="969"/>
      <c r="C184" s="696"/>
      <c r="D184" s="301">
        <v>76385</v>
      </c>
      <c r="E184" s="242">
        <v>37</v>
      </c>
      <c r="F184" s="250">
        <f>SUM(D184:E184)</f>
        <v>76422</v>
      </c>
      <c r="G184" s="301">
        <f>68035.52+3889.66+87.89</f>
        <v>72013.07</v>
      </c>
      <c r="H184" s="242">
        <f>25.16+4.07+0.34</f>
        <v>29.57</v>
      </c>
      <c r="I184" s="250">
        <f t="shared" si="21"/>
        <v>72042.64000000001</v>
      </c>
      <c r="J184" s="278">
        <f t="shared" si="18"/>
        <v>-4379.359999999986</v>
      </c>
      <c r="K184" s="281">
        <f>+I184/F184</f>
        <v>0.9426950354609931</v>
      </c>
    </row>
    <row r="185" spans="1:11" ht="12.75">
      <c r="A185" s="1008" t="s">
        <v>156</v>
      </c>
      <c r="B185" s="969"/>
      <c r="C185" s="696"/>
      <c r="D185" s="290"/>
      <c r="E185" s="242"/>
      <c r="F185" s="250"/>
      <c r="G185" s="290"/>
      <c r="H185" s="242"/>
      <c r="I185" s="250"/>
      <c r="J185" s="278"/>
      <c r="K185" s="281"/>
    </row>
    <row r="186" spans="1:11" ht="12.75">
      <c r="A186" s="1008" t="s">
        <v>157</v>
      </c>
      <c r="B186" s="969"/>
      <c r="C186" s="696"/>
      <c r="D186" s="290">
        <v>2150</v>
      </c>
      <c r="E186" s="242">
        <v>0</v>
      </c>
      <c r="F186" s="250">
        <f>SUM(D186:E186)</f>
        <v>2150</v>
      </c>
      <c r="G186" s="290">
        <f>2.1+0.52+91.29+2234.82</f>
        <v>2328.73</v>
      </c>
      <c r="H186" s="242">
        <v>0.13</v>
      </c>
      <c r="I186" s="250">
        <f>SUM(G186:H186)</f>
        <v>2328.86</v>
      </c>
      <c r="J186" s="278">
        <f>+I186-F186</f>
        <v>178.86000000000013</v>
      </c>
      <c r="K186" s="281">
        <f>+I186/F186</f>
        <v>1.0831906976744186</v>
      </c>
    </row>
    <row r="187" spans="1:11" ht="12.75">
      <c r="A187" s="1008" t="s">
        <v>158</v>
      </c>
      <c r="B187" s="969"/>
      <c r="C187" s="696"/>
      <c r="D187" s="290">
        <v>7449</v>
      </c>
      <c r="E187" s="242">
        <v>51</v>
      </c>
      <c r="F187" s="250">
        <f>SUM(D187:E187)</f>
        <v>7500</v>
      </c>
      <c r="G187" s="290">
        <f>4904.71+4373.05</f>
        <v>9277.76</v>
      </c>
      <c r="H187" s="242">
        <f>0.43+72.94</f>
        <v>73.37</v>
      </c>
      <c r="I187" s="250">
        <f>SUM(G187:H187)</f>
        <v>9351.130000000001</v>
      </c>
      <c r="J187" s="278">
        <f>+I187-F187</f>
        <v>1851.130000000001</v>
      </c>
      <c r="K187" s="281">
        <f>+I187/F187</f>
        <v>1.2468173333333334</v>
      </c>
    </row>
    <row r="188" spans="1:11" ht="12.75">
      <c r="A188" s="1008" t="s">
        <v>159</v>
      </c>
      <c r="B188" s="969"/>
      <c r="C188" s="696"/>
      <c r="D188" s="290">
        <v>4434</v>
      </c>
      <c r="E188" s="244">
        <v>0</v>
      </c>
      <c r="F188" s="250">
        <f>SUM(D188:E188)</f>
        <v>4434</v>
      </c>
      <c r="G188" s="290">
        <v>4904.71</v>
      </c>
      <c r="H188" s="244">
        <v>0.43</v>
      </c>
      <c r="I188" s="250">
        <f>SUM(G188:H188)</f>
        <v>4905.14</v>
      </c>
      <c r="J188" s="278">
        <f>+I188-F188</f>
        <v>471.1400000000003</v>
      </c>
      <c r="K188" s="281">
        <f>+I188/F188</f>
        <v>1.106256202074876</v>
      </c>
    </row>
    <row r="189" spans="1:11" ht="13.5" thickBot="1">
      <c r="A189" s="1025" t="s">
        <v>160</v>
      </c>
      <c r="B189" s="1026"/>
      <c r="C189" s="1027"/>
      <c r="D189" s="310"/>
      <c r="E189" s="245"/>
      <c r="F189" s="315"/>
      <c r="G189" s="310"/>
      <c r="H189" s="245"/>
      <c r="I189" s="315"/>
      <c r="J189" s="306"/>
      <c r="K189" s="281"/>
    </row>
    <row r="190" spans="1:11" ht="13.5" thickBot="1">
      <c r="A190" s="1011" t="s">
        <v>3</v>
      </c>
      <c r="B190" s="1012"/>
      <c r="C190" s="1013"/>
      <c r="D190" s="299">
        <f aca="true" t="shared" si="23" ref="D190:I190">SUM(D162+D170+D171+D172+D173+D180+D185+D186+D187+D189)</f>
        <v>532185</v>
      </c>
      <c r="E190" s="246">
        <f t="shared" si="23"/>
        <v>1938</v>
      </c>
      <c r="F190" s="303">
        <f t="shared" si="23"/>
        <v>534123</v>
      </c>
      <c r="G190" s="299">
        <f t="shared" si="23"/>
        <v>531790.23</v>
      </c>
      <c r="H190" s="246">
        <f t="shared" si="23"/>
        <v>2228.9</v>
      </c>
      <c r="I190" s="303">
        <f t="shared" si="23"/>
        <v>534019.13</v>
      </c>
      <c r="J190" s="285">
        <f>+I190-F190</f>
        <v>-103.86999999999534</v>
      </c>
      <c r="K190" s="286">
        <f>+I190/F190</f>
        <v>0.9998055316846495</v>
      </c>
    </row>
    <row r="191" ht="5.25" customHeight="1" thickBot="1"/>
    <row r="192" spans="1:9" ht="13.5" thickBot="1">
      <c r="A192" s="1028" t="s">
        <v>24</v>
      </c>
      <c r="B192" s="974"/>
      <c r="C192" s="936"/>
      <c r="D192" s="1001">
        <f>+F160-F190</f>
        <v>0</v>
      </c>
      <c r="E192" s="1002"/>
      <c r="F192" s="1002"/>
      <c r="G192" s="1001">
        <f>+I160-I190</f>
        <v>131.99999999988358</v>
      </c>
      <c r="H192" s="1002"/>
      <c r="I192" s="921"/>
    </row>
    <row r="193" spans="1:9" ht="12.75">
      <c r="A193" s="1138" t="s">
        <v>164</v>
      </c>
      <c r="B193" s="1139"/>
      <c r="C193" s="1139"/>
      <c r="D193" s="1139"/>
      <c r="E193" s="1139"/>
      <c r="F193" s="1140"/>
      <c r="G193" s="1141">
        <v>-19030.78</v>
      </c>
      <c r="H193" s="1142"/>
      <c r="I193" s="1143"/>
    </row>
    <row r="194" spans="1:9" ht="13.5" thickBot="1">
      <c r="A194" s="1029" t="s">
        <v>165</v>
      </c>
      <c r="B194" s="1030"/>
      <c r="C194" s="1030"/>
      <c r="D194" s="1030"/>
      <c r="E194" s="1030"/>
      <c r="F194" s="1031"/>
      <c r="G194" s="1032">
        <f>SUM(G192:I193)</f>
        <v>-18898.780000000115</v>
      </c>
      <c r="H194" s="698"/>
      <c r="I194" s="995"/>
    </row>
    <row r="195" ht="13.5" thickBot="1"/>
    <row r="196" spans="1:12" ht="12.75" customHeight="1">
      <c r="A196" s="926" t="s">
        <v>307</v>
      </c>
      <c r="B196" s="927"/>
      <c r="C196" s="927"/>
      <c r="D196" s="927"/>
      <c r="E196" s="927"/>
      <c r="F196" s="927"/>
      <c r="G196" s="927"/>
      <c r="H196" s="927"/>
      <c r="I196" s="927"/>
      <c r="J196" s="927"/>
      <c r="K196" s="927"/>
      <c r="L196" s="928"/>
    </row>
    <row r="197" spans="1:12" ht="12.75">
      <c r="A197" s="929"/>
      <c r="B197" s="672"/>
      <c r="C197" s="672"/>
      <c r="D197" s="672"/>
      <c r="E197" s="672"/>
      <c r="F197" s="672"/>
      <c r="G197" s="672"/>
      <c r="H197" s="672"/>
      <c r="I197" s="672"/>
      <c r="J197" s="672"/>
      <c r="K197" s="672"/>
      <c r="L197" s="930"/>
    </row>
    <row r="198" spans="1:12" ht="12.75">
      <c r="A198" s="929"/>
      <c r="B198" s="672"/>
      <c r="C198" s="672"/>
      <c r="D198" s="672"/>
      <c r="E198" s="672"/>
      <c r="F198" s="672"/>
      <c r="G198" s="672"/>
      <c r="H198" s="672"/>
      <c r="I198" s="672"/>
      <c r="J198" s="672"/>
      <c r="K198" s="672"/>
      <c r="L198" s="930"/>
    </row>
    <row r="199" spans="1:12" ht="12.75">
      <c r="A199" s="929"/>
      <c r="B199" s="672"/>
      <c r="C199" s="672"/>
      <c r="D199" s="672"/>
      <c r="E199" s="672"/>
      <c r="F199" s="672"/>
      <c r="G199" s="672"/>
      <c r="H199" s="672"/>
      <c r="I199" s="672"/>
      <c r="J199" s="672"/>
      <c r="K199" s="672"/>
      <c r="L199" s="930"/>
    </row>
    <row r="200" spans="1:12" ht="12.75">
      <c r="A200" s="929"/>
      <c r="B200" s="672"/>
      <c r="C200" s="672"/>
      <c r="D200" s="672"/>
      <c r="E200" s="672"/>
      <c r="F200" s="672"/>
      <c r="G200" s="672"/>
      <c r="H200" s="672"/>
      <c r="I200" s="672"/>
      <c r="J200" s="672"/>
      <c r="K200" s="672"/>
      <c r="L200" s="930"/>
    </row>
    <row r="201" spans="1:12" ht="12.75">
      <c r="A201" s="929"/>
      <c r="B201" s="672"/>
      <c r="C201" s="672"/>
      <c r="D201" s="672"/>
      <c r="E201" s="672"/>
      <c r="F201" s="672"/>
      <c r="G201" s="672"/>
      <c r="H201" s="672"/>
      <c r="I201" s="672"/>
      <c r="J201" s="672"/>
      <c r="K201" s="672"/>
      <c r="L201" s="930"/>
    </row>
    <row r="202" spans="1:12" ht="13.5" thickBot="1">
      <c r="A202" s="931"/>
      <c r="B202" s="932"/>
      <c r="C202" s="932"/>
      <c r="D202" s="932"/>
      <c r="E202" s="932"/>
      <c r="F202" s="932"/>
      <c r="G202" s="932"/>
      <c r="H202" s="932"/>
      <c r="I202" s="932"/>
      <c r="J202" s="932"/>
      <c r="K202" s="932"/>
      <c r="L202" s="933"/>
    </row>
    <row r="205" ht="15.75">
      <c r="A205" s="29" t="s">
        <v>293</v>
      </c>
    </row>
    <row r="206" spans="1:12" ht="12.75">
      <c r="A206" s="668" t="s">
        <v>268</v>
      </c>
      <c r="B206" s="1122"/>
      <c r="C206" s="1122"/>
      <c r="D206" s="1122"/>
      <c r="E206" s="1122"/>
      <c r="F206" s="1122"/>
      <c r="G206" s="1122"/>
      <c r="H206" s="1122"/>
      <c r="I206" s="1122"/>
      <c r="J206" s="1122"/>
      <c r="K206" s="1122"/>
      <c r="L206" s="1123"/>
    </row>
    <row r="207" spans="1:12" ht="12.75">
      <c r="A207" s="1124"/>
      <c r="B207" s="1080"/>
      <c r="C207" s="1080"/>
      <c r="D207" s="1080"/>
      <c r="E207" s="1080"/>
      <c r="F207" s="1080"/>
      <c r="G207" s="1080"/>
      <c r="H207" s="1080"/>
      <c r="I207" s="1080"/>
      <c r="J207" s="1080"/>
      <c r="K207" s="1080"/>
      <c r="L207" s="1125"/>
    </row>
    <row r="208" spans="1:12" ht="12.75">
      <c r="A208" s="1124"/>
      <c r="B208" s="1080"/>
      <c r="C208" s="1080"/>
      <c r="D208" s="1080"/>
      <c r="E208" s="1080"/>
      <c r="F208" s="1080"/>
      <c r="G208" s="1080"/>
      <c r="H208" s="1080"/>
      <c r="I208" s="1080"/>
      <c r="J208" s="1080"/>
      <c r="K208" s="1080"/>
      <c r="L208" s="1125"/>
    </row>
    <row r="209" spans="1:12" ht="12.75">
      <c r="A209" s="1124"/>
      <c r="B209" s="1080"/>
      <c r="C209" s="1080"/>
      <c r="D209" s="1080"/>
      <c r="E209" s="1080"/>
      <c r="F209" s="1080"/>
      <c r="G209" s="1080"/>
      <c r="H209" s="1080"/>
      <c r="I209" s="1080"/>
      <c r="J209" s="1080"/>
      <c r="K209" s="1080"/>
      <c r="L209" s="1125"/>
    </row>
    <row r="210" spans="1:12" ht="12.75">
      <c r="A210" s="1124"/>
      <c r="B210" s="1080"/>
      <c r="C210" s="1080"/>
      <c r="D210" s="1080"/>
      <c r="E210" s="1080"/>
      <c r="F210" s="1080"/>
      <c r="G210" s="1080"/>
      <c r="H210" s="1080"/>
      <c r="I210" s="1080"/>
      <c r="J210" s="1080"/>
      <c r="K210" s="1080"/>
      <c r="L210" s="1125"/>
    </row>
    <row r="211" spans="1:12" ht="12.75">
      <c r="A211" s="1124"/>
      <c r="B211" s="1080"/>
      <c r="C211" s="1080"/>
      <c r="D211" s="1080"/>
      <c r="E211" s="1080"/>
      <c r="F211" s="1080"/>
      <c r="G211" s="1080"/>
      <c r="H211" s="1080"/>
      <c r="I211" s="1080"/>
      <c r="J211" s="1080"/>
      <c r="K211" s="1080"/>
      <c r="L211" s="1125"/>
    </row>
    <row r="212" spans="1:12" ht="12.75">
      <c r="A212" s="1124"/>
      <c r="B212" s="1080"/>
      <c r="C212" s="1080"/>
      <c r="D212" s="1080"/>
      <c r="E212" s="1080"/>
      <c r="F212" s="1080"/>
      <c r="G212" s="1080"/>
      <c r="H212" s="1080"/>
      <c r="I212" s="1080"/>
      <c r="J212" s="1080"/>
      <c r="K212" s="1080"/>
      <c r="L212" s="1125"/>
    </row>
    <row r="213" spans="1:12" ht="12.75">
      <c r="A213" s="1124"/>
      <c r="B213" s="1080"/>
      <c r="C213" s="1080"/>
      <c r="D213" s="1080"/>
      <c r="E213" s="1080"/>
      <c r="F213" s="1080"/>
      <c r="G213" s="1080"/>
      <c r="H213" s="1080"/>
      <c r="I213" s="1080"/>
      <c r="J213" s="1080"/>
      <c r="K213" s="1080"/>
      <c r="L213" s="1125"/>
    </row>
    <row r="214" spans="1:12" ht="12.75">
      <c r="A214" s="1124"/>
      <c r="B214" s="1080"/>
      <c r="C214" s="1080"/>
      <c r="D214" s="1080"/>
      <c r="E214" s="1080"/>
      <c r="F214" s="1080"/>
      <c r="G214" s="1080"/>
      <c r="H214" s="1080"/>
      <c r="I214" s="1080"/>
      <c r="J214" s="1080"/>
      <c r="K214" s="1080"/>
      <c r="L214" s="1125"/>
    </row>
    <row r="215" spans="1:12" ht="12.75">
      <c r="A215" s="1124"/>
      <c r="B215" s="1080"/>
      <c r="C215" s="1080"/>
      <c r="D215" s="1080"/>
      <c r="E215" s="1080"/>
      <c r="F215" s="1080"/>
      <c r="G215" s="1080"/>
      <c r="H215" s="1080"/>
      <c r="I215" s="1080"/>
      <c r="J215" s="1080"/>
      <c r="K215" s="1080"/>
      <c r="L215" s="1125"/>
    </row>
    <row r="216" spans="1:12" ht="12.75">
      <c r="A216" s="1124"/>
      <c r="B216" s="1080"/>
      <c r="C216" s="1080"/>
      <c r="D216" s="1080"/>
      <c r="E216" s="1080"/>
      <c r="F216" s="1080"/>
      <c r="G216" s="1080"/>
      <c r="H216" s="1080"/>
      <c r="I216" s="1080"/>
      <c r="J216" s="1080"/>
      <c r="K216" s="1080"/>
      <c r="L216" s="1125"/>
    </row>
    <row r="217" spans="1:12" ht="12.75">
      <c r="A217" s="1126"/>
      <c r="B217" s="1127"/>
      <c r="C217" s="1127"/>
      <c r="D217" s="1127"/>
      <c r="E217" s="1127"/>
      <c r="F217" s="1127"/>
      <c r="G217" s="1127"/>
      <c r="H217" s="1127"/>
      <c r="I217" s="1127"/>
      <c r="J217" s="1127"/>
      <c r="K217" s="1127"/>
      <c r="L217" s="1128"/>
    </row>
    <row r="220" ht="15.75">
      <c r="A220" s="29" t="s">
        <v>229</v>
      </c>
    </row>
  </sheetData>
  <mergeCells count="156">
    <mergeCell ref="H140:J140"/>
    <mergeCell ref="H138:J139"/>
    <mergeCell ref="K134:L134"/>
    <mergeCell ref="K135:L135"/>
    <mergeCell ref="K136:L136"/>
    <mergeCell ref="K137:L137"/>
    <mergeCell ref="K140:L140"/>
    <mergeCell ref="K138:L139"/>
    <mergeCell ref="H134:J134"/>
    <mergeCell ref="H135:J135"/>
    <mergeCell ref="H136:J136"/>
    <mergeCell ref="H137:J137"/>
    <mergeCell ref="A138:D138"/>
    <mergeCell ref="A139:D139"/>
    <mergeCell ref="A136:D136"/>
    <mergeCell ref="A137:D137"/>
    <mergeCell ref="A140:D140"/>
    <mergeCell ref="E134:F134"/>
    <mergeCell ref="E135:F135"/>
    <mergeCell ref="E136:F136"/>
    <mergeCell ref="E137:F137"/>
    <mergeCell ref="E138:F138"/>
    <mergeCell ref="E139:F139"/>
    <mergeCell ref="E140:F140"/>
    <mergeCell ref="A134:D134"/>
    <mergeCell ref="A135:D135"/>
    <mergeCell ref="B5:D5"/>
    <mergeCell ref="E5:G5"/>
    <mergeCell ref="A2:K2"/>
    <mergeCell ref="H5:J5"/>
    <mergeCell ref="A5:A6"/>
    <mergeCell ref="A20:L31"/>
    <mergeCell ref="F34:K34"/>
    <mergeCell ref="D52:D53"/>
    <mergeCell ref="E52:E53"/>
    <mergeCell ref="F52:K52"/>
    <mergeCell ref="A52:A53"/>
    <mergeCell ref="B52:B53"/>
    <mergeCell ref="E34:E35"/>
    <mergeCell ref="A34:A35"/>
    <mergeCell ref="B34:B35"/>
    <mergeCell ref="C52:C53"/>
    <mergeCell ref="L34:L35"/>
    <mergeCell ref="L52:L53"/>
    <mergeCell ref="A68:L73"/>
    <mergeCell ref="C34:C35"/>
    <mergeCell ref="D34:D35"/>
    <mergeCell ref="I79:K79"/>
    <mergeCell ref="A81:B81"/>
    <mergeCell ref="A82:B82"/>
    <mergeCell ref="F81:H81"/>
    <mergeCell ref="F82:H82"/>
    <mergeCell ref="A79:B80"/>
    <mergeCell ref="C79:E79"/>
    <mergeCell ref="F79:H80"/>
    <mergeCell ref="A83:B83"/>
    <mergeCell ref="A84:B84"/>
    <mergeCell ref="F83:H83"/>
    <mergeCell ref="F84:H84"/>
    <mergeCell ref="A85:B85"/>
    <mergeCell ref="A86:B86"/>
    <mergeCell ref="F85:H85"/>
    <mergeCell ref="F86:H86"/>
    <mergeCell ref="A87:B87"/>
    <mergeCell ref="A88:B88"/>
    <mergeCell ref="F87:H87"/>
    <mergeCell ref="F88:H88"/>
    <mergeCell ref="H103:L103"/>
    <mergeCell ref="A89:B89"/>
    <mergeCell ref="A91:B91"/>
    <mergeCell ref="A90:B90"/>
    <mergeCell ref="F89:H89"/>
    <mergeCell ref="F90:H90"/>
    <mergeCell ref="F91:H91"/>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5:L131"/>
    <mergeCell ref="L79:L80"/>
    <mergeCell ref="D146:D148"/>
    <mergeCell ref="E146:E148"/>
    <mergeCell ref="F146:F148"/>
    <mergeCell ref="H146:H148"/>
    <mergeCell ref="I146:I148"/>
    <mergeCell ref="J145:K147"/>
    <mergeCell ref="A93:L99"/>
    <mergeCell ref="A103:B104"/>
    <mergeCell ref="C103:G103"/>
    <mergeCell ref="D192:F192"/>
    <mergeCell ref="A145: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82:C182"/>
    <mergeCell ref="A183:C183"/>
    <mergeCell ref="A184:C184"/>
    <mergeCell ref="A178:C178"/>
    <mergeCell ref="A179:C179"/>
    <mergeCell ref="A180:C180"/>
    <mergeCell ref="A189:C189"/>
    <mergeCell ref="A190:C190"/>
    <mergeCell ref="A192:C192"/>
    <mergeCell ref="G146:G148"/>
    <mergeCell ref="G192:I192"/>
    <mergeCell ref="A185:C185"/>
    <mergeCell ref="A186:C186"/>
    <mergeCell ref="A187:C187"/>
    <mergeCell ref="A188:C188"/>
    <mergeCell ref="A181:C181"/>
    <mergeCell ref="A196:L202"/>
    <mergeCell ref="A206:L217"/>
    <mergeCell ref="A193:F193"/>
    <mergeCell ref="G193:I193"/>
    <mergeCell ref="A194:F194"/>
    <mergeCell ref="G194:I194"/>
  </mergeCells>
  <printOptions horizontalCentered="1"/>
  <pageMargins left="0.2" right="0.1968503937007874" top="0.3937007874015748" bottom="0.3937007874015748" header="0.2362204724409449" footer="0.2362204724409449"/>
  <pageSetup horizontalDpi="600" verticalDpi="600" orientation="portrait" paperSize="9" scale="80" r:id="rId3"/>
  <rowBreaks count="1" manualBreakCount="1">
    <brk id="219" max="255" man="1"/>
  </rowBreaks>
  <legacyDrawing r:id="rId2"/>
  <oleObjects>
    <oleObject progId="Word.Document.8" shapeId="1437349" r:id="rId1"/>
  </oleObjects>
</worksheet>
</file>

<file path=xl/worksheets/sheet2.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9.00390625" defaultRowHeight="12.75"/>
  <cols>
    <col min="1" max="1" width="12.375" style="0" customWidth="1"/>
    <col min="2" max="2" width="5.25390625" style="36" customWidth="1"/>
    <col min="3" max="3" width="10.125" style="0" customWidth="1"/>
    <col min="4" max="4" width="11.625" style="0" customWidth="1"/>
    <col min="5" max="5" width="8.625" style="0" customWidth="1"/>
    <col min="6" max="6" width="10.25390625" style="0" customWidth="1"/>
    <col min="7" max="7" width="11.625" style="0" customWidth="1"/>
    <col min="8" max="8" width="9.00390625" style="0" customWidth="1"/>
    <col min="9" max="9" width="10.125" style="0" customWidth="1"/>
    <col min="10" max="10" width="11.625" style="0" customWidth="1"/>
    <col min="11" max="11" width="9.625" style="0" customWidth="1"/>
  </cols>
  <sheetData>
    <row r="1" ht="12.75">
      <c r="K1" s="431"/>
    </row>
    <row r="2" spans="1:11" ht="15.75">
      <c r="A2" s="682" t="s">
        <v>9</v>
      </c>
      <c r="B2" s="683"/>
      <c r="C2" s="683"/>
      <c r="D2" s="683"/>
      <c r="E2" s="683"/>
      <c r="F2" s="683"/>
      <c r="G2" s="683"/>
      <c r="H2" s="683"/>
      <c r="I2" s="683"/>
      <c r="J2" s="683"/>
      <c r="K2" s="683"/>
    </row>
    <row r="3" spans="1:11" ht="16.5" thickBot="1">
      <c r="A3" s="33"/>
      <c r="B3" s="35"/>
      <c r="C3" s="34"/>
      <c r="D3" s="34"/>
      <c r="E3" s="34"/>
      <c r="F3" s="34"/>
      <c r="G3" s="34"/>
      <c r="H3" s="34"/>
      <c r="I3" s="34"/>
      <c r="J3" s="34"/>
      <c r="K3" s="32" t="s">
        <v>26</v>
      </c>
    </row>
    <row r="4" spans="1:11" ht="27.75" customHeight="1">
      <c r="A4" s="677" t="s">
        <v>2</v>
      </c>
      <c r="B4" s="679" t="s">
        <v>39</v>
      </c>
      <c r="C4" s="684" t="s">
        <v>3</v>
      </c>
      <c r="D4" s="685"/>
      <c r="E4" s="686"/>
      <c r="F4" s="685" t="s">
        <v>4</v>
      </c>
      <c r="G4" s="685"/>
      <c r="H4" s="687"/>
      <c r="I4" s="684" t="s">
        <v>24</v>
      </c>
      <c r="J4" s="685"/>
      <c r="K4" s="686"/>
    </row>
    <row r="5" spans="1:11" ht="13.5" customHeight="1" thickBot="1">
      <c r="A5" s="678"/>
      <c r="B5" s="680"/>
      <c r="C5" s="89">
        <v>2003</v>
      </c>
      <c r="D5" s="81">
        <v>2004</v>
      </c>
      <c r="E5" s="90" t="s">
        <v>88</v>
      </c>
      <c r="F5" s="80">
        <v>2003</v>
      </c>
      <c r="G5" s="81">
        <v>2004</v>
      </c>
      <c r="H5" s="90" t="s">
        <v>88</v>
      </c>
      <c r="I5" s="539">
        <v>2003</v>
      </c>
      <c r="J5" s="10">
        <v>2004</v>
      </c>
      <c r="K5" s="90" t="s">
        <v>88</v>
      </c>
    </row>
    <row r="6" spans="1:11" ht="12.75" customHeight="1">
      <c r="A6" s="665" t="s">
        <v>8</v>
      </c>
      <c r="B6" s="53" t="s">
        <v>40</v>
      </c>
      <c r="C6" s="91">
        <v>47428</v>
      </c>
      <c r="D6" s="82">
        <v>41134</v>
      </c>
      <c r="E6" s="546">
        <f>+D6-C6</f>
        <v>-6294</v>
      </c>
      <c r="F6" s="87">
        <v>44590</v>
      </c>
      <c r="G6" s="82">
        <v>43548</v>
      </c>
      <c r="H6" s="546">
        <f>+G6-F6</f>
        <v>-1042</v>
      </c>
      <c r="I6" s="91">
        <f aca="true" t="shared" si="0" ref="I6:I37">+F6-C6</f>
        <v>-2838</v>
      </c>
      <c r="J6" s="14">
        <f aca="true" t="shared" si="1" ref="J6:J37">+G6-D6</f>
        <v>2414</v>
      </c>
      <c r="K6" s="15">
        <f aca="true" t="shared" si="2" ref="K6:K37">+J6-I6</f>
        <v>5252</v>
      </c>
    </row>
    <row r="7" spans="1:11" ht="12.75">
      <c r="A7" s="666"/>
      <c r="B7" s="55" t="s">
        <v>41</v>
      </c>
      <c r="C7" s="27">
        <v>93409</v>
      </c>
      <c r="D7" s="12">
        <v>87280</v>
      </c>
      <c r="E7" s="16">
        <f aca="true" t="shared" si="3" ref="E7:E65">+D7-C7</f>
        <v>-6129</v>
      </c>
      <c r="F7" s="46">
        <v>87899</v>
      </c>
      <c r="G7" s="12">
        <v>90146</v>
      </c>
      <c r="H7" s="16">
        <f aca="true" t="shared" si="4" ref="H7:H65">+G7-F7</f>
        <v>2247</v>
      </c>
      <c r="I7" s="30">
        <f t="shared" si="0"/>
        <v>-5510</v>
      </c>
      <c r="J7" s="3">
        <f t="shared" si="1"/>
        <v>2866</v>
      </c>
      <c r="K7" s="16">
        <f t="shared" si="2"/>
        <v>8376</v>
      </c>
    </row>
    <row r="8" spans="1:11" ht="12.75">
      <c r="A8" s="666"/>
      <c r="B8" s="55" t="s">
        <v>42</v>
      </c>
      <c r="C8" s="27">
        <v>140501</v>
      </c>
      <c r="D8" s="12">
        <v>134643</v>
      </c>
      <c r="E8" s="16">
        <f t="shared" si="3"/>
        <v>-5858</v>
      </c>
      <c r="F8" s="46">
        <v>132763</v>
      </c>
      <c r="G8" s="12">
        <v>136024</v>
      </c>
      <c r="H8" s="16">
        <f t="shared" si="4"/>
        <v>3261</v>
      </c>
      <c r="I8" s="30">
        <f t="shared" si="0"/>
        <v>-7738</v>
      </c>
      <c r="J8" s="3">
        <f t="shared" si="1"/>
        <v>1381</v>
      </c>
      <c r="K8" s="16">
        <f t="shared" si="2"/>
        <v>9119</v>
      </c>
    </row>
    <row r="9" spans="1:11" ht="12.75">
      <c r="A9" s="666"/>
      <c r="B9" s="55" t="s">
        <v>43</v>
      </c>
      <c r="C9" s="27">
        <v>187980</v>
      </c>
      <c r="D9" s="12">
        <v>179311</v>
      </c>
      <c r="E9" s="16">
        <f t="shared" si="3"/>
        <v>-8669</v>
      </c>
      <c r="F9" s="46">
        <v>177729</v>
      </c>
      <c r="G9" s="12">
        <v>182890</v>
      </c>
      <c r="H9" s="16">
        <f t="shared" si="4"/>
        <v>5161</v>
      </c>
      <c r="I9" s="30">
        <f t="shared" si="0"/>
        <v>-10251</v>
      </c>
      <c r="J9" s="3">
        <f t="shared" si="1"/>
        <v>3579</v>
      </c>
      <c r="K9" s="16">
        <f t="shared" si="2"/>
        <v>13830</v>
      </c>
    </row>
    <row r="10" spans="1:11" ht="12.75">
      <c r="A10" s="666"/>
      <c r="B10" s="55" t="s">
        <v>44</v>
      </c>
      <c r="C10" s="27">
        <v>238559</v>
      </c>
      <c r="D10" s="12">
        <v>225771</v>
      </c>
      <c r="E10" s="16">
        <f t="shared" si="3"/>
        <v>-12788</v>
      </c>
      <c r="F10" s="46">
        <v>221120</v>
      </c>
      <c r="G10" s="12">
        <v>230426</v>
      </c>
      <c r="H10" s="16">
        <f t="shared" si="4"/>
        <v>9306</v>
      </c>
      <c r="I10" s="30">
        <f t="shared" si="0"/>
        <v>-17439</v>
      </c>
      <c r="J10" s="3">
        <f t="shared" si="1"/>
        <v>4655</v>
      </c>
      <c r="K10" s="16">
        <f t="shared" si="2"/>
        <v>22094</v>
      </c>
    </row>
    <row r="11" spans="1:11" ht="12.75">
      <c r="A11" s="666"/>
      <c r="B11" s="55" t="s">
        <v>45</v>
      </c>
      <c r="C11" s="44">
        <v>284063</v>
      </c>
      <c r="D11" s="83">
        <v>273103</v>
      </c>
      <c r="E11" s="16">
        <f t="shared" si="3"/>
        <v>-10960</v>
      </c>
      <c r="F11" s="47">
        <v>273203</v>
      </c>
      <c r="G11" s="83">
        <v>281114</v>
      </c>
      <c r="H11" s="16">
        <f t="shared" si="4"/>
        <v>7911</v>
      </c>
      <c r="I11" s="30">
        <f t="shared" si="0"/>
        <v>-10860</v>
      </c>
      <c r="J11" s="3">
        <f t="shared" si="1"/>
        <v>8011</v>
      </c>
      <c r="K11" s="16">
        <f t="shared" si="2"/>
        <v>18871</v>
      </c>
    </row>
    <row r="12" spans="1:11" ht="12.75">
      <c r="A12" s="666"/>
      <c r="B12" s="55" t="s">
        <v>46</v>
      </c>
      <c r="C12" s="42">
        <v>330280</v>
      </c>
      <c r="D12" s="84">
        <v>318225</v>
      </c>
      <c r="E12" s="16">
        <f t="shared" si="3"/>
        <v>-12055</v>
      </c>
      <c r="F12" s="40">
        <v>307701</v>
      </c>
      <c r="G12" s="84">
        <v>323281</v>
      </c>
      <c r="H12" s="16">
        <f t="shared" si="4"/>
        <v>15580</v>
      </c>
      <c r="I12" s="30">
        <f t="shared" si="0"/>
        <v>-22579</v>
      </c>
      <c r="J12" s="3">
        <f t="shared" si="1"/>
        <v>5056</v>
      </c>
      <c r="K12" s="16">
        <f t="shared" si="2"/>
        <v>27635</v>
      </c>
    </row>
    <row r="13" spans="1:11" ht="12.75">
      <c r="A13" s="666"/>
      <c r="B13" s="55" t="s">
        <v>47</v>
      </c>
      <c r="C13" s="42">
        <v>371959</v>
      </c>
      <c r="D13" s="84">
        <v>358519</v>
      </c>
      <c r="E13" s="16">
        <f t="shared" si="3"/>
        <v>-13440</v>
      </c>
      <c r="F13" s="40">
        <v>344955</v>
      </c>
      <c r="G13" s="84">
        <v>365867</v>
      </c>
      <c r="H13" s="16">
        <f t="shared" si="4"/>
        <v>20912</v>
      </c>
      <c r="I13" s="27">
        <f t="shared" si="0"/>
        <v>-27004</v>
      </c>
      <c r="J13" s="5">
        <f t="shared" si="1"/>
        <v>7348</v>
      </c>
      <c r="K13" s="16">
        <f t="shared" si="2"/>
        <v>34352</v>
      </c>
    </row>
    <row r="14" spans="1:11" ht="12.75">
      <c r="A14" s="666"/>
      <c r="B14" s="55" t="s">
        <v>48</v>
      </c>
      <c r="C14" s="42">
        <v>423398</v>
      </c>
      <c r="D14" s="84">
        <v>401865</v>
      </c>
      <c r="E14" s="16">
        <f t="shared" si="3"/>
        <v>-21533</v>
      </c>
      <c r="F14" s="40">
        <v>386549</v>
      </c>
      <c r="G14" s="84">
        <v>410677</v>
      </c>
      <c r="H14" s="16">
        <f t="shared" si="4"/>
        <v>24128</v>
      </c>
      <c r="I14" s="30">
        <f t="shared" si="0"/>
        <v>-36849</v>
      </c>
      <c r="J14" s="3">
        <f t="shared" si="1"/>
        <v>8812</v>
      </c>
      <c r="K14" s="16">
        <f t="shared" si="2"/>
        <v>45661</v>
      </c>
    </row>
    <row r="15" spans="1:11" ht="12.75">
      <c r="A15" s="666"/>
      <c r="B15" s="57" t="s">
        <v>49</v>
      </c>
      <c r="C15" s="42">
        <v>470421</v>
      </c>
      <c r="D15" s="84">
        <v>448070</v>
      </c>
      <c r="E15" s="16">
        <f t="shared" si="3"/>
        <v>-22351</v>
      </c>
      <c r="F15" s="40">
        <v>428424</v>
      </c>
      <c r="G15" s="84">
        <v>452664</v>
      </c>
      <c r="H15" s="16">
        <f t="shared" si="4"/>
        <v>24240</v>
      </c>
      <c r="I15" s="27">
        <f t="shared" si="0"/>
        <v>-41997</v>
      </c>
      <c r="J15" s="5">
        <f t="shared" si="1"/>
        <v>4594</v>
      </c>
      <c r="K15" s="16">
        <f t="shared" si="2"/>
        <v>46591</v>
      </c>
    </row>
    <row r="16" spans="1:11" ht="12.75">
      <c r="A16" s="666"/>
      <c r="B16" s="55" t="s">
        <v>50</v>
      </c>
      <c r="C16" s="42">
        <v>518198</v>
      </c>
      <c r="D16" s="84">
        <v>499946</v>
      </c>
      <c r="E16" s="16">
        <f t="shared" si="3"/>
        <v>-18252</v>
      </c>
      <c r="F16" s="40">
        <v>469007</v>
      </c>
      <c r="G16" s="84">
        <v>495990</v>
      </c>
      <c r="H16" s="16">
        <f t="shared" si="4"/>
        <v>26983</v>
      </c>
      <c r="I16" s="27">
        <f t="shared" si="0"/>
        <v>-49191</v>
      </c>
      <c r="J16" s="5">
        <f t="shared" si="1"/>
        <v>-3956</v>
      </c>
      <c r="K16" s="16">
        <f t="shared" si="2"/>
        <v>45235</v>
      </c>
    </row>
    <row r="17" spans="1:11" ht="13.5" thickBot="1">
      <c r="A17" s="667"/>
      <c r="B17" s="59" t="s">
        <v>51</v>
      </c>
      <c r="C17" s="31">
        <v>567589</v>
      </c>
      <c r="D17" s="85">
        <f>492158.17+55288.46+749.76</f>
        <v>548196.39</v>
      </c>
      <c r="E17" s="17">
        <f t="shared" si="3"/>
        <v>-19392.609999999986</v>
      </c>
      <c r="F17" s="40">
        <v>516805</v>
      </c>
      <c r="G17" s="84">
        <f>488322.64+59382.41</f>
        <v>547705.05</v>
      </c>
      <c r="H17" s="17">
        <f t="shared" si="4"/>
        <v>30900.050000000047</v>
      </c>
      <c r="I17" s="42">
        <f t="shared" si="0"/>
        <v>-50784</v>
      </c>
      <c r="J17" s="5">
        <f t="shared" si="1"/>
        <v>-491.3399999999674</v>
      </c>
      <c r="K17" s="16">
        <f t="shared" si="2"/>
        <v>50292.66000000003</v>
      </c>
    </row>
    <row r="18" spans="1:11" ht="12.75" customHeight="1">
      <c r="A18" s="665" t="s">
        <v>7</v>
      </c>
      <c r="B18" s="53" t="s">
        <v>40</v>
      </c>
      <c r="C18" s="91">
        <v>56582</v>
      </c>
      <c r="D18" s="82">
        <v>55522</v>
      </c>
      <c r="E18" s="15">
        <f t="shared" si="3"/>
        <v>-1060</v>
      </c>
      <c r="F18" s="87">
        <v>49865</v>
      </c>
      <c r="G18" s="82">
        <v>49017</v>
      </c>
      <c r="H18" s="15">
        <f t="shared" si="4"/>
        <v>-848</v>
      </c>
      <c r="I18" s="91">
        <f t="shared" si="0"/>
        <v>-6717</v>
      </c>
      <c r="J18" s="14">
        <f t="shared" si="1"/>
        <v>-6505</v>
      </c>
      <c r="K18" s="15">
        <f t="shared" si="2"/>
        <v>212</v>
      </c>
    </row>
    <row r="19" spans="1:11" ht="12.75">
      <c r="A19" s="666"/>
      <c r="B19" s="55" t="s">
        <v>41</v>
      </c>
      <c r="C19" s="27">
        <v>112059</v>
      </c>
      <c r="D19" s="12">
        <v>109531</v>
      </c>
      <c r="E19" s="16">
        <f t="shared" si="3"/>
        <v>-2528</v>
      </c>
      <c r="F19" s="46">
        <v>98638</v>
      </c>
      <c r="G19" s="12">
        <v>106535</v>
      </c>
      <c r="H19" s="16">
        <f t="shared" si="4"/>
        <v>7897</v>
      </c>
      <c r="I19" s="30">
        <f t="shared" si="0"/>
        <v>-13421</v>
      </c>
      <c r="J19" s="3">
        <f t="shared" si="1"/>
        <v>-2996</v>
      </c>
      <c r="K19" s="16">
        <f t="shared" si="2"/>
        <v>10425</v>
      </c>
    </row>
    <row r="20" spans="1:11" ht="12.75">
      <c r="A20" s="666"/>
      <c r="B20" s="55" t="s">
        <v>42</v>
      </c>
      <c r="C20" s="27">
        <v>169918</v>
      </c>
      <c r="D20" s="12">
        <v>167335</v>
      </c>
      <c r="E20" s="16">
        <f t="shared" si="3"/>
        <v>-2583</v>
      </c>
      <c r="F20" s="46">
        <v>147502</v>
      </c>
      <c r="G20" s="12">
        <v>163803</v>
      </c>
      <c r="H20" s="16">
        <f t="shared" si="4"/>
        <v>16301</v>
      </c>
      <c r="I20" s="30">
        <f t="shared" si="0"/>
        <v>-22416</v>
      </c>
      <c r="J20" s="3">
        <f t="shared" si="1"/>
        <v>-3532</v>
      </c>
      <c r="K20" s="16">
        <f t="shared" si="2"/>
        <v>18884</v>
      </c>
    </row>
    <row r="21" spans="1:11" ht="12.75">
      <c r="A21" s="666"/>
      <c r="B21" s="55" t="s">
        <v>43</v>
      </c>
      <c r="C21" s="27">
        <v>226081</v>
      </c>
      <c r="D21" s="12">
        <v>223622</v>
      </c>
      <c r="E21" s="16">
        <f t="shared" si="3"/>
        <v>-2459</v>
      </c>
      <c r="F21" s="46">
        <v>196366</v>
      </c>
      <c r="G21" s="12">
        <v>219969</v>
      </c>
      <c r="H21" s="16">
        <f t="shared" si="4"/>
        <v>23603</v>
      </c>
      <c r="I21" s="30">
        <f t="shared" si="0"/>
        <v>-29715</v>
      </c>
      <c r="J21" s="3">
        <f t="shared" si="1"/>
        <v>-3653</v>
      </c>
      <c r="K21" s="16">
        <f t="shared" si="2"/>
        <v>26062</v>
      </c>
    </row>
    <row r="22" spans="1:11" ht="12.75">
      <c r="A22" s="666"/>
      <c r="B22" s="55" t="s">
        <v>44</v>
      </c>
      <c r="C22" s="27">
        <v>296216</v>
      </c>
      <c r="D22" s="12">
        <v>285049</v>
      </c>
      <c r="E22" s="16">
        <f t="shared" si="3"/>
        <v>-11167</v>
      </c>
      <c r="F22" s="46">
        <v>246698</v>
      </c>
      <c r="G22" s="12">
        <v>276252</v>
      </c>
      <c r="H22" s="16">
        <f t="shared" si="4"/>
        <v>29554</v>
      </c>
      <c r="I22" s="30">
        <f t="shared" si="0"/>
        <v>-49518</v>
      </c>
      <c r="J22" s="3">
        <f t="shared" si="1"/>
        <v>-8797</v>
      </c>
      <c r="K22" s="16">
        <f t="shared" si="2"/>
        <v>40721</v>
      </c>
    </row>
    <row r="23" spans="1:11" ht="12.75">
      <c r="A23" s="666"/>
      <c r="B23" s="55" t="s">
        <v>45</v>
      </c>
      <c r="C23" s="44">
        <v>354105</v>
      </c>
      <c r="D23" s="83">
        <v>342881</v>
      </c>
      <c r="E23" s="16">
        <f t="shared" si="3"/>
        <v>-11224</v>
      </c>
      <c r="F23" s="47">
        <v>279910</v>
      </c>
      <c r="G23" s="83">
        <v>332464</v>
      </c>
      <c r="H23" s="16">
        <f t="shared" si="4"/>
        <v>52554</v>
      </c>
      <c r="I23" s="30">
        <f t="shared" si="0"/>
        <v>-74195</v>
      </c>
      <c r="J23" s="3">
        <f t="shared" si="1"/>
        <v>-10417</v>
      </c>
      <c r="K23" s="16">
        <f t="shared" si="2"/>
        <v>63778</v>
      </c>
    </row>
    <row r="24" spans="1:11" ht="12.75">
      <c r="A24" s="666"/>
      <c r="B24" s="55" t="s">
        <v>46</v>
      </c>
      <c r="C24" s="42">
        <v>412177</v>
      </c>
      <c r="D24" s="84">
        <v>401189</v>
      </c>
      <c r="E24" s="16">
        <f t="shared" si="3"/>
        <v>-10988</v>
      </c>
      <c r="F24" s="40">
        <v>327600</v>
      </c>
      <c r="G24" s="84">
        <v>383066</v>
      </c>
      <c r="H24" s="16">
        <f t="shared" si="4"/>
        <v>55466</v>
      </c>
      <c r="I24" s="30">
        <f t="shared" si="0"/>
        <v>-84577</v>
      </c>
      <c r="J24" s="3">
        <f t="shared" si="1"/>
        <v>-18123</v>
      </c>
      <c r="K24" s="16">
        <f t="shared" si="2"/>
        <v>66454</v>
      </c>
    </row>
    <row r="25" spans="1:11" ht="12.75">
      <c r="A25" s="666"/>
      <c r="B25" s="55" t="s">
        <v>47</v>
      </c>
      <c r="C25" s="27">
        <v>465848</v>
      </c>
      <c r="D25" s="12">
        <v>455752</v>
      </c>
      <c r="E25" s="16">
        <f t="shared" si="3"/>
        <v>-10096</v>
      </c>
      <c r="F25" s="46">
        <v>379575</v>
      </c>
      <c r="G25" s="12">
        <v>431591</v>
      </c>
      <c r="H25" s="16">
        <f t="shared" si="4"/>
        <v>52016</v>
      </c>
      <c r="I25" s="27">
        <f t="shared" si="0"/>
        <v>-86273</v>
      </c>
      <c r="J25" s="5">
        <f t="shared" si="1"/>
        <v>-24161</v>
      </c>
      <c r="K25" s="16">
        <f t="shared" si="2"/>
        <v>62112</v>
      </c>
    </row>
    <row r="26" spans="1:11" ht="12.75">
      <c r="A26" s="666"/>
      <c r="B26" s="55" t="s">
        <v>48</v>
      </c>
      <c r="C26" s="30">
        <v>528045</v>
      </c>
      <c r="D26" s="11">
        <v>515578</v>
      </c>
      <c r="E26" s="16">
        <f t="shared" si="3"/>
        <v>-12467</v>
      </c>
      <c r="F26" s="88">
        <v>422485</v>
      </c>
      <c r="G26" s="11">
        <v>506983</v>
      </c>
      <c r="H26" s="16">
        <f t="shared" si="4"/>
        <v>84498</v>
      </c>
      <c r="I26" s="30">
        <f t="shared" si="0"/>
        <v>-105560</v>
      </c>
      <c r="J26" s="5">
        <f t="shared" si="1"/>
        <v>-8595</v>
      </c>
      <c r="K26" s="16">
        <f t="shared" si="2"/>
        <v>96965</v>
      </c>
    </row>
    <row r="27" spans="1:11" ht="12.75">
      <c r="A27" s="666"/>
      <c r="B27" s="57" t="s">
        <v>49</v>
      </c>
      <c r="C27" s="42">
        <v>584702</v>
      </c>
      <c r="D27" s="84">
        <v>574702</v>
      </c>
      <c r="E27" s="16">
        <f t="shared" si="3"/>
        <v>-10000</v>
      </c>
      <c r="F27" s="40">
        <v>477606</v>
      </c>
      <c r="G27" s="84">
        <v>556726</v>
      </c>
      <c r="H27" s="16">
        <f t="shared" si="4"/>
        <v>79120</v>
      </c>
      <c r="I27" s="27">
        <f t="shared" si="0"/>
        <v>-107096</v>
      </c>
      <c r="J27" s="5">
        <f t="shared" si="1"/>
        <v>-17976</v>
      </c>
      <c r="K27" s="16">
        <f t="shared" si="2"/>
        <v>89120</v>
      </c>
    </row>
    <row r="28" spans="1:11" ht="12.75">
      <c r="A28" s="666"/>
      <c r="B28" s="55" t="s">
        <v>50</v>
      </c>
      <c r="C28" s="42">
        <v>645215</v>
      </c>
      <c r="D28" s="84">
        <v>638781</v>
      </c>
      <c r="E28" s="16">
        <f t="shared" si="3"/>
        <v>-6434</v>
      </c>
      <c r="F28" s="40">
        <v>528555</v>
      </c>
      <c r="G28" s="84">
        <v>619388</v>
      </c>
      <c r="H28" s="16">
        <f t="shared" si="4"/>
        <v>90833</v>
      </c>
      <c r="I28" s="27">
        <f t="shared" si="0"/>
        <v>-116660</v>
      </c>
      <c r="J28" s="5">
        <f t="shared" si="1"/>
        <v>-19393</v>
      </c>
      <c r="K28" s="16">
        <f t="shared" si="2"/>
        <v>97267</v>
      </c>
    </row>
    <row r="29" spans="1:11" ht="13.5" thickBot="1">
      <c r="A29" s="667"/>
      <c r="B29" s="59" t="s">
        <v>51</v>
      </c>
      <c r="C29" s="31">
        <v>730286</v>
      </c>
      <c r="D29" s="85">
        <f>699019.56+3283.37</f>
        <v>702302.93</v>
      </c>
      <c r="E29" s="17">
        <f t="shared" si="3"/>
        <v>-27983.06999999995</v>
      </c>
      <c r="F29" s="40">
        <v>587012</v>
      </c>
      <c r="G29" s="549">
        <v>697713</v>
      </c>
      <c r="H29" s="17">
        <f t="shared" si="4"/>
        <v>110701</v>
      </c>
      <c r="I29" s="42">
        <f t="shared" si="0"/>
        <v>-143274</v>
      </c>
      <c r="J29" s="5">
        <f t="shared" si="1"/>
        <v>-4589.930000000051</v>
      </c>
      <c r="K29" s="16">
        <f t="shared" si="2"/>
        <v>138684.06999999995</v>
      </c>
    </row>
    <row r="30" spans="1:11" ht="12.75" customHeight="1">
      <c r="A30" s="665" t="s">
        <v>6</v>
      </c>
      <c r="B30" s="53" t="s">
        <v>40</v>
      </c>
      <c r="C30" s="91">
        <v>36875</v>
      </c>
      <c r="D30" s="82">
        <v>36335</v>
      </c>
      <c r="E30" s="15">
        <f t="shared" si="3"/>
        <v>-540</v>
      </c>
      <c r="F30" s="87">
        <v>30351</v>
      </c>
      <c r="G30" s="82">
        <v>30338</v>
      </c>
      <c r="H30" s="15">
        <f t="shared" si="4"/>
        <v>-13</v>
      </c>
      <c r="I30" s="91">
        <f t="shared" si="0"/>
        <v>-6524</v>
      </c>
      <c r="J30" s="14">
        <f t="shared" si="1"/>
        <v>-5997</v>
      </c>
      <c r="K30" s="15">
        <f t="shared" si="2"/>
        <v>527</v>
      </c>
    </row>
    <row r="31" spans="1:11" ht="12.75">
      <c r="A31" s="666"/>
      <c r="B31" s="55" t="s">
        <v>41</v>
      </c>
      <c r="C31" s="27">
        <v>67009</v>
      </c>
      <c r="D31" s="12">
        <v>68293</v>
      </c>
      <c r="E31" s="16">
        <f t="shared" si="3"/>
        <v>1284</v>
      </c>
      <c r="F31" s="46">
        <v>62564</v>
      </c>
      <c r="G31" s="12">
        <v>62719</v>
      </c>
      <c r="H31" s="16">
        <f t="shared" si="4"/>
        <v>155</v>
      </c>
      <c r="I31" s="30">
        <f t="shared" si="0"/>
        <v>-4445</v>
      </c>
      <c r="J31" s="3">
        <f t="shared" si="1"/>
        <v>-5574</v>
      </c>
      <c r="K31" s="16">
        <f t="shared" si="2"/>
        <v>-1129</v>
      </c>
    </row>
    <row r="32" spans="1:11" ht="12.75">
      <c r="A32" s="666"/>
      <c r="B32" s="55" t="s">
        <v>42</v>
      </c>
      <c r="C32" s="27">
        <v>99151</v>
      </c>
      <c r="D32" s="12">
        <v>101120</v>
      </c>
      <c r="E32" s="16">
        <f t="shared" si="3"/>
        <v>1969</v>
      </c>
      <c r="F32" s="46">
        <v>94805</v>
      </c>
      <c r="G32" s="12">
        <v>99867</v>
      </c>
      <c r="H32" s="16">
        <f t="shared" si="4"/>
        <v>5062</v>
      </c>
      <c r="I32" s="30">
        <f t="shared" si="0"/>
        <v>-4346</v>
      </c>
      <c r="J32" s="3">
        <f t="shared" si="1"/>
        <v>-1253</v>
      </c>
      <c r="K32" s="16">
        <f t="shared" si="2"/>
        <v>3093</v>
      </c>
    </row>
    <row r="33" spans="1:11" ht="12.75">
      <c r="A33" s="666"/>
      <c r="B33" s="55" t="s">
        <v>43</v>
      </c>
      <c r="C33" s="27">
        <v>131362</v>
      </c>
      <c r="D33" s="12">
        <v>135283</v>
      </c>
      <c r="E33" s="16">
        <f t="shared" si="3"/>
        <v>3921</v>
      </c>
      <c r="F33" s="46">
        <v>124775</v>
      </c>
      <c r="G33" s="12">
        <v>134936</v>
      </c>
      <c r="H33" s="16">
        <f t="shared" si="4"/>
        <v>10161</v>
      </c>
      <c r="I33" s="30">
        <f t="shared" si="0"/>
        <v>-6587</v>
      </c>
      <c r="J33" s="3">
        <f t="shared" si="1"/>
        <v>-347</v>
      </c>
      <c r="K33" s="16">
        <f t="shared" si="2"/>
        <v>6240</v>
      </c>
    </row>
    <row r="34" spans="1:11" ht="12.75">
      <c r="A34" s="666"/>
      <c r="B34" s="55" t="s">
        <v>44</v>
      </c>
      <c r="C34" s="27">
        <v>169542</v>
      </c>
      <c r="D34" s="12">
        <v>167812</v>
      </c>
      <c r="E34" s="16">
        <f t="shared" si="3"/>
        <v>-1730</v>
      </c>
      <c r="F34" s="46">
        <v>157858</v>
      </c>
      <c r="G34" s="12">
        <v>169510</v>
      </c>
      <c r="H34" s="16">
        <f t="shared" si="4"/>
        <v>11652</v>
      </c>
      <c r="I34" s="27">
        <f t="shared" si="0"/>
        <v>-11684</v>
      </c>
      <c r="J34" s="3">
        <f t="shared" si="1"/>
        <v>1698</v>
      </c>
      <c r="K34" s="16">
        <f t="shared" si="2"/>
        <v>13382</v>
      </c>
    </row>
    <row r="35" spans="1:11" ht="12.75">
      <c r="A35" s="666"/>
      <c r="B35" s="55" t="s">
        <v>45</v>
      </c>
      <c r="C35" s="44">
        <v>200786</v>
      </c>
      <c r="D35" s="83">
        <v>200842</v>
      </c>
      <c r="E35" s="16">
        <f t="shared" si="3"/>
        <v>56</v>
      </c>
      <c r="F35" s="47">
        <v>191550</v>
      </c>
      <c r="G35" s="83">
        <v>210749</v>
      </c>
      <c r="H35" s="16">
        <f t="shared" si="4"/>
        <v>19199</v>
      </c>
      <c r="I35" s="30">
        <f t="shared" si="0"/>
        <v>-9236</v>
      </c>
      <c r="J35" s="3">
        <f t="shared" si="1"/>
        <v>9907</v>
      </c>
      <c r="K35" s="16">
        <f t="shared" si="2"/>
        <v>19143</v>
      </c>
    </row>
    <row r="36" spans="1:11" ht="12.75">
      <c r="A36" s="666"/>
      <c r="B36" s="55" t="s">
        <v>46</v>
      </c>
      <c r="C36" s="42">
        <v>230948</v>
      </c>
      <c r="D36" s="84">
        <v>232448</v>
      </c>
      <c r="E36" s="16">
        <f t="shared" si="3"/>
        <v>1500</v>
      </c>
      <c r="F36" s="40">
        <v>221507</v>
      </c>
      <c r="G36" s="84">
        <v>238381</v>
      </c>
      <c r="H36" s="16">
        <f t="shared" si="4"/>
        <v>16874</v>
      </c>
      <c r="I36" s="30">
        <f t="shared" si="0"/>
        <v>-9441</v>
      </c>
      <c r="J36" s="3">
        <f t="shared" si="1"/>
        <v>5933</v>
      </c>
      <c r="K36" s="16">
        <f t="shared" si="2"/>
        <v>15374</v>
      </c>
    </row>
    <row r="37" spans="1:11" ht="12.75">
      <c r="A37" s="666"/>
      <c r="B37" s="55" t="s">
        <v>47</v>
      </c>
      <c r="C37" s="42">
        <v>258229</v>
      </c>
      <c r="D37" s="84">
        <v>261948</v>
      </c>
      <c r="E37" s="16">
        <f t="shared" si="3"/>
        <v>3719</v>
      </c>
      <c r="F37" s="40">
        <v>247782</v>
      </c>
      <c r="G37" s="84">
        <v>265712</v>
      </c>
      <c r="H37" s="16">
        <f t="shared" si="4"/>
        <v>17930</v>
      </c>
      <c r="I37" s="30">
        <f t="shared" si="0"/>
        <v>-10447</v>
      </c>
      <c r="J37" s="3">
        <f t="shared" si="1"/>
        <v>3764</v>
      </c>
      <c r="K37" s="16">
        <f t="shared" si="2"/>
        <v>14211</v>
      </c>
    </row>
    <row r="38" spans="1:11" ht="12.75">
      <c r="A38" s="666"/>
      <c r="B38" s="55" t="s">
        <v>48</v>
      </c>
      <c r="C38" s="27">
        <v>288576</v>
      </c>
      <c r="D38" s="12">
        <v>293234</v>
      </c>
      <c r="E38" s="16">
        <f t="shared" si="3"/>
        <v>4658</v>
      </c>
      <c r="F38" s="46">
        <v>278409</v>
      </c>
      <c r="G38" s="12">
        <v>295292</v>
      </c>
      <c r="H38" s="16">
        <f t="shared" si="4"/>
        <v>16883</v>
      </c>
      <c r="I38" s="27">
        <f aca="true" t="shared" si="5" ref="I38:I65">+F38-C38</f>
        <v>-10167</v>
      </c>
      <c r="J38" s="5">
        <f aca="true" t="shared" si="6" ref="J38:J65">+G38-D38</f>
        <v>2058</v>
      </c>
      <c r="K38" s="16">
        <f aca="true" t="shared" si="7" ref="K38:K65">+J38-I38</f>
        <v>12225</v>
      </c>
    </row>
    <row r="39" spans="1:11" ht="12.75">
      <c r="A39" s="666"/>
      <c r="B39" s="57" t="s">
        <v>49</v>
      </c>
      <c r="C39" s="42">
        <v>318925</v>
      </c>
      <c r="D39" s="84">
        <v>327243</v>
      </c>
      <c r="E39" s="16">
        <f t="shared" si="3"/>
        <v>8318</v>
      </c>
      <c r="F39" s="40">
        <v>311285</v>
      </c>
      <c r="G39" s="84">
        <v>323544</v>
      </c>
      <c r="H39" s="16">
        <f t="shared" si="4"/>
        <v>12259</v>
      </c>
      <c r="I39" s="27">
        <f t="shared" si="5"/>
        <v>-7640</v>
      </c>
      <c r="J39" s="5">
        <f t="shared" si="6"/>
        <v>-3699</v>
      </c>
      <c r="K39" s="16">
        <f t="shared" si="7"/>
        <v>3941</v>
      </c>
    </row>
    <row r="40" spans="1:11" ht="12.75">
      <c r="A40" s="666"/>
      <c r="B40" s="55" t="s">
        <v>50</v>
      </c>
      <c r="C40" s="42">
        <v>352774</v>
      </c>
      <c r="D40" s="84">
        <v>362794</v>
      </c>
      <c r="E40" s="16">
        <f t="shared" si="3"/>
        <v>10020</v>
      </c>
      <c r="F40" s="40">
        <v>339922</v>
      </c>
      <c r="G40" s="84">
        <v>356646</v>
      </c>
      <c r="H40" s="16">
        <f t="shared" si="4"/>
        <v>16724</v>
      </c>
      <c r="I40" s="27">
        <f t="shared" si="5"/>
        <v>-12852</v>
      </c>
      <c r="J40" s="5">
        <f t="shared" si="6"/>
        <v>-6148</v>
      </c>
      <c r="K40" s="16">
        <f t="shared" si="7"/>
        <v>6704</v>
      </c>
    </row>
    <row r="41" spans="1:11" ht="13.5" thickBot="1">
      <c r="A41" s="667"/>
      <c r="B41" s="59" t="s">
        <v>51</v>
      </c>
      <c r="C41" s="31">
        <f>383925+6040.01+46.28-1493.35</f>
        <v>388517.94000000006</v>
      </c>
      <c r="D41" s="85">
        <f>388000.91+1881.02+88.84</f>
        <v>389970.77</v>
      </c>
      <c r="E41" s="17">
        <f t="shared" si="3"/>
        <v>1452.829999999958</v>
      </c>
      <c r="F41" s="41">
        <f>387589.48+1330.58</f>
        <v>388920.06</v>
      </c>
      <c r="G41" s="85">
        <f>389069.53+972.23</f>
        <v>390041.76</v>
      </c>
      <c r="H41" s="17">
        <f t="shared" si="4"/>
        <v>1121.7000000000116</v>
      </c>
      <c r="I41" s="31">
        <f t="shared" si="5"/>
        <v>402.11999999993714</v>
      </c>
      <c r="J41" s="7">
        <f t="shared" si="6"/>
        <v>70.98999999999069</v>
      </c>
      <c r="K41" s="16">
        <f t="shared" si="7"/>
        <v>-331.12999999994645</v>
      </c>
    </row>
    <row r="42" spans="1:11" ht="12.75">
      <c r="A42" s="665" t="s">
        <v>5</v>
      </c>
      <c r="B42" s="53" t="s">
        <v>40</v>
      </c>
      <c r="C42" s="91">
        <v>41452</v>
      </c>
      <c r="D42" s="82">
        <v>39207</v>
      </c>
      <c r="E42" s="15">
        <f t="shared" si="3"/>
        <v>-2245</v>
      </c>
      <c r="F42" s="88">
        <v>36042</v>
      </c>
      <c r="G42" s="11">
        <v>38842</v>
      </c>
      <c r="H42" s="15">
        <f t="shared" si="4"/>
        <v>2800</v>
      </c>
      <c r="I42" s="30">
        <f t="shared" si="5"/>
        <v>-5410</v>
      </c>
      <c r="J42" s="11">
        <f t="shared" si="6"/>
        <v>-365</v>
      </c>
      <c r="K42" s="18">
        <f t="shared" si="7"/>
        <v>5045</v>
      </c>
    </row>
    <row r="43" spans="1:11" ht="13.5" customHeight="1">
      <c r="A43" s="666"/>
      <c r="B43" s="55" t="s">
        <v>41</v>
      </c>
      <c r="C43" s="27">
        <v>79125</v>
      </c>
      <c r="D43" s="12">
        <v>78893</v>
      </c>
      <c r="E43" s="16">
        <f t="shared" si="3"/>
        <v>-232</v>
      </c>
      <c r="F43" s="46">
        <v>72671</v>
      </c>
      <c r="G43" s="12">
        <v>79388</v>
      </c>
      <c r="H43" s="16">
        <f t="shared" si="4"/>
        <v>6717</v>
      </c>
      <c r="I43" s="30">
        <f t="shared" si="5"/>
        <v>-6454</v>
      </c>
      <c r="J43" s="11">
        <f t="shared" si="6"/>
        <v>495</v>
      </c>
      <c r="K43" s="19">
        <f t="shared" si="7"/>
        <v>6949</v>
      </c>
    </row>
    <row r="44" spans="1:11" ht="12.75">
      <c r="A44" s="666"/>
      <c r="B44" s="55" t="s">
        <v>42</v>
      </c>
      <c r="C44" s="27">
        <v>117959</v>
      </c>
      <c r="D44" s="12">
        <v>120364</v>
      </c>
      <c r="E44" s="16">
        <f t="shared" si="3"/>
        <v>2405</v>
      </c>
      <c r="F44" s="46">
        <v>114577</v>
      </c>
      <c r="G44" s="12">
        <v>124813</v>
      </c>
      <c r="H44" s="16">
        <f t="shared" si="4"/>
        <v>10236</v>
      </c>
      <c r="I44" s="30">
        <f t="shared" si="5"/>
        <v>-3382</v>
      </c>
      <c r="J44" s="11">
        <f t="shared" si="6"/>
        <v>4449</v>
      </c>
      <c r="K44" s="19">
        <f t="shared" si="7"/>
        <v>7831</v>
      </c>
    </row>
    <row r="45" spans="1:11" ht="12.75">
      <c r="A45" s="666"/>
      <c r="B45" s="55" t="s">
        <v>43</v>
      </c>
      <c r="C45" s="27">
        <v>158028</v>
      </c>
      <c r="D45" s="12">
        <v>160939</v>
      </c>
      <c r="E45" s="16">
        <f t="shared" si="3"/>
        <v>2911</v>
      </c>
      <c r="F45" s="46">
        <v>152045</v>
      </c>
      <c r="G45" s="12">
        <v>165311</v>
      </c>
      <c r="H45" s="16">
        <f t="shared" si="4"/>
        <v>13266</v>
      </c>
      <c r="I45" s="30">
        <f t="shared" si="5"/>
        <v>-5983</v>
      </c>
      <c r="J45" s="11">
        <f t="shared" si="6"/>
        <v>4372</v>
      </c>
      <c r="K45" s="19">
        <f t="shared" si="7"/>
        <v>10355</v>
      </c>
    </row>
    <row r="46" spans="1:11" ht="12.75">
      <c r="A46" s="666"/>
      <c r="B46" s="55" t="s">
        <v>44</v>
      </c>
      <c r="C46" s="27">
        <v>204999</v>
      </c>
      <c r="D46" s="12">
        <v>206115</v>
      </c>
      <c r="E46" s="16">
        <f t="shared" si="3"/>
        <v>1116</v>
      </c>
      <c r="F46" s="46">
        <v>195828</v>
      </c>
      <c r="G46" s="12">
        <v>211973</v>
      </c>
      <c r="H46" s="16">
        <f t="shared" si="4"/>
        <v>16145</v>
      </c>
      <c r="I46" s="27">
        <f t="shared" si="5"/>
        <v>-9171</v>
      </c>
      <c r="J46" s="12">
        <f t="shared" si="6"/>
        <v>5858</v>
      </c>
      <c r="K46" s="19">
        <f t="shared" si="7"/>
        <v>15029</v>
      </c>
    </row>
    <row r="47" spans="1:11" ht="12.75">
      <c r="A47" s="666"/>
      <c r="B47" s="55" t="s">
        <v>45</v>
      </c>
      <c r="C47" s="44">
        <v>242473</v>
      </c>
      <c r="D47" s="83">
        <v>246744</v>
      </c>
      <c r="E47" s="16">
        <f t="shared" si="3"/>
        <v>4271</v>
      </c>
      <c r="F47" s="47">
        <v>241979</v>
      </c>
      <c r="G47" s="83">
        <v>262350</v>
      </c>
      <c r="H47" s="16">
        <f t="shared" si="4"/>
        <v>20371</v>
      </c>
      <c r="I47" s="30">
        <f t="shared" si="5"/>
        <v>-494</v>
      </c>
      <c r="J47" s="11">
        <f t="shared" si="6"/>
        <v>15606</v>
      </c>
      <c r="K47" s="19">
        <f t="shared" si="7"/>
        <v>16100</v>
      </c>
    </row>
    <row r="48" spans="1:11" ht="12.75">
      <c r="A48" s="666"/>
      <c r="B48" s="55" t="s">
        <v>46</v>
      </c>
      <c r="C48" s="42">
        <v>281545</v>
      </c>
      <c r="D48" s="84">
        <v>287114</v>
      </c>
      <c r="E48" s="16">
        <f t="shared" si="3"/>
        <v>5569</v>
      </c>
      <c r="F48" s="40">
        <v>275508</v>
      </c>
      <c r="G48" s="84">
        <v>300536</v>
      </c>
      <c r="H48" s="16">
        <f t="shared" si="4"/>
        <v>25028</v>
      </c>
      <c r="I48" s="30">
        <f t="shared" si="5"/>
        <v>-6037</v>
      </c>
      <c r="J48" s="11">
        <f t="shared" si="6"/>
        <v>13422</v>
      </c>
      <c r="K48" s="19">
        <f t="shared" si="7"/>
        <v>19459</v>
      </c>
    </row>
    <row r="49" spans="1:11" ht="12.75">
      <c r="A49" s="666"/>
      <c r="B49" s="55" t="s">
        <v>47</v>
      </c>
      <c r="C49" s="42">
        <v>317724</v>
      </c>
      <c r="D49" s="84">
        <v>326561</v>
      </c>
      <c r="E49" s="16">
        <f t="shared" si="3"/>
        <v>8837</v>
      </c>
      <c r="F49" s="40">
        <v>310246</v>
      </c>
      <c r="G49" s="84">
        <v>339201</v>
      </c>
      <c r="H49" s="16">
        <f t="shared" si="4"/>
        <v>28955</v>
      </c>
      <c r="I49" s="30">
        <f t="shared" si="5"/>
        <v>-7478</v>
      </c>
      <c r="J49" s="11">
        <f t="shared" si="6"/>
        <v>12640</v>
      </c>
      <c r="K49" s="19">
        <f t="shared" si="7"/>
        <v>20118</v>
      </c>
    </row>
    <row r="50" spans="1:11" ht="12.75">
      <c r="A50" s="666"/>
      <c r="B50" s="55" t="s">
        <v>48</v>
      </c>
      <c r="C50" s="42">
        <v>358074</v>
      </c>
      <c r="D50" s="84">
        <v>366739</v>
      </c>
      <c r="E50" s="16">
        <f t="shared" si="3"/>
        <v>8665</v>
      </c>
      <c r="F50" s="40">
        <v>348921</v>
      </c>
      <c r="G50" s="84">
        <v>382284</v>
      </c>
      <c r="H50" s="16">
        <f t="shared" si="4"/>
        <v>33363</v>
      </c>
      <c r="I50" s="30">
        <f t="shared" si="5"/>
        <v>-9153</v>
      </c>
      <c r="J50" s="11">
        <f t="shared" si="6"/>
        <v>15545</v>
      </c>
      <c r="K50" s="19">
        <f t="shared" si="7"/>
        <v>24698</v>
      </c>
    </row>
    <row r="51" spans="1:11" ht="12.75">
      <c r="A51" s="666"/>
      <c r="B51" s="57" t="s">
        <v>49</v>
      </c>
      <c r="C51" s="42">
        <v>393910</v>
      </c>
      <c r="D51" s="84">
        <v>409919</v>
      </c>
      <c r="E51" s="16">
        <f t="shared" si="3"/>
        <v>16009</v>
      </c>
      <c r="F51" s="40">
        <v>391183</v>
      </c>
      <c r="G51" s="84">
        <v>418906</v>
      </c>
      <c r="H51" s="16">
        <f t="shared" si="4"/>
        <v>27723</v>
      </c>
      <c r="I51" s="27">
        <f t="shared" si="5"/>
        <v>-2727</v>
      </c>
      <c r="J51" s="5">
        <f t="shared" si="6"/>
        <v>8987</v>
      </c>
      <c r="K51" s="16">
        <f t="shared" si="7"/>
        <v>11714</v>
      </c>
    </row>
    <row r="52" spans="1:11" ht="12.75">
      <c r="A52" s="666"/>
      <c r="B52" s="55" t="s">
        <v>50</v>
      </c>
      <c r="C52" s="42">
        <v>444455</v>
      </c>
      <c r="D52" s="84">
        <v>454034</v>
      </c>
      <c r="E52" s="16">
        <f t="shared" si="3"/>
        <v>9579</v>
      </c>
      <c r="F52" s="40">
        <v>429259</v>
      </c>
      <c r="G52" s="84">
        <v>458511</v>
      </c>
      <c r="H52" s="16">
        <f t="shared" si="4"/>
        <v>29252</v>
      </c>
      <c r="I52" s="27">
        <f t="shared" si="5"/>
        <v>-15196</v>
      </c>
      <c r="J52" s="5">
        <f t="shared" si="6"/>
        <v>4477</v>
      </c>
      <c r="K52" s="16">
        <f t="shared" si="7"/>
        <v>19673</v>
      </c>
    </row>
    <row r="53" spans="1:11" ht="13.5" thickBot="1">
      <c r="A53" s="667"/>
      <c r="B53" s="59" t="s">
        <v>51</v>
      </c>
      <c r="C53" s="31">
        <v>489954</v>
      </c>
      <c r="D53" s="85">
        <f>497519.6+3239.28+1304.4-62.32</f>
        <v>502000.96</v>
      </c>
      <c r="E53" s="17">
        <f t="shared" si="3"/>
        <v>12046.960000000021</v>
      </c>
      <c r="F53" s="40">
        <v>483959</v>
      </c>
      <c r="G53" s="84">
        <f>497878.41+4391.86</f>
        <v>502270.26999999996</v>
      </c>
      <c r="H53" s="17">
        <f t="shared" si="4"/>
        <v>18311.26999999996</v>
      </c>
      <c r="I53" s="42">
        <f t="shared" si="5"/>
        <v>-5995</v>
      </c>
      <c r="J53" s="5">
        <f t="shared" si="6"/>
        <v>269.30999999993946</v>
      </c>
      <c r="K53" s="16">
        <f t="shared" si="7"/>
        <v>6264.3099999999395</v>
      </c>
    </row>
    <row r="54" spans="1:11" ht="12.75" customHeight="1">
      <c r="A54" s="665" t="s">
        <v>210</v>
      </c>
      <c r="B54" s="53" t="s">
        <v>40</v>
      </c>
      <c r="C54" s="91">
        <v>40837</v>
      </c>
      <c r="D54" s="82">
        <v>43732</v>
      </c>
      <c r="E54" s="15">
        <f t="shared" si="3"/>
        <v>2895</v>
      </c>
      <c r="F54" s="87">
        <v>40961</v>
      </c>
      <c r="G54" s="82">
        <v>40263</v>
      </c>
      <c r="H54" s="15">
        <f t="shared" si="4"/>
        <v>-698</v>
      </c>
      <c r="I54" s="91">
        <f t="shared" si="5"/>
        <v>124</v>
      </c>
      <c r="J54" s="14">
        <f t="shared" si="6"/>
        <v>-3469</v>
      </c>
      <c r="K54" s="15">
        <f t="shared" si="7"/>
        <v>-3593</v>
      </c>
    </row>
    <row r="55" spans="1:11" ht="12.75">
      <c r="A55" s="666"/>
      <c r="B55" s="55" t="s">
        <v>41</v>
      </c>
      <c r="C55" s="27">
        <v>79152</v>
      </c>
      <c r="D55" s="12">
        <v>85818</v>
      </c>
      <c r="E55" s="16">
        <f t="shared" si="3"/>
        <v>6666</v>
      </c>
      <c r="F55" s="46">
        <v>82378</v>
      </c>
      <c r="G55" s="12">
        <v>80802</v>
      </c>
      <c r="H55" s="16">
        <f t="shared" si="4"/>
        <v>-1576</v>
      </c>
      <c r="I55" s="30">
        <f t="shared" si="5"/>
        <v>3226</v>
      </c>
      <c r="J55" s="3">
        <f t="shared" si="6"/>
        <v>-5016</v>
      </c>
      <c r="K55" s="16">
        <f t="shared" si="7"/>
        <v>-8242</v>
      </c>
    </row>
    <row r="56" spans="1:11" ht="12.75">
      <c r="A56" s="666"/>
      <c r="B56" s="55" t="s">
        <v>42</v>
      </c>
      <c r="C56" s="27">
        <v>117441</v>
      </c>
      <c r="D56" s="12">
        <v>130527</v>
      </c>
      <c r="E56" s="16">
        <f t="shared" si="3"/>
        <v>13086</v>
      </c>
      <c r="F56" s="46">
        <v>127709</v>
      </c>
      <c r="G56" s="12">
        <v>130281</v>
      </c>
      <c r="H56" s="16">
        <f t="shared" si="4"/>
        <v>2572</v>
      </c>
      <c r="I56" s="30">
        <f t="shared" si="5"/>
        <v>10268</v>
      </c>
      <c r="J56" s="3">
        <f t="shared" si="6"/>
        <v>-246</v>
      </c>
      <c r="K56" s="16">
        <f t="shared" si="7"/>
        <v>-10514</v>
      </c>
    </row>
    <row r="57" spans="1:11" ht="12.75">
      <c r="A57" s="666"/>
      <c r="B57" s="55" t="s">
        <v>43</v>
      </c>
      <c r="C57" s="27">
        <v>156824</v>
      </c>
      <c r="D57" s="12">
        <v>176136</v>
      </c>
      <c r="E57" s="16">
        <f t="shared" si="3"/>
        <v>19312</v>
      </c>
      <c r="F57" s="46">
        <v>171611</v>
      </c>
      <c r="G57" s="12">
        <v>174194</v>
      </c>
      <c r="H57" s="16">
        <f t="shared" si="4"/>
        <v>2583</v>
      </c>
      <c r="I57" s="30">
        <f t="shared" si="5"/>
        <v>14787</v>
      </c>
      <c r="J57" s="3">
        <f t="shared" si="6"/>
        <v>-1942</v>
      </c>
      <c r="K57" s="16">
        <f t="shared" si="7"/>
        <v>-16729</v>
      </c>
    </row>
    <row r="58" spans="1:11" ht="12.75">
      <c r="A58" s="666"/>
      <c r="B58" s="55" t="s">
        <v>44</v>
      </c>
      <c r="C58" s="27">
        <v>206229</v>
      </c>
      <c r="D58" s="12">
        <v>221733</v>
      </c>
      <c r="E58" s="16">
        <f t="shared" si="3"/>
        <v>15504</v>
      </c>
      <c r="F58" s="46">
        <v>200846</v>
      </c>
      <c r="G58" s="12">
        <v>216049</v>
      </c>
      <c r="H58" s="16">
        <f t="shared" si="4"/>
        <v>15203</v>
      </c>
      <c r="I58" s="30">
        <f t="shared" si="5"/>
        <v>-5383</v>
      </c>
      <c r="J58" s="3">
        <f t="shared" si="6"/>
        <v>-5684</v>
      </c>
      <c r="K58" s="20">
        <f t="shared" si="7"/>
        <v>-301</v>
      </c>
    </row>
    <row r="59" spans="1:11" ht="12.75">
      <c r="A59" s="666"/>
      <c r="B59" s="55" t="s">
        <v>45</v>
      </c>
      <c r="C59" s="44">
        <v>261063</v>
      </c>
      <c r="D59" s="83">
        <v>263778</v>
      </c>
      <c r="E59" s="16">
        <f t="shared" si="3"/>
        <v>2715</v>
      </c>
      <c r="F59" s="47">
        <v>249471</v>
      </c>
      <c r="G59" s="83">
        <v>267629</v>
      </c>
      <c r="H59" s="16">
        <f t="shared" si="4"/>
        <v>18158</v>
      </c>
      <c r="I59" s="30">
        <f t="shared" si="5"/>
        <v>-11592</v>
      </c>
      <c r="J59" s="3">
        <f t="shared" si="6"/>
        <v>3851</v>
      </c>
      <c r="K59" s="20">
        <f t="shared" si="7"/>
        <v>15443</v>
      </c>
    </row>
    <row r="60" spans="1:11" ht="12.75">
      <c r="A60" s="666"/>
      <c r="B60" s="55" t="s">
        <v>46</v>
      </c>
      <c r="C60" s="42">
        <v>304342</v>
      </c>
      <c r="D60" s="84">
        <v>308724</v>
      </c>
      <c r="E60" s="16">
        <f t="shared" si="3"/>
        <v>4382</v>
      </c>
      <c r="F60" s="40">
        <v>294372</v>
      </c>
      <c r="G60" s="84">
        <v>309252</v>
      </c>
      <c r="H60" s="16">
        <f t="shared" si="4"/>
        <v>14880</v>
      </c>
      <c r="I60" s="30">
        <f t="shared" si="5"/>
        <v>-9970</v>
      </c>
      <c r="J60" s="3">
        <f t="shared" si="6"/>
        <v>528</v>
      </c>
      <c r="K60" s="20">
        <f t="shared" si="7"/>
        <v>10498</v>
      </c>
    </row>
    <row r="61" spans="1:11" ht="12.75">
      <c r="A61" s="666"/>
      <c r="B61" s="55" t="s">
        <v>47</v>
      </c>
      <c r="C61" s="42">
        <v>344752</v>
      </c>
      <c r="D61" s="84">
        <v>351939</v>
      </c>
      <c r="E61" s="16">
        <f t="shared" si="3"/>
        <v>7187</v>
      </c>
      <c r="F61" s="40">
        <v>334551</v>
      </c>
      <c r="G61" s="84">
        <v>351787</v>
      </c>
      <c r="H61" s="16">
        <f t="shared" si="4"/>
        <v>17236</v>
      </c>
      <c r="I61" s="30">
        <f t="shared" si="5"/>
        <v>-10201</v>
      </c>
      <c r="J61" s="3">
        <f t="shared" si="6"/>
        <v>-152</v>
      </c>
      <c r="K61" s="20">
        <f t="shared" si="7"/>
        <v>10049</v>
      </c>
    </row>
    <row r="62" spans="1:11" ht="14.25" customHeight="1">
      <c r="A62" s="666"/>
      <c r="B62" s="55" t="s">
        <v>48</v>
      </c>
      <c r="C62" s="42">
        <v>386788</v>
      </c>
      <c r="D62" s="84">
        <v>395914</v>
      </c>
      <c r="E62" s="16">
        <f t="shared" si="3"/>
        <v>9126</v>
      </c>
      <c r="F62" s="40">
        <v>376467</v>
      </c>
      <c r="G62" s="84">
        <v>401026</v>
      </c>
      <c r="H62" s="16">
        <f t="shared" si="4"/>
        <v>24559</v>
      </c>
      <c r="I62" s="30">
        <f t="shared" si="5"/>
        <v>-10321</v>
      </c>
      <c r="J62" s="11">
        <f t="shared" si="6"/>
        <v>5112</v>
      </c>
      <c r="K62" s="19">
        <f t="shared" si="7"/>
        <v>15433</v>
      </c>
    </row>
    <row r="63" spans="1:11" ht="12.75">
      <c r="A63" s="681"/>
      <c r="B63" s="57" t="s">
        <v>49</v>
      </c>
      <c r="C63" s="42">
        <v>429180</v>
      </c>
      <c r="D63" s="84">
        <v>439054</v>
      </c>
      <c r="E63" s="16">
        <f t="shared" si="3"/>
        <v>9874</v>
      </c>
      <c r="F63" s="40">
        <v>416902</v>
      </c>
      <c r="G63" s="84">
        <v>443150</v>
      </c>
      <c r="H63" s="16">
        <f t="shared" si="4"/>
        <v>26248</v>
      </c>
      <c r="I63" s="27">
        <f t="shared" si="5"/>
        <v>-12278</v>
      </c>
      <c r="J63" s="5">
        <f t="shared" si="6"/>
        <v>4096</v>
      </c>
      <c r="K63" s="16">
        <f t="shared" si="7"/>
        <v>16374</v>
      </c>
    </row>
    <row r="64" spans="1:11" ht="12.75">
      <c r="A64" s="681"/>
      <c r="B64" s="55" t="s">
        <v>50</v>
      </c>
      <c r="C64" s="42">
        <v>480243</v>
      </c>
      <c r="D64" s="84">
        <v>487967</v>
      </c>
      <c r="E64" s="16">
        <f t="shared" si="3"/>
        <v>7724</v>
      </c>
      <c r="F64" s="40">
        <v>455909</v>
      </c>
      <c r="G64" s="84">
        <v>490192</v>
      </c>
      <c r="H64" s="16">
        <f t="shared" si="4"/>
        <v>34283</v>
      </c>
      <c r="I64" s="27">
        <f t="shared" si="5"/>
        <v>-24334</v>
      </c>
      <c r="J64" s="5">
        <f t="shared" si="6"/>
        <v>2225</v>
      </c>
      <c r="K64" s="16">
        <f t="shared" si="7"/>
        <v>26559</v>
      </c>
    </row>
    <row r="65" spans="1:11" ht="13.5" thickBot="1">
      <c r="A65" s="681"/>
      <c r="B65" s="550" t="s">
        <v>51</v>
      </c>
      <c r="C65" s="42">
        <v>524740</v>
      </c>
      <c r="D65" s="84">
        <f>531790.23+2228.9</f>
        <v>534019.13</v>
      </c>
      <c r="E65" s="20">
        <f t="shared" si="3"/>
        <v>9279.130000000005</v>
      </c>
      <c r="F65" s="40">
        <v>522437</v>
      </c>
      <c r="G65" s="84">
        <f>531176.27+2975.21</f>
        <v>534151.48</v>
      </c>
      <c r="H65" s="20">
        <f t="shared" si="4"/>
        <v>11714.479999999981</v>
      </c>
      <c r="I65" s="42">
        <f t="shared" si="5"/>
        <v>-2303</v>
      </c>
      <c r="J65" s="43">
        <f t="shared" si="6"/>
        <v>132.34999999997672</v>
      </c>
      <c r="K65" s="20">
        <f t="shared" si="7"/>
        <v>2435.3499999999767</v>
      </c>
    </row>
    <row r="66" spans="1:11" ht="13.5" thickBot="1">
      <c r="A66" s="551" t="s">
        <v>11</v>
      </c>
      <c r="B66" s="552" t="s">
        <v>51</v>
      </c>
      <c r="C66" s="553">
        <f aca="true" t="shared" si="8" ref="C66:H66">+C65+C53+C41+C29+C17</f>
        <v>2701086.94</v>
      </c>
      <c r="D66" s="554">
        <f t="shared" si="8"/>
        <v>2676490.18</v>
      </c>
      <c r="E66" s="554">
        <f t="shared" si="8"/>
        <v>-24596.75999999995</v>
      </c>
      <c r="F66" s="553">
        <f t="shared" si="8"/>
        <v>2499133.06</v>
      </c>
      <c r="G66" s="554">
        <f t="shared" si="8"/>
        <v>2671881.5599999996</v>
      </c>
      <c r="H66" s="554">
        <f t="shared" si="8"/>
        <v>172748.5</v>
      </c>
      <c r="I66" s="285">
        <f>+F66-C66</f>
        <v>-201953.8799999999</v>
      </c>
      <c r="J66" s="554">
        <f>+G66-D66</f>
        <v>-4608.620000000577</v>
      </c>
      <c r="K66" s="555">
        <f>+J66-I66</f>
        <v>197345.2599999993</v>
      </c>
    </row>
    <row r="67" ht="12.75">
      <c r="H67" s="505"/>
    </row>
    <row r="68" ht="12.75">
      <c r="H68" s="505"/>
    </row>
    <row r="69" ht="12.75">
      <c r="H69" s="505"/>
    </row>
    <row r="70" ht="12.75">
      <c r="H70" s="505"/>
    </row>
    <row r="71" ht="12.75">
      <c r="H71" s="505"/>
    </row>
    <row r="72" ht="12.75">
      <c r="H72" s="505"/>
    </row>
    <row r="73" ht="12.75">
      <c r="H73" s="505"/>
    </row>
    <row r="74" ht="12.75">
      <c r="H74" s="505"/>
    </row>
    <row r="116" spans="1:11" ht="12.75">
      <c r="A116" s="668" t="s">
        <v>299</v>
      </c>
      <c r="B116" s="669"/>
      <c r="C116" s="669"/>
      <c r="D116" s="669"/>
      <c r="E116" s="669"/>
      <c r="F116" s="669"/>
      <c r="G116" s="669"/>
      <c r="H116" s="669"/>
      <c r="I116" s="669"/>
      <c r="J116" s="669"/>
      <c r="K116" s="670"/>
    </row>
    <row r="117" spans="1:11" ht="12.75">
      <c r="A117" s="671"/>
      <c r="B117" s="672"/>
      <c r="C117" s="672"/>
      <c r="D117" s="672"/>
      <c r="E117" s="672"/>
      <c r="F117" s="672"/>
      <c r="G117" s="672"/>
      <c r="H117" s="672"/>
      <c r="I117" s="672"/>
      <c r="J117" s="672"/>
      <c r="K117" s="673"/>
    </row>
    <row r="118" spans="1:11" ht="12.75">
      <c r="A118" s="671"/>
      <c r="B118" s="672"/>
      <c r="C118" s="672"/>
      <c r="D118" s="672"/>
      <c r="E118" s="672"/>
      <c r="F118" s="672"/>
      <c r="G118" s="672"/>
      <c r="H118" s="672"/>
      <c r="I118" s="672"/>
      <c r="J118" s="672"/>
      <c r="K118" s="673"/>
    </row>
    <row r="119" spans="1:11" ht="12.75">
      <c r="A119" s="671"/>
      <c r="B119" s="672"/>
      <c r="C119" s="672"/>
      <c r="D119" s="672"/>
      <c r="E119" s="672"/>
      <c r="F119" s="672"/>
      <c r="G119" s="672"/>
      <c r="H119" s="672"/>
      <c r="I119" s="672"/>
      <c r="J119" s="672"/>
      <c r="K119" s="673"/>
    </row>
    <row r="120" spans="1:11" ht="12.75">
      <c r="A120" s="671"/>
      <c r="B120" s="672"/>
      <c r="C120" s="672"/>
      <c r="D120" s="672"/>
      <c r="E120" s="672"/>
      <c r="F120" s="672"/>
      <c r="G120" s="672"/>
      <c r="H120" s="672"/>
      <c r="I120" s="672"/>
      <c r="J120" s="672"/>
      <c r="K120" s="673"/>
    </row>
    <row r="121" spans="1:11" ht="12.75">
      <c r="A121" s="674"/>
      <c r="B121" s="675"/>
      <c r="C121" s="675"/>
      <c r="D121" s="675"/>
      <c r="E121" s="675"/>
      <c r="F121" s="675"/>
      <c r="G121" s="675"/>
      <c r="H121" s="675"/>
      <c r="I121" s="675"/>
      <c r="J121" s="675"/>
      <c r="K121" s="676"/>
    </row>
    <row r="122" ht="7.5" customHeight="1"/>
    <row r="123" ht="6" customHeight="1"/>
    <row r="124" ht="16.5" thickBot="1">
      <c r="A124" s="29" t="s">
        <v>282</v>
      </c>
    </row>
    <row r="125" spans="1:11" ht="12.75" customHeight="1" thickBot="1">
      <c r="A125" s="691" t="s">
        <v>2</v>
      </c>
      <c r="B125" s="692"/>
      <c r="C125" s="688" t="s">
        <v>285</v>
      </c>
      <c r="D125" s="689"/>
      <c r="E125" s="690"/>
      <c r="F125" s="688">
        <v>2003</v>
      </c>
      <c r="G125" s="689"/>
      <c r="H125" s="690"/>
      <c r="I125" s="688" t="s">
        <v>287</v>
      </c>
      <c r="J125" s="689"/>
      <c r="K125" s="690"/>
    </row>
    <row r="126" spans="1:11" ht="12.75" customHeight="1">
      <c r="A126" s="693"/>
      <c r="B126" s="694"/>
      <c r="C126" s="697" t="s">
        <v>283</v>
      </c>
      <c r="D126" s="699" t="s">
        <v>284</v>
      </c>
      <c r="E126" s="703" t="s">
        <v>286</v>
      </c>
      <c r="F126" s="697" t="s">
        <v>283</v>
      </c>
      <c r="G126" s="699" t="s">
        <v>284</v>
      </c>
      <c r="H126" s="703" t="s">
        <v>286</v>
      </c>
      <c r="I126" s="697" t="s">
        <v>283</v>
      </c>
      <c r="J126" s="699" t="s">
        <v>284</v>
      </c>
      <c r="K126" s="703" t="s">
        <v>286</v>
      </c>
    </row>
    <row r="127" spans="1:11" ht="27" customHeight="1" thickBot="1">
      <c r="A127" s="693"/>
      <c r="B127" s="694"/>
      <c r="C127" s="698"/>
      <c r="D127" s="700"/>
      <c r="E127" s="704"/>
      <c r="F127" s="698"/>
      <c r="G127" s="700"/>
      <c r="H127" s="704"/>
      <c r="I127" s="698"/>
      <c r="J127" s="700"/>
      <c r="K127" s="704"/>
    </row>
    <row r="128" spans="1:11" ht="12.75">
      <c r="A128" s="695" t="s">
        <v>8</v>
      </c>
      <c r="B128" s="696"/>
      <c r="C128" s="609">
        <v>-287268.93</v>
      </c>
      <c r="D128" s="606">
        <v>-29882.5</v>
      </c>
      <c r="E128" s="5">
        <f>SUM(C128:D128)</f>
        <v>-317151.43</v>
      </c>
      <c r="F128" s="609">
        <v>-285584</v>
      </c>
      <c r="G128" s="606">
        <v>-50784</v>
      </c>
      <c r="H128" s="5">
        <f>+F128+G128</f>
        <v>-336368</v>
      </c>
      <c r="I128" s="609">
        <v>-325173</v>
      </c>
      <c r="J128" s="606">
        <v>-491</v>
      </c>
      <c r="K128" s="5">
        <f>+I128+J128</f>
        <v>-325664</v>
      </c>
    </row>
    <row r="129" spans="1:11" ht="12.75">
      <c r="A129" s="695" t="s">
        <v>7</v>
      </c>
      <c r="B129" s="696"/>
      <c r="C129" s="610">
        <v>-86309.42</v>
      </c>
      <c r="D129" s="12">
        <v>-62706.14</v>
      </c>
      <c r="E129" s="5">
        <f>SUM(C129:D129)</f>
        <v>-149015.56</v>
      </c>
      <c r="F129" s="610">
        <v>-104523</v>
      </c>
      <c r="G129" s="12">
        <v>-143274</v>
      </c>
      <c r="H129" s="5">
        <f>+F129+G129</f>
        <v>-247797</v>
      </c>
      <c r="I129" s="610">
        <v>-224395</v>
      </c>
      <c r="J129" s="12">
        <v>-4590</v>
      </c>
      <c r="K129" s="5">
        <f>+I129+J129</f>
        <v>-228985</v>
      </c>
    </row>
    <row r="130" spans="1:11" ht="12.75">
      <c r="A130" s="695" t="s">
        <v>6</v>
      </c>
      <c r="B130" s="696"/>
      <c r="C130" s="610">
        <v>-819.03</v>
      </c>
      <c r="D130" s="12">
        <v>416.39</v>
      </c>
      <c r="E130" s="5">
        <f>SUM(C130:D130)</f>
        <v>-402.64</v>
      </c>
      <c r="F130" s="610">
        <v>0</v>
      </c>
      <c r="G130" s="12">
        <v>402</v>
      </c>
      <c r="H130" s="5">
        <f>+F130+G130</f>
        <v>402</v>
      </c>
      <c r="I130" s="610">
        <v>0</v>
      </c>
      <c r="J130" s="12">
        <v>71</v>
      </c>
      <c r="K130" s="5">
        <f>+I130+J130</f>
        <v>71</v>
      </c>
    </row>
    <row r="131" spans="1:11" ht="12.75">
      <c r="A131" s="695" t="s">
        <v>5</v>
      </c>
      <c r="B131" s="696"/>
      <c r="C131" s="610">
        <v>-246270.12</v>
      </c>
      <c r="D131" s="12">
        <v>163480.24</v>
      </c>
      <c r="E131" s="5">
        <f>SUM(C131:D131)</f>
        <v>-82789.88</v>
      </c>
      <c r="F131" s="610">
        <v>-54950</v>
      </c>
      <c r="G131" s="12">
        <v>-5995</v>
      </c>
      <c r="H131" s="5">
        <f>+F131+G131</f>
        <v>-60945</v>
      </c>
      <c r="I131" s="610">
        <v>-52908</v>
      </c>
      <c r="J131" s="12">
        <v>269</v>
      </c>
      <c r="K131" s="5">
        <f>+I131+J131</f>
        <v>-52639</v>
      </c>
    </row>
    <row r="132" spans="1:11" ht="12.75">
      <c r="A132" s="695" t="s">
        <v>23</v>
      </c>
      <c r="B132" s="696"/>
      <c r="C132" s="610">
        <v>-23942.43</v>
      </c>
      <c r="D132" s="12">
        <v>-23034.76</v>
      </c>
      <c r="E132" s="5">
        <f>SUM(C132:D132)</f>
        <v>-46977.19</v>
      </c>
      <c r="F132" s="610">
        <v>-16728</v>
      </c>
      <c r="G132" s="12">
        <v>-2303</v>
      </c>
      <c r="H132" s="5">
        <f>+F132+G132</f>
        <v>-19031</v>
      </c>
      <c r="I132" s="610">
        <v>-19031</v>
      </c>
      <c r="J132" s="12">
        <v>132</v>
      </c>
      <c r="K132" s="5">
        <f>+I132+J132</f>
        <v>-18899</v>
      </c>
    </row>
    <row r="133" spans="1:11" ht="13.5" thickBot="1">
      <c r="A133" s="701" t="s">
        <v>11</v>
      </c>
      <c r="B133" s="702"/>
      <c r="C133" s="607">
        <f aca="true" t="shared" si="9" ref="C133:K133">SUM(C128:C132)</f>
        <v>-644609.93</v>
      </c>
      <c r="D133" s="608">
        <f t="shared" si="9"/>
        <v>48273.229999999996</v>
      </c>
      <c r="E133" s="28">
        <f t="shared" si="9"/>
        <v>-596336.7</v>
      </c>
      <c r="F133" s="607">
        <f t="shared" si="9"/>
        <v>-461785</v>
      </c>
      <c r="G133" s="608">
        <f t="shared" si="9"/>
        <v>-201954</v>
      </c>
      <c r="H133" s="28">
        <f t="shared" si="9"/>
        <v>-663739</v>
      </c>
      <c r="I133" s="607">
        <f t="shared" si="9"/>
        <v>-621507</v>
      </c>
      <c r="J133" s="608">
        <f t="shared" si="9"/>
        <v>-4609</v>
      </c>
      <c r="K133" s="28">
        <f t="shared" si="9"/>
        <v>-626116</v>
      </c>
    </row>
    <row r="136" spans="6:9" ht="12.75">
      <c r="F136" s="611"/>
      <c r="I136" s="611"/>
    </row>
    <row r="137" spans="6:9" ht="12.75">
      <c r="F137" s="611"/>
      <c r="I137" s="611"/>
    </row>
    <row r="138" spans="6:9" ht="12.75">
      <c r="F138" s="611"/>
      <c r="I138" s="611"/>
    </row>
    <row r="139" spans="6:9" ht="12.75">
      <c r="F139" s="611"/>
      <c r="I139" s="611"/>
    </row>
    <row r="140" spans="6:9" ht="12.75">
      <c r="F140" s="611"/>
      <c r="I140" s="611"/>
    </row>
  </sheetData>
  <mergeCells count="31">
    <mergeCell ref="I125:K125"/>
    <mergeCell ref="I126:I127"/>
    <mergeCell ref="J126:J127"/>
    <mergeCell ref="K126:K127"/>
    <mergeCell ref="A133:B133"/>
    <mergeCell ref="G126:G127"/>
    <mergeCell ref="H126:H127"/>
    <mergeCell ref="F125:H125"/>
    <mergeCell ref="F126:F127"/>
    <mergeCell ref="A129:B129"/>
    <mergeCell ref="A130:B130"/>
    <mergeCell ref="A131:B131"/>
    <mergeCell ref="A132:B132"/>
    <mergeCell ref="E126:E127"/>
    <mergeCell ref="C125:E125"/>
    <mergeCell ref="A125:B127"/>
    <mergeCell ref="A128:B128"/>
    <mergeCell ref="C126:C127"/>
    <mergeCell ref="D126:D127"/>
    <mergeCell ref="A2:K2"/>
    <mergeCell ref="I4:K4"/>
    <mergeCell ref="F4:H4"/>
    <mergeCell ref="C4:E4"/>
    <mergeCell ref="A30:A41"/>
    <mergeCell ref="A42:A53"/>
    <mergeCell ref="A116:K121"/>
    <mergeCell ref="A4:A5"/>
    <mergeCell ref="B4:B5"/>
    <mergeCell ref="A54:A65"/>
    <mergeCell ref="A6:A17"/>
    <mergeCell ref="A18:A29"/>
  </mergeCells>
  <printOptions horizontalCentered="1"/>
  <pageMargins left="0.1968503937007874" right="0.1968503937007874" top="0.36" bottom="0.5511811023622047" header="0.2755905511811024" footer="0.3543307086614173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3:M122"/>
  <sheetViews>
    <sheetView workbookViewId="0" topLeftCell="A1">
      <selection activeCell="A1" sqref="A1"/>
    </sheetView>
  </sheetViews>
  <sheetFormatPr defaultColWidth="9.00390625" defaultRowHeight="12.75"/>
  <cols>
    <col min="1" max="1" width="11.625" style="0" customWidth="1"/>
  </cols>
  <sheetData>
    <row r="3" spans="1:13" ht="16.5" thickBot="1">
      <c r="A3" s="29" t="s">
        <v>253</v>
      </c>
      <c r="M3" s="32" t="s">
        <v>26</v>
      </c>
    </row>
    <row r="4" spans="1:13" ht="16.5" thickBot="1">
      <c r="A4" s="710" t="s">
        <v>2</v>
      </c>
      <c r="B4" s="705" t="s">
        <v>31</v>
      </c>
      <c r="C4" s="706"/>
      <c r="D4" s="706"/>
      <c r="E4" s="706"/>
      <c r="F4" s="706"/>
      <c r="G4" s="706"/>
      <c r="H4" s="706"/>
      <c r="I4" s="706"/>
      <c r="J4" s="706"/>
      <c r="K4" s="706"/>
      <c r="L4" s="706"/>
      <c r="M4" s="707"/>
    </row>
    <row r="5" spans="1:13" s="39" customFormat="1" ht="20.25" customHeight="1">
      <c r="A5" s="711"/>
      <c r="B5" s="37" t="s">
        <v>12</v>
      </c>
      <c r="C5" s="38" t="s">
        <v>13</v>
      </c>
      <c r="D5" s="37" t="s">
        <v>14</v>
      </c>
      <c r="E5" s="38" t="s">
        <v>13</v>
      </c>
      <c r="F5" s="37" t="s">
        <v>15</v>
      </c>
      <c r="G5" s="38" t="s">
        <v>13</v>
      </c>
      <c r="H5" s="37" t="s">
        <v>16</v>
      </c>
      <c r="I5" s="38" t="s">
        <v>13</v>
      </c>
      <c r="J5" s="37" t="s">
        <v>17</v>
      </c>
      <c r="K5" s="38" t="s">
        <v>13</v>
      </c>
      <c r="L5" s="37" t="s">
        <v>18</v>
      </c>
      <c r="M5" s="38" t="s">
        <v>13</v>
      </c>
    </row>
    <row r="6" spans="1:13" ht="13.5" thickBot="1">
      <c r="A6" s="712"/>
      <c r="B6" s="21">
        <v>2004</v>
      </c>
      <c r="C6" s="22" t="s">
        <v>19</v>
      </c>
      <c r="D6" s="21">
        <v>2004</v>
      </c>
      <c r="E6" s="22" t="s">
        <v>19</v>
      </c>
      <c r="F6" s="21">
        <v>2004</v>
      </c>
      <c r="G6" s="22" t="s">
        <v>19</v>
      </c>
      <c r="H6" s="21">
        <v>2004</v>
      </c>
      <c r="I6" s="22" t="s">
        <v>19</v>
      </c>
      <c r="J6" s="21">
        <v>2004</v>
      </c>
      <c r="K6" s="22" t="s">
        <v>19</v>
      </c>
      <c r="L6" s="21">
        <v>2004</v>
      </c>
      <c r="M6" s="22" t="s">
        <v>19</v>
      </c>
    </row>
    <row r="7" spans="1:13" ht="18.75" customHeight="1">
      <c r="A7" s="23" t="s">
        <v>8</v>
      </c>
      <c r="B7" s="24">
        <v>116773</v>
      </c>
      <c r="C7" s="25">
        <v>100765</v>
      </c>
      <c r="D7" s="24">
        <v>113137</v>
      </c>
      <c r="E7" s="25">
        <v>91539</v>
      </c>
      <c r="F7" s="24">
        <v>110508</v>
      </c>
      <c r="G7" s="25">
        <v>90317</v>
      </c>
      <c r="H7" s="24">
        <v>99353</v>
      </c>
      <c r="I7" s="25">
        <v>76430</v>
      </c>
      <c r="J7" s="24">
        <v>104368</v>
      </c>
      <c r="K7" s="25">
        <v>80044</v>
      </c>
      <c r="L7" s="24">
        <v>92770</v>
      </c>
      <c r="M7" s="25">
        <v>76463</v>
      </c>
    </row>
    <row r="8" spans="1:13" ht="18.75" customHeight="1">
      <c r="A8" s="26" t="s">
        <v>7</v>
      </c>
      <c r="B8" s="27">
        <v>199467</v>
      </c>
      <c r="C8" s="5">
        <v>173045</v>
      </c>
      <c r="D8" s="27">
        <v>193695</v>
      </c>
      <c r="E8" s="5">
        <v>166080</v>
      </c>
      <c r="F8" s="27">
        <v>197594</v>
      </c>
      <c r="G8" s="5">
        <v>166661</v>
      </c>
      <c r="H8" s="27">
        <v>202233</v>
      </c>
      <c r="I8" s="5">
        <v>167136</v>
      </c>
      <c r="J8" s="27">
        <v>202506</v>
      </c>
      <c r="K8" s="5">
        <v>166009</v>
      </c>
      <c r="L8" s="27">
        <v>199971</v>
      </c>
      <c r="M8" s="5">
        <v>164947</v>
      </c>
    </row>
    <row r="9" spans="1:13" ht="18.75" customHeight="1">
      <c r="A9" s="26" t="s">
        <v>6</v>
      </c>
      <c r="B9" s="27">
        <v>18723</v>
      </c>
      <c r="C9" s="5">
        <v>9379</v>
      </c>
      <c r="D9" s="27">
        <v>18811</v>
      </c>
      <c r="E9" s="5">
        <v>8946</v>
      </c>
      <c r="F9" s="27">
        <v>19258</v>
      </c>
      <c r="G9" s="5">
        <v>7830</v>
      </c>
      <c r="H9" s="27">
        <v>21635</v>
      </c>
      <c r="I9" s="5">
        <v>7330</v>
      </c>
      <c r="J9" s="27">
        <v>20749</v>
      </c>
      <c r="K9" s="5">
        <v>8421</v>
      </c>
      <c r="L9" s="27">
        <v>18510</v>
      </c>
      <c r="M9" s="5">
        <v>7184</v>
      </c>
    </row>
    <row r="10" spans="1:13" ht="18.75" customHeight="1">
      <c r="A10" s="26" t="s">
        <v>5</v>
      </c>
      <c r="B10" s="27">
        <v>79853</v>
      </c>
      <c r="C10" s="5">
        <v>68086</v>
      </c>
      <c r="D10" s="27">
        <v>84125</v>
      </c>
      <c r="E10" s="5">
        <v>68816</v>
      </c>
      <c r="F10" s="27">
        <v>84119</v>
      </c>
      <c r="G10" s="5">
        <v>67161</v>
      </c>
      <c r="H10" s="27">
        <v>69555</v>
      </c>
      <c r="I10" s="5">
        <v>49099</v>
      </c>
      <c r="J10" s="27">
        <v>54593</v>
      </c>
      <c r="K10" s="5">
        <v>30419</v>
      </c>
      <c r="L10" s="27">
        <v>56413</v>
      </c>
      <c r="M10" s="5">
        <v>30636</v>
      </c>
    </row>
    <row r="11" spans="1:13" ht="18.75" customHeight="1" thickBot="1">
      <c r="A11" s="198" t="s">
        <v>23</v>
      </c>
      <c r="B11" s="42">
        <v>30428</v>
      </c>
      <c r="C11" s="43">
        <v>9017</v>
      </c>
      <c r="D11" s="42">
        <v>34764</v>
      </c>
      <c r="E11" s="43">
        <v>8267</v>
      </c>
      <c r="F11" s="42">
        <v>32223</v>
      </c>
      <c r="G11" s="43">
        <v>4597</v>
      </c>
      <c r="H11" s="42">
        <v>36367</v>
      </c>
      <c r="I11" s="43">
        <v>3678</v>
      </c>
      <c r="J11" s="42">
        <v>36439</v>
      </c>
      <c r="K11" s="43">
        <v>4039</v>
      </c>
      <c r="L11" s="42">
        <v>39050</v>
      </c>
      <c r="M11" s="43">
        <v>8001</v>
      </c>
    </row>
    <row r="12" spans="1:13" ht="18.75" customHeight="1" thickBot="1">
      <c r="A12" s="199" t="s">
        <v>11</v>
      </c>
      <c r="B12" s="200">
        <f aca="true" t="shared" si="0" ref="B12:M12">SUM(B7:B11)</f>
        <v>445244</v>
      </c>
      <c r="C12" s="52">
        <f t="shared" si="0"/>
        <v>360292</v>
      </c>
      <c r="D12" s="200">
        <f t="shared" si="0"/>
        <v>444532</v>
      </c>
      <c r="E12" s="52">
        <f t="shared" si="0"/>
        <v>343648</v>
      </c>
      <c r="F12" s="200">
        <f t="shared" si="0"/>
        <v>443702</v>
      </c>
      <c r="G12" s="52">
        <f t="shared" si="0"/>
        <v>336566</v>
      </c>
      <c r="H12" s="200">
        <f t="shared" si="0"/>
        <v>429143</v>
      </c>
      <c r="I12" s="52">
        <f t="shared" si="0"/>
        <v>303673</v>
      </c>
      <c r="J12" s="200">
        <f t="shared" si="0"/>
        <v>418655</v>
      </c>
      <c r="K12" s="52">
        <f t="shared" si="0"/>
        <v>288932</v>
      </c>
      <c r="L12" s="200">
        <f t="shared" si="0"/>
        <v>406714</v>
      </c>
      <c r="M12" s="52">
        <f t="shared" si="0"/>
        <v>287231</v>
      </c>
    </row>
    <row r="13" ht="3.75" customHeight="1"/>
    <row r="14" spans="1:13" ht="2.25" customHeight="1" thickBot="1">
      <c r="A14" s="29"/>
      <c r="M14" s="32" t="s">
        <v>26</v>
      </c>
    </row>
    <row r="15" spans="1:13" ht="16.5" thickBot="1">
      <c r="A15" s="710" t="s">
        <v>2</v>
      </c>
      <c r="B15" s="705" t="s">
        <v>32</v>
      </c>
      <c r="C15" s="706"/>
      <c r="D15" s="706"/>
      <c r="E15" s="706"/>
      <c r="F15" s="706"/>
      <c r="G15" s="706"/>
      <c r="H15" s="706"/>
      <c r="I15" s="706"/>
      <c r="J15" s="706"/>
      <c r="K15" s="706"/>
      <c r="L15" s="706"/>
      <c r="M15" s="707"/>
    </row>
    <row r="16" spans="1:13" s="39" customFormat="1" ht="18.75" customHeight="1">
      <c r="A16" s="711"/>
      <c r="B16" s="37" t="s">
        <v>20</v>
      </c>
      <c r="C16" s="38" t="s">
        <v>13</v>
      </c>
      <c r="D16" s="37" t="s">
        <v>21</v>
      </c>
      <c r="E16" s="38" t="s">
        <v>13</v>
      </c>
      <c r="F16" s="37" t="s">
        <v>22</v>
      </c>
      <c r="G16" s="38" t="s">
        <v>13</v>
      </c>
      <c r="H16" s="37" t="s">
        <v>27</v>
      </c>
      <c r="I16" s="38" t="s">
        <v>13</v>
      </c>
      <c r="J16" s="37" t="s">
        <v>29</v>
      </c>
      <c r="K16" s="38" t="s">
        <v>13</v>
      </c>
      <c r="L16" s="37" t="s">
        <v>30</v>
      </c>
      <c r="M16" s="38" t="s">
        <v>13</v>
      </c>
    </row>
    <row r="17" spans="1:13" ht="13.5" thickBot="1">
      <c r="A17" s="712"/>
      <c r="B17" s="21">
        <v>2004</v>
      </c>
      <c r="C17" s="22" t="s">
        <v>19</v>
      </c>
      <c r="D17" s="21">
        <v>2004</v>
      </c>
      <c r="E17" s="22" t="s">
        <v>19</v>
      </c>
      <c r="F17" s="21">
        <v>2004</v>
      </c>
      <c r="G17" s="22" t="s">
        <v>19</v>
      </c>
      <c r="H17" s="21">
        <v>2004</v>
      </c>
      <c r="I17" s="22" t="s">
        <v>19</v>
      </c>
      <c r="J17" s="21">
        <v>2004</v>
      </c>
      <c r="K17" s="22" t="s">
        <v>19</v>
      </c>
      <c r="L17" s="21">
        <v>2004</v>
      </c>
      <c r="M17" s="22" t="s">
        <v>19</v>
      </c>
    </row>
    <row r="18" spans="1:13" ht="18.75" customHeight="1">
      <c r="A18" s="23" t="s">
        <v>8</v>
      </c>
      <c r="B18" s="24">
        <f>90262+381+5303</f>
        <v>95946</v>
      </c>
      <c r="C18" s="25">
        <f>13421+26041+28445+4187+145</f>
        <v>72239</v>
      </c>
      <c r="D18" s="24">
        <f>86827+382+6986</f>
        <v>94195</v>
      </c>
      <c r="E18" s="25">
        <f>15279+22355+28769+5564+143</f>
        <v>72110</v>
      </c>
      <c r="F18" s="24">
        <f>86636+385+8432</f>
        <v>95453</v>
      </c>
      <c r="G18" s="25">
        <f>14699+22321+25296+6303+112</f>
        <v>68731</v>
      </c>
      <c r="H18" s="24">
        <f>114164+385+9026</f>
        <v>123575</v>
      </c>
      <c r="I18" s="25">
        <f>14893+24223+23925+10015+180</f>
        <v>73236</v>
      </c>
      <c r="J18" s="24">
        <f>110301+385+9291</f>
        <v>119977</v>
      </c>
      <c r="K18" s="25">
        <f>24360+26668+21481+16940+188</f>
        <v>89637</v>
      </c>
      <c r="L18" s="24">
        <v>118550.72</v>
      </c>
      <c r="M18" s="25">
        <f>17539+37226+20212+21647+68</f>
        <v>96692</v>
      </c>
    </row>
    <row r="19" spans="1:13" ht="18.75" customHeight="1">
      <c r="A19" s="26" t="s">
        <v>7</v>
      </c>
      <c r="B19" s="27">
        <f>205375+43+742</f>
        <v>206160</v>
      </c>
      <c r="C19" s="5">
        <f>25669+42244+27214+49463+28325</f>
        <v>172915</v>
      </c>
      <c r="D19" s="27">
        <f>195960+38+738</f>
        <v>196736</v>
      </c>
      <c r="E19" s="5">
        <f>20499+46167+30590+46190+21254</f>
        <v>164700</v>
      </c>
      <c r="F19" s="27">
        <f>209909+27+738</f>
        <v>210674</v>
      </c>
      <c r="G19" s="5">
        <f>19755+43745+41666+39859+28432</f>
        <v>173457</v>
      </c>
      <c r="H19" s="27">
        <f>214637+23+784</f>
        <v>215444</v>
      </c>
      <c r="I19" s="5">
        <f>20576+38169+41848+37520+33502</f>
        <v>171615</v>
      </c>
      <c r="J19" s="27">
        <f>221333+24+785</f>
        <v>222142</v>
      </c>
      <c r="K19" s="5">
        <f>21640+39385+44231+40379+35986</f>
        <v>181621</v>
      </c>
      <c r="L19" s="27">
        <v>204665.31</v>
      </c>
      <c r="M19" s="5">
        <f>23290+36599+41448+39171+15563</f>
        <v>156071</v>
      </c>
    </row>
    <row r="20" spans="1:13" ht="18.75" customHeight="1">
      <c r="A20" s="26" t="s">
        <v>6</v>
      </c>
      <c r="B20" s="27">
        <f>16842+107</f>
        <v>16949</v>
      </c>
      <c r="C20" s="5">
        <f>6132+492</f>
        <v>6624</v>
      </c>
      <c r="D20" s="27">
        <f>17394+58</f>
        <v>17452</v>
      </c>
      <c r="E20" s="5">
        <f>5457+222</f>
        <v>5679</v>
      </c>
      <c r="F20" s="27">
        <f>20301+231</f>
        <v>20532</v>
      </c>
      <c r="G20" s="5">
        <f>5632+190</f>
        <v>5822</v>
      </c>
      <c r="H20" s="27">
        <f>23061+279</f>
        <v>23340</v>
      </c>
      <c r="I20" s="5">
        <f>7301+510</f>
        <v>7811</v>
      </c>
      <c r="J20" s="27">
        <f>23574+266</f>
        <v>23840</v>
      </c>
      <c r="K20" s="5">
        <f>6956+139</f>
        <v>7095</v>
      </c>
      <c r="L20" s="27">
        <v>14880.42</v>
      </c>
      <c r="M20" s="5">
        <f>6813.02+111.18-6.93+6.64-0.9</f>
        <v>6923.010000000001</v>
      </c>
    </row>
    <row r="21" spans="1:13" ht="18.75" customHeight="1">
      <c r="A21" s="26" t="s">
        <v>5</v>
      </c>
      <c r="B21" s="27">
        <f>52846+255+5</f>
        <v>53106</v>
      </c>
      <c r="C21" s="5">
        <f>7949+11396+304+0</f>
        <v>19649</v>
      </c>
      <c r="D21" s="27">
        <f>54997+240+5</f>
        <v>55242</v>
      </c>
      <c r="E21" s="5">
        <f>10215+18590+3160+0</f>
        <v>31965</v>
      </c>
      <c r="F21" s="27">
        <f>52846+255+5</f>
        <v>53106</v>
      </c>
      <c r="G21" s="5">
        <f>7949+11396+304</f>
        <v>19649</v>
      </c>
      <c r="H21" s="27">
        <f>57896+266+5</f>
        <v>58167</v>
      </c>
      <c r="I21" s="5">
        <f>9436+13090+4131</f>
        <v>26657</v>
      </c>
      <c r="J21" s="27">
        <f>74677+302+5</f>
        <v>74984</v>
      </c>
      <c r="K21" s="5">
        <f>15968+16962+8636</f>
        <v>41566</v>
      </c>
      <c r="L21" s="27">
        <f>+63580.77</f>
        <v>63580.77</v>
      </c>
      <c r="M21" s="5">
        <f>10402.57+15082.47+9478.53</f>
        <v>34963.57</v>
      </c>
    </row>
    <row r="22" spans="1:13" ht="18.75" customHeight="1" thickBot="1">
      <c r="A22" s="198" t="s">
        <v>23</v>
      </c>
      <c r="B22" s="42">
        <f>23832+40</f>
        <v>23872</v>
      </c>
      <c r="C22" s="43">
        <f>107-1-3</f>
        <v>103</v>
      </c>
      <c r="D22" s="42">
        <f>29640+37</f>
        <v>29677</v>
      </c>
      <c r="E22" s="43">
        <f>-16-1-3</f>
        <v>-20</v>
      </c>
      <c r="F22" s="42">
        <f>30228+37</f>
        <v>30265</v>
      </c>
      <c r="G22" s="43">
        <f>166-1-3</f>
        <v>162</v>
      </c>
      <c r="H22" s="42">
        <f>28190+35</f>
        <v>28225</v>
      </c>
      <c r="I22" s="43">
        <f>2513-2-3</f>
        <v>2508</v>
      </c>
      <c r="J22" s="42">
        <f>44557+37</f>
        <v>44594</v>
      </c>
      <c r="K22" s="43">
        <f>3664-1-3</f>
        <v>3660</v>
      </c>
      <c r="L22" s="42">
        <v>22847.99</v>
      </c>
      <c r="M22" s="43">
        <f>49-3</f>
        <v>46</v>
      </c>
    </row>
    <row r="23" spans="1:13" ht="18.75" customHeight="1" thickBot="1">
      <c r="A23" s="199" t="s">
        <v>11</v>
      </c>
      <c r="B23" s="200">
        <f aca="true" t="shared" si="1" ref="B23:M23">SUM(B18:B22)</f>
        <v>396033</v>
      </c>
      <c r="C23" s="52">
        <f t="shared" si="1"/>
        <v>271530</v>
      </c>
      <c r="D23" s="200">
        <f t="shared" si="1"/>
        <v>393302</v>
      </c>
      <c r="E23" s="52">
        <f t="shared" si="1"/>
        <v>274434</v>
      </c>
      <c r="F23" s="200">
        <f t="shared" si="1"/>
        <v>410030</v>
      </c>
      <c r="G23" s="52">
        <f t="shared" si="1"/>
        <v>267821</v>
      </c>
      <c r="H23" s="200">
        <f t="shared" si="1"/>
        <v>448751</v>
      </c>
      <c r="I23" s="52">
        <f t="shared" si="1"/>
        <v>281827</v>
      </c>
      <c r="J23" s="200">
        <f t="shared" si="1"/>
        <v>485537</v>
      </c>
      <c r="K23" s="52">
        <f t="shared" si="1"/>
        <v>323579</v>
      </c>
      <c r="L23" s="200">
        <f t="shared" si="1"/>
        <v>424525.21</v>
      </c>
      <c r="M23" s="52">
        <f t="shared" si="1"/>
        <v>294695.58</v>
      </c>
    </row>
    <row r="25" spans="1:13" ht="16.5" thickBot="1">
      <c r="A25" s="29"/>
      <c r="M25" s="32" t="s">
        <v>26</v>
      </c>
    </row>
    <row r="26" spans="1:13" ht="16.5" thickBot="1">
      <c r="A26" s="710" t="s">
        <v>2</v>
      </c>
      <c r="B26" s="705" t="s">
        <v>33</v>
      </c>
      <c r="C26" s="706"/>
      <c r="D26" s="706"/>
      <c r="E26" s="706"/>
      <c r="F26" s="706"/>
      <c r="G26" s="706"/>
      <c r="H26" s="706"/>
      <c r="I26" s="706"/>
      <c r="J26" s="706"/>
      <c r="K26" s="706"/>
      <c r="L26" s="706"/>
      <c r="M26" s="707"/>
    </row>
    <row r="27" spans="1:13" s="39" customFormat="1" ht="18.75" customHeight="1">
      <c r="A27" s="711"/>
      <c r="B27" s="37" t="s">
        <v>12</v>
      </c>
      <c r="C27" s="38" t="s">
        <v>13</v>
      </c>
      <c r="D27" s="37" t="s">
        <v>14</v>
      </c>
      <c r="E27" s="38" t="s">
        <v>13</v>
      </c>
      <c r="F27" s="37" t="s">
        <v>15</v>
      </c>
      <c r="G27" s="38" t="s">
        <v>13</v>
      </c>
      <c r="H27" s="37" t="s">
        <v>16</v>
      </c>
      <c r="I27" s="38" t="s">
        <v>13</v>
      </c>
      <c r="J27" s="37" t="s">
        <v>17</v>
      </c>
      <c r="K27" s="38" t="s">
        <v>13</v>
      </c>
      <c r="L27" s="37" t="s">
        <v>18</v>
      </c>
      <c r="M27" s="38" t="s">
        <v>13</v>
      </c>
    </row>
    <row r="28" spans="1:13" ht="13.5" thickBot="1">
      <c r="A28" s="712"/>
      <c r="B28" s="21">
        <v>2004</v>
      </c>
      <c r="C28" s="22" t="s">
        <v>19</v>
      </c>
      <c r="D28" s="21">
        <v>2004</v>
      </c>
      <c r="E28" s="22" t="s">
        <v>19</v>
      </c>
      <c r="F28" s="21">
        <v>2004</v>
      </c>
      <c r="G28" s="22" t="s">
        <v>19</v>
      </c>
      <c r="H28" s="21">
        <v>2004</v>
      </c>
      <c r="I28" s="22" t="s">
        <v>19</v>
      </c>
      <c r="J28" s="21">
        <v>2004</v>
      </c>
      <c r="K28" s="22" t="s">
        <v>19</v>
      </c>
      <c r="L28" s="21">
        <v>2004</v>
      </c>
      <c r="M28" s="22" t="s">
        <v>19</v>
      </c>
    </row>
    <row r="29" spans="1:13" ht="18" customHeight="1">
      <c r="A29" s="23" t="s">
        <v>8</v>
      </c>
      <c r="B29" s="24">
        <v>68964</v>
      </c>
      <c r="C29" s="25">
        <f>16238+155+316+1538+6566</f>
        <v>24813</v>
      </c>
      <c r="D29" s="24">
        <v>71369</v>
      </c>
      <c r="E29" s="25">
        <f>18090+58+244+1258+6995</f>
        <v>26645</v>
      </c>
      <c r="F29" s="24">
        <v>70039</v>
      </c>
      <c r="G29" s="25">
        <v>24736</v>
      </c>
      <c r="H29" s="24">
        <v>70762</v>
      </c>
      <c r="I29" s="25">
        <v>26932</v>
      </c>
      <c r="J29" s="24">
        <v>72136</v>
      </c>
      <c r="K29" s="25">
        <v>26900</v>
      </c>
      <c r="L29" s="24">
        <v>74767</v>
      </c>
      <c r="M29" s="25">
        <v>28978</v>
      </c>
    </row>
    <row r="30" spans="1:13" ht="18" customHeight="1">
      <c r="A30" s="26" t="s">
        <v>7</v>
      </c>
      <c r="B30" s="27">
        <v>83285</v>
      </c>
      <c r="C30" s="5">
        <v>33130</v>
      </c>
      <c r="D30" s="27">
        <v>83285</v>
      </c>
      <c r="E30" s="5">
        <v>33130</v>
      </c>
      <c r="F30" s="27">
        <v>97014</v>
      </c>
      <c r="G30" s="5">
        <v>39117</v>
      </c>
      <c r="H30" s="27">
        <v>101887</v>
      </c>
      <c r="I30" s="5">
        <v>19118</v>
      </c>
      <c r="J30" s="27">
        <v>110163</v>
      </c>
      <c r="K30" s="5">
        <v>35949</v>
      </c>
      <c r="L30" s="27">
        <v>91415</v>
      </c>
      <c r="M30" s="5">
        <v>17576</v>
      </c>
    </row>
    <row r="31" spans="1:13" ht="18" customHeight="1">
      <c r="A31" s="26" t="s">
        <v>6</v>
      </c>
      <c r="B31" s="27">
        <v>44346</v>
      </c>
      <c r="C31" s="5">
        <v>4679</v>
      </c>
      <c r="D31" s="27">
        <v>55434</v>
      </c>
      <c r="E31" s="5">
        <v>2252</v>
      </c>
      <c r="F31" s="27">
        <v>46028</v>
      </c>
      <c r="G31" s="5">
        <v>3917</v>
      </c>
      <c r="H31" s="27">
        <v>49595</v>
      </c>
      <c r="I31" s="5">
        <v>4641</v>
      </c>
      <c r="J31" s="27">
        <v>57068</v>
      </c>
      <c r="K31" s="5">
        <v>2569</v>
      </c>
      <c r="L31" s="27">
        <v>59768</v>
      </c>
      <c r="M31" s="5">
        <v>3361</v>
      </c>
    </row>
    <row r="32" spans="1:13" ht="18" customHeight="1">
      <c r="A32" s="26" t="s">
        <v>5</v>
      </c>
      <c r="B32" s="27">
        <v>53727</v>
      </c>
      <c r="C32" s="5">
        <v>7801</v>
      </c>
      <c r="D32" s="27">
        <v>63221</v>
      </c>
      <c r="E32" s="5">
        <v>6874</v>
      </c>
      <c r="F32" s="27">
        <v>66680</v>
      </c>
      <c r="G32" s="5">
        <v>5756</v>
      </c>
      <c r="H32" s="27">
        <v>70243</v>
      </c>
      <c r="I32" s="5">
        <v>4923</v>
      </c>
      <c r="J32" s="27">
        <v>62787</v>
      </c>
      <c r="K32" s="5">
        <v>7779</v>
      </c>
      <c r="L32" s="27">
        <v>67816</v>
      </c>
      <c r="M32" s="5">
        <v>6659</v>
      </c>
    </row>
    <row r="33" spans="1:13" ht="18" customHeight="1" thickBot="1">
      <c r="A33" s="198" t="s">
        <v>10</v>
      </c>
      <c r="B33" s="42">
        <v>58451</v>
      </c>
      <c r="C33" s="43">
        <v>5826</v>
      </c>
      <c r="D33" s="42">
        <v>77872</v>
      </c>
      <c r="E33" s="43">
        <v>10996</v>
      </c>
      <c r="F33" s="42">
        <v>65430</v>
      </c>
      <c r="G33" s="43">
        <v>8453</v>
      </c>
      <c r="H33" s="42">
        <v>80594</v>
      </c>
      <c r="I33" s="43">
        <v>10988</v>
      </c>
      <c r="J33" s="42">
        <v>77534</v>
      </c>
      <c r="K33" s="43">
        <v>24350</v>
      </c>
      <c r="L33" s="42">
        <v>81021</v>
      </c>
      <c r="M33" s="43">
        <v>24512</v>
      </c>
    </row>
    <row r="34" spans="1:13" ht="19.5" customHeight="1" thickBot="1">
      <c r="A34" s="199" t="s">
        <v>11</v>
      </c>
      <c r="B34" s="200">
        <f aca="true" t="shared" si="2" ref="B34:M34">SUM(B29:B33)</f>
        <v>308773</v>
      </c>
      <c r="C34" s="52">
        <f t="shared" si="2"/>
        <v>76249</v>
      </c>
      <c r="D34" s="200">
        <f t="shared" si="2"/>
        <v>351181</v>
      </c>
      <c r="E34" s="52">
        <f t="shared" si="2"/>
        <v>79897</v>
      </c>
      <c r="F34" s="200">
        <f t="shared" si="2"/>
        <v>345191</v>
      </c>
      <c r="G34" s="52">
        <f t="shared" si="2"/>
        <v>81979</v>
      </c>
      <c r="H34" s="200">
        <f t="shared" si="2"/>
        <v>373081</v>
      </c>
      <c r="I34" s="52">
        <f t="shared" si="2"/>
        <v>66602</v>
      </c>
      <c r="J34" s="200">
        <f t="shared" si="2"/>
        <v>379688</v>
      </c>
      <c r="K34" s="52">
        <f t="shared" si="2"/>
        <v>97547</v>
      </c>
      <c r="L34" s="200">
        <f t="shared" si="2"/>
        <v>374787</v>
      </c>
      <c r="M34" s="52">
        <f t="shared" si="2"/>
        <v>81086</v>
      </c>
    </row>
    <row r="35" ht="3" customHeight="1"/>
    <row r="36" spans="1:13" ht="2.25" customHeight="1" thickBot="1">
      <c r="A36" s="29"/>
      <c r="M36" s="32" t="s">
        <v>26</v>
      </c>
    </row>
    <row r="37" spans="1:13" ht="16.5" thickBot="1">
      <c r="A37" s="710" t="s">
        <v>2</v>
      </c>
      <c r="B37" s="705" t="s">
        <v>34</v>
      </c>
      <c r="C37" s="706"/>
      <c r="D37" s="706"/>
      <c r="E37" s="706"/>
      <c r="F37" s="706"/>
      <c r="G37" s="706"/>
      <c r="H37" s="706"/>
      <c r="I37" s="706"/>
      <c r="J37" s="706"/>
      <c r="K37" s="706"/>
      <c r="L37" s="706"/>
      <c r="M37" s="707"/>
    </row>
    <row r="38" spans="1:13" s="39" customFormat="1" ht="18.75" customHeight="1">
      <c r="A38" s="711"/>
      <c r="B38" s="37" t="s">
        <v>20</v>
      </c>
      <c r="C38" s="38" t="s">
        <v>13</v>
      </c>
      <c r="D38" s="37" t="s">
        <v>21</v>
      </c>
      <c r="E38" s="38" t="s">
        <v>13</v>
      </c>
      <c r="F38" s="37" t="s">
        <v>22</v>
      </c>
      <c r="G38" s="38" t="s">
        <v>13</v>
      </c>
      <c r="H38" s="37" t="s">
        <v>27</v>
      </c>
      <c r="I38" s="38" t="s">
        <v>13</v>
      </c>
      <c r="J38" s="37" t="s">
        <v>29</v>
      </c>
      <c r="K38" s="38" t="s">
        <v>13</v>
      </c>
      <c r="L38" s="37" t="s">
        <v>30</v>
      </c>
      <c r="M38" s="38" t="s">
        <v>13</v>
      </c>
    </row>
    <row r="39" spans="1:13" ht="13.5" thickBot="1">
      <c r="A39" s="712"/>
      <c r="B39" s="21">
        <v>2004</v>
      </c>
      <c r="C39" s="22" t="s">
        <v>19</v>
      </c>
      <c r="D39" s="21">
        <v>2004</v>
      </c>
      <c r="E39" s="22" t="s">
        <v>19</v>
      </c>
      <c r="F39" s="21">
        <v>2004</v>
      </c>
      <c r="G39" s="22" t="s">
        <v>19</v>
      </c>
      <c r="H39" s="21">
        <v>2004</v>
      </c>
      <c r="I39" s="22" t="s">
        <v>19</v>
      </c>
      <c r="J39" s="21">
        <v>2004</v>
      </c>
      <c r="K39" s="22" t="s">
        <v>19</v>
      </c>
      <c r="L39" s="21">
        <v>2004</v>
      </c>
      <c r="M39" s="22" t="s">
        <v>19</v>
      </c>
    </row>
    <row r="40" spans="1:13" ht="18" customHeight="1">
      <c r="A40" s="23" t="s">
        <v>8</v>
      </c>
      <c r="B40" s="24">
        <f>65060+210+3550</f>
        <v>68820</v>
      </c>
      <c r="C40" s="25">
        <f>18065+526+476+362+7228</f>
        <v>26657</v>
      </c>
      <c r="D40" s="24">
        <f>64418+799+3571</f>
        <v>68788</v>
      </c>
      <c r="E40" s="25">
        <f>18701+488+716+276+7230</f>
        <v>27411</v>
      </c>
      <c r="F40" s="24">
        <f>65895+663+3612</f>
        <v>70170</v>
      </c>
      <c r="G40" s="25">
        <f>18678+194+443+532+7295</f>
        <v>27142</v>
      </c>
      <c r="H40" s="24">
        <f>67246+775+3664</f>
        <v>71685</v>
      </c>
      <c r="I40" s="25">
        <f>19860+164+533+606+7295</f>
        <v>28458</v>
      </c>
      <c r="J40" s="24">
        <f>65002+362+3580</f>
        <v>68944</v>
      </c>
      <c r="K40" s="25">
        <f>17878+185+227+3574+7156</f>
        <v>29020</v>
      </c>
      <c r="L40" s="24">
        <v>70689.58</v>
      </c>
      <c r="M40" s="25">
        <f>17970+1112+293+799+6865</f>
        <v>27039</v>
      </c>
    </row>
    <row r="41" spans="1:13" ht="18" customHeight="1">
      <c r="A41" s="26" t="s">
        <v>7</v>
      </c>
      <c r="B41" s="27">
        <f>85714+419+2925</f>
        <v>89058</v>
      </c>
      <c r="C41" s="5">
        <f>13089+2625+344+230+2862</f>
        <v>19150</v>
      </c>
      <c r="D41" s="27">
        <f>82435+490+3383</f>
        <v>86308</v>
      </c>
      <c r="E41" s="5">
        <f>10705+5050+134+159+2866</f>
        <v>18914</v>
      </c>
      <c r="F41" s="27">
        <f>102711+360+3718</f>
        <v>106789</v>
      </c>
      <c r="G41" s="5">
        <f>27928+2514+163+164+2847</f>
        <v>33616</v>
      </c>
      <c r="H41" s="27">
        <f>110153+322+4569</f>
        <v>115044</v>
      </c>
      <c r="I41" s="5">
        <f>33444+3449+492+226+2852</f>
        <v>40463</v>
      </c>
      <c r="J41" s="27">
        <f>110716+571+5336</f>
        <v>116623</v>
      </c>
      <c r="K41" s="5">
        <f>14153+26264+293+152+2868</f>
        <v>43730</v>
      </c>
      <c r="L41" s="27">
        <f>111018+431+5079</f>
        <v>116528</v>
      </c>
      <c r="M41" s="5">
        <f>12282+29060+205+165+2866</f>
        <v>44578</v>
      </c>
    </row>
    <row r="42" spans="1:13" ht="18" customHeight="1">
      <c r="A42" s="26" t="s">
        <v>6</v>
      </c>
      <c r="B42" s="27">
        <f>55504+195+820</f>
        <v>56519</v>
      </c>
      <c r="C42" s="5">
        <f>16923+89+10+2+685</f>
        <v>17709</v>
      </c>
      <c r="D42" s="27">
        <f>54176+177+708</f>
        <v>55061</v>
      </c>
      <c r="E42" s="5">
        <f>17782+602+10+2+685</f>
        <v>19081</v>
      </c>
      <c r="F42" s="27">
        <f>62918+181+700</f>
        <v>63799</v>
      </c>
      <c r="G42" s="5">
        <f>12893+62+76+11+686</f>
        <v>13728</v>
      </c>
      <c r="H42" s="27">
        <f>63529+179+862</f>
        <v>64570</v>
      </c>
      <c r="I42" s="5">
        <f>13574+43+76+11+686</f>
        <v>14390</v>
      </c>
      <c r="J42" s="27">
        <f>63958+189+975</f>
        <v>65122</v>
      </c>
      <c r="K42" s="5">
        <f>14378+465+82+11+686</f>
        <v>15622</v>
      </c>
      <c r="L42" s="27">
        <v>52345.28</v>
      </c>
      <c r="M42" s="5">
        <f>12985.2+577.58+25.8+85.49+686.15</f>
        <v>14360.22</v>
      </c>
    </row>
    <row r="43" spans="1:13" ht="18" customHeight="1">
      <c r="A43" s="26" t="s">
        <v>5</v>
      </c>
      <c r="B43" s="27">
        <f>64617+1123+1</f>
        <v>65741</v>
      </c>
      <c r="C43" s="5">
        <f>3960+1007+1001+533+363</f>
        <v>6864</v>
      </c>
      <c r="D43" s="27">
        <f>66801+775+0</f>
        <v>67576</v>
      </c>
      <c r="E43" s="5">
        <f>10649+927+834+332+360</f>
        <v>13102</v>
      </c>
      <c r="F43" s="27">
        <f>63246+834</f>
        <v>64080</v>
      </c>
      <c r="G43" s="5">
        <f>3043+622+158+199+364</f>
        <v>4386</v>
      </c>
      <c r="H43" s="27">
        <f>65309+755+1</f>
        <v>66065</v>
      </c>
      <c r="I43" s="5">
        <f>12431+902+205+169+428</f>
        <v>14135</v>
      </c>
      <c r="J43" s="27">
        <f>66375+1061</f>
        <v>67436</v>
      </c>
      <c r="K43" s="5">
        <f>4432+9175+115+151+431</f>
        <v>14304</v>
      </c>
      <c r="L43" s="27">
        <v>70261.24</v>
      </c>
      <c r="M43" s="5">
        <v>6025</v>
      </c>
    </row>
    <row r="44" spans="1:13" ht="18" customHeight="1" thickBot="1">
      <c r="A44" s="198" t="s">
        <v>10</v>
      </c>
      <c r="B44" s="42">
        <f>75311+314+236</f>
        <v>75861</v>
      </c>
      <c r="C44" s="43">
        <f>17537+1030+1239+553+500</f>
        <v>20859</v>
      </c>
      <c r="D44" s="42">
        <f>79385+324+273</f>
        <v>79982</v>
      </c>
      <c r="E44" s="43">
        <f>8799+832+1533+660+303</f>
        <v>12127</v>
      </c>
      <c r="F44" s="42">
        <f>96304+333+218</f>
        <v>96855</v>
      </c>
      <c r="G44" s="43">
        <f>35541+805+846+505+264</f>
        <v>37961</v>
      </c>
      <c r="H44" s="42">
        <f>96813+342+221</f>
        <v>97376</v>
      </c>
      <c r="I44" s="43">
        <f>39187+709+1176+773+264</f>
        <v>42109</v>
      </c>
      <c r="J44" s="42">
        <f>81301+335+219</f>
        <v>81855</v>
      </c>
      <c r="K44" s="43">
        <f>22931+2586+998+671+264</f>
        <v>27450</v>
      </c>
      <c r="L44" s="42">
        <v>83431.68</v>
      </c>
      <c r="M44" s="43">
        <f>17754+1263+938+201+268</f>
        <v>20424</v>
      </c>
    </row>
    <row r="45" spans="1:13" ht="19.5" customHeight="1" thickBot="1">
      <c r="A45" s="199" t="s">
        <v>11</v>
      </c>
      <c r="B45" s="200">
        <f aca="true" t="shared" si="3" ref="B45:M45">SUM(B40:B44)</f>
        <v>355999</v>
      </c>
      <c r="C45" s="52">
        <f t="shared" si="3"/>
        <v>91239</v>
      </c>
      <c r="D45" s="200">
        <f t="shared" si="3"/>
        <v>357715</v>
      </c>
      <c r="E45" s="52">
        <f t="shared" si="3"/>
        <v>90635</v>
      </c>
      <c r="F45" s="200">
        <f t="shared" si="3"/>
        <v>401693</v>
      </c>
      <c r="G45" s="52">
        <f t="shared" si="3"/>
        <v>116833</v>
      </c>
      <c r="H45" s="200">
        <f t="shared" si="3"/>
        <v>414740</v>
      </c>
      <c r="I45" s="52">
        <f t="shared" si="3"/>
        <v>139555</v>
      </c>
      <c r="J45" s="200">
        <f t="shared" si="3"/>
        <v>399980</v>
      </c>
      <c r="K45" s="52">
        <f t="shared" si="3"/>
        <v>130126</v>
      </c>
      <c r="L45" s="200">
        <f t="shared" si="3"/>
        <v>393255.78</v>
      </c>
      <c r="M45" s="52">
        <f t="shared" si="3"/>
        <v>112426.22</v>
      </c>
    </row>
    <row r="70" ht="13.5" thickBot="1"/>
    <row r="71" spans="1:13" ht="26.25" customHeight="1" thickBot="1">
      <c r="A71" s="708" t="s">
        <v>2</v>
      </c>
      <c r="B71" s="705" t="s">
        <v>250</v>
      </c>
      <c r="C71" s="706"/>
      <c r="D71" s="706"/>
      <c r="E71" s="706"/>
      <c r="F71" s="706"/>
      <c r="G71" s="706"/>
      <c r="H71" s="706"/>
      <c r="I71" s="706"/>
      <c r="J71" s="706"/>
      <c r="K71" s="706"/>
      <c r="L71" s="706"/>
      <c r="M71" s="707"/>
    </row>
    <row r="72" spans="1:13" ht="27" customHeight="1" thickBot="1">
      <c r="A72" s="709"/>
      <c r="B72" s="203" t="s">
        <v>12</v>
      </c>
      <c r="C72" s="204" t="s">
        <v>14</v>
      </c>
      <c r="D72" s="204" t="s">
        <v>15</v>
      </c>
      <c r="E72" s="204" t="s">
        <v>16</v>
      </c>
      <c r="F72" s="204" t="s">
        <v>17</v>
      </c>
      <c r="G72" s="204" t="s">
        <v>18</v>
      </c>
      <c r="H72" s="204" t="s">
        <v>20</v>
      </c>
      <c r="I72" s="204" t="s">
        <v>21</v>
      </c>
      <c r="J72" s="204" t="s">
        <v>22</v>
      </c>
      <c r="K72" s="204" t="s">
        <v>27</v>
      </c>
      <c r="L72" s="204" t="s">
        <v>29</v>
      </c>
      <c r="M72" s="205" t="s">
        <v>108</v>
      </c>
    </row>
    <row r="73" spans="1:13" s="39" customFormat="1" ht="18.75" customHeight="1">
      <c r="A73" s="202" t="s">
        <v>8</v>
      </c>
      <c r="B73" s="30">
        <f>+B29-B7</f>
        <v>-47809</v>
      </c>
      <c r="C73" s="2">
        <f>+D29-D7</f>
        <v>-41768</v>
      </c>
      <c r="D73" s="2">
        <f>+F29-F7</f>
        <v>-40469</v>
      </c>
      <c r="E73" s="2">
        <f>+H29-H7</f>
        <v>-28591</v>
      </c>
      <c r="F73" s="2">
        <f>+J29-J7</f>
        <v>-32232</v>
      </c>
      <c r="G73" s="2">
        <f>+L29-L7</f>
        <v>-18003</v>
      </c>
      <c r="H73" s="2">
        <f>+B40-B18</f>
        <v>-27126</v>
      </c>
      <c r="I73" s="2">
        <f>+D40-D18</f>
        <v>-25407</v>
      </c>
      <c r="J73" s="2">
        <f>+F40-F18</f>
        <v>-25283</v>
      </c>
      <c r="K73" s="2">
        <f>+H40-H18</f>
        <v>-51890</v>
      </c>
      <c r="L73" s="2">
        <f>+J40-J18</f>
        <v>-51033</v>
      </c>
      <c r="M73" s="3">
        <f>+L40-L18</f>
        <v>-47861.14</v>
      </c>
    </row>
    <row r="74" spans="1:13" ht="18.75" customHeight="1">
      <c r="A74" s="201" t="s">
        <v>7</v>
      </c>
      <c r="B74" s="30">
        <f>+B30-B8</f>
        <v>-116182</v>
      </c>
      <c r="C74" s="2">
        <f>+D30-D8</f>
        <v>-110410</v>
      </c>
      <c r="D74" s="2">
        <f>+F30-F8</f>
        <v>-100580</v>
      </c>
      <c r="E74" s="2">
        <f>+H30-H8</f>
        <v>-100346</v>
      </c>
      <c r="F74" s="2">
        <f>+J30-J8</f>
        <v>-92343</v>
      </c>
      <c r="G74" s="2">
        <f>+L30-L8</f>
        <v>-108556</v>
      </c>
      <c r="H74" s="2">
        <f>+B41-B19</f>
        <v>-117102</v>
      </c>
      <c r="I74" s="2">
        <f>+D41-D19</f>
        <v>-110428</v>
      </c>
      <c r="J74" s="2">
        <f>+F41-F19</f>
        <v>-103885</v>
      </c>
      <c r="K74" s="2">
        <f>+H41-H19</f>
        <v>-100400</v>
      </c>
      <c r="L74" s="2">
        <f>+J41-J19</f>
        <v>-105519</v>
      </c>
      <c r="M74" s="3">
        <f>+L41-L19</f>
        <v>-88137.31</v>
      </c>
    </row>
    <row r="75" spans="1:13" ht="18.75" customHeight="1">
      <c r="A75" s="201" t="s">
        <v>6</v>
      </c>
      <c r="B75" s="30">
        <f>+B31-B9</f>
        <v>25623</v>
      </c>
      <c r="C75" s="2">
        <f>+D31-D9</f>
        <v>36623</v>
      </c>
      <c r="D75" s="2">
        <f>+F31-F9</f>
        <v>26770</v>
      </c>
      <c r="E75" s="2">
        <f>+H31-H9</f>
        <v>27960</v>
      </c>
      <c r="F75" s="2">
        <f>+J31-J9</f>
        <v>36319</v>
      </c>
      <c r="G75" s="2">
        <f>+L31-L9</f>
        <v>41258</v>
      </c>
      <c r="H75" s="2">
        <f>+B42-B20</f>
        <v>39570</v>
      </c>
      <c r="I75" s="2">
        <f>+D42-D20</f>
        <v>37609</v>
      </c>
      <c r="J75" s="2">
        <f>+F42-F20</f>
        <v>43267</v>
      </c>
      <c r="K75" s="2">
        <f>+H42-H20</f>
        <v>41230</v>
      </c>
      <c r="L75" s="2">
        <f>+J42-J20</f>
        <v>41282</v>
      </c>
      <c r="M75" s="3">
        <f>+L42-L20</f>
        <v>37464.86</v>
      </c>
    </row>
    <row r="76" spans="1:13" ht="18.75" customHeight="1">
      <c r="A76" s="201" t="s">
        <v>5</v>
      </c>
      <c r="B76" s="30">
        <f>+B32-B10</f>
        <v>-26126</v>
      </c>
      <c r="C76" s="2">
        <f>+D32-D10</f>
        <v>-20904</v>
      </c>
      <c r="D76" s="2">
        <f>+F32-F10</f>
        <v>-17439</v>
      </c>
      <c r="E76" s="2">
        <f>+H32-H10</f>
        <v>688</v>
      </c>
      <c r="F76" s="2">
        <f>+J32-J10</f>
        <v>8194</v>
      </c>
      <c r="G76" s="2">
        <f>+L32-L10</f>
        <v>11403</v>
      </c>
      <c r="H76" s="2">
        <f>+B43-B21</f>
        <v>12635</v>
      </c>
      <c r="I76" s="2">
        <f>+D43-D21</f>
        <v>12334</v>
      </c>
      <c r="J76" s="2">
        <f>+F43-F21</f>
        <v>10974</v>
      </c>
      <c r="K76" s="2">
        <f>+H43-H21</f>
        <v>7898</v>
      </c>
      <c r="L76" s="2">
        <f>+J43-J21</f>
        <v>-7548</v>
      </c>
      <c r="M76" s="3">
        <f>+L43-L21</f>
        <v>6680.470000000008</v>
      </c>
    </row>
    <row r="77" spans="1:13" ht="18.75" customHeight="1" thickBot="1">
      <c r="A77" s="206" t="s">
        <v>10</v>
      </c>
      <c r="B77" s="207">
        <f>+B33-B11</f>
        <v>28023</v>
      </c>
      <c r="C77" s="208">
        <f>+D33-D11</f>
        <v>43108</v>
      </c>
      <c r="D77" s="208">
        <f>+F33-F11</f>
        <v>33207</v>
      </c>
      <c r="E77" s="208">
        <f>+H33-H11</f>
        <v>44227</v>
      </c>
      <c r="F77" s="208">
        <f>+J33-J11</f>
        <v>41095</v>
      </c>
      <c r="G77" s="208">
        <f>+L33-L11</f>
        <v>41971</v>
      </c>
      <c r="H77" s="208">
        <f>+B44-B22</f>
        <v>51989</v>
      </c>
      <c r="I77" s="208">
        <f>+D44-D22</f>
        <v>50305</v>
      </c>
      <c r="J77" s="208">
        <f>+F44-F22</f>
        <v>66590</v>
      </c>
      <c r="K77" s="208">
        <f>+H44-H22</f>
        <v>69151</v>
      </c>
      <c r="L77" s="208">
        <f>+J44-J22</f>
        <v>37261</v>
      </c>
      <c r="M77" s="209">
        <f>+L44-L22</f>
        <v>60583.68999999999</v>
      </c>
    </row>
    <row r="101" spans="1:13" ht="12.75">
      <c r="A101" s="668" t="s">
        <v>298</v>
      </c>
      <c r="B101" s="669"/>
      <c r="C101" s="669"/>
      <c r="D101" s="669"/>
      <c r="E101" s="669"/>
      <c r="F101" s="669"/>
      <c r="G101" s="669"/>
      <c r="H101" s="669"/>
      <c r="I101" s="669"/>
      <c r="J101" s="669"/>
      <c r="K101" s="669"/>
      <c r="L101" s="669"/>
      <c r="M101" s="670"/>
    </row>
    <row r="102" spans="1:13" ht="12.75">
      <c r="A102" s="671"/>
      <c r="B102" s="672"/>
      <c r="C102" s="672"/>
      <c r="D102" s="672"/>
      <c r="E102" s="672"/>
      <c r="F102" s="672"/>
      <c r="G102" s="672"/>
      <c r="H102" s="672"/>
      <c r="I102" s="672"/>
      <c r="J102" s="672"/>
      <c r="K102" s="672"/>
      <c r="L102" s="672"/>
      <c r="M102" s="673"/>
    </row>
    <row r="103" spans="1:13" ht="12.75">
      <c r="A103" s="671"/>
      <c r="B103" s="672"/>
      <c r="C103" s="672"/>
      <c r="D103" s="672"/>
      <c r="E103" s="672"/>
      <c r="F103" s="672"/>
      <c r="G103" s="672"/>
      <c r="H103" s="672"/>
      <c r="I103" s="672"/>
      <c r="J103" s="672"/>
      <c r="K103" s="672"/>
      <c r="L103" s="672"/>
      <c r="M103" s="673"/>
    </row>
    <row r="104" spans="1:13" ht="12.75">
      <c r="A104" s="671"/>
      <c r="B104" s="672"/>
      <c r="C104" s="672"/>
      <c r="D104" s="672"/>
      <c r="E104" s="672"/>
      <c r="F104" s="672"/>
      <c r="G104" s="672"/>
      <c r="H104" s="672"/>
      <c r="I104" s="672"/>
      <c r="J104" s="672"/>
      <c r="K104" s="672"/>
      <c r="L104" s="672"/>
      <c r="M104" s="673"/>
    </row>
    <row r="105" spans="1:13" ht="12.75">
      <c r="A105" s="674"/>
      <c r="B105" s="675"/>
      <c r="C105" s="675"/>
      <c r="D105" s="675"/>
      <c r="E105" s="675"/>
      <c r="F105" s="675"/>
      <c r="G105" s="675"/>
      <c r="H105" s="675"/>
      <c r="I105" s="675"/>
      <c r="J105" s="675"/>
      <c r="K105" s="675"/>
      <c r="L105" s="675"/>
      <c r="M105" s="676"/>
    </row>
    <row r="108" spans="1:4" ht="13.5" thickBot="1">
      <c r="A108" s="503" t="s">
        <v>254</v>
      </c>
      <c r="B108" s="503"/>
      <c r="C108" s="503"/>
      <c r="D108" s="32" t="s">
        <v>274</v>
      </c>
    </row>
    <row r="109" spans="1:4" ht="34.5" thickBot="1">
      <c r="A109" s="612" t="s">
        <v>255</v>
      </c>
      <c r="B109" s="429" t="s">
        <v>256</v>
      </c>
      <c r="C109" s="543" t="s">
        <v>257</v>
      </c>
      <c r="D109" s="94" t="s">
        <v>11</v>
      </c>
    </row>
    <row r="110" spans="1:4" ht="12.75">
      <c r="A110" s="613">
        <v>2003</v>
      </c>
      <c r="B110" s="2">
        <v>141681</v>
      </c>
      <c r="C110" s="11"/>
      <c r="D110" s="3">
        <f>+B110+C110</f>
        <v>141681</v>
      </c>
    </row>
    <row r="111" spans="1:4" ht="13.5" thickBot="1">
      <c r="A111" s="614">
        <v>2004</v>
      </c>
      <c r="B111" s="8">
        <v>40183</v>
      </c>
      <c r="C111" s="84">
        <v>15207</v>
      </c>
      <c r="D111" s="43">
        <f>+B111+C111</f>
        <v>55390</v>
      </c>
    </row>
    <row r="112" spans="1:4" ht="13.5" thickBot="1">
      <c r="A112" s="615" t="s">
        <v>11</v>
      </c>
      <c r="B112" s="51">
        <f>SUM(B110:B111)</f>
        <v>181864</v>
      </c>
      <c r="C112" s="63">
        <f>SUM(C110:C111)</f>
        <v>15207</v>
      </c>
      <c r="D112" s="616">
        <f>SUM(D110:D111)</f>
        <v>197071</v>
      </c>
    </row>
    <row r="113" spans="1:4" ht="12.75">
      <c r="A113" s="503"/>
      <c r="B113" s="503"/>
      <c r="C113" s="503"/>
      <c r="D113" s="502"/>
    </row>
    <row r="114" spans="1:4" ht="12.75">
      <c r="A114" s="503"/>
      <c r="B114" s="503"/>
      <c r="C114" s="503"/>
      <c r="D114" s="502"/>
    </row>
    <row r="115" spans="1:4" ht="13.5" thickBot="1">
      <c r="A115" s="617" t="s">
        <v>258</v>
      </c>
      <c r="B115" s="504"/>
      <c r="C115" s="504"/>
      <c r="D115" s="32" t="s">
        <v>274</v>
      </c>
    </row>
    <row r="116" spans="1:4" ht="20.25" customHeight="1" thickBot="1">
      <c r="A116" s="615" t="s">
        <v>2</v>
      </c>
      <c r="B116" s="618">
        <v>2003</v>
      </c>
      <c r="C116" s="618">
        <v>2004</v>
      </c>
      <c r="D116" s="619" t="s">
        <v>11</v>
      </c>
    </row>
    <row r="117" spans="1:4" ht="12.75">
      <c r="A117" s="604" t="s">
        <v>8</v>
      </c>
      <c r="B117" s="2">
        <v>31567</v>
      </c>
      <c r="C117" s="2">
        <v>11251</v>
      </c>
      <c r="D117" s="3">
        <f>SUM(B117:C117)</f>
        <v>42818</v>
      </c>
    </row>
    <row r="118" spans="1:4" ht="12.75">
      <c r="A118" s="605" t="s">
        <v>7</v>
      </c>
      <c r="B118" s="4">
        <v>44493</v>
      </c>
      <c r="C118" s="4">
        <f>8195+15207</f>
        <v>23402</v>
      </c>
      <c r="D118" s="3">
        <f>SUM(B118:C118)</f>
        <v>67895</v>
      </c>
    </row>
    <row r="119" spans="1:4" ht="12.75">
      <c r="A119" s="605" t="s">
        <v>6</v>
      </c>
      <c r="B119" s="4">
        <f>7129+403</f>
        <v>7532</v>
      </c>
      <c r="C119" s="4">
        <v>12700</v>
      </c>
      <c r="D119" s="3">
        <f>SUM(B119:C119)</f>
        <v>20232</v>
      </c>
    </row>
    <row r="120" spans="1:4" ht="12.75">
      <c r="A120" s="605" t="s">
        <v>5</v>
      </c>
      <c r="B120" s="4">
        <v>27840</v>
      </c>
      <c r="C120" s="4">
        <v>8037</v>
      </c>
      <c r="D120" s="3">
        <f>SUM(B120:C120)</f>
        <v>35877</v>
      </c>
    </row>
    <row r="121" spans="1:4" ht="23.25" thickBot="1">
      <c r="A121" s="603" t="s">
        <v>210</v>
      </c>
      <c r="B121" s="620">
        <v>30249</v>
      </c>
      <c r="C121" s="620"/>
      <c r="D121" s="3">
        <f>SUM(B121:C121)</f>
        <v>30249</v>
      </c>
    </row>
    <row r="122" spans="1:4" ht="13.5" thickBot="1">
      <c r="A122" s="615" t="s">
        <v>11</v>
      </c>
      <c r="B122" s="51">
        <f>SUM(B117:B121)</f>
        <v>141681</v>
      </c>
      <c r="C122" s="63">
        <f>SUM(C117:C121)</f>
        <v>55390</v>
      </c>
      <c r="D122" s="616">
        <f>SUM(D117:D121)</f>
        <v>197071</v>
      </c>
    </row>
  </sheetData>
  <mergeCells count="11">
    <mergeCell ref="A26:A28"/>
    <mergeCell ref="A4:A6"/>
    <mergeCell ref="A15:A17"/>
    <mergeCell ref="B4:M4"/>
    <mergeCell ref="B15:M15"/>
    <mergeCell ref="B26:M26"/>
    <mergeCell ref="B37:M37"/>
    <mergeCell ref="A101:M105"/>
    <mergeCell ref="A71:A72"/>
    <mergeCell ref="B71:M71"/>
    <mergeCell ref="A37:A39"/>
  </mergeCells>
  <printOptions horizontalCentered="1"/>
  <pageMargins left="0.1968503937007874" right="0.1968503937007874" top="0.2755905511811024" bottom="0.2755905511811024" header="0.1968503937007874" footer="0.196850393700787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AA104"/>
  <sheetViews>
    <sheetView workbookViewId="0" topLeftCell="A31">
      <selection activeCell="P36" sqref="P36:Q36"/>
    </sheetView>
  </sheetViews>
  <sheetFormatPr defaultColWidth="9.00390625" defaultRowHeight="12.75"/>
  <cols>
    <col min="1" max="1" width="11.875" style="430" customWidth="1"/>
    <col min="2" max="3" width="6.75390625" style="431" customWidth="1"/>
    <col min="4" max="4" width="3.25390625" style="409" customWidth="1"/>
    <col min="5" max="5" width="6.75390625" style="431" customWidth="1"/>
    <col min="6" max="6" width="3.625" style="409" customWidth="1"/>
    <col min="7" max="8" width="6.75390625" style="0" customWidth="1"/>
    <col min="9" max="9" width="3.625" style="409" customWidth="1"/>
    <col min="10" max="10" width="6.75390625" style="0" customWidth="1"/>
    <col min="11" max="11" width="3.25390625" style="409" customWidth="1"/>
    <col min="12" max="13" width="6.75390625" style="0" customWidth="1"/>
    <col min="14" max="14" width="3.75390625" style="409" customWidth="1"/>
    <col min="15" max="15" width="6.75390625" style="0" customWidth="1"/>
    <col min="16" max="16" width="3.375" style="484" customWidth="1"/>
    <col min="17" max="18" width="6.75390625" style="0" customWidth="1"/>
    <col min="19" max="19" width="3.125" style="409" customWidth="1"/>
    <col min="20" max="20" width="6.75390625" style="0" customWidth="1"/>
    <col min="21" max="21" width="3.25390625" style="484" customWidth="1"/>
    <col min="22" max="23" width="6.75390625" style="0" customWidth="1"/>
    <col min="24" max="24" width="3.625" style="409" customWidth="1"/>
    <col min="25" max="25" width="6.75390625" style="0" customWidth="1"/>
    <col min="26" max="26" width="3.25390625" style="484" customWidth="1"/>
    <col min="27" max="27" width="6.00390625" style="0" customWidth="1"/>
  </cols>
  <sheetData>
    <row r="1" ht="15.75">
      <c r="Z1" s="489"/>
    </row>
    <row r="2" spans="1:27" ht="43.5" customHeight="1" thickBot="1">
      <c r="A2" s="29" t="s">
        <v>213</v>
      </c>
      <c r="Y2" s="858"/>
      <c r="Z2" s="859"/>
      <c r="AA2" s="859"/>
    </row>
    <row r="3" spans="1:27" s="432" customFormat="1" ht="20.25" customHeight="1">
      <c r="A3" s="769" t="s">
        <v>85</v>
      </c>
      <c r="B3" s="776" t="s">
        <v>8</v>
      </c>
      <c r="C3" s="777"/>
      <c r="D3" s="777"/>
      <c r="E3" s="777"/>
      <c r="F3" s="778"/>
      <c r="G3" s="776" t="s">
        <v>7</v>
      </c>
      <c r="H3" s="777"/>
      <c r="I3" s="777"/>
      <c r="J3" s="777"/>
      <c r="K3" s="778"/>
      <c r="L3" s="776" t="s">
        <v>6</v>
      </c>
      <c r="M3" s="777"/>
      <c r="N3" s="777"/>
      <c r="O3" s="777"/>
      <c r="P3" s="778"/>
      <c r="Q3" s="776" t="s">
        <v>5</v>
      </c>
      <c r="R3" s="777"/>
      <c r="S3" s="777"/>
      <c r="T3" s="777"/>
      <c r="U3" s="778"/>
      <c r="V3" s="779" t="s">
        <v>210</v>
      </c>
      <c r="W3" s="780"/>
      <c r="X3" s="780"/>
      <c r="Y3" s="781"/>
      <c r="Z3" s="782"/>
      <c r="AA3" s="821" t="s">
        <v>326</v>
      </c>
    </row>
    <row r="4" spans="1:27" s="433" customFormat="1" ht="20.25" customHeight="1" thickBot="1">
      <c r="A4" s="770"/>
      <c r="B4" s="498">
        <v>2002</v>
      </c>
      <c r="C4" s="103">
        <v>2003</v>
      </c>
      <c r="D4" s="499" t="s">
        <v>88</v>
      </c>
      <c r="E4" s="81">
        <v>2004</v>
      </c>
      <c r="F4" s="500" t="s">
        <v>88</v>
      </c>
      <c r="G4" s="498">
        <v>2002</v>
      </c>
      <c r="H4" s="103">
        <v>2003</v>
      </c>
      <c r="I4" s="499" t="s">
        <v>88</v>
      </c>
      <c r="J4" s="81">
        <v>2004</v>
      </c>
      <c r="K4" s="500" t="s">
        <v>88</v>
      </c>
      <c r="L4" s="498">
        <v>2002</v>
      </c>
      <c r="M4" s="103">
        <v>2003</v>
      </c>
      <c r="N4" s="499" t="s">
        <v>88</v>
      </c>
      <c r="O4" s="81">
        <v>2004</v>
      </c>
      <c r="P4" s="501" t="s">
        <v>88</v>
      </c>
      <c r="Q4" s="498">
        <v>2002</v>
      </c>
      <c r="R4" s="103">
        <v>2003</v>
      </c>
      <c r="S4" s="499" t="s">
        <v>88</v>
      </c>
      <c r="T4" s="81">
        <v>2004</v>
      </c>
      <c r="U4" s="501" t="s">
        <v>88</v>
      </c>
      <c r="V4" s="89">
        <v>2002</v>
      </c>
      <c r="W4" s="103">
        <v>2003</v>
      </c>
      <c r="X4" s="499" t="s">
        <v>88</v>
      </c>
      <c r="Y4" s="81">
        <v>2004</v>
      </c>
      <c r="Z4" s="577" t="s">
        <v>88</v>
      </c>
      <c r="AA4" s="822"/>
    </row>
    <row r="5" spans="1:27" s="39" customFormat="1" ht="13.5" customHeight="1">
      <c r="A5" s="491" t="s">
        <v>89</v>
      </c>
      <c r="B5" s="492">
        <v>114</v>
      </c>
      <c r="C5" s="163">
        <v>114</v>
      </c>
      <c r="D5" s="164">
        <f>+C5-B5</f>
        <v>0</v>
      </c>
      <c r="E5" s="493">
        <v>114</v>
      </c>
      <c r="F5" s="494">
        <f aca="true" t="shared" si="0" ref="F5:F22">E5-C5</f>
        <v>0</v>
      </c>
      <c r="G5" s="210">
        <v>124</v>
      </c>
      <c r="H5" s="163">
        <v>124</v>
      </c>
      <c r="I5" s="218">
        <f>+H5-G5</f>
        <v>0</v>
      </c>
      <c r="J5" s="493">
        <v>124</v>
      </c>
      <c r="K5" s="494">
        <f aca="true" t="shared" si="1" ref="K5:K22">J5-H5</f>
        <v>0</v>
      </c>
      <c r="L5" s="210">
        <v>76</v>
      </c>
      <c r="M5" s="217">
        <v>80</v>
      </c>
      <c r="N5" s="218">
        <f>+M5-L5</f>
        <v>4</v>
      </c>
      <c r="O5" s="495">
        <v>80</v>
      </c>
      <c r="P5" s="496">
        <f aca="true" t="shared" si="2" ref="P5:P22">O5-M5</f>
        <v>0</v>
      </c>
      <c r="Q5" s="210">
        <v>100</v>
      </c>
      <c r="R5" s="217">
        <v>100</v>
      </c>
      <c r="S5" s="218">
        <f aca="true" t="shared" si="3" ref="S5:S18">+R5-Q5</f>
        <v>0</v>
      </c>
      <c r="T5" s="497">
        <v>100</v>
      </c>
      <c r="U5" s="496">
        <f aca="true" t="shared" si="4" ref="U5:U22">T5-R5</f>
        <v>0</v>
      </c>
      <c r="V5" s="210">
        <v>122</v>
      </c>
      <c r="W5" s="217">
        <v>122</v>
      </c>
      <c r="X5" s="218">
        <f>+W5-V5</f>
        <v>0</v>
      </c>
      <c r="Y5" s="493">
        <v>122</v>
      </c>
      <c r="Z5" s="496">
        <f aca="true" t="shared" si="5" ref="Z5:Z18">+Y5-W5</f>
        <v>0</v>
      </c>
      <c r="AA5" s="289">
        <f>+Y5+T5+O5+J5+E5</f>
        <v>540</v>
      </c>
    </row>
    <row r="6" spans="1:27" s="39" customFormat="1" ht="13.5" customHeight="1">
      <c r="A6" s="434" t="s">
        <v>90</v>
      </c>
      <c r="B6" s="435">
        <v>18</v>
      </c>
      <c r="C6" s="169">
        <v>18</v>
      </c>
      <c r="D6" s="170">
        <f>+C6-B6</f>
        <v>0</v>
      </c>
      <c r="E6" s="436">
        <v>24</v>
      </c>
      <c r="F6" s="482">
        <f t="shared" si="0"/>
        <v>6</v>
      </c>
      <c r="G6" s="211">
        <v>40</v>
      </c>
      <c r="H6" s="169">
        <v>40</v>
      </c>
      <c r="I6" s="219">
        <f>+H6-G6</f>
        <v>0</v>
      </c>
      <c r="J6" s="436">
        <v>40</v>
      </c>
      <c r="K6" s="482">
        <f t="shared" si="1"/>
        <v>0</v>
      </c>
      <c r="L6" s="211"/>
      <c r="M6" s="212"/>
      <c r="N6" s="219"/>
      <c r="O6" s="437"/>
      <c r="P6" s="485">
        <f t="shared" si="2"/>
        <v>0</v>
      </c>
      <c r="Q6" s="211">
        <v>28</v>
      </c>
      <c r="R6" s="212">
        <v>28</v>
      </c>
      <c r="S6" s="219">
        <f t="shared" si="3"/>
        <v>0</v>
      </c>
      <c r="T6" s="438">
        <v>28</v>
      </c>
      <c r="U6" s="485">
        <f t="shared" si="4"/>
        <v>0</v>
      </c>
      <c r="V6" s="211">
        <v>22</v>
      </c>
      <c r="W6" s="212">
        <v>22</v>
      </c>
      <c r="X6" s="219">
        <f>+W6-V6</f>
        <v>0</v>
      </c>
      <c r="Y6" s="436">
        <v>22</v>
      </c>
      <c r="Z6" s="485">
        <f t="shared" si="5"/>
        <v>0</v>
      </c>
      <c r="AA6" s="287">
        <f aca="true" t="shared" si="6" ref="AA6:AA22">+Y6+T6+O6+J6+E6</f>
        <v>114</v>
      </c>
    </row>
    <row r="7" spans="1:27" s="39" customFormat="1" ht="13.5" customHeight="1">
      <c r="A7" s="434" t="s">
        <v>91</v>
      </c>
      <c r="B7" s="435">
        <v>24</v>
      </c>
      <c r="C7" s="169">
        <v>24</v>
      </c>
      <c r="D7" s="170">
        <f>+C7-B7</f>
        <v>0</v>
      </c>
      <c r="E7" s="436">
        <v>24</v>
      </c>
      <c r="F7" s="482">
        <f t="shared" si="0"/>
        <v>0</v>
      </c>
      <c r="G7" s="211">
        <v>30</v>
      </c>
      <c r="H7" s="169">
        <v>30</v>
      </c>
      <c r="I7" s="219">
        <f>+H7-G7</f>
        <v>0</v>
      </c>
      <c r="J7" s="436">
        <v>30</v>
      </c>
      <c r="K7" s="482">
        <f t="shared" si="1"/>
        <v>0</v>
      </c>
      <c r="L7" s="211"/>
      <c r="M7" s="212"/>
      <c r="N7" s="219"/>
      <c r="O7" s="437"/>
      <c r="P7" s="485">
        <f t="shared" si="2"/>
        <v>0</v>
      </c>
      <c r="Q7" s="211">
        <v>21</v>
      </c>
      <c r="R7" s="212">
        <v>24</v>
      </c>
      <c r="S7" s="219">
        <f t="shared" si="3"/>
        <v>3</v>
      </c>
      <c r="T7" s="438">
        <v>24</v>
      </c>
      <c r="U7" s="485">
        <f t="shared" si="4"/>
        <v>0</v>
      </c>
      <c r="V7" s="211"/>
      <c r="W7" s="212"/>
      <c r="X7" s="219"/>
      <c r="Y7" s="436"/>
      <c r="Z7" s="485">
        <f t="shared" si="5"/>
        <v>0</v>
      </c>
      <c r="AA7" s="287">
        <f t="shared" si="6"/>
        <v>78</v>
      </c>
    </row>
    <row r="8" spans="1:27" s="39" customFormat="1" ht="13.5" customHeight="1">
      <c r="A8" s="434" t="s">
        <v>92</v>
      </c>
      <c r="B8" s="435">
        <v>24</v>
      </c>
      <c r="C8" s="169">
        <v>24</v>
      </c>
      <c r="D8" s="170">
        <f>+C8-B8</f>
        <v>0</v>
      </c>
      <c r="E8" s="436">
        <v>24</v>
      </c>
      <c r="F8" s="482">
        <f t="shared" si="0"/>
        <v>0</v>
      </c>
      <c r="G8" s="211">
        <v>47</v>
      </c>
      <c r="H8" s="169">
        <v>47</v>
      </c>
      <c r="I8" s="219">
        <f>+H8-G8</f>
        <v>0</v>
      </c>
      <c r="J8" s="436">
        <v>47</v>
      </c>
      <c r="K8" s="482">
        <f t="shared" si="1"/>
        <v>0</v>
      </c>
      <c r="L8" s="211">
        <v>24</v>
      </c>
      <c r="M8" s="212">
        <v>24</v>
      </c>
      <c r="N8" s="219">
        <f>+M8-L8</f>
        <v>0</v>
      </c>
      <c r="O8" s="437">
        <v>24</v>
      </c>
      <c r="P8" s="485">
        <f t="shared" si="2"/>
        <v>0</v>
      </c>
      <c r="Q8" s="211">
        <v>30</v>
      </c>
      <c r="R8" s="212">
        <v>30</v>
      </c>
      <c r="S8" s="219">
        <f t="shared" si="3"/>
        <v>0</v>
      </c>
      <c r="T8" s="438">
        <v>30</v>
      </c>
      <c r="U8" s="485">
        <f t="shared" si="4"/>
        <v>0</v>
      </c>
      <c r="V8" s="211">
        <v>44</v>
      </c>
      <c r="W8" s="212">
        <v>44</v>
      </c>
      <c r="X8" s="219">
        <f>+W8-V8</f>
        <v>0</v>
      </c>
      <c r="Y8" s="436">
        <v>44</v>
      </c>
      <c r="Z8" s="485">
        <f t="shared" si="5"/>
        <v>0</v>
      </c>
      <c r="AA8" s="287">
        <f t="shared" si="6"/>
        <v>169</v>
      </c>
    </row>
    <row r="9" spans="1:27" s="39" customFormat="1" ht="13.5" customHeight="1">
      <c r="A9" s="434" t="s">
        <v>234</v>
      </c>
      <c r="B9" s="435"/>
      <c r="C9" s="169"/>
      <c r="D9" s="170"/>
      <c r="E9" s="436"/>
      <c r="F9" s="482">
        <f t="shared" si="0"/>
        <v>0</v>
      </c>
      <c r="G9" s="211"/>
      <c r="H9" s="212"/>
      <c r="I9" s="219"/>
      <c r="J9" s="436"/>
      <c r="K9" s="482">
        <f t="shared" si="1"/>
        <v>0</v>
      </c>
      <c r="L9" s="211"/>
      <c r="M9" s="212"/>
      <c r="N9" s="219"/>
      <c r="O9" s="437"/>
      <c r="P9" s="485">
        <f t="shared" si="2"/>
        <v>0</v>
      </c>
      <c r="Q9" s="211">
        <v>60</v>
      </c>
      <c r="R9" s="212">
        <v>60</v>
      </c>
      <c r="S9" s="219">
        <f t="shared" si="3"/>
        <v>0</v>
      </c>
      <c r="T9" s="438">
        <v>50</v>
      </c>
      <c r="U9" s="485">
        <f t="shared" si="4"/>
        <v>-10</v>
      </c>
      <c r="V9" s="211"/>
      <c r="W9" s="212"/>
      <c r="X9" s="219"/>
      <c r="Y9" s="436"/>
      <c r="Z9" s="485">
        <f t="shared" si="5"/>
        <v>0</v>
      </c>
      <c r="AA9" s="287">
        <f t="shared" si="6"/>
        <v>50</v>
      </c>
    </row>
    <row r="10" spans="1:27" s="39" customFormat="1" ht="13.5" customHeight="1">
      <c r="A10" s="434" t="s">
        <v>235</v>
      </c>
      <c r="B10" s="435">
        <v>70</v>
      </c>
      <c r="C10" s="169">
        <v>70</v>
      </c>
      <c r="D10" s="170">
        <f aca="true" t="shared" si="7" ref="D10:D23">+C10-B10</f>
        <v>0</v>
      </c>
      <c r="E10" s="436">
        <v>70</v>
      </c>
      <c r="F10" s="482">
        <f t="shared" si="0"/>
        <v>0</v>
      </c>
      <c r="G10" s="211">
        <v>66</v>
      </c>
      <c r="H10" s="169">
        <v>66</v>
      </c>
      <c r="I10" s="219">
        <f aca="true" t="shared" si="8" ref="I10:I21">+H10-G10</f>
        <v>0</v>
      </c>
      <c r="J10" s="436">
        <v>66</v>
      </c>
      <c r="K10" s="482">
        <f t="shared" si="1"/>
        <v>0</v>
      </c>
      <c r="L10" s="211">
        <v>44</v>
      </c>
      <c r="M10" s="212">
        <v>44</v>
      </c>
      <c r="N10" s="219">
        <f aca="true" t="shared" si="9" ref="N10:N15">+M10-L10</f>
        <v>0</v>
      </c>
      <c r="O10" s="437">
        <v>44</v>
      </c>
      <c r="P10" s="485">
        <f t="shared" si="2"/>
        <v>0</v>
      </c>
      <c r="Q10" s="211">
        <v>52</v>
      </c>
      <c r="R10" s="212">
        <v>52</v>
      </c>
      <c r="S10" s="219">
        <f t="shared" si="3"/>
        <v>0</v>
      </c>
      <c r="T10" s="438">
        <v>52</v>
      </c>
      <c r="U10" s="485">
        <f t="shared" si="4"/>
        <v>0</v>
      </c>
      <c r="V10" s="211">
        <v>50</v>
      </c>
      <c r="W10" s="212">
        <v>50</v>
      </c>
      <c r="X10" s="219">
        <f aca="true" t="shared" si="10" ref="X10:X18">+W10-V10</f>
        <v>0</v>
      </c>
      <c r="Y10" s="436">
        <v>50</v>
      </c>
      <c r="Z10" s="485">
        <f t="shared" si="5"/>
        <v>0</v>
      </c>
      <c r="AA10" s="287">
        <f t="shared" si="6"/>
        <v>282</v>
      </c>
    </row>
    <row r="11" spans="1:27" s="39" customFormat="1" ht="13.5" customHeight="1">
      <c r="A11" s="434" t="s">
        <v>236</v>
      </c>
      <c r="B11" s="435">
        <v>53</v>
      </c>
      <c r="C11" s="169">
        <v>53</v>
      </c>
      <c r="D11" s="170">
        <f t="shared" si="7"/>
        <v>0</v>
      </c>
      <c r="E11" s="436">
        <v>53</v>
      </c>
      <c r="F11" s="482">
        <f t="shared" si="0"/>
        <v>0</v>
      </c>
      <c r="G11" s="211">
        <v>65</v>
      </c>
      <c r="H11" s="169">
        <v>54</v>
      </c>
      <c r="I11" s="219">
        <f t="shared" si="8"/>
        <v>-11</v>
      </c>
      <c r="J11" s="436">
        <v>54</v>
      </c>
      <c r="K11" s="482">
        <f t="shared" si="1"/>
        <v>0</v>
      </c>
      <c r="L11" s="211">
        <v>41</v>
      </c>
      <c r="M11" s="212">
        <v>41</v>
      </c>
      <c r="N11" s="219">
        <f t="shared" si="9"/>
        <v>0</v>
      </c>
      <c r="O11" s="437">
        <v>41</v>
      </c>
      <c r="P11" s="485">
        <f t="shared" si="2"/>
        <v>0</v>
      </c>
      <c r="Q11" s="211">
        <v>84</v>
      </c>
      <c r="R11" s="212">
        <v>84</v>
      </c>
      <c r="S11" s="219">
        <f t="shared" si="3"/>
        <v>0</v>
      </c>
      <c r="T11" s="438">
        <v>63</v>
      </c>
      <c r="U11" s="485">
        <f t="shared" si="4"/>
        <v>-21</v>
      </c>
      <c r="V11" s="211">
        <v>59</v>
      </c>
      <c r="W11" s="212">
        <v>59</v>
      </c>
      <c r="X11" s="219">
        <f t="shared" si="10"/>
        <v>0</v>
      </c>
      <c r="Y11" s="436">
        <v>59</v>
      </c>
      <c r="Z11" s="485">
        <f t="shared" si="5"/>
        <v>0</v>
      </c>
      <c r="AA11" s="287">
        <f t="shared" si="6"/>
        <v>270</v>
      </c>
    </row>
    <row r="12" spans="1:27" s="39" customFormat="1" ht="13.5" customHeight="1">
      <c r="A12" s="434" t="s">
        <v>96</v>
      </c>
      <c r="B12" s="435">
        <v>71</v>
      </c>
      <c r="C12" s="169">
        <v>71</v>
      </c>
      <c r="D12" s="170">
        <f t="shared" si="7"/>
        <v>0</v>
      </c>
      <c r="E12" s="436">
        <v>70</v>
      </c>
      <c r="F12" s="482">
        <f t="shared" si="0"/>
        <v>-1</v>
      </c>
      <c r="G12" s="211">
        <v>100</v>
      </c>
      <c r="H12" s="169">
        <v>107</v>
      </c>
      <c r="I12" s="219">
        <f t="shared" si="8"/>
        <v>7</v>
      </c>
      <c r="J12" s="436">
        <v>107</v>
      </c>
      <c r="K12" s="482">
        <f t="shared" si="1"/>
        <v>0</v>
      </c>
      <c r="L12" s="211">
        <v>67</v>
      </c>
      <c r="M12" s="212">
        <v>67</v>
      </c>
      <c r="N12" s="219">
        <f t="shared" si="9"/>
        <v>0</v>
      </c>
      <c r="O12" s="437">
        <v>66</v>
      </c>
      <c r="P12" s="485">
        <f t="shared" si="2"/>
        <v>-1</v>
      </c>
      <c r="Q12" s="211">
        <v>102</v>
      </c>
      <c r="R12" s="212">
        <v>102</v>
      </c>
      <c r="S12" s="219">
        <f t="shared" si="3"/>
        <v>0</v>
      </c>
      <c r="T12" s="438">
        <v>102</v>
      </c>
      <c r="U12" s="485">
        <f t="shared" si="4"/>
        <v>0</v>
      </c>
      <c r="V12" s="211">
        <v>82</v>
      </c>
      <c r="W12" s="212">
        <v>82</v>
      </c>
      <c r="X12" s="219">
        <f t="shared" si="10"/>
        <v>0</v>
      </c>
      <c r="Y12" s="436">
        <v>82</v>
      </c>
      <c r="Z12" s="485">
        <f t="shared" si="5"/>
        <v>0</v>
      </c>
      <c r="AA12" s="287">
        <f t="shared" si="6"/>
        <v>427</v>
      </c>
    </row>
    <row r="13" spans="1:27" s="39" customFormat="1" ht="13.5" customHeight="1">
      <c r="A13" s="434" t="s">
        <v>97</v>
      </c>
      <c r="B13" s="435">
        <v>5</v>
      </c>
      <c r="C13" s="169">
        <v>5</v>
      </c>
      <c r="D13" s="170">
        <f t="shared" si="7"/>
        <v>0</v>
      </c>
      <c r="E13" s="436">
        <v>6</v>
      </c>
      <c r="F13" s="482">
        <f t="shared" si="0"/>
        <v>1</v>
      </c>
      <c r="G13" s="211">
        <v>4</v>
      </c>
      <c r="H13" s="169">
        <v>5</v>
      </c>
      <c r="I13" s="219">
        <f t="shared" si="8"/>
        <v>1</v>
      </c>
      <c r="J13" s="436">
        <v>5</v>
      </c>
      <c r="K13" s="482">
        <f t="shared" si="1"/>
        <v>0</v>
      </c>
      <c r="L13" s="211">
        <v>5</v>
      </c>
      <c r="M13" s="212">
        <v>5</v>
      </c>
      <c r="N13" s="219">
        <f t="shared" si="9"/>
        <v>0</v>
      </c>
      <c r="O13" s="437">
        <v>5</v>
      </c>
      <c r="P13" s="485">
        <f t="shared" si="2"/>
        <v>0</v>
      </c>
      <c r="Q13" s="211">
        <v>5</v>
      </c>
      <c r="R13" s="212">
        <v>5</v>
      </c>
      <c r="S13" s="219">
        <f t="shared" si="3"/>
        <v>0</v>
      </c>
      <c r="T13" s="438">
        <v>5</v>
      </c>
      <c r="U13" s="485">
        <f t="shared" si="4"/>
        <v>0</v>
      </c>
      <c r="V13" s="211">
        <v>6</v>
      </c>
      <c r="W13" s="212">
        <v>6</v>
      </c>
      <c r="X13" s="219">
        <f t="shared" si="10"/>
        <v>0</v>
      </c>
      <c r="Y13" s="436">
        <v>6</v>
      </c>
      <c r="Z13" s="485">
        <f t="shared" si="5"/>
        <v>0</v>
      </c>
      <c r="AA13" s="287">
        <f t="shared" si="6"/>
        <v>27</v>
      </c>
    </row>
    <row r="14" spans="1:27" s="39" customFormat="1" ht="13.5" customHeight="1">
      <c r="A14" s="434" t="s">
        <v>98</v>
      </c>
      <c r="B14" s="435">
        <v>30</v>
      </c>
      <c r="C14" s="169">
        <v>30</v>
      </c>
      <c r="D14" s="170">
        <f t="shared" si="7"/>
        <v>0</v>
      </c>
      <c r="E14" s="436">
        <v>32</v>
      </c>
      <c r="F14" s="482">
        <f t="shared" si="0"/>
        <v>2</v>
      </c>
      <c r="G14" s="211">
        <v>20</v>
      </c>
      <c r="H14" s="169">
        <v>20</v>
      </c>
      <c r="I14" s="219">
        <f t="shared" si="8"/>
        <v>0</v>
      </c>
      <c r="J14" s="436">
        <v>20</v>
      </c>
      <c r="K14" s="482">
        <f t="shared" si="1"/>
        <v>0</v>
      </c>
      <c r="L14" s="211">
        <v>24</v>
      </c>
      <c r="M14" s="212">
        <v>24</v>
      </c>
      <c r="N14" s="219">
        <f t="shared" si="9"/>
        <v>0</v>
      </c>
      <c r="O14" s="437">
        <v>24</v>
      </c>
      <c r="P14" s="485">
        <f t="shared" si="2"/>
        <v>0</v>
      </c>
      <c r="Q14" s="211">
        <v>42</v>
      </c>
      <c r="R14" s="212">
        <v>42</v>
      </c>
      <c r="S14" s="219">
        <f t="shared" si="3"/>
        <v>0</v>
      </c>
      <c r="T14" s="438">
        <v>42</v>
      </c>
      <c r="U14" s="485">
        <f t="shared" si="4"/>
        <v>0</v>
      </c>
      <c r="V14" s="211">
        <v>27</v>
      </c>
      <c r="W14" s="212">
        <v>27</v>
      </c>
      <c r="X14" s="219">
        <f t="shared" si="10"/>
        <v>0</v>
      </c>
      <c r="Y14" s="436">
        <v>30</v>
      </c>
      <c r="Z14" s="485">
        <f t="shared" si="5"/>
        <v>3</v>
      </c>
      <c r="AA14" s="287">
        <f t="shared" si="6"/>
        <v>148</v>
      </c>
    </row>
    <row r="15" spans="1:27" s="39" customFormat="1" ht="13.5" customHeight="1">
      <c r="A15" s="434" t="s">
        <v>99</v>
      </c>
      <c r="B15" s="435">
        <v>22</v>
      </c>
      <c r="C15" s="169">
        <v>22</v>
      </c>
      <c r="D15" s="170">
        <f t="shared" si="7"/>
        <v>0</v>
      </c>
      <c r="E15" s="436">
        <v>20</v>
      </c>
      <c r="F15" s="482">
        <f t="shared" si="0"/>
        <v>-2</v>
      </c>
      <c r="G15" s="211">
        <v>20</v>
      </c>
      <c r="H15" s="169">
        <v>17</v>
      </c>
      <c r="I15" s="219">
        <f t="shared" si="8"/>
        <v>-3</v>
      </c>
      <c r="J15" s="436">
        <v>20</v>
      </c>
      <c r="K15" s="482">
        <f t="shared" si="1"/>
        <v>3</v>
      </c>
      <c r="L15" s="211">
        <v>20</v>
      </c>
      <c r="M15" s="212">
        <v>20</v>
      </c>
      <c r="N15" s="219">
        <f t="shared" si="9"/>
        <v>0</v>
      </c>
      <c r="O15" s="437">
        <v>20</v>
      </c>
      <c r="P15" s="485">
        <f t="shared" si="2"/>
        <v>0</v>
      </c>
      <c r="Q15" s="211">
        <v>32</v>
      </c>
      <c r="R15" s="212">
        <v>32</v>
      </c>
      <c r="S15" s="219">
        <f t="shared" si="3"/>
        <v>0</v>
      </c>
      <c r="T15" s="438">
        <v>32</v>
      </c>
      <c r="U15" s="485">
        <f t="shared" si="4"/>
        <v>0</v>
      </c>
      <c r="V15" s="211">
        <v>21</v>
      </c>
      <c r="W15" s="212">
        <v>21</v>
      </c>
      <c r="X15" s="219">
        <f t="shared" si="10"/>
        <v>0</v>
      </c>
      <c r="Y15" s="436">
        <v>21</v>
      </c>
      <c r="Z15" s="485">
        <f t="shared" si="5"/>
        <v>0</v>
      </c>
      <c r="AA15" s="287">
        <f t="shared" si="6"/>
        <v>113</v>
      </c>
    </row>
    <row r="16" spans="1:27" s="39" customFormat="1" ht="13.5" customHeight="1">
      <c r="A16" s="434" t="s">
        <v>100</v>
      </c>
      <c r="B16" s="435">
        <v>23</v>
      </c>
      <c r="C16" s="169">
        <v>23</v>
      </c>
      <c r="D16" s="170">
        <f t="shared" si="7"/>
        <v>0</v>
      </c>
      <c r="E16" s="436">
        <v>20</v>
      </c>
      <c r="F16" s="482">
        <f t="shared" si="0"/>
        <v>-3</v>
      </c>
      <c r="G16" s="211">
        <v>30</v>
      </c>
      <c r="H16" s="169">
        <v>30</v>
      </c>
      <c r="I16" s="219">
        <f t="shared" si="8"/>
        <v>0</v>
      </c>
      <c r="J16" s="436">
        <v>30</v>
      </c>
      <c r="K16" s="482">
        <f t="shared" si="1"/>
        <v>0</v>
      </c>
      <c r="L16" s="211"/>
      <c r="M16" s="212"/>
      <c r="N16" s="219"/>
      <c r="O16" s="437"/>
      <c r="P16" s="485">
        <f t="shared" si="2"/>
        <v>0</v>
      </c>
      <c r="Q16" s="211">
        <v>15</v>
      </c>
      <c r="R16" s="212">
        <v>15</v>
      </c>
      <c r="S16" s="219">
        <f t="shared" si="3"/>
        <v>0</v>
      </c>
      <c r="T16" s="438">
        <v>15</v>
      </c>
      <c r="U16" s="485">
        <f t="shared" si="4"/>
        <v>0</v>
      </c>
      <c r="V16" s="211">
        <v>20</v>
      </c>
      <c r="W16" s="212">
        <v>20</v>
      </c>
      <c r="X16" s="219">
        <f t="shared" si="10"/>
        <v>0</v>
      </c>
      <c r="Y16" s="436">
        <v>11</v>
      </c>
      <c r="Z16" s="485">
        <f t="shared" si="5"/>
        <v>-9</v>
      </c>
      <c r="AA16" s="287">
        <f t="shared" si="6"/>
        <v>76</v>
      </c>
    </row>
    <row r="17" spans="1:27" s="39" customFormat="1" ht="13.5" customHeight="1">
      <c r="A17" s="434" t="s">
        <v>237</v>
      </c>
      <c r="B17" s="435">
        <v>25</v>
      </c>
      <c r="C17" s="169">
        <v>25</v>
      </c>
      <c r="D17" s="170">
        <f t="shared" si="7"/>
        <v>0</v>
      </c>
      <c r="E17" s="436">
        <v>20</v>
      </c>
      <c r="F17" s="482">
        <f t="shared" si="0"/>
        <v>-5</v>
      </c>
      <c r="G17" s="211">
        <v>20</v>
      </c>
      <c r="H17" s="169">
        <v>20</v>
      </c>
      <c r="I17" s="219">
        <f t="shared" si="8"/>
        <v>0</v>
      </c>
      <c r="J17" s="436">
        <v>20</v>
      </c>
      <c r="K17" s="482">
        <f t="shared" si="1"/>
        <v>0</v>
      </c>
      <c r="L17" s="211"/>
      <c r="M17" s="212"/>
      <c r="N17" s="219"/>
      <c r="O17" s="437"/>
      <c r="P17" s="485">
        <f t="shared" si="2"/>
        <v>0</v>
      </c>
      <c r="Q17" s="211">
        <v>18</v>
      </c>
      <c r="R17" s="212">
        <v>18</v>
      </c>
      <c r="S17" s="219">
        <f t="shared" si="3"/>
        <v>0</v>
      </c>
      <c r="T17" s="438">
        <v>18</v>
      </c>
      <c r="U17" s="485">
        <f t="shared" si="4"/>
        <v>0</v>
      </c>
      <c r="V17" s="211">
        <v>12</v>
      </c>
      <c r="W17" s="212">
        <v>12</v>
      </c>
      <c r="X17" s="219">
        <f t="shared" si="10"/>
        <v>0</v>
      </c>
      <c r="Y17" s="436">
        <v>11</v>
      </c>
      <c r="Z17" s="485">
        <f t="shared" si="5"/>
        <v>-1</v>
      </c>
      <c r="AA17" s="287">
        <f t="shared" si="6"/>
        <v>69</v>
      </c>
    </row>
    <row r="18" spans="1:27" s="39" customFormat="1" ht="13.5" customHeight="1">
      <c r="A18" s="434" t="s">
        <v>102</v>
      </c>
      <c r="B18" s="435">
        <v>15</v>
      </c>
      <c r="C18" s="169">
        <v>15</v>
      </c>
      <c r="D18" s="170">
        <f t="shared" si="7"/>
        <v>0</v>
      </c>
      <c r="E18" s="436">
        <v>0</v>
      </c>
      <c r="F18" s="482">
        <f t="shared" si="0"/>
        <v>-15</v>
      </c>
      <c r="G18" s="211">
        <v>20</v>
      </c>
      <c r="H18" s="169">
        <v>20</v>
      </c>
      <c r="I18" s="219">
        <f t="shared" si="8"/>
        <v>0</v>
      </c>
      <c r="J18" s="436">
        <v>20</v>
      </c>
      <c r="K18" s="482">
        <f t="shared" si="1"/>
        <v>0</v>
      </c>
      <c r="L18" s="211"/>
      <c r="M18" s="212"/>
      <c r="N18" s="219"/>
      <c r="O18" s="437"/>
      <c r="P18" s="485">
        <f t="shared" si="2"/>
        <v>0</v>
      </c>
      <c r="Q18" s="211">
        <v>27</v>
      </c>
      <c r="R18" s="212">
        <v>20</v>
      </c>
      <c r="S18" s="219">
        <f t="shared" si="3"/>
        <v>-7</v>
      </c>
      <c r="T18" s="438">
        <v>20</v>
      </c>
      <c r="U18" s="485">
        <f t="shared" si="4"/>
        <v>0</v>
      </c>
      <c r="V18" s="211">
        <v>20</v>
      </c>
      <c r="W18" s="212">
        <v>20</v>
      </c>
      <c r="X18" s="219">
        <f t="shared" si="10"/>
        <v>0</v>
      </c>
      <c r="Y18" s="436">
        <v>20</v>
      </c>
      <c r="Z18" s="485">
        <f t="shared" si="5"/>
        <v>0</v>
      </c>
      <c r="AA18" s="287">
        <f t="shared" si="6"/>
        <v>60</v>
      </c>
    </row>
    <row r="19" spans="1:27" s="39" customFormat="1" ht="13.5" customHeight="1">
      <c r="A19" s="580" t="s">
        <v>103</v>
      </c>
      <c r="B19" s="435">
        <v>20</v>
      </c>
      <c r="C19" s="169">
        <v>20</v>
      </c>
      <c r="D19" s="170">
        <f t="shared" si="7"/>
        <v>0</v>
      </c>
      <c r="E19" s="436">
        <v>20</v>
      </c>
      <c r="F19" s="482">
        <f t="shared" si="0"/>
        <v>0</v>
      </c>
      <c r="G19" s="211">
        <v>52</v>
      </c>
      <c r="H19" s="169">
        <v>52</v>
      </c>
      <c r="I19" s="219">
        <f t="shared" si="8"/>
        <v>0</v>
      </c>
      <c r="J19" s="436">
        <v>52</v>
      </c>
      <c r="K19" s="482">
        <f t="shared" si="1"/>
        <v>0</v>
      </c>
      <c r="L19" s="211"/>
      <c r="M19" s="212"/>
      <c r="N19" s="219"/>
      <c r="O19" s="437"/>
      <c r="P19" s="485">
        <f t="shared" si="2"/>
        <v>0</v>
      </c>
      <c r="Q19" s="211"/>
      <c r="R19" s="212"/>
      <c r="S19" s="219"/>
      <c r="T19" s="438"/>
      <c r="U19" s="485">
        <f t="shared" si="4"/>
        <v>0</v>
      </c>
      <c r="V19" s="211"/>
      <c r="W19" s="212"/>
      <c r="X19" s="219"/>
      <c r="Y19" s="436"/>
      <c r="Z19" s="485"/>
      <c r="AA19" s="287">
        <f t="shared" si="6"/>
        <v>72</v>
      </c>
    </row>
    <row r="20" spans="1:27" s="39" customFormat="1" ht="13.5" customHeight="1">
      <c r="A20" s="434" t="s">
        <v>104</v>
      </c>
      <c r="B20" s="435">
        <v>25</v>
      </c>
      <c r="C20" s="169">
        <v>25</v>
      </c>
      <c r="D20" s="170">
        <f t="shared" si="7"/>
        <v>0</v>
      </c>
      <c r="E20" s="436">
        <v>25</v>
      </c>
      <c r="F20" s="482">
        <f t="shared" si="0"/>
        <v>0</v>
      </c>
      <c r="G20" s="211">
        <v>20</v>
      </c>
      <c r="H20" s="169">
        <v>20</v>
      </c>
      <c r="I20" s="219">
        <f t="shared" si="8"/>
        <v>0</v>
      </c>
      <c r="J20" s="436">
        <v>20</v>
      </c>
      <c r="K20" s="482">
        <f t="shared" si="1"/>
        <v>0</v>
      </c>
      <c r="L20" s="211"/>
      <c r="M20" s="212"/>
      <c r="N20" s="219"/>
      <c r="O20" s="437"/>
      <c r="P20" s="485">
        <f t="shared" si="2"/>
        <v>0</v>
      </c>
      <c r="Q20" s="211">
        <v>15</v>
      </c>
      <c r="R20" s="212">
        <v>15</v>
      </c>
      <c r="S20" s="219">
        <f>+R20-Q20</f>
        <v>0</v>
      </c>
      <c r="T20" s="438">
        <v>21</v>
      </c>
      <c r="U20" s="485">
        <f t="shared" si="4"/>
        <v>6</v>
      </c>
      <c r="V20" s="211"/>
      <c r="W20" s="212"/>
      <c r="X20" s="219"/>
      <c r="Y20" s="436"/>
      <c r="Z20" s="485"/>
      <c r="AA20" s="287">
        <f t="shared" si="6"/>
        <v>66</v>
      </c>
    </row>
    <row r="21" spans="1:27" s="39" customFormat="1" ht="13.5" customHeight="1">
      <c r="A21" s="434" t="s">
        <v>105</v>
      </c>
      <c r="B21" s="435">
        <v>26</v>
      </c>
      <c r="C21" s="169">
        <v>26</v>
      </c>
      <c r="D21" s="170">
        <f t="shared" si="7"/>
        <v>0</v>
      </c>
      <c r="E21" s="436">
        <v>44</v>
      </c>
      <c r="F21" s="482">
        <f t="shared" si="0"/>
        <v>18</v>
      </c>
      <c r="G21" s="211">
        <v>88</v>
      </c>
      <c r="H21" s="169">
        <v>88</v>
      </c>
      <c r="I21" s="219">
        <f t="shared" si="8"/>
        <v>0</v>
      </c>
      <c r="J21" s="436">
        <v>88</v>
      </c>
      <c r="K21" s="482">
        <f t="shared" si="1"/>
        <v>0</v>
      </c>
      <c r="L21" s="211">
        <v>46</v>
      </c>
      <c r="M21" s="212">
        <v>46</v>
      </c>
      <c r="N21" s="219">
        <f>+M21-L21</f>
        <v>0</v>
      </c>
      <c r="O21" s="437">
        <v>46</v>
      </c>
      <c r="P21" s="485">
        <f t="shared" si="2"/>
        <v>0</v>
      </c>
      <c r="Q21" s="211">
        <v>20</v>
      </c>
      <c r="R21" s="212">
        <v>20</v>
      </c>
      <c r="S21" s="219">
        <f>+R21-Q21</f>
        <v>0</v>
      </c>
      <c r="T21" s="438">
        <v>41</v>
      </c>
      <c r="U21" s="485">
        <f t="shared" si="4"/>
        <v>21</v>
      </c>
      <c r="V21" s="211"/>
      <c r="W21" s="212"/>
      <c r="X21" s="219"/>
      <c r="Y21" s="436"/>
      <c r="Z21" s="485"/>
      <c r="AA21" s="287">
        <f t="shared" si="6"/>
        <v>219</v>
      </c>
    </row>
    <row r="22" spans="1:27" s="39" customFormat="1" ht="13.5" customHeight="1" thickBot="1">
      <c r="A22" s="439" t="s">
        <v>106</v>
      </c>
      <c r="B22" s="440">
        <v>10</v>
      </c>
      <c r="C22" s="175">
        <v>10</v>
      </c>
      <c r="D22" s="176">
        <f t="shared" si="7"/>
        <v>0</v>
      </c>
      <c r="E22" s="441">
        <v>10</v>
      </c>
      <c r="F22" s="482">
        <f t="shared" si="0"/>
        <v>0</v>
      </c>
      <c r="G22" s="213"/>
      <c r="H22" s="214"/>
      <c r="I22" s="220"/>
      <c r="J22" s="441"/>
      <c r="K22" s="482">
        <f t="shared" si="1"/>
        <v>0</v>
      </c>
      <c r="L22" s="213"/>
      <c r="M22" s="214"/>
      <c r="N22" s="220"/>
      <c r="O22" s="442"/>
      <c r="P22" s="485">
        <f t="shared" si="2"/>
        <v>0</v>
      </c>
      <c r="Q22" s="213"/>
      <c r="R22" s="214"/>
      <c r="S22" s="220"/>
      <c r="T22" s="443"/>
      <c r="U22" s="485">
        <f t="shared" si="4"/>
        <v>0</v>
      </c>
      <c r="V22" s="213"/>
      <c r="W22" s="214"/>
      <c r="X22" s="220"/>
      <c r="Y22" s="441"/>
      <c r="Z22" s="578"/>
      <c r="AA22" s="288">
        <f t="shared" si="6"/>
        <v>10</v>
      </c>
    </row>
    <row r="23" spans="1:27" s="39" customFormat="1" ht="18" customHeight="1" thickBot="1">
      <c r="A23" s="444" t="s">
        <v>11</v>
      </c>
      <c r="B23" s="445">
        <f>SUM(B5:B22)</f>
        <v>575</v>
      </c>
      <c r="C23" s="181">
        <f>SUM(C5:C22)</f>
        <v>575</v>
      </c>
      <c r="D23" s="182">
        <f t="shared" si="7"/>
        <v>0</v>
      </c>
      <c r="E23" s="446">
        <f>SUM(E5:E22)</f>
        <v>576</v>
      </c>
      <c r="F23" s="483">
        <f>SUM(F5:F22)</f>
        <v>1</v>
      </c>
      <c r="G23" s="215">
        <f>SUM(G5:G22)</f>
        <v>746</v>
      </c>
      <c r="H23" s="216">
        <f>SUM(H5:H22)</f>
        <v>740</v>
      </c>
      <c r="I23" s="221">
        <f>+H23-G23</f>
        <v>-6</v>
      </c>
      <c r="J23" s="446">
        <f>SUM(J5:J21)</f>
        <v>743</v>
      </c>
      <c r="K23" s="483">
        <f>SUM(K5:K22)</f>
        <v>3</v>
      </c>
      <c r="L23" s="215">
        <f>SUM(L5:L22)</f>
        <v>347</v>
      </c>
      <c r="M23" s="216">
        <f>SUM(M5:M22)</f>
        <v>351</v>
      </c>
      <c r="N23" s="221">
        <f>+M23-L23</f>
        <v>4</v>
      </c>
      <c r="O23" s="447">
        <f>SUM(O5:O22)</f>
        <v>350</v>
      </c>
      <c r="P23" s="486">
        <f>SUM(P5:P22)</f>
        <v>-1</v>
      </c>
      <c r="Q23" s="215">
        <f>SUM(Q5:Q22)</f>
        <v>651</v>
      </c>
      <c r="R23" s="216">
        <f>SUM(R5:R22)</f>
        <v>647</v>
      </c>
      <c r="S23" s="221">
        <f>+R23-Q23</f>
        <v>-4</v>
      </c>
      <c r="T23" s="448">
        <f>SUM(T5:T22)</f>
        <v>643</v>
      </c>
      <c r="U23" s="488">
        <f>SUM(U5:U22)</f>
        <v>-4</v>
      </c>
      <c r="V23" s="215">
        <f>SUM(V5:V22)</f>
        <v>485</v>
      </c>
      <c r="W23" s="216">
        <f>SUM(W5:W22)</f>
        <v>485</v>
      </c>
      <c r="X23" s="221">
        <f>+W23-V23</f>
        <v>0</v>
      </c>
      <c r="Y23" s="446">
        <f>SUM(Y5:Y22)</f>
        <v>478</v>
      </c>
      <c r="Z23" s="579">
        <f>SUM(Z5:Z22)</f>
        <v>-7</v>
      </c>
      <c r="AA23" s="139">
        <f>SUM(AA5:AA22)</f>
        <v>2790</v>
      </c>
    </row>
    <row r="24" spans="1:27" s="449" customFormat="1" ht="47.25" customHeight="1" thickBot="1">
      <c r="A24" s="444" t="s">
        <v>211</v>
      </c>
      <c r="B24" s="771"/>
      <c r="C24" s="772"/>
      <c r="D24" s="772"/>
      <c r="E24" s="772"/>
      <c r="F24" s="773"/>
      <c r="G24" s="771"/>
      <c r="H24" s="772"/>
      <c r="I24" s="772"/>
      <c r="J24" s="772"/>
      <c r="K24" s="773"/>
      <c r="L24" s="774"/>
      <c r="M24" s="775"/>
      <c r="N24" s="775"/>
      <c r="O24" s="775"/>
      <c r="P24" s="707"/>
      <c r="Q24" s="783" t="s">
        <v>372</v>
      </c>
      <c r="R24" s="784"/>
      <c r="S24" s="784"/>
      <c r="T24" s="784"/>
      <c r="U24" s="785"/>
      <c r="V24" s="783" t="s">
        <v>212</v>
      </c>
      <c r="W24" s="784"/>
      <c r="X24" s="784"/>
      <c r="Y24" s="706"/>
      <c r="Z24" s="707"/>
      <c r="AA24" s="139">
        <f>162+100</f>
        <v>262</v>
      </c>
    </row>
    <row r="25" spans="1:26" s="456" customFormat="1" ht="36" customHeight="1">
      <c r="A25" s="450"/>
      <c r="B25" s="451"/>
      <c r="C25" s="451"/>
      <c r="D25" s="452"/>
      <c r="E25" s="453"/>
      <c r="F25" s="452"/>
      <c r="G25" s="454"/>
      <c r="H25" s="454"/>
      <c r="I25" s="455"/>
      <c r="J25" s="454"/>
      <c r="K25" s="455"/>
      <c r="L25" s="454"/>
      <c r="M25" s="454"/>
      <c r="N25" s="455"/>
      <c r="O25" s="454"/>
      <c r="P25" s="487"/>
      <c r="Q25" s="454"/>
      <c r="R25" s="454"/>
      <c r="S25" s="455"/>
      <c r="T25" s="454"/>
      <c r="U25" s="487"/>
      <c r="V25" s="454"/>
      <c r="W25" s="454"/>
      <c r="X25" s="455"/>
      <c r="Z25" s="490"/>
    </row>
    <row r="27" ht="16.5" thickBot="1">
      <c r="A27" s="29" t="s">
        <v>300</v>
      </c>
    </row>
    <row r="28" spans="1:26" s="39" customFormat="1" ht="12.75">
      <c r="A28" s="708" t="s">
        <v>2</v>
      </c>
      <c r="B28" s="738" t="s">
        <v>240</v>
      </c>
      <c r="C28" s="739"/>
      <c r="D28" s="739"/>
      <c r="E28" s="739"/>
      <c r="F28" s="739"/>
      <c r="G28" s="739"/>
      <c r="H28" s="740"/>
      <c r="I28" s="740"/>
      <c r="J28" s="738" t="s">
        <v>241</v>
      </c>
      <c r="K28" s="740"/>
      <c r="L28" s="740"/>
      <c r="M28" s="740"/>
      <c r="N28" s="740"/>
      <c r="O28" s="740"/>
      <c r="P28" s="740"/>
      <c r="Q28" s="741"/>
      <c r="R28" s="738" t="s">
        <v>242</v>
      </c>
      <c r="S28" s="761"/>
      <c r="T28" s="761"/>
      <c r="U28" s="761"/>
      <c r="V28" s="761"/>
      <c r="W28" s="761"/>
      <c r="X28" s="761"/>
      <c r="Y28" s="762"/>
      <c r="Z28" s="506"/>
    </row>
    <row r="29" spans="1:26" s="39" customFormat="1" ht="12.75">
      <c r="A29" s="737"/>
      <c r="B29" s="742">
        <v>2003</v>
      </c>
      <c r="C29" s="743"/>
      <c r="D29" s="744"/>
      <c r="E29" s="745"/>
      <c r="F29" s="746">
        <v>2004</v>
      </c>
      <c r="G29" s="661"/>
      <c r="H29" s="661"/>
      <c r="I29" s="662"/>
      <c r="J29" s="763">
        <v>2003</v>
      </c>
      <c r="K29" s="764"/>
      <c r="L29" s="764"/>
      <c r="M29" s="765"/>
      <c r="N29" s="746">
        <v>2004</v>
      </c>
      <c r="O29" s="661"/>
      <c r="P29" s="661"/>
      <c r="Q29" s="662"/>
      <c r="R29" s="742">
        <v>2003</v>
      </c>
      <c r="S29" s="766"/>
      <c r="T29" s="766"/>
      <c r="U29" s="767"/>
      <c r="V29" s="743">
        <v>2004</v>
      </c>
      <c r="W29" s="743"/>
      <c r="X29" s="743"/>
      <c r="Y29" s="768"/>
      <c r="Z29" s="506"/>
    </row>
    <row r="30" spans="1:26" s="39" customFormat="1" ht="13.5" thickBot="1">
      <c r="A30" s="709"/>
      <c r="B30" s="747" t="s">
        <v>238</v>
      </c>
      <c r="C30" s="748"/>
      <c r="D30" s="749" t="s">
        <v>239</v>
      </c>
      <c r="E30" s="750"/>
      <c r="F30" s="751" t="s">
        <v>238</v>
      </c>
      <c r="G30" s="752"/>
      <c r="H30" s="751" t="s">
        <v>239</v>
      </c>
      <c r="I30" s="753"/>
      <c r="J30" s="757" t="s">
        <v>238</v>
      </c>
      <c r="K30" s="752"/>
      <c r="L30" s="751" t="s">
        <v>239</v>
      </c>
      <c r="M30" s="758"/>
      <c r="N30" s="751" t="s">
        <v>238</v>
      </c>
      <c r="O30" s="759"/>
      <c r="P30" s="751" t="s">
        <v>239</v>
      </c>
      <c r="Q30" s="760"/>
      <c r="R30" s="747" t="s">
        <v>238</v>
      </c>
      <c r="S30" s="754"/>
      <c r="T30" s="749" t="s">
        <v>239</v>
      </c>
      <c r="U30" s="755"/>
      <c r="V30" s="749" t="s">
        <v>238</v>
      </c>
      <c r="W30" s="754"/>
      <c r="X30" s="749" t="s">
        <v>239</v>
      </c>
      <c r="Y30" s="756"/>
      <c r="Z30" s="506"/>
    </row>
    <row r="31" spans="1:26" s="508" customFormat="1" ht="15" customHeight="1">
      <c r="A31" s="510" t="s">
        <v>8</v>
      </c>
      <c r="B31" s="731">
        <v>128907</v>
      </c>
      <c r="C31" s="732"/>
      <c r="D31" s="733">
        <f>+B31/C23</f>
        <v>224.18608695652173</v>
      </c>
      <c r="E31" s="734"/>
      <c r="F31" s="735">
        <v>135558</v>
      </c>
      <c r="G31" s="732"/>
      <c r="H31" s="733">
        <f>+F31/E23</f>
        <v>235.34375</v>
      </c>
      <c r="I31" s="734"/>
      <c r="J31" s="731">
        <v>16629</v>
      </c>
      <c r="K31" s="732"/>
      <c r="L31" s="733">
        <f>+J31/C23</f>
        <v>28.92</v>
      </c>
      <c r="M31" s="734"/>
      <c r="N31" s="735">
        <v>16619</v>
      </c>
      <c r="O31" s="732"/>
      <c r="P31" s="733">
        <f>+N31/E23</f>
        <v>28.852430555555557</v>
      </c>
      <c r="Q31" s="734"/>
      <c r="R31" s="731">
        <v>317455</v>
      </c>
      <c r="S31" s="732"/>
      <c r="T31" s="733">
        <f>+R31/C23</f>
        <v>552.0956521739131</v>
      </c>
      <c r="U31" s="734"/>
      <c r="V31" s="735">
        <v>286563</v>
      </c>
      <c r="W31" s="732"/>
      <c r="X31" s="733">
        <f>+V31/E23</f>
        <v>497.5052083333333</v>
      </c>
      <c r="Y31" s="736"/>
      <c r="Z31" s="509"/>
    </row>
    <row r="32" spans="1:26" s="508" customFormat="1" ht="15" customHeight="1">
      <c r="A32" s="511" t="s">
        <v>7</v>
      </c>
      <c r="B32" s="725">
        <v>201137</v>
      </c>
      <c r="C32" s="726"/>
      <c r="D32" s="727">
        <f>+B32/H23</f>
        <v>271.8067567567568</v>
      </c>
      <c r="E32" s="728"/>
      <c r="F32" s="729">
        <v>171151</v>
      </c>
      <c r="G32" s="726"/>
      <c r="H32" s="727">
        <f>+F32/J23</f>
        <v>230.35127860026918</v>
      </c>
      <c r="I32" s="728"/>
      <c r="J32" s="725">
        <v>29937</v>
      </c>
      <c r="K32" s="726"/>
      <c r="L32" s="727">
        <f>+J32/H23</f>
        <v>40.45540540540541</v>
      </c>
      <c r="M32" s="728"/>
      <c r="N32" s="729">
        <v>27092</v>
      </c>
      <c r="O32" s="726"/>
      <c r="P32" s="727">
        <f>+N32/J23</f>
        <v>36.462987886944816</v>
      </c>
      <c r="Q32" s="728"/>
      <c r="R32" s="725">
        <v>357513</v>
      </c>
      <c r="S32" s="726"/>
      <c r="T32" s="727">
        <f>+R32/H23</f>
        <v>483.12567567567567</v>
      </c>
      <c r="U32" s="728"/>
      <c r="V32" s="729">
        <v>316163</v>
      </c>
      <c r="W32" s="726"/>
      <c r="X32" s="727">
        <f>+V32/J23</f>
        <v>425.5222072678331</v>
      </c>
      <c r="Y32" s="730"/>
      <c r="Z32" s="509"/>
    </row>
    <row r="33" spans="1:26" s="508" customFormat="1" ht="15" customHeight="1">
      <c r="A33" s="511" t="s">
        <v>6</v>
      </c>
      <c r="B33" s="725">
        <v>95494</v>
      </c>
      <c r="C33" s="726"/>
      <c r="D33" s="727">
        <f>+B33/M23</f>
        <v>272.06267806267806</v>
      </c>
      <c r="E33" s="728"/>
      <c r="F33" s="729">
        <v>101349</v>
      </c>
      <c r="G33" s="726"/>
      <c r="H33" s="727">
        <f>+F33/O23</f>
        <v>289.56857142857143</v>
      </c>
      <c r="I33" s="728"/>
      <c r="J33" s="725">
        <v>12334</v>
      </c>
      <c r="K33" s="726"/>
      <c r="L33" s="727">
        <f>+J33/M23</f>
        <v>35.13960113960114</v>
      </c>
      <c r="M33" s="728"/>
      <c r="N33" s="729">
        <v>14781</v>
      </c>
      <c r="O33" s="726"/>
      <c r="P33" s="727">
        <f>+N33/O23</f>
        <v>42.23142857142857</v>
      </c>
      <c r="Q33" s="728"/>
      <c r="R33" s="725">
        <v>200388</v>
      </c>
      <c r="S33" s="726"/>
      <c r="T33" s="727">
        <f>+R33/M23</f>
        <v>570.9059829059829</v>
      </c>
      <c r="U33" s="728"/>
      <c r="V33" s="729">
        <v>189352</v>
      </c>
      <c r="W33" s="726"/>
      <c r="X33" s="727">
        <f>+V33/O23</f>
        <v>541.0057142857142</v>
      </c>
      <c r="Y33" s="730"/>
      <c r="Z33" s="509"/>
    </row>
    <row r="34" spans="1:26" s="508" customFormat="1" ht="15" customHeight="1">
      <c r="A34" s="511" t="s">
        <v>5</v>
      </c>
      <c r="B34" s="725">
        <v>111906</v>
      </c>
      <c r="C34" s="726"/>
      <c r="D34" s="727">
        <f>+B34/(R23+111+60)</f>
        <v>136.8044009779951</v>
      </c>
      <c r="E34" s="728"/>
      <c r="F34" s="729">
        <v>108978</v>
      </c>
      <c r="G34" s="726"/>
      <c r="H34" s="727">
        <f>+F34/(T23+50+100)</f>
        <v>137.4249684741488</v>
      </c>
      <c r="I34" s="728"/>
      <c r="J34" s="725">
        <v>17577</v>
      </c>
      <c r="K34" s="726"/>
      <c r="L34" s="727">
        <f>+J34/(R23+60+111)</f>
        <v>21.487775061124694</v>
      </c>
      <c r="M34" s="728"/>
      <c r="N34" s="729">
        <v>18594</v>
      </c>
      <c r="O34" s="726"/>
      <c r="P34" s="727">
        <f>+N34/(T23+100+50)</f>
        <v>23.44766708701135</v>
      </c>
      <c r="Q34" s="728"/>
      <c r="R34" s="725">
        <v>264539</v>
      </c>
      <c r="S34" s="726"/>
      <c r="T34" s="727">
        <f>+R34/(R23+111+60)</f>
        <v>323.39731051344745</v>
      </c>
      <c r="U34" s="728"/>
      <c r="V34" s="729">
        <v>261963</v>
      </c>
      <c r="W34" s="726"/>
      <c r="X34" s="727">
        <f>+V34/(T23+100+50)</f>
        <v>330.344262295082</v>
      </c>
      <c r="Y34" s="730"/>
      <c r="Z34" s="509"/>
    </row>
    <row r="35" spans="1:26" s="508" customFormat="1" ht="15" customHeight="1" thickBot="1">
      <c r="A35" s="512" t="s">
        <v>23</v>
      </c>
      <c r="B35" s="719">
        <v>139211</v>
      </c>
      <c r="C35" s="720"/>
      <c r="D35" s="721">
        <f>+B35/(W23+162)</f>
        <v>215.16383307573415</v>
      </c>
      <c r="E35" s="722"/>
      <c r="F35" s="723">
        <v>135955</v>
      </c>
      <c r="G35" s="720"/>
      <c r="H35" s="721">
        <f>+F35/(Y23+162)</f>
        <v>212.4296875</v>
      </c>
      <c r="I35" s="722"/>
      <c r="J35" s="719">
        <v>18186</v>
      </c>
      <c r="K35" s="720"/>
      <c r="L35" s="721">
        <f>+J35/(W23+162)</f>
        <v>28.108191653786708</v>
      </c>
      <c r="M35" s="722"/>
      <c r="N35" s="723">
        <v>19345</v>
      </c>
      <c r="O35" s="720"/>
      <c r="P35" s="721">
        <f>+N35/(Y23+162)</f>
        <v>30.2265625</v>
      </c>
      <c r="Q35" s="722"/>
      <c r="R35" s="719">
        <v>270021</v>
      </c>
      <c r="S35" s="720"/>
      <c r="T35" s="721">
        <f>+R35/(W23+162)</f>
        <v>417.34312210200926</v>
      </c>
      <c r="U35" s="722"/>
      <c r="V35" s="723">
        <v>266988</v>
      </c>
      <c r="W35" s="720"/>
      <c r="X35" s="721">
        <f>+V35/(Y23+162)</f>
        <v>417.16875</v>
      </c>
      <c r="Y35" s="724"/>
      <c r="Z35" s="509"/>
    </row>
    <row r="36" spans="1:26" s="508" customFormat="1" ht="19.5" customHeight="1" thickBot="1">
      <c r="A36" s="507" t="s">
        <v>11</v>
      </c>
      <c r="B36" s="713">
        <f>SUM(B31:B35)</f>
        <v>676655</v>
      </c>
      <c r="C36" s="714"/>
      <c r="D36" s="715">
        <f>+B36/(C23+H23+M23+R23+W23+111+162)</f>
        <v>220.33702377075872</v>
      </c>
      <c r="E36" s="716"/>
      <c r="F36" s="717">
        <f>SUM(F31:G35)</f>
        <v>652991</v>
      </c>
      <c r="G36" s="714"/>
      <c r="H36" s="715">
        <f>+F36/(E23+J23+O23+T23+Y23+100+162)</f>
        <v>213.9551114023591</v>
      </c>
      <c r="I36" s="716"/>
      <c r="J36" s="713">
        <f>SUM(J31:K35)</f>
        <v>94663</v>
      </c>
      <c r="K36" s="714"/>
      <c r="L36" s="715">
        <f>+J36/(C23+H23+M23+R23+W23+111+162)</f>
        <v>30.8248127645718</v>
      </c>
      <c r="M36" s="716"/>
      <c r="N36" s="717">
        <f>SUM(N31:N35)</f>
        <v>96431</v>
      </c>
      <c r="O36" s="714"/>
      <c r="P36" s="715">
        <f>+N36/(E23+J23+O23+T23+Y23+100+162)</f>
        <v>31.59600262123198</v>
      </c>
      <c r="Q36" s="716">
        <f>+N36/(E23+J23+O23+T23+Y23+60+111+162)</f>
        <v>30.87768171629843</v>
      </c>
      <c r="R36" s="713">
        <f>SUM(R31:S35)</f>
        <v>1409916</v>
      </c>
      <c r="S36" s="714"/>
      <c r="T36" s="715">
        <f>+R36/(C23+H23+M23+R23+W23+111+162)</f>
        <v>459.10647997394983</v>
      </c>
      <c r="U36" s="716"/>
      <c r="V36" s="717">
        <f>SUM(V31:W35)</f>
        <v>1321029</v>
      </c>
      <c r="W36" s="714"/>
      <c r="X36" s="715">
        <f>+V36/(Y23+T23+O23+J23+E23+100+162)</f>
        <v>432.84043250327653</v>
      </c>
      <c r="Y36" s="718"/>
      <c r="Z36" s="509"/>
    </row>
    <row r="37" ht="13.5" thickBot="1"/>
    <row r="38" spans="1:26" s="39" customFormat="1" ht="12.75">
      <c r="A38" s="708" t="s">
        <v>2</v>
      </c>
      <c r="B38" s="738" t="s">
        <v>245</v>
      </c>
      <c r="C38" s="739"/>
      <c r="D38" s="739"/>
      <c r="E38" s="739"/>
      <c r="F38" s="739"/>
      <c r="G38" s="739"/>
      <c r="H38" s="740"/>
      <c r="I38" s="740"/>
      <c r="J38" s="738" t="s">
        <v>243</v>
      </c>
      <c r="K38" s="740"/>
      <c r="L38" s="740"/>
      <c r="M38" s="740"/>
      <c r="N38" s="740"/>
      <c r="O38" s="740"/>
      <c r="P38" s="740"/>
      <c r="Q38" s="741"/>
      <c r="R38" s="738" t="s">
        <v>244</v>
      </c>
      <c r="S38" s="761"/>
      <c r="T38" s="761"/>
      <c r="U38" s="761"/>
      <c r="V38" s="761"/>
      <c r="W38" s="761"/>
      <c r="X38" s="761"/>
      <c r="Y38" s="762"/>
      <c r="Z38" s="506"/>
    </row>
    <row r="39" spans="1:26" s="39" customFormat="1" ht="12.75">
      <c r="A39" s="737"/>
      <c r="B39" s="742">
        <v>2003</v>
      </c>
      <c r="C39" s="743"/>
      <c r="D39" s="744"/>
      <c r="E39" s="745"/>
      <c r="F39" s="746">
        <v>2004</v>
      </c>
      <c r="G39" s="661"/>
      <c r="H39" s="661"/>
      <c r="I39" s="662"/>
      <c r="J39" s="763">
        <v>2003</v>
      </c>
      <c r="K39" s="764"/>
      <c r="L39" s="764"/>
      <c r="M39" s="765"/>
      <c r="N39" s="746">
        <v>2004</v>
      </c>
      <c r="O39" s="661"/>
      <c r="P39" s="661"/>
      <c r="Q39" s="662"/>
      <c r="R39" s="742">
        <v>2003</v>
      </c>
      <c r="S39" s="766"/>
      <c r="T39" s="766"/>
      <c r="U39" s="767"/>
      <c r="V39" s="743">
        <v>2004</v>
      </c>
      <c r="W39" s="743"/>
      <c r="X39" s="743"/>
      <c r="Y39" s="768"/>
      <c r="Z39" s="506"/>
    </row>
    <row r="40" spans="1:26" s="39" customFormat="1" ht="13.5" thickBot="1">
      <c r="A40" s="709"/>
      <c r="B40" s="747" t="s">
        <v>238</v>
      </c>
      <c r="C40" s="748"/>
      <c r="D40" s="749" t="s">
        <v>239</v>
      </c>
      <c r="E40" s="750"/>
      <c r="F40" s="751" t="s">
        <v>238</v>
      </c>
      <c r="G40" s="752"/>
      <c r="H40" s="751" t="s">
        <v>239</v>
      </c>
      <c r="I40" s="753"/>
      <c r="J40" s="757" t="s">
        <v>238</v>
      </c>
      <c r="K40" s="752"/>
      <c r="L40" s="751" t="s">
        <v>239</v>
      </c>
      <c r="M40" s="758"/>
      <c r="N40" s="751" t="s">
        <v>238</v>
      </c>
      <c r="O40" s="759"/>
      <c r="P40" s="751" t="s">
        <v>239</v>
      </c>
      <c r="Q40" s="760"/>
      <c r="R40" s="747" t="s">
        <v>238</v>
      </c>
      <c r="S40" s="754"/>
      <c r="T40" s="749" t="s">
        <v>239</v>
      </c>
      <c r="U40" s="755"/>
      <c r="V40" s="749" t="s">
        <v>238</v>
      </c>
      <c r="W40" s="754"/>
      <c r="X40" s="749" t="s">
        <v>239</v>
      </c>
      <c r="Y40" s="756"/>
      <c r="Z40" s="506"/>
    </row>
    <row r="41" spans="1:26" s="508" customFormat="1" ht="15" customHeight="1">
      <c r="A41" s="510" t="s">
        <v>8</v>
      </c>
      <c r="B41" s="731">
        <v>10100</v>
      </c>
      <c r="C41" s="732"/>
      <c r="D41" s="733">
        <f>+B41/C23</f>
        <v>17.565217391304348</v>
      </c>
      <c r="E41" s="734"/>
      <c r="F41" s="735">
        <v>11672</v>
      </c>
      <c r="G41" s="732"/>
      <c r="H41" s="733">
        <f>+F41/E23</f>
        <v>20.26388888888889</v>
      </c>
      <c r="I41" s="734"/>
      <c r="J41" s="731">
        <v>28142</v>
      </c>
      <c r="K41" s="732"/>
      <c r="L41" s="733">
        <f>+J41/C23</f>
        <v>48.942608695652176</v>
      </c>
      <c r="M41" s="734"/>
      <c r="N41" s="735">
        <v>28362</v>
      </c>
      <c r="O41" s="732"/>
      <c r="P41" s="733">
        <f>+N41/E23</f>
        <v>49.239583333333336</v>
      </c>
      <c r="Q41" s="734"/>
      <c r="R41" s="731">
        <v>2844</v>
      </c>
      <c r="S41" s="732"/>
      <c r="T41" s="733">
        <f>+R41/C23</f>
        <v>4.946086956521739</v>
      </c>
      <c r="U41" s="734"/>
      <c r="V41" s="735">
        <v>6713</v>
      </c>
      <c r="W41" s="732"/>
      <c r="X41" s="733">
        <f>+V41/E23</f>
        <v>11.65451388888889</v>
      </c>
      <c r="Y41" s="736"/>
      <c r="Z41" s="509"/>
    </row>
    <row r="42" spans="1:26" s="508" customFormat="1" ht="15" customHeight="1">
      <c r="A42" s="511" t="s">
        <v>7</v>
      </c>
      <c r="B42" s="725">
        <v>8967</v>
      </c>
      <c r="C42" s="726"/>
      <c r="D42" s="727">
        <f>+B42/H23</f>
        <v>12.117567567567567</v>
      </c>
      <c r="E42" s="728"/>
      <c r="F42" s="729">
        <v>15051</v>
      </c>
      <c r="G42" s="726"/>
      <c r="H42" s="727">
        <f>+F42/J23</f>
        <v>20.25706594885599</v>
      </c>
      <c r="I42" s="728"/>
      <c r="J42" s="725">
        <v>35524</v>
      </c>
      <c r="K42" s="726"/>
      <c r="L42" s="727">
        <f>+J42/H23</f>
        <v>48.005405405405405</v>
      </c>
      <c r="M42" s="728"/>
      <c r="N42" s="729">
        <v>40938</v>
      </c>
      <c r="O42" s="726"/>
      <c r="P42" s="727">
        <f>+N42/J23</f>
        <v>55.098250336473754</v>
      </c>
      <c r="Q42" s="728"/>
      <c r="R42" s="725">
        <v>1010</v>
      </c>
      <c r="S42" s="726"/>
      <c r="T42" s="727">
        <f>+R42/H23</f>
        <v>1.364864864864865</v>
      </c>
      <c r="U42" s="728"/>
      <c r="V42" s="729">
        <v>2135</v>
      </c>
      <c r="W42" s="726"/>
      <c r="X42" s="727">
        <f>+V42/J23</f>
        <v>2.873485868102288</v>
      </c>
      <c r="Y42" s="730"/>
      <c r="Z42" s="509"/>
    </row>
    <row r="43" spans="1:26" s="508" customFormat="1" ht="15" customHeight="1">
      <c r="A43" s="511" t="s">
        <v>6</v>
      </c>
      <c r="B43" s="725">
        <v>4604</v>
      </c>
      <c r="C43" s="726"/>
      <c r="D43" s="727">
        <f>+B43/M23</f>
        <v>13.116809116809117</v>
      </c>
      <c r="E43" s="728"/>
      <c r="F43" s="729">
        <v>6262</v>
      </c>
      <c r="G43" s="726"/>
      <c r="H43" s="727">
        <f>+F43/O23</f>
        <v>17.89142857142857</v>
      </c>
      <c r="I43" s="728"/>
      <c r="J43" s="725">
        <v>18513</v>
      </c>
      <c r="K43" s="726"/>
      <c r="L43" s="727">
        <f>+J43/M23</f>
        <v>52.743589743589745</v>
      </c>
      <c r="M43" s="728"/>
      <c r="N43" s="729">
        <v>18064</v>
      </c>
      <c r="O43" s="726"/>
      <c r="P43" s="727">
        <f>+N43/O23</f>
        <v>51.61142857142857</v>
      </c>
      <c r="Q43" s="728"/>
      <c r="R43" s="725">
        <v>718</v>
      </c>
      <c r="S43" s="726"/>
      <c r="T43" s="727">
        <f>+R43/M23</f>
        <v>2.0455840455840457</v>
      </c>
      <c r="U43" s="728"/>
      <c r="V43" s="729">
        <v>640</v>
      </c>
      <c r="W43" s="726"/>
      <c r="X43" s="727">
        <f>+V43/O23</f>
        <v>1.8285714285714285</v>
      </c>
      <c r="Y43" s="730"/>
      <c r="Z43" s="509"/>
    </row>
    <row r="44" spans="1:26" s="508" customFormat="1" ht="15" customHeight="1">
      <c r="A44" s="511" t="s">
        <v>5</v>
      </c>
      <c r="B44" s="725">
        <v>10150</v>
      </c>
      <c r="C44" s="726"/>
      <c r="D44" s="727">
        <f>+B44/(R23+111+60)</f>
        <v>12.408312958435207</v>
      </c>
      <c r="E44" s="728"/>
      <c r="F44" s="729">
        <v>11855</v>
      </c>
      <c r="G44" s="726"/>
      <c r="H44" s="727">
        <f>+F44/(T23+50+100)</f>
        <v>14.949558638083229</v>
      </c>
      <c r="I44" s="728"/>
      <c r="J44" s="725">
        <v>23180</v>
      </c>
      <c r="K44" s="726"/>
      <c r="L44" s="727">
        <f>+J44/(R23+60+111)</f>
        <v>28.337408312958434</v>
      </c>
      <c r="M44" s="728"/>
      <c r="N44" s="729">
        <v>23216</v>
      </c>
      <c r="O44" s="726"/>
      <c r="P44" s="727">
        <f>+N44/(T23+50+100)</f>
        <v>29.276166456494327</v>
      </c>
      <c r="Q44" s="728"/>
      <c r="R44" s="725">
        <v>2341</v>
      </c>
      <c r="S44" s="726"/>
      <c r="T44" s="727">
        <f>+R44/(R23+60+111)</f>
        <v>2.8618581907090466</v>
      </c>
      <c r="U44" s="728"/>
      <c r="V44" s="729">
        <v>3360</v>
      </c>
      <c r="W44" s="726"/>
      <c r="X44" s="727">
        <f>+V44/(T23+100+50)</f>
        <v>4.237074401008827</v>
      </c>
      <c r="Y44" s="730"/>
      <c r="Z44" s="509"/>
    </row>
    <row r="45" spans="1:26" s="508" customFormat="1" ht="15" customHeight="1" thickBot="1">
      <c r="A45" s="512" t="s">
        <v>23</v>
      </c>
      <c r="B45" s="719">
        <v>5532</v>
      </c>
      <c r="C45" s="720"/>
      <c r="D45" s="721">
        <f>+B45/(W23+162)</f>
        <v>8.550231839258114</v>
      </c>
      <c r="E45" s="722"/>
      <c r="F45" s="723">
        <v>7202</v>
      </c>
      <c r="G45" s="720"/>
      <c r="H45" s="721">
        <f>+F45/(Y23+162)</f>
        <v>11.253125</v>
      </c>
      <c r="I45" s="722"/>
      <c r="J45" s="719">
        <v>30558</v>
      </c>
      <c r="K45" s="720"/>
      <c r="L45" s="721">
        <f>+J45/(W23+162)</f>
        <v>47.23029366306028</v>
      </c>
      <c r="M45" s="722"/>
      <c r="N45" s="723">
        <v>31339</v>
      </c>
      <c r="O45" s="720"/>
      <c r="P45" s="721">
        <f>+N45/(Y23+162)</f>
        <v>48.9671875</v>
      </c>
      <c r="Q45" s="722"/>
      <c r="R45" s="719">
        <v>1418</v>
      </c>
      <c r="S45" s="720"/>
      <c r="T45" s="721">
        <f>+R45/(W23+162)</f>
        <v>2.1916537867078825</v>
      </c>
      <c r="U45" s="722"/>
      <c r="V45" s="723">
        <v>4905</v>
      </c>
      <c r="W45" s="720"/>
      <c r="X45" s="721">
        <f>+V45/(Y23+162)</f>
        <v>7.6640625</v>
      </c>
      <c r="Y45" s="724"/>
      <c r="Z45" s="509"/>
    </row>
    <row r="46" spans="1:26" s="508" customFormat="1" ht="19.5" customHeight="1" thickBot="1">
      <c r="A46" s="507" t="s">
        <v>11</v>
      </c>
      <c r="B46" s="713">
        <f>SUM(B41:B45)</f>
        <v>39353</v>
      </c>
      <c r="C46" s="714"/>
      <c r="D46" s="715">
        <f>+B46/(C23+H23+M23+R23+W23+111+162)</f>
        <v>12.814392705958971</v>
      </c>
      <c r="E46" s="716"/>
      <c r="F46" s="717">
        <f>SUM(F41:G45)</f>
        <v>52042</v>
      </c>
      <c r="G46" s="714"/>
      <c r="H46" s="715">
        <f>+F46/(E23+J23+O23+T23+Y23+100+162)</f>
        <v>17.051769331585845</v>
      </c>
      <c r="I46" s="716"/>
      <c r="J46" s="713">
        <f>SUM(J41:K45)</f>
        <v>135917</v>
      </c>
      <c r="K46" s="714"/>
      <c r="L46" s="715">
        <f>+J46/(C23+H23+M23+R23+111+W23+162)</f>
        <v>44.258222077499184</v>
      </c>
      <c r="M46" s="716"/>
      <c r="N46" s="717">
        <f>SUM(N41:N45)</f>
        <v>141919</v>
      </c>
      <c r="O46" s="714"/>
      <c r="P46" s="715">
        <f>+N46/(E23+J23+O23+T23+Y23+100+162)</f>
        <v>46.50032765399738</v>
      </c>
      <c r="Q46" s="716">
        <f>+N46/(E33+J33+O33+T33+Y33+60+111+162)</f>
        <v>10.7206532651961</v>
      </c>
      <c r="R46" s="713">
        <f>SUM(R41:S45)</f>
        <v>8331</v>
      </c>
      <c r="S46" s="714"/>
      <c r="T46" s="715">
        <f>+R46/(C23+H23+M23+R23+W23+111+162)</f>
        <v>2.7127971344838815</v>
      </c>
      <c r="U46" s="716"/>
      <c r="V46" s="717">
        <f>SUM(V41:W45)</f>
        <v>17753</v>
      </c>
      <c r="W46" s="714"/>
      <c r="X46" s="715">
        <f>+V46/(E23+J23+O23+T23+Y23+100+162)</f>
        <v>5.816841415465269</v>
      </c>
      <c r="Y46" s="718"/>
      <c r="Z46" s="509"/>
    </row>
    <row r="47" ht="13.5" thickBot="1"/>
    <row r="48" spans="1:9" ht="12.75">
      <c r="A48" s="708" t="s">
        <v>2</v>
      </c>
      <c r="B48" s="738" t="s">
        <v>3</v>
      </c>
      <c r="C48" s="739"/>
      <c r="D48" s="739"/>
      <c r="E48" s="739"/>
      <c r="F48" s="739"/>
      <c r="G48" s="739"/>
      <c r="H48" s="740"/>
      <c r="I48" s="741"/>
    </row>
    <row r="49" spans="1:9" ht="12.75">
      <c r="A49" s="737"/>
      <c r="B49" s="742">
        <v>2003</v>
      </c>
      <c r="C49" s="743"/>
      <c r="D49" s="744"/>
      <c r="E49" s="745"/>
      <c r="F49" s="746">
        <v>2004</v>
      </c>
      <c r="G49" s="661"/>
      <c r="H49" s="661"/>
      <c r="I49" s="662"/>
    </row>
    <row r="50" spans="1:9" ht="13.5" thickBot="1">
      <c r="A50" s="709"/>
      <c r="B50" s="747" t="s">
        <v>238</v>
      </c>
      <c r="C50" s="748"/>
      <c r="D50" s="749" t="s">
        <v>239</v>
      </c>
      <c r="E50" s="750"/>
      <c r="F50" s="751" t="s">
        <v>238</v>
      </c>
      <c r="G50" s="752"/>
      <c r="H50" s="751" t="s">
        <v>239</v>
      </c>
      <c r="I50" s="753"/>
    </row>
    <row r="51" spans="1:9" ht="12.75">
      <c r="A51" s="510" t="s">
        <v>8</v>
      </c>
      <c r="B51" s="731">
        <v>567589</v>
      </c>
      <c r="C51" s="732"/>
      <c r="D51" s="733">
        <f>+B51/C23</f>
        <v>987.111304347826</v>
      </c>
      <c r="E51" s="734"/>
      <c r="F51" s="735">
        <v>548196</v>
      </c>
      <c r="G51" s="732"/>
      <c r="H51" s="733">
        <f>+F51/E23</f>
        <v>951.7291666666666</v>
      </c>
      <c r="I51" s="736"/>
    </row>
    <row r="52" spans="1:9" ht="12.75">
      <c r="A52" s="511" t="s">
        <v>7</v>
      </c>
      <c r="B52" s="725">
        <v>730286</v>
      </c>
      <c r="C52" s="726"/>
      <c r="D52" s="727">
        <f>+B52/H23</f>
        <v>986.872972972973</v>
      </c>
      <c r="E52" s="728"/>
      <c r="F52" s="729">
        <v>702303</v>
      </c>
      <c r="G52" s="726"/>
      <c r="H52" s="727">
        <f>+F52/J23</f>
        <v>945.2261103633916</v>
      </c>
      <c r="I52" s="730"/>
    </row>
    <row r="53" spans="1:9" ht="12.75">
      <c r="A53" s="511" t="s">
        <v>6</v>
      </c>
      <c r="B53" s="725">
        <v>388518</v>
      </c>
      <c r="C53" s="726"/>
      <c r="D53" s="727">
        <f>+B53/M23</f>
        <v>1106.888888888889</v>
      </c>
      <c r="E53" s="728"/>
      <c r="F53" s="729">
        <v>389971</v>
      </c>
      <c r="G53" s="726"/>
      <c r="H53" s="727">
        <f>+F53/O23</f>
        <v>1114.202857142857</v>
      </c>
      <c r="I53" s="730"/>
    </row>
    <row r="54" spans="1:9" ht="12.75">
      <c r="A54" s="511" t="s">
        <v>5</v>
      </c>
      <c r="B54" s="725">
        <v>489954</v>
      </c>
      <c r="C54" s="726"/>
      <c r="D54" s="727">
        <f>+B54/(R23+111+60)</f>
        <v>598.9657701711492</v>
      </c>
      <c r="E54" s="728"/>
      <c r="F54" s="729">
        <v>502001</v>
      </c>
      <c r="G54" s="726"/>
      <c r="H54" s="727">
        <f>+F54/(T23+50+100)</f>
        <v>633.0403530895334</v>
      </c>
      <c r="I54" s="730"/>
    </row>
    <row r="55" spans="1:9" ht="13.5" thickBot="1">
      <c r="A55" s="512" t="s">
        <v>23</v>
      </c>
      <c r="B55" s="719">
        <v>524740</v>
      </c>
      <c r="C55" s="720"/>
      <c r="D55" s="721">
        <f>+B55/(W23+162)</f>
        <v>811.0355486862442</v>
      </c>
      <c r="E55" s="722"/>
      <c r="F55" s="723">
        <v>534019</v>
      </c>
      <c r="G55" s="720"/>
      <c r="H55" s="721">
        <f>+F55/(Y23+162)</f>
        <v>834.4046875</v>
      </c>
      <c r="I55" s="724"/>
    </row>
    <row r="56" spans="1:9" ht="13.5" thickBot="1">
      <c r="A56" s="507" t="s">
        <v>11</v>
      </c>
      <c r="B56" s="713">
        <f>SUM(B51:B55)</f>
        <v>2701087</v>
      </c>
      <c r="C56" s="714"/>
      <c r="D56" s="715">
        <f>+B56/(C23+H23+M23+R23+W23+111+162)</f>
        <v>879.5464018235102</v>
      </c>
      <c r="E56" s="716"/>
      <c r="F56" s="717">
        <f>SUM(F51:G55)</f>
        <v>2676490</v>
      </c>
      <c r="G56" s="714"/>
      <c r="H56" s="715">
        <f>+F56/(E23+J23+O23+T23+Y23+100+162)</f>
        <v>876.9626474442988</v>
      </c>
      <c r="I56" s="718"/>
    </row>
    <row r="59" ht="16.5" thickBot="1">
      <c r="A59" s="29" t="s">
        <v>246</v>
      </c>
    </row>
    <row r="60" spans="1:26" s="39" customFormat="1" ht="12.75">
      <c r="A60" s="708" t="s">
        <v>2</v>
      </c>
      <c r="B60" s="738" t="s">
        <v>248</v>
      </c>
      <c r="C60" s="739"/>
      <c r="D60" s="739"/>
      <c r="E60" s="739"/>
      <c r="F60" s="739"/>
      <c r="G60" s="739"/>
      <c r="H60" s="740"/>
      <c r="I60" s="740"/>
      <c r="J60" s="738" t="s">
        <v>247</v>
      </c>
      <c r="K60" s="740"/>
      <c r="L60" s="740"/>
      <c r="M60" s="740"/>
      <c r="N60" s="740"/>
      <c r="O60" s="740"/>
      <c r="P60" s="740"/>
      <c r="Q60" s="741"/>
      <c r="R60" s="738" t="s">
        <v>4</v>
      </c>
      <c r="S60" s="761"/>
      <c r="T60" s="761"/>
      <c r="U60" s="761"/>
      <c r="V60" s="761"/>
      <c r="W60" s="761"/>
      <c r="X60" s="761"/>
      <c r="Y60" s="762"/>
      <c r="Z60" s="506"/>
    </row>
    <row r="61" spans="1:26" s="39" customFormat="1" ht="12.75">
      <c r="A61" s="737"/>
      <c r="B61" s="742">
        <v>2003</v>
      </c>
      <c r="C61" s="743"/>
      <c r="D61" s="744"/>
      <c r="E61" s="745"/>
      <c r="F61" s="746">
        <v>2004</v>
      </c>
      <c r="G61" s="661"/>
      <c r="H61" s="661"/>
      <c r="I61" s="662"/>
      <c r="J61" s="763">
        <v>2003</v>
      </c>
      <c r="K61" s="764"/>
      <c r="L61" s="764"/>
      <c r="M61" s="765"/>
      <c r="N61" s="746">
        <v>2004</v>
      </c>
      <c r="O61" s="661"/>
      <c r="P61" s="661"/>
      <c r="Q61" s="662"/>
      <c r="R61" s="742">
        <v>2003</v>
      </c>
      <c r="S61" s="766"/>
      <c r="T61" s="766"/>
      <c r="U61" s="767"/>
      <c r="V61" s="743">
        <v>2004</v>
      </c>
      <c r="W61" s="743"/>
      <c r="X61" s="743"/>
      <c r="Y61" s="768"/>
      <c r="Z61" s="506"/>
    </row>
    <row r="62" spans="1:26" s="39" customFormat="1" ht="13.5" thickBot="1">
      <c r="A62" s="709"/>
      <c r="B62" s="747" t="s">
        <v>238</v>
      </c>
      <c r="C62" s="748"/>
      <c r="D62" s="749" t="s">
        <v>239</v>
      </c>
      <c r="E62" s="750"/>
      <c r="F62" s="751" t="s">
        <v>238</v>
      </c>
      <c r="G62" s="752"/>
      <c r="H62" s="751" t="s">
        <v>239</v>
      </c>
      <c r="I62" s="753"/>
      <c r="J62" s="757" t="s">
        <v>238</v>
      </c>
      <c r="K62" s="752"/>
      <c r="L62" s="751" t="s">
        <v>239</v>
      </c>
      <c r="M62" s="758"/>
      <c r="N62" s="751" t="s">
        <v>238</v>
      </c>
      <c r="O62" s="759"/>
      <c r="P62" s="751" t="s">
        <v>239</v>
      </c>
      <c r="Q62" s="760"/>
      <c r="R62" s="747" t="s">
        <v>238</v>
      </c>
      <c r="S62" s="754"/>
      <c r="T62" s="749" t="s">
        <v>239</v>
      </c>
      <c r="U62" s="755"/>
      <c r="V62" s="749" t="s">
        <v>238</v>
      </c>
      <c r="W62" s="754"/>
      <c r="X62" s="749" t="s">
        <v>239</v>
      </c>
      <c r="Y62" s="756"/>
      <c r="Z62" s="506"/>
    </row>
    <row r="63" spans="1:26" s="508" customFormat="1" ht="15" customHeight="1">
      <c r="A63" s="510" t="s">
        <v>8</v>
      </c>
      <c r="B63" s="731">
        <v>417337</v>
      </c>
      <c r="C63" s="732"/>
      <c r="D63" s="733">
        <f>+B63/C23</f>
        <v>725.8034782608696</v>
      </c>
      <c r="E63" s="734"/>
      <c r="F63" s="735">
        <v>454198</v>
      </c>
      <c r="G63" s="732"/>
      <c r="H63" s="733">
        <f>+F63/E23</f>
        <v>788.5381944444445</v>
      </c>
      <c r="I63" s="734"/>
      <c r="J63" s="731">
        <v>25757</v>
      </c>
      <c r="K63" s="732"/>
      <c r="L63" s="733">
        <f>+J63/C23</f>
        <v>44.794782608695655</v>
      </c>
      <c r="M63" s="734"/>
      <c r="N63" s="735">
        <v>16769</v>
      </c>
      <c r="O63" s="732"/>
      <c r="P63" s="733">
        <f>+N63/E23</f>
        <v>29.11284722222222</v>
      </c>
      <c r="Q63" s="734"/>
      <c r="R63" s="731">
        <v>516805</v>
      </c>
      <c r="S63" s="732"/>
      <c r="T63" s="733">
        <f>+R63/C23</f>
        <v>898.7913043478261</v>
      </c>
      <c r="U63" s="734"/>
      <c r="V63" s="735">
        <v>547705</v>
      </c>
      <c r="W63" s="732"/>
      <c r="X63" s="733">
        <f>+V63/E23</f>
        <v>950.8767361111111</v>
      </c>
      <c r="Y63" s="736"/>
      <c r="Z63" s="509"/>
    </row>
    <row r="64" spans="1:26" s="508" customFormat="1" ht="15" customHeight="1">
      <c r="A64" s="511" t="s">
        <v>7</v>
      </c>
      <c r="B64" s="725">
        <v>486896</v>
      </c>
      <c r="C64" s="726"/>
      <c r="D64" s="727">
        <f>+B64/H23</f>
        <v>657.9675675675676</v>
      </c>
      <c r="E64" s="728"/>
      <c r="F64" s="729">
        <v>540192</v>
      </c>
      <c r="G64" s="726"/>
      <c r="H64" s="727">
        <f>+F64/J23</f>
        <v>727.0417227456259</v>
      </c>
      <c r="I64" s="728"/>
      <c r="J64" s="725">
        <v>10549</v>
      </c>
      <c r="K64" s="726"/>
      <c r="L64" s="727">
        <f>+J64/H23</f>
        <v>14.255405405405405</v>
      </c>
      <c r="M64" s="728"/>
      <c r="N64" s="729">
        <v>29328</v>
      </c>
      <c r="O64" s="726"/>
      <c r="P64" s="727">
        <f>+N64/J23</f>
        <v>39.472409152086136</v>
      </c>
      <c r="Q64" s="728"/>
      <c r="R64" s="725">
        <v>587012</v>
      </c>
      <c r="S64" s="726"/>
      <c r="T64" s="727">
        <f>+R64/H23</f>
        <v>793.2594594594594</v>
      </c>
      <c r="U64" s="728"/>
      <c r="V64" s="729">
        <v>697713</v>
      </c>
      <c r="W64" s="726"/>
      <c r="X64" s="727">
        <f>+V64/J23</f>
        <v>939.0484522207267</v>
      </c>
      <c r="Y64" s="730"/>
      <c r="Z64" s="509"/>
    </row>
    <row r="65" spans="1:26" s="508" customFormat="1" ht="15" customHeight="1">
      <c r="A65" s="511" t="s">
        <v>6</v>
      </c>
      <c r="B65" s="725">
        <v>300578</v>
      </c>
      <c r="C65" s="726"/>
      <c r="D65" s="727">
        <f>+B65/M23</f>
        <v>856.3475783475783</v>
      </c>
      <c r="E65" s="728"/>
      <c r="F65" s="729">
        <v>300453</v>
      </c>
      <c r="G65" s="726"/>
      <c r="H65" s="727">
        <f>+F65/O23</f>
        <v>858.4371428571428</v>
      </c>
      <c r="I65" s="728"/>
      <c r="J65" s="725">
        <v>32726</v>
      </c>
      <c r="K65" s="726"/>
      <c r="L65" s="727">
        <f>+J65/M23</f>
        <v>93.23646723646723</v>
      </c>
      <c r="M65" s="728"/>
      <c r="N65" s="729">
        <v>27529</v>
      </c>
      <c r="O65" s="726"/>
      <c r="P65" s="727">
        <f>+N65/O23</f>
        <v>78.65428571428572</v>
      </c>
      <c r="Q65" s="728"/>
      <c r="R65" s="725">
        <v>388920</v>
      </c>
      <c r="S65" s="726"/>
      <c r="T65" s="727">
        <f>+R65/M23</f>
        <v>1108.034188034188</v>
      </c>
      <c r="U65" s="728"/>
      <c r="V65" s="729">
        <v>390042</v>
      </c>
      <c r="W65" s="726"/>
      <c r="X65" s="727">
        <f>+V65/O23</f>
        <v>1114.4057142857143</v>
      </c>
      <c r="Y65" s="730"/>
      <c r="Z65" s="509"/>
    </row>
    <row r="66" spans="1:26" s="508" customFormat="1" ht="15" customHeight="1">
      <c r="A66" s="511" t="s">
        <v>5</v>
      </c>
      <c r="B66" s="725">
        <v>444638</v>
      </c>
      <c r="C66" s="726"/>
      <c r="D66" s="727">
        <f>+B66/(R23+111+60)</f>
        <v>543.5672371638142</v>
      </c>
      <c r="E66" s="728"/>
      <c r="F66" s="729">
        <v>458580</v>
      </c>
      <c r="G66" s="726"/>
      <c r="H66" s="727">
        <f>+F66/(T23+100+50)</f>
        <v>578.2849936948297</v>
      </c>
      <c r="I66" s="728"/>
      <c r="J66" s="725">
        <v>10659</v>
      </c>
      <c r="K66" s="726"/>
      <c r="L66" s="727">
        <f>+J66/(R23+60+111)</f>
        <v>13.030562347188264</v>
      </c>
      <c r="M66" s="728"/>
      <c r="N66" s="729">
        <v>3786</v>
      </c>
      <c r="O66" s="726"/>
      <c r="P66" s="727">
        <f>+N66/(T23+50+100)</f>
        <v>4.7742749054224465</v>
      </c>
      <c r="Q66" s="728"/>
      <c r="R66" s="725">
        <v>483959</v>
      </c>
      <c r="S66" s="726"/>
      <c r="T66" s="727">
        <f>+R66/(R23+60+111)</f>
        <v>591.6369193154035</v>
      </c>
      <c r="U66" s="728"/>
      <c r="V66" s="729">
        <v>502270</v>
      </c>
      <c r="W66" s="726"/>
      <c r="X66" s="727">
        <f>+V66/(T23+100+50)</f>
        <v>633.3795712484238</v>
      </c>
      <c r="Y66" s="730"/>
      <c r="Z66" s="509"/>
    </row>
    <row r="67" spans="1:26" s="508" customFormat="1" ht="15" customHeight="1" thickBot="1">
      <c r="A67" s="512" t="s">
        <v>23</v>
      </c>
      <c r="B67" s="719">
        <v>431570</v>
      </c>
      <c r="C67" s="720"/>
      <c r="D67" s="721">
        <f>+B67/(W23+162)</f>
        <v>667.032457496136</v>
      </c>
      <c r="E67" s="722"/>
      <c r="F67" s="723">
        <v>439420</v>
      </c>
      <c r="G67" s="720"/>
      <c r="H67" s="721">
        <f>+F67/(Y23+162)</f>
        <v>686.59375</v>
      </c>
      <c r="I67" s="722"/>
      <c r="J67" s="719">
        <v>24713</v>
      </c>
      <c r="K67" s="720"/>
      <c r="L67" s="721">
        <f>+J67/(W23+162)</f>
        <v>38.19629057187017</v>
      </c>
      <c r="M67" s="722"/>
      <c r="N67" s="723">
        <v>25252</v>
      </c>
      <c r="O67" s="720"/>
      <c r="P67" s="721">
        <f>+N67/(Y23+162)</f>
        <v>39.45625</v>
      </c>
      <c r="Q67" s="722"/>
      <c r="R67" s="719">
        <v>522151</v>
      </c>
      <c r="S67" s="720"/>
      <c r="T67" s="721">
        <f>+R67/(W23+162)</f>
        <v>807.0340030911901</v>
      </c>
      <c r="U67" s="722"/>
      <c r="V67" s="723">
        <v>534151</v>
      </c>
      <c r="W67" s="720"/>
      <c r="X67" s="721">
        <f>+V67/(Y23+162)</f>
        <v>834.6109375</v>
      </c>
      <c r="Y67" s="724"/>
      <c r="Z67" s="509"/>
    </row>
    <row r="68" spans="1:26" s="508" customFormat="1" ht="19.5" customHeight="1" thickBot="1">
      <c r="A68" s="507" t="s">
        <v>11</v>
      </c>
      <c r="B68" s="713">
        <f>SUM(B63:B67)</f>
        <v>2081019</v>
      </c>
      <c r="C68" s="714"/>
      <c r="D68" s="715">
        <f>+B68/(C23+H23+M23+R23+W23+111+162)</f>
        <v>677.6356235753826</v>
      </c>
      <c r="E68" s="716"/>
      <c r="F68" s="717">
        <f>SUM(F63:G67)</f>
        <v>2192843</v>
      </c>
      <c r="G68" s="714"/>
      <c r="H68" s="715">
        <f>+F68/(E23+J23+O23+T23+Y23+100+162)</f>
        <v>718.4937745740498</v>
      </c>
      <c r="I68" s="716"/>
      <c r="J68" s="713">
        <f>SUM(J63:K67)</f>
        <v>104404</v>
      </c>
      <c r="K68" s="714"/>
      <c r="L68" s="715">
        <f>+J68/(C23+H23+M23+R23+111+W23+162)</f>
        <v>33.99674373168349</v>
      </c>
      <c r="M68" s="716"/>
      <c r="N68" s="717">
        <f>SUM(N63:N67)</f>
        <v>102664</v>
      </c>
      <c r="O68" s="714"/>
      <c r="P68" s="715">
        <f>+N68/(E23+J23+O23+T23+Y23+100+162)</f>
        <v>33.63826998689384</v>
      </c>
      <c r="Q68" s="716">
        <f>+N68/(E45+J45+O45+T45+Y45+60+111+162)</f>
        <v>3.323191761813838</v>
      </c>
      <c r="R68" s="713">
        <f>SUM(R63:S67)</f>
        <v>2498847</v>
      </c>
      <c r="S68" s="714"/>
      <c r="T68" s="715">
        <f>+R68/(C23+H23+M23+R23+W23+111+162)</f>
        <v>813.6916313904266</v>
      </c>
      <c r="U68" s="716"/>
      <c r="V68" s="717">
        <f>SUM(V63:W67)</f>
        <v>2671881</v>
      </c>
      <c r="W68" s="714"/>
      <c r="X68" s="715">
        <f>+V68/(E23+J23+O23+T23+Y23+100+162)</f>
        <v>875.4524901703801</v>
      </c>
      <c r="Y68" s="718"/>
      <c r="Z68" s="509"/>
    </row>
    <row r="69" spans="1:26" ht="12" customHeight="1">
      <c r="A69"/>
      <c r="B69"/>
      <c r="C69"/>
      <c r="D69"/>
      <c r="E69"/>
      <c r="F69"/>
      <c r="I69"/>
      <c r="K69"/>
      <c r="N69"/>
      <c r="P69"/>
      <c r="S69"/>
      <c r="U69"/>
      <c r="X69"/>
      <c r="Z69"/>
    </row>
    <row r="70" spans="1:26" ht="19.5" customHeight="1">
      <c r="A70" s="786" t="s">
        <v>373</v>
      </c>
      <c r="B70" s="787"/>
      <c r="C70" s="787"/>
      <c r="D70" s="787"/>
      <c r="E70" s="787"/>
      <c r="F70" s="787"/>
      <c r="G70" s="787"/>
      <c r="H70" s="787"/>
      <c r="I70" s="787"/>
      <c r="J70" s="787"/>
      <c r="K70" s="787"/>
      <c r="L70" s="787"/>
      <c r="M70" s="787"/>
      <c r="N70" s="787"/>
      <c r="O70" s="787"/>
      <c r="P70" s="787"/>
      <c r="Q70" s="787"/>
      <c r="R70" s="787"/>
      <c r="S70" s="787"/>
      <c r="T70" s="787"/>
      <c r="U70" s="787"/>
      <c r="V70" s="787"/>
      <c r="W70" s="787"/>
      <c r="X70" s="787"/>
      <c r="Y70" s="788"/>
      <c r="Z70"/>
    </row>
    <row r="71" spans="1:26" ht="19.5" customHeight="1">
      <c r="A71" s="789"/>
      <c r="B71" s="790"/>
      <c r="C71" s="790"/>
      <c r="D71" s="790"/>
      <c r="E71" s="790"/>
      <c r="F71" s="790"/>
      <c r="G71" s="790"/>
      <c r="H71" s="790"/>
      <c r="I71" s="790"/>
      <c r="J71" s="790"/>
      <c r="K71" s="790"/>
      <c r="L71" s="790"/>
      <c r="M71" s="790"/>
      <c r="N71" s="790"/>
      <c r="O71" s="790"/>
      <c r="P71" s="790"/>
      <c r="Q71" s="790"/>
      <c r="R71" s="790"/>
      <c r="S71" s="790"/>
      <c r="T71" s="790"/>
      <c r="U71" s="790"/>
      <c r="V71" s="790"/>
      <c r="W71" s="790"/>
      <c r="X71" s="790"/>
      <c r="Y71" s="791"/>
      <c r="Z71"/>
    </row>
    <row r="72" spans="1:26" ht="19.5" customHeight="1">
      <c r="A72" s="789"/>
      <c r="B72" s="790"/>
      <c r="C72" s="790"/>
      <c r="D72" s="790"/>
      <c r="E72" s="790"/>
      <c r="F72" s="790"/>
      <c r="G72" s="790"/>
      <c r="H72" s="790"/>
      <c r="I72" s="790"/>
      <c r="J72" s="790"/>
      <c r="K72" s="790"/>
      <c r="L72" s="790"/>
      <c r="M72" s="790"/>
      <c r="N72" s="790"/>
      <c r="O72" s="790"/>
      <c r="P72" s="790"/>
      <c r="Q72" s="790"/>
      <c r="R72" s="790"/>
      <c r="S72" s="790"/>
      <c r="T72" s="790"/>
      <c r="U72" s="790"/>
      <c r="V72" s="790"/>
      <c r="W72" s="790"/>
      <c r="X72" s="790"/>
      <c r="Y72" s="791"/>
      <c r="Z72"/>
    </row>
    <row r="73" spans="1:26" ht="14.25" customHeight="1">
      <c r="A73" s="789"/>
      <c r="B73" s="790"/>
      <c r="C73" s="790"/>
      <c r="D73" s="790"/>
      <c r="E73" s="790"/>
      <c r="F73" s="790"/>
      <c r="G73" s="790"/>
      <c r="H73" s="790"/>
      <c r="I73" s="790"/>
      <c r="J73" s="790"/>
      <c r="K73" s="790"/>
      <c r="L73" s="790"/>
      <c r="M73" s="790"/>
      <c r="N73" s="790"/>
      <c r="O73" s="790"/>
      <c r="P73" s="790"/>
      <c r="Q73" s="790"/>
      <c r="R73" s="790"/>
      <c r="S73" s="790"/>
      <c r="T73" s="790"/>
      <c r="U73" s="790"/>
      <c r="V73" s="790"/>
      <c r="W73" s="790"/>
      <c r="X73" s="790"/>
      <c r="Y73" s="791"/>
      <c r="Z73"/>
    </row>
    <row r="74" spans="1:26" ht="14.25" customHeight="1">
      <c r="A74" s="789"/>
      <c r="B74" s="790"/>
      <c r="C74" s="790"/>
      <c r="D74" s="790"/>
      <c r="E74" s="790"/>
      <c r="F74" s="790"/>
      <c r="G74" s="790"/>
      <c r="H74" s="790"/>
      <c r="I74" s="790"/>
      <c r="J74" s="790"/>
      <c r="K74" s="790"/>
      <c r="L74" s="790"/>
      <c r="M74" s="790"/>
      <c r="N74" s="790"/>
      <c r="O74" s="790"/>
      <c r="P74" s="790"/>
      <c r="Q74" s="790"/>
      <c r="R74" s="790"/>
      <c r="S74" s="790"/>
      <c r="T74" s="790"/>
      <c r="U74" s="790"/>
      <c r="V74" s="790"/>
      <c r="W74" s="790"/>
      <c r="X74" s="790"/>
      <c r="Y74" s="791"/>
      <c r="Z74"/>
    </row>
    <row r="75" spans="1:25" ht="12.75">
      <c r="A75" s="792"/>
      <c r="B75" s="793"/>
      <c r="C75" s="793"/>
      <c r="D75" s="793"/>
      <c r="E75" s="793"/>
      <c r="F75" s="793"/>
      <c r="G75" s="793"/>
      <c r="H75" s="793"/>
      <c r="I75" s="793"/>
      <c r="J75" s="793"/>
      <c r="K75" s="793"/>
      <c r="L75" s="793"/>
      <c r="M75" s="793"/>
      <c r="N75" s="793"/>
      <c r="O75" s="793"/>
      <c r="P75" s="793"/>
      <c r="Q75" s="793"/>
      <c r="R75" s="793"/>
      <c r="S75" s="793"/>
      <c r="T75" s="793"/>
      <c r="U75" s="793"/>
      <c r="V75" s="793"/>
      <c r="W75" s="793"/>
      <c r="X75" s="793"/>
      <c r="Y75" s="794"/>
    </row>
    <row r="77" spans="1:16" ht="16.5" thickBot="1">
      <c r="A77" s="29" t="s">
        <v>333</v>
      </c>
      <c r="P77" s="558" t="s">
        <v>304</v>
      </c>
    </row>
    <row r="78" spans="1:26" s="514" customFormat="1" ht="27.75" customHeight="1" thickBot="1">
      <c r="A78" s="795" t="s">
        <v>215</v>
      </c>
      <c r="B78" s="796"/>
      <c r="C78" s="796"/>
      <c r="D78" s="797"/>
      <c r="E78" s="798" t="s">
        <v>8</v>
      </c>
      <c r="F78" s="799"/>
      <c r="G78" s="805" t="s">
        <v>7</v>
      </c>
      <c r="H78" s="799"/>
      <c r="I78" s="805" t="s">
        <v>6</v>
      </c>
      <c r="J78" s="799"/>
      <c r="K78" s="805" t="s">
        <v>5</v>
      </c>
      <c r="L78" s="799"/>
      <c r="M78" s="805" t="s">
        <v>210</v>
      </c>
      <c r="N78" s="799"/>
      <c r="O78" s="805" t="s">
        <v>11</v>
      </c>
      <c r="P78" s="806"/>
      <c r="S78" s="556"/>
      <c r="U78" s="557"/>
      <c r="X78" s="556"/>
      <c r="Z78" s="557"/>
    </row>
    <row r="79" spans="1:26" s="514" customFormat="1" ht="21" customHeight="1">
      <c r="A79" s="800" t="s">
        <v>217</v>
      </c>
      <c r="B79" s="801"/>
      <c r="C79" s="801"/>
      <c r="D79" s="802"/>
      <c r="E79" s="803">
        <v>1627000</v>
      </c>
      <c r="F79" s="804"/>
      <c r="G79" s="815">
        <v>1374000</v>
      </c>
      <c r="H79" s="816"/>
      <c r="I79" s="815">
        <v>8546000</v>
      </c>
      <c r="J79" s="816"/>
      <c r="K79" s="815">
        <v>1657000</v>
      </c>
      <c r="L79" s="816"/>
      <c r="M79" s="815">
        <v>1535000</v>
      </c>
      <c r="N79" s="816"/>
      <c r="O79" s="815">
        <f aca="true" t="shared" si="11" ref="O79:O84">SUM(E79:N79)</f>
        <v>14739000</v>
      </c>
      <c r="P79" s="847"/>
      <c r="S79" s="556"/>
      <c r="U79" s="557"/>
      <c r="X79" s="556"/>
      <c r="Z79" s="557"/>
    </row>
    <row r="80" spans="1:26" s="514" customFormat="1" ht="21" customHeight="1">
      <c r="A80" s="807" t="s">
        <v>218</v>
      </c>
      <c r="B80" s="808"/>
      <c r="C80" s="808"/>
      <c r="D80" s="809"/>
      <c r="E80" s="810">
        <v>13159000</v>
      </c>
      <c r="F80" s="811"/>
      <c r="G80" s="813">
        <v>14845000</v>
      </c>
      <c r="H80" s="814"/>
      <c r="I80" s="813">
        <v>5341000</v>
      </c>
      <c r="J80" s="814"/>
      <c r="K80" s="813">
        <v>1232000</v>
      </c>
      <c r="L80" s="814"/>
      <c r="M80" s="813">
        <v>21334000</v>
      </c>
      <c r="N80" s="814"/>
      <c r="O80" s="813">
        <f t="shared" si="11"/>
        <v>55911000</v>
      </c>
      <c r="P80" s="848"/>
      <c r="S80" s="556"/>
      <c r="U80" s="557"/>
      <c r="X80" s="556"/>
      <c r="Z80" s="557"/>
    </row>
    <row r="81" spans="1:26" s="514" customFormat="1" ht="21" customHeight="1">
      <c r="A81" s="807" t="s">
        <v>219</v>
      </c>
      <c r="B81" s="808"/>
      <c r="C81" s="808"/>
      <c r="D81" s="809"/>
      <c r="E81" s="812">
        <v>201935.4</v>
      </c>
      <c r="F81" s="811"/>
      <c r="G81" s="813">
        <v>1525570</v>
      </c>
      <c r="H81" s="814"/>
      <c r="I81" s="813">
        <v>326231.12</v>
      </c>
      <c r="J81" s="814"/>
      <c r="K81" s="813">
        <v>775240.42</v>
      </c>
      <c r="L81" s="814"/>
      <c r="M81" s="813">
        <v>1351724.02</v>
      </c>
      <c r="N81" s="814"/>
      <c r="O81" s="813">
        <f t="shared" si="11"/>
        <v>4180700.96</v>
      </c>
      <c r="P81" s="848"/>
      <c r="S81" s="556"/>
      <c r="U81" s="557"/>
      <c r="X81" s="556"/>
      <c r="Z81" s="557"/>
    </row>
    <row r="82" spans="1:26" s="514" customFormat="1" ht="21" customHeight="1">
      <c r="A82" s="807" t="s">
        <v>220</v>
      </c>
      <c r="B82" s="808"/>
      <c r="C82" s="808"/>
      <c r="D82" s="809"/>
      <c r="E82" s="812">
        <v>108545.5</v>
      </c>
      <c r="F82" s="811"/>
      <c r="G82" s="813">
        <v>311233</v>
      </c>
      <c r="H82" s="814"/>
      <c r="I82" s="813">
        <v>45000</v>
      </c>
      <c r="J82" s="814"/>
      <c r="K82" s="813">
        <v>68651</v>
      </c>
      <c r="L82" s="814"/>
      <c r="M82" s="813">
        <v>12500</v>
      </c>
      <c r="N82" s="814"/>
      <c r="O82" s="813">
        <f t="shared" si="11"/>
        <v>545929.5</v>
      </c>
      <c r="P82" s="848"/>
      <c r="S82" s="556"/>
      <c r="U82" s="557"/>
      <c r="X82" s="556"/>
      <c r="Z82" s="557"/>
    </row>
    <row r="83" spans="1:26" s="514" customFormat="1" ht="21" customHeight="1">
      <c r="A83" s="807" t="s">
        <v>221</v>
      </c>
      <c r="B83" s="808"/>
      <c r="C83" s="808"/>
      <c r="D83" s="809"/>
      <c r="E83" s="810">
        <v>1650000</v>
      </c>
      <c r="F83" s="811"/>
      <c r="G83" s="813">
        <v>10750000</v>
      </c>
      <c r="H83" s="814"/>
      <c r="I83" s="813">
        <v>12700000</v>
      </c>
      <c r="J83" s="814"/>
      <c r="K83" s="813"/>
      <c r="L83" s="814"/>
      <c r="M83" s="813"/>
      <c r="N83" s="814"/>
      <c r="O83" s="813">
        <f t="shared" si="11"/>
        <v>25100000</v>
      </c>
      <c r="P83" s="848"/>
      <c r="S83" s="556"/>
      <c r="U83" s="557"/>
      <c r="X83" s="556"/>
      <c r="Z83" s="557"/>
    </row>
    <row r="84" spans="1:26" s="514" customFormat="1" ht="21" customHeight="1">
      <c r="A84" s="833" t="s">
        <v>252</v>
      </c>
      <c r="B84" s="834"/>
      <c r="C84" s="834"/>
      <c r="D84" s="835"/>
      <c r="E84" s="836">
        <v>23000</v>
      </c>
      <c r="F84" s="837"/>
      <c r="G84" s="831"/>
      <c r="H84" s="832"/>
      <c r="I84" s="831">
        <v>570962</v>
      </c>
      <c r="J84" s="832"/>
      <c r="K84" s="831">
        <v>53143</v>
      </c>
      <c r="L84" s="832"/>
      <c r="M84" s="831">
        <v>1019047</v>
      </c>
      <c r="N84" s="832"/>
      <c r="O84" s="831">
        <f t="shared" si="11"/>
        <v>1666152</v>
      </c>
      <c r="P84" s="854"/>
      <c r="S84" s="556"/>
      <c r="U84" s="557"/>
      <c r="X84" s="556"/>
      <c r="Z84" s="557"/>
    </row>
    <row r="85" spans="1:26" s="514" customFormat="1" ht="21" customHeight="1" thickBot="1">
      <c r="A85" s="833" t="s">
        <v>302</v>
      </c>
      <c r="B85" s="834"/>
      <c r="C85" s="834"/>
      <c r="D85" s="835"/>
      <c r="E85" s="836"/>
      <c r="F85" s="837"/>
      <c r="G85" s="831">
        <v>522000</v>
      </c>
      <c r="H85" s="832"/>
      <c r="I85" s="831"/>
      <c r="J85" s="832"/>
      <c r="K85" s="831"/>
      <c r="L85" s="832"/>
      <c r="M85" s="831"/>
      <c r="N85" s="832"/>
      <c r="O85" s="831"/>
      <c r="P85" s="854"/>
      <c r="S85" s="556"/>
      <c r="U85" s="557"/>
      <c r="X85" s="556"/>
      <c r="Z85" s="557"/>
    </row>
    <row r="86" spans="1:26" s="514" customFormat="1" ht="20.25" customHeight="1" thickBot="1">
      <c r="A86" s="851" t="s">
        <v>223</v>
      </c>
      <c r="B86" s="852"/>
      <c r="C86" s="852"/>
      <c r="D86" s="853"/>
      <c r="E86" s="845">
        <f>SUM(E79:F84)</f>
        <v>16769480.9</v>
      </c>
      <c r="F86" s="818"/>
      <c r="G86" s="817">
        <f>SUM(G79:H85)</f>
        <v>29327803</v>
      </c>
      <c r="H86" s="818"/>
      <c r="I86" s="817">
        <f>SUM(I79:J84)</f>
        <v>27529193.119999997</v>
      </c>
      <c r="J86" s="818"/>
      <c r="K86" s="817">
        <f>SUM(K79:L84)</f>
        <v>3786034.42</v>
      </c>
      <c r="L86" s="818"/>
      <c r="M86" s="817">
        <f>SUM(M79:N84)</f>
        <v>25252271.02</v>
      </c>
      <c r="N86" s="818"/>
      <c r="O86" s="817">
        <f>SUM(O79:P84)</f>
        <v>102142782.46</v>
      </c>
      <c r="P86" s="855"/>
      <c r="S86" s="556"/>
      <c r="U86" s="557"/>
      <c r="X86" s="556"/>
      <c r="Z86" s="557"/>
    </row>
    <row r="87" ht="6.75" customHeight="1"/>
    <row r="88" ht="13.5" thickBot="1">
      <c r="P88" s="558" t="s">
        <v>304</v>
      </c>
    </row>
    <row r="89" spans="1:26" s="514" customFormat="1" ht="27" customHeight="1" thickBot="1">
      <c r="A89" s="795" t="s">
        <v>224</v>
      </c>
      <c r="B89" s="849"/>
      <c r="C89" s="849"/>
      <c r="D89" s="850"/>
      <c r="E89" s="842" t="s">
        <v>8</v>
      </c>
      <c r="F89" s="799"/>
      <c r="G89" s="805" t="s">
        <v>7</v>
      </c>
      <c r="H89" s="799"/>
      <c r="I89" s="805" t="s">
        <v>6</v>
      </c>
      <c r="J89" s="799"/>
      <c r="K89" s="805" t="s">
        <v>5</v>
      </c>
      <c r="L89" s="799"/>
      <c r="M89" s="805" t="s">
        <v>210</v>
      </c>
      <c r="N89" s="799"/>
      <c r="O89" s="805" t="s">
        <v>11</v>
      </c>
      <c r="P89" s="806"/>
      <c r="S89" s="556"/>
      <c r="U89" s="557"/>
      <c r="X89" s="556"/>
      <c r="Z89" s="557"/>
    </row>
    <row r="90" spans="1:26" s="514" customFormat="1" ht="24" customHeight="1">
      <c r="A90" s="800" t="s">
        <v>218</v>
      </c>
      <c r="B90" s="801"/>
      <c r="C90" s="801"/>
      <c r="D90" s="802"/>
      <c r="E90" s="846">
        <v>14941000</v>
      </c>
      <c r="F90" s="804"/>
      <c r="G90" s="815">
        <v>20055000</v>
      </c>
      <c r="H90" s="816"/>
      <c r="I90" s="815">
        <v>12259000</v>
      </c>
      <c r="J90" s="816"/>
      <c r="K90" s="815">
        <v>21068000</v>
      </c>
      <c r="L90" s="816"/>
      <c r="M90" s="815">
        <v>9266000</v>
      </c>
      <c r="N90" s="816"/>
      <c r="O90" s="813">
        <f>SUM(E90:N90)</f>
        <v>77589000</v>
      </c>
      <c r="P90" s="848"/>
      <c r="S90" s="556"/>
      <c r="U90" s="557"/>
      <c r="X90" s="556"/>
      <c r="Z90" s="557"/>
    </row>
    <row r="91" spans="1:26" s="514" customFormat="1" ht="24" customHeight="1">
      <c r="A91" s="807" t="s">
        <v>219</v>
      </c>
      <c r="B91" s="808"/>
      <c r="C91" s="808"/>
      <c r="D91" s="809"/>
      <c r="E91" s="844">
        <v>244663.6</v>
      </c>
      <c r="F91" s="811"/>
      <c r="G91" s="813">
        <v>710000</v>
      </c>
      <c r="H91" s="814"/>
      <c r="I91" s="813"/>
      <c r="J91" s="814"/>
      <c r="K91" s="813">
        <v>1690747.04</v>
      </c>
      <c r="L91" s="814"/>
      <c r="M91" s="813"/>
      <c r="N91" s="814"/>
      <c r="O91" s="813">
        <f>SUM(E91:N91)</f>
        <v>2645410.64</v>
      </c>
      <c r="P91" s="848"/>
      <c r="S91" s="556"/>
      <c r="U91" s="557"/>
      <c r="X91" s="556"/>
      <c r="Z91" s="557"/>
    </row>
    <row r="92" spans="1:26" s="514" customFormat="1" ht="24" customHeight="1">
      <c r="A92" s="807" t="s">
        <v>221</v>
      </c>
      <c r="B92" s="808"/>
      <c r="C92" s="808"/>
      <c r="D92" s="809"/>
      <c r="E92" s="846">
        <v>18409999.99</v>
      </c>
      <c r="F92" s="804"/>
      <c r="G92" s="813">
        <v>8921000</v>
      </c>
      <c r="H92" s="814"/>
      <c r="I92" s="813">
        <v>10743000</v>
      </c>
      <c r="J92" s="814"/>
      <c r="K92" s="813">
        <v>1575000</v>
      </c>
      <c r="L92" s="814"/>
      <c r="M92" s="813">
        <v>18526000</v>
      </c>
      <c r="N92" s="814"/>
      <c r="O92" s="813">
        <f>SUM(E92:N92)</f>
        <v>58174999.989999995</v>
      </c>
      <c r="P92" s="848"/>
      <c r="S92" s="556"/>
      <c r="U92" s="557"/>
      <c r="X92" s="556"/>
      <c r="Z92" s="557"/>
    </row>
    <row r="93" spans="1:26" s="514" customFormat="1" ht="24" customHeight="1">
      <c r="A93" s="807" t="s">
        <v>220</v>
      </c>
      <c r="B93" s="808"/>
      <c r="C93" s="808"/>
      <c r="D93" s="809"/>
      <c r="E93" s="857"/>
      <c r="F93" s="811"/>
      <c r="G93" s="813"/>
      <c r="H93" s="814"/>
      <c r="I93" s="813"/>
      <c r="J93" s="814"/>
      <c r="K93" s="813">
        <v>83322</v>
      </c>
      <c r="L93" s="814"/>
      <c r="M93" s="813"/>
      <c r="N93" s="814"/>
      <c r="O93" s="813">
        <f>SUM(E93:N93)</f>
        <v>83322</v>
      </c>
      <c r="P93" s="848"/>
      <c r="S93" s="556"/>
      <c r="U93" s="557"/>
      <c r="X93" s="556"/>
      <c r="Z93" s="557"/>
    </row>
    <row r="94" spans="1:26" s="514" customFormat="1" ht="24" customHeight="1" thickBot="1">
      <c r="A94" s="833" t="s">
        <v>301</v>
      </c>
      <c r="B94" s="834"/>
      <c r="C94" s="834"/>
      <c r="D94" s="835"/>
      <c r="E94" s="856"/>
      <c r="F94" s="837"/>
      <c r="G94" s="831"/>
      <c r="H94" s="832"/>
      <c r="I94" s="831"/>
      <c r="J94" s="832"/>
      <c r="K94" s="831"/>
      <c r="L94" s="832"/>
      <c r="M94" s="831">
        <v>197957</v>
      </c>
      <c r="N94" s="832"/>
      <c r="O94" s="813">
        <f>SUM(E94:N94)</f>
        <v>197957</v>
      </c>
      <c r="P94" s="848"/>
      <c r="S94" s="556"/>
      <c r="U94" s="557"/>
      <c r="X94" s="556"/>
      <c r="Z94" s="557"/>
    </row>
    <row r="95" spans="1:26" s="514" customFormat="1" ht="20.25" customHeight="1" thickBot="1">
      <c r="A95" s="851" t="s">
        <v>225</v>
      </c>
      <c r="B95" s="852"/>
      <c r="C95" s="852"/>
      <c r="D95" s="853"/>
      <c r="E95" s="860">
        <f>SUM(E90:F94)</f>
        <v>33595663.589999996</v>
      </c>
      <c r="F95" s="818"/>
      <c r="G95" s="845">
        <f>SUM(G90:H94)</f>
        <v>29686000</v>
      </c>
      <c r="H95" s="818"/>
      <c r="I95" s="845">
        <f>SUM(I90:J94)</f>
        <v>23002000</v>
      </c>
      <c r="J95" s="818"/>
      <c r="K95" s="845">
        <f>SUM(K90:L94)</f>
        <v>24417069.04</v>
      </c>
      <c r="L95" s="818"/>
      <c r="M95" s="845">
        <f>SUM(M90:N94)</f>
        <v>27989957</v>
      </c>
      <c r="N95" s="818"/>
      <c r="O95" s="817">
        <f>SUM(O90:P94)</f>
        <v>138690689.63</v>
      </c>
      <c r="P95" s="855"/>
      <c r="S95" s="556"/>
      <c r="U95" s="557"/>
      <c r="X95" s="556"/>
      <c r="Z95" s="557"/>
    </row>
    <row r="96" ht="13.5" thickBot="1">
      <c r="P96" s="558" t="s">
        <v>304</v>
      </c>
    </row>
    <row r="97" spans="1:26" s="514" customFormat="1" ht="27" customHeight="1" thickBot="1">
      <c r="A97" s="825" t="s">
        <v>303</v>
      </c>
      <c r="B97" s="826"/>
      <c r="C97" s="826"/>
      <c r="D97" s="827"/>
      <c r="E97" s="842" t="s">
        <v>8</v>
      </c>
      <c r="F97" s="799"/>
      <c r="G97" s="805" t="s">
        <v>7</v>
      </c>
      <c r="H97" s="843"/>
      <c r="I97" s="805" t="s">
        <v>6</v>
      </c>
      <c r="J97" s="843"/>
      <c r="K97" s="805" t="s">
        <v>5</v>
      </c>
      <c r="L97" s="799"/>
      <c r="M97" s="805" t="s">
        <v>210</v>
      </c>
      <c r="N97" s="799"/>
      <c r="O97" s="805" t="s">
        <v>11</v>
      </c>
      <c r="P97" s="806"/>
      <c r="S97" s="556"/>
      <c r="U97" s="557"/>
      <c r="X97" s="556"/>
      <c r="Z97" s="557"/>
    </row>
    <row r="98" spans="1:26" s="514" customFormat="1" ht="24" customHeight="1" thickBot="1">
      <c r="A98" s="828"/>
      <c r="B98" s="829"/>
      <c r="C98" s="829"/>
      <c r="D98" s="830"/>
      <c r="E98" s="838">
        <f>+E90+E80</f>
        <v>28100000</v>
      </c>
      <c r="F98" s="839"/>
      <c r="G98" s="840">
        <f>+G90+G80</f>
        <v>34900000</v>
      </c>
      <c r="H98" s="841"/>
      <c r="I98" s="823">
        <f>+I90+I80</f>
        <v>17600000</v>
      </c>
      <c r="J98" s="839"/>
      <c r="K98" s="823">
        <f>+K90+K80</f>
        <v>22300000</v>
      </c>
      <c r="L98" s="824"/>
      <c r="M98" s="823">
        <f>+M90+M80</f>
        <v>30600000</v>
      </c>
      <c r="N98" s="824"/>
      <c r="O98" s="819">
        <f>SUM(E98:N98)</f>
        <v>133500000</v>
      </c>
      <c r="P98" s="820"/>
      <c r="S98" s="556"/>
      <c r="U98" s="557"/>
      <c r="X98" s="556"/>
      <c r="Z98" s="557"/>
    </row>
    <row r="100" spans="1:25" ht="12.75">
      <c r="A100" s="786" t="s">
        <v>279</v>
      </c>
      <c r="B100" s="787"/>
      <c r="C100" s="787"/>
      <c r="D100" s="787"/>
      <c r="E100" s="787"/>
      <c r="F100" s="787"/>
      <c r="G100" s="787"/>
      <c r="H100" s="787"/>
      <c r="I100" s="787"/>
      <c r="J100" s="787"/>
      <c r="K100" s="787"/>
      <c r="L100" s="787"/>
      <c r="M100" s="787"/>
      <c r="N100" s="787"/>
      <c r="O100" s="787"/>
      <c r="P100" s="787"/>
      <c r="Q100" s="787"/>
      <c r="R100" s="787"/>
      <c r="S100" s="787"/>
      <c r="T100" s="787"/>
      <c r="U100" s="787"/>
      <c r="V100" s="787"/>
      <c r="W100" s="787"/>
      <c r="X100" s="787"/>
      <c r="Y100" s="788"/>
    </row>
    <row r="101" spans="1:25" ht="12.75">
      <c r="A101" s="789"/>
      <c r="B101" s="790"/>
      <c r="C101" s="790"/>
      <c r="D101" s="790"/>
      <c r="E101" s="790"/>
      <c r="F101" s="790"/>
      <c r="G101" s="790"/>
      <c r="H101" s="790"/>
      <c r="I101" s="790"/>
      <c r="J101" s="790"/>
      <c r="K101" s="790"/>
      <c r="L101" s="790"/>
      <c r="M101" s="790"/>
      <c r="N101" s="790"/>
      <c r="O101" s="790"/>
      <c r="P101" s="790"/>
      <c r="Q101" s="790"/>
      <c r="R101" s="790"/>
      <c r="S101" s="790"/>
      <c r="T101" s="790"/>
      <c r="U101" s="790"/>
      <c r="V101" s="790"/>
      <c r="W101" s="790"/>
      <c r="X101" s="790"/>
      <c r="Y101" s="791"/>
    </row>
    <row r="102" spans="1:25" ht="12.75">
      <c r="A102" s="789"/>
      <c r="B102" s="790"/>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1"/>
    </row>
    <row r="103" spans="1:25" ht="12.75">
      <c r="A103" s="789"/>
      <c r="B103" s="790"/>
      <c r="C103" s="790"/>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1"/>
    </row>
    <row r="104" spans="1:25" ht="12.75">
      <c r="A104" s="792"/>
      <c r="B104" s="793"/>
      <c r="C104" s="793"/>
      <c r="D104" s="793"/>
      <c r="E104" s="793"/>
      <c r="F104" s="793"/>
      <c r="G104" s="793"/>
      <c r="H104" s="793"/>
      <c r="I104" s="793"/>
      <c r="J104" s="793"/>
      <c r="K104" s="793"/>
      <c r="L104" s="793"/>
      <c r="M104" s="793"/>
      <c r="N104" s="793"/>
      <c r="O104" s="793"/>
      <c r="P104" s="793"/>
      <c r="Q104" s="793"/>
      <c r="R104" s="793"/>
      <c r="S104" s="793"/>
      <c r="T104" s="793"/>
      <c r="U104" s="793"/>
      <c r="V104" s="793"/>
      <c r="W104" s="793"/>
      <c r="X104" s="793"/>
      <c r="Y104" s="794"/>
    </row>
  </sheetData>
  <mergeCells count="454">
    <mergeCell ref="Y2:AA2"/>
    <mergeCell ref="O94:P94"/>
    <mergeCell ref="A95:D95"/>
    <mergeCell ref="E95:F95"/>
    <mergeCell ref="G95:H95"/>
    <mergeCell ref="I95:J95"/>
    <mergeCell ref="K95:L95"/>
    <mergeCell ref="M95:N95"/>
    <mergeCell ref="O95:P95"/>
    <mergeCell ref="A94:D94"/>
    <mergeCell ref="E94:F94"/>
    <mergeCell ref="O92:P92"/>
    <mergeCell ref="E93:F93"/>
    <mergeCell ref="G93:H93"/>
    <mergeCell ref="I93:J93"/>
    <mergeCell ref="M93:N93"/>
    <mergeCell ref="O93:P93"/>
    <mergeCell ref="M92:N92"/>
    <mergeCell ref="E92:F92"/>
    <mergeCell ref="G94:H94"/>
    <mergeCell ref="O90:P90"/>
    <mergeCell ref="I91:J91"/>
    <mergeCell ref="M91:N91"/>
    <mergeCell ref="O91:P91"/>
    <mergeCell ref="M90:N90"/>
    <mergeCell ref="A90:D90"/>
    <mergeCell ref="A91:D91"/>
    <mergeCell ref="A92:D92"/>
    <mergeCell ref="A93:D93"/>
    <mergeCell ref="I94:J94"/>
    <mergeCell ref="K94:L94"/>
    <mergeCell ref="M94:N94"/>
    <mergeCell ref="O83:P83"/>
    <mergeCell ref="O84:P84"/>
    <mergeCell ref="O85:P85"/>
    <mergeCell ref="M83:N83"/>
    <mergeCell ref="O86:P86"/>
    <mergeCell ref="K89:L89"/>
    <mergeCell ref="M89:N89"/>
    <mergeCell ref="A89:D89"/>
    <mergeCell ref="G89:H89"/>
    <mergeCell ref="I89:J89"/>
    <mergeCell ref="A85:D85"/>
    <mergeCell ref="E85:F85"/>
    <mergeCell ref="G85:H85"/>
    <mergeCell ref="I85:J85"/>
    <mergeCell ref="A86:D86"/>
    <mergeCell ref="O79:P79"/>
    <mergeCell ref="O80:P80"/>
    <mergeCell ref="O81:P81"/>
    <mergeCell ref="O82:P82"/>
    <mergeCell ref="M82:N82"/>
    <mergeCell ref="M84:N84"/>
    <mergeCell ref="E89:F89"/>
    <mergeCell ref="O89:P89"/>
    <mergeCell ref="G86:H86"/>
    <mergeCell ref="K86:L86"/>
    <mergeCell ref="M86:N86"/>
    <mergeCell ref="K85:L85"/>
    <mergeCell ref="M85:N85"/>
    <mergeCell ref="E91:F91"/>
    <mergeCell ref="G90:H90"/>
    <mergeCell ref="I83:J83"/>
    <mergeCell ref="G82:H82"/>
    <mergeCell ref="G83:H83"/>
    <mergeCell ref="E86:F86"/>
    <mergeCell ref="G84:H84"/>
    <mergeCell ref="E90:F90"/>
    <mergeCell ref="M80:N80"/>
    <mergeCell ref="M81:N81"/>
    <mergeCell ref="A70:Y75"/>
    <mergeCell ref="E97:F97"/>
    <mergeCell ref="G97:H97"/>
    <mergeCell ref="I97:J97"/>
    <mergeCell ref="K97:L97"/>
    <mergeCell ref="M97:N97"/>
    <mergeCell ref="O97:P97"/>
    <mergeCell ref="M79:N79"/>
    <mergeCell ref="E98:F98"/>
    <mergeCell ref="G98:H98"/>
    <mergeCell ref="I98:J98"/>
    <mergeCell ref="K98:L98"/>
    <mergeCell ref="M98:N98"/>
    <mergeCell ref="A97:D98"/>
    <mergeCell ref="K84:L84"/>
    <mergeCell ref="G91:H91"/>
    <mergeCell ref="G92:H92"/>
    <mergeCell ref="I90:J90"/>
    <mergeCell ref="I84:J84"/>
    <mergeCell ref="I92:J92"/>
    <mergeCell ref="A84:D84"/>
    <mergeCell ref="E84:F84"/>
    <mergeCell ref="O98:P98"/>
    <mergeCell ref="K81:L81"/>
    <mergeCell ref="K82:L82"/>
    <mergeCell ref="AA3:AA4"/>
    <mergeCell ref="K79:L79"/>
    <mergeCell ref="K80:L80"/>
    <mergeCell ref="K90:L90"/>
    <mergeCell ref="K91:L91"/>
    <mergeCell ref="K93:L93"/>
    <mergeCell ref="X46:Y46"/>
    <mergeCell ref="G80:H80"/>
    <mergeCell ref="G81:H81"/>
    <mergeCell ref="K92:L92"/>
    <mergeCell ref="G79:H79"/>
    <mergeCell ref="I81:J81"/>
    <mergeCell ref="I82:J82"/>
    <mergeCell ref="I79:J79"/>
    <mergeCell ref="I80:J80"/>
    <mergeCell ref="K83:L83"/>
    <mergeCell ref="I86:J86"/>
    <mergeCell ref="A82:D82"/>
    <mergeCell ref="E82:F82"/>
    <mergeCell ref="A83:D83"/>
    <mergeCell ref="E83:F83"/>
    <mergeCell ref="A80:D80"/>
    <mergeCell ref="E80:F80"/>
    <mergeCell ref="A81:D81"/>
    <mergeCell ref="E81:F81"/>
    <mergeCell ref="A100:Y104"/>
    <mergeCell ref="A78:D78"/>
    <mergeCell ref="E78:F78"/>
    <mergeCell ref="A79:D79"/>
    <mergeCell ref="E79:F79"/>
    <mergeCell ref="G78:H78"/>
    <mergeCell ref="I78:J78"/>
    <mergeCell ref="K78:L78"/>
    <mergeCell ref="M78:N78"/>
    <mergeCell ref="O78:P78"/>
    <mergeCell ref="N36:O36"/>
    <mergeCell ref="P36:Q36"/>
    <mergeCell ref="A38:A40"/>
    <mergeCell ref="B38:I38"/>
    <mergeCell ref="J38:Q38"/>
    <mergeCell ref="B39:E39"/>
    <mergeCell ref="F39:I39"/>
    <mergeCell ref="J39:M39"/>
    <mergeCell ref="N39:Q39"/>
    <mergeCell ref="B40:C40"/>
    <mergeCell ref="J34:K34"/>
    <mergeCell ref="J35:K35"/>
    <mergeCell ref="F35:G35"/>
    <mergeCell ref="N32:O32"/>
    <mergeCell ref="N33:O33"/>
    <mergeCell ref="N34:O34"/>
    <mergeCell ref="N35:O35"/>
    <mergeCell ref="F34:G34"/>
    <mergeCell ref="L34:M34"/>
    <mergeCell ref="P33:Q33"/>
    <mergeCell ref="J29:M29"/>
    <mergeCell ref="N29:Q29"/>
    <mergeCell ref="N30:O30"/>
    <mergeCell ref="P30:Q30"/>
    <mergeCell ref="L30:M30"/>
    <mergeCell ref="J28:Q28"/>
    <mergeCell ref="J31:K31"/>
    <mergeCell ref="J32:K32"/>
    <mergeCell ref="J33:K33"/>
    <mergeCell ref="J30:K30"/>
    <mergeCell ref="L31:M31"/>
    <mergeCell ref="L32:M32"/>
    <mergeCell ref="L33:M33"/>
    <mergeCell ref="N31:O31"/>
    <mergeCell ref="P31:Q31"/>
    <mergeCell ref="B31:C31"/>
    <mergeCell ref="F29:I29"/>
    <mergeCell ref="F31:G31"/>
    <mergeCell ref="F32:G32"/>
    <mergeCell ref="D31:E31"/>
    <mergeCell ref="D32:E32"/>
    <mergeCell ref="H30:I30"/>
    <mergeCell ref="F30:G30"/>
    <mergeCell ref="P34:Q34"/>
    <mergeCell ref="P35:Q35"/>
    <mergeCell ref="D34:E34"/>
    <mergeCell ref="B32:C32"/>
    <mergeCell ref="B33:C33"/>
    <mergeCell ref="B34:C34"/>
    <mergeCell ref="D35:E35"/>
    <mergeCell ref="F33:G33"/>
    <mergeCell ref="D33:E33"/>
    <mergeCell ref="P32:Q32"/>
    <mergeCell ref="B35:C35"/>
    <mergeCell ref="B36:C36"/>
    <mergeCell ref="T36:U36"/>
    <mergeCell ref="V36:W36"/>
    <mergeCell ref="R36:S36"/>
    <mergeCell ref="D36:E36"/>
    <mergeCell ref="J36:K36"/>
    <mergeCell ref="L35:M35"/>
    <mergeCell ref="L36:M36"/>
    <mergeCell ref="F36:G36"/>
    <mergeCell ref="X36:Y36"/>
    <mergeCell ref="R35:S35"/>
    <mergeCell ref="T35:U35"/>
    <mergeCell ref="V35:W35"/>
    <mergeCell ref="X35:Y35"/>
    <mergeCell ref="T34:U34"/>
    <mergeCell ref="V34:W34"/>
    <mergeCell ref="X34:Y34"/>
    <mergeCell ref="R33:S33"/>
    <mergeCell ref="T33:U33"/>
    <mergeCell ref="V33:W33"/>
    <mergeCell ref="X33:Y33"/>
    <mergeCell ref="R34:S34"/>
    <mergeCell ref="T32:U32"/>
    <mergeCell ref="V32:W32"/>
    <mergeCell ref="X32:Y32"/>
    <mergeCell ref="R31:S31"/>
    <mergeCell ref="T31:U31"/>
    <mergeCell ref="V31:W31"/>
    <mergeCell ref="X31:Y31"/>
    <mergeCell ref="R32:S32"/>
    <mergeCell ref="R28:Y28"/>
    <mergeCell ref="R29:U29"/>
    <mergeCell ref="V29:Y29"/>
    <mergeCell ref="R30:S30"/>
    <mergeCell ref="T30:U30"/>
    <mergeCell ref="V30:W30"/>
    <mergeCell ref="X30:Y30"/>
    <mergeCell ref="R38:Y38"/>
    <mergeCell ref="R39:U39"/>
    <mergeCell ref="V39:Y39"/>
    <mergeCell ref="D40:E40"/>
    <mergeCell ref="F40:G40"/>
    <mergeCell ref="H40:I40"/>
    <mergeCell ref="J40:K40"/>
    <mergeCell ref="L40:M40"/>
    <mergeCell ref="N40:O40"/>
    <mergeCell ref="P40:Q40"/>
    <mergeCell ref="R40:S40"/>
    <mergeCell ref="T40:U40"/>
    <mergeCell ref="V40:W40"/>
    <mergeCell ref="X40:Y40"/>
    <mergeCell ref="B41:C41"/>
    <mergeCell ref="D41:E41"/>
    <mergeCell ref="F41:G41"/>
    <mergeCell ref="H41:I41"/>
    <mergeCell ref="J41:K41"/>
    <mergeCell ref="L41:M41"/>
    <mergeCell ref="N41:O41"/>
    <mergeCell ref="P41:Q41"/>
    <mergeCell ref="R41:S41"/>
    <mergeCell ref="T41:U41"/>
    <mergeCell ref="V41:W41"/>
    <mergeCell ref="X41:Y41"/>
    <mergeCell ref="B42:C42"/>
    <mergeCell ref="D42:E42"/>
    <mergeCell ref="F42:G42"/>
    <mergeCell ref="H42:I42"/>
    <mergeCell ref="J42:K42"/>
    <mergeCell ref="L42:M42"/>
    <mergeCell ref="N42:O42"/>
    <mergeCell ref="P42:Q42"/>
    <mergeCell ref="R42:S42"/>
    <mergeCell ref="T42:U42"/>
    <mergeCell ref="V42:W42"/>
    <mergeCell ref="X42:Y42"/>
    <mergeCell ref="B43:C43"/>
    <mergeCell ref="D43:E43"/>
    <mergeCell ref="F43:G43"/>
    <mergeCell ref="H43:I43"/>
    <mergeCell ref="J43:K43"/>
    <mergeCell ref="L43:M43"/>
    <mergeCell ref="N43:O43"/>
    <mergeCell ref="P43:Q43"/>
    <mergeCell ref="R43:S43"/>
    <mergeCell ref="T43:U43"/>
    <mergeCell ref="V43:W43"/>
    <mergeCell ref="X43:Y43"/>
    <mergeCell ref="B44:C44"/>
    <mergeCell ref="D44:E44"/>
    <mergeCell ref="F44:G44"/>
    <mergeCell ref="H44:I44"/>
    <mergeCell ref="J44:K44"/>
    <mergeCell ref="L44:M44"/>
    <mergeCell ref="N44:O44"/>
    <mergeCell ref="P44:Q44"/>
    <mergeCell ref="R44:S44"/>
    <mergeCell ref="T44:U44"/>
    <mergeCell ref="V44:W44"/>
    <mergeCell ref="X44:Y44"/>
    <mergeCell ref="B45:C45"/>
    <mergeCell ref="D45:E45"/>
    <mergeCell ref="F45:G45"/>
    <mergeCell ref="H45:I45"/>
    <mergeCell ref="J45:K45"/>
    <mergeCell ref="L45:M45"/>
    <mergeCell ref="N45:O45"/>
    <mergeCell ref="P45:Q45"/>
    <mergeCell ref="R45:S45"/>
    <mergeCell ref="T45:U45"/>
    <mergeCell ref="V45:W45"/>
    <mergeCell ref="X45:Y45"/>
    <mergeCell ref="L46:M46"/>
    <mergeCell ref="N46:O46"/>
    <mergeCell ref="P46:Q46"/>
    <mergeCell ref="B46:C46"/>
    <mergeCell ref="D46:E46"/>
    <mergeCell ref="F46:G46"/>
    <mergeCell ref="H46:I46"/>
    <mergeCell ref="V46:W46"/>
    <mergeCell ref="H31:I31"/>
    <mergeCell ref="H32:I32"/>
    <mergeCell ref="H33:I33"/>
    <mergeCell ref="H34:I34"/>
    <mergeCell ref="R46:S46"/>
    <mergeCell ref="H35:I35"/>
    <mergeCell ref="H36:I36"/>
    <mergeCell ref="T46:U46"/>
    <mergeCell ref="J46:K46"/>
    <mergeCell ref="A28:A30"/>
    <mergeCell ref="B30:C30"/>
    <mergeCell ref="B29:E29"/>
    <mergeCell ref="B28:I28"/>
    <mergeCell ref="D30:E30"/>
    <mergeCell ref="Q3:U3"/>
    <mergeCell ref="V3:Z3"/>
    <mergeCell ref="V24:Z24"/>
    <mergeCell ref="Q24:U24"/>
    <mergeCell ref="A3:A4"/>
    <mergeCell ref="B24:F24"/>
    <mergeCell ref="G24:K24"/>
    <mergeCell ref="L24:P24"/>
    <mergeCell ref="B3:F3"/>
    <mergeCell ref="L3:P3"/>
    <mergeCell ref="G3:K3"/>
    <mergeCell ref="A60:A62"/>
    <mergeCell ref="B60:I60"/>
    <mergeCell ref="J60:Q60"/>
    <mergeCell ref="R60:Y60"/>
    <mergeCell ref="B61:E61"/>
    <mergeCell ref="F61:I61"/>
    <mergeCell ref="J61:M61"/>
    <mergeCell ref="N61:Q61"/>
    <mergeCell ref="R61:U61"/>
    <mergeCell ref="V61:Y61"/>
    <mergeCell ref="B62:C62"/>
    <mergeCell ref="D62:E62"/>
    <mergeCell ref="F62:G62"/>
    <mergeCell ref="H62:I62"/>
    <mergeCell ref="J62:K62"/>
    <mergeCell ref="L62:M62"/>
    <mergeCell ref="N62:O62"/>
    <mergeCell ref="P62:Q62"/>
    <mergeCell ref="R62:S62"/>
    <mergeCell ref="T62:U62"/>
    <mergeCell ref="V62:W62"/>
    <mergeCell ref="X62:Y62"/>
    <mergeCell ref="B63:C63"/>
    <mergeCell ref="D63:E63"/>
    <mergeCell ref="F63:G63"/>
    <mergeCell ref="H63:I63"/>
    <mergeCell ref="J63:K63"/>
    <mergeCell ref="L63:M63"/>
    <mergeCell ref="N63:O63"/>
    <mergeCell ref="P63:Q63"/>
    <mergeCell ref="R63:S63"/>
    <mergeCell ref="T63:U63"/>
    <mergeCell ref="V63:W63"/>
    <mergeCell ref="X63:Y63"/>
    <mergeCell ref="B64:C64"/>
    <mergeCell ref="D64:E64"/>
    <mergeCell ref="F64:G64"/>
    <mergeCell ref="H64:I64"/>
    <mergeCell ref="J64:K64"/>
    <mergeCell ref="L64:M64"/>
    <mergeCell ref="N64:O64"/>
    <mergeCell ref="P64:Q64"/>
    <mergeCell ref="R64:S64"/>
    <mergeCell ref="T64:U64"/>
    <mergeCell ref="V64:W64"/>
    <mergeCell ref="X64:Y64"/>
    <mergeCell ref="B65:C65"/>
    <mergeCell ref="D65:E65"/>
    <mergeCell ref="F65:G65"/>
    <mergeCell ref="H65:I65"/>
    <mergeCell ref="J65:K65"/>
    <mergeCell ref="L65:M65"/>
    <mergeCell ref="N65:O65"/>
    <mergeCell ref="P65:Q65"/>
    <mergeCell ref="R65:S65"/>
    <mergeCell ref="T65:U65"/>
    <mergeCell ref="V65:W65"/>
    <mergeCell ref="X65:Y65"/>
    <mergeCell ref="B66:C66"/>
    <mergeCell ref="D66:E66"/>
    <mergeCell ref="F66:G66"/>
    <mergeCell ref="H66:I66"/>
    <mergeCell ref="J66:K66"/>
    <mergeCell ref="L66:M66"/>
    <mergeCell ref="N66:O66"/>
    <mergeCell ref="P66:Q66"/>
    <mergeCell ref="R66:S66"/>
    <mergeCell ref="T66:U66"/>
    <mergeCell ref="V66:W66"/>
    <mergeCell ref="X66:Y66"/>
    <mergeCell ref="B67:C67"/>
    <mergeCell ref="D67:E67"/>
    <mergeCell ref="F67:G67"/>
    <mergeCell ref="H67:I67"/>
    <mergeCell ref="J67:K67"/>
    <mergeCell ref="L67:M67"/>
    <mergeCell ref="N67:O67"/>
    <mergeCell ref="P67:Q67"/>
    <mergeCell ref="R67:S67"/>
    <mergeCell ref="T67:U67"/>
    <mergeCell ref="V67:W67"/>
    <mergeCell ref="X67:Y67"/>
    <mergeCell ref="B68:C68"/>
    <mergeCell ref="D68:E68"/>
    <mergeCell ref="F68:G68"/>
    <mergeCell ref="H68:I68"/>
    <mergeCell ref="J68:K68"/>
    <mergeCell ref="L68:M68"/>
    <mergeCell ref="N68:O68"/>
    <mergeCell ref="P68:Q68"/>
    <mergeCell ref="R68:S68"/>
    <mergeCell ref="T68:U68"/>
    <mergeCell ref="V68:W68"/>
    <mergeCell ref="X68:Y68"/>
    <mergeCell ref="A48:A50"/>
    <mergeCell ref="B48:I48"/>
    <mergeCell ref="B49:E49"/>
    <mergeCell ref="F49:I49"/>
    <mergeCell ref="B50:C50"/>
    <mergeCell ref="D50:E50"/>
    <mergeCell ref="F50:G50"/>
    <mergeCell ref="H50:I50"/>
    <mergeCell ref="B51:C51"/>
    <mergeCell ref="D51:E51"/>
    <mergeCell ref="F51:G51"/>
    <mergeCell ref="H51:I51"/>
    <mergeCell ref="B52:C52"/>
    <mergeCell ref="D52:E52"/>
    <mergeCell ref="F52:G52"/>
    <mergeCell ref="H52:I52"/>
    <mergeCell ref="B53:C53"/>
    <mergeCell ref="D53:E53"/>
    <mergeCell ref="F53:G53"/>
    <mergeCell ref="H53:I53"/>
    <mergeCell ref="B54:C54"/>
    <mergeCell ref="D54:E54"/>
    <mergeCell ref="F54:G54"/>
    <mergeCell ref="H54:I54"/>
    <mergeCell ref="B55:C55"/>
    <mergeCell ref="D55:E55"/>
    <mergeCell ref="F55:G55"/>
    <mergeCell ref="H55:I55"/>
    <mergeCell ref="B56:C56"/>
    <mergeCell ref="D56:E56"/>
    <mergeCell ref="F56:G56"/>
    <mergeCell ref="H56:I56"/>
  </mergeCells>
  <printOptions horizontalCentered="1"/>
  <pageMargins left="0.17" right="0.17" top="0.2755905511811024" bottom="0.2362204724409449" header="0.2362204724409449" footer="0.1968503937007874"/>
  <pageSetup horizontalDpi="600" verticalDpi="600" orientation="portrait" paperSize="9" scale="65" r:id="rId1"/>
  <rowBreaks count="1" manualBreakCount="1">
    <brk id="75" max="255" man="1"/>
  </rowBreaks>
</worksheet>
</file>

<file path=xl/worksheets/sheet5.xml><?xml version="1.0" encoding="utf-8"?>
<worksheet xmlns="http://schemas.openxmlformats.org/spreadsheetml/2006/main" xmlns:r="http://schemas.openxmlformats.org/officeDocument/2006/relationships">
  <dimension ref="A2:DL241"/>
  <sheetViews>
    <sheetView workbookViewId="0" topLeftCell="A1">
      <selection activeCell="A1" sqref="A1"/>
    </sheetView>
  </sheetViews>
  <sheetFormatPr defaultColWidth="9.00390625" defaultRowHeight="12.75"/>
  <cols>
    <col min="1" max="1" width="19.875" style="0" bestFit="1" customWidth="1"/>
    <col min="2" max="4" width="9.875" style="0" customWidth="1"/>
    <col min="5" max="5" width="11.375" style="0" customWidth="1"/>
    <col min="6" max="11" width="9.875" style="0" customWidth="1"/>
    <col min="12" max="15" width="9.25390625" style="0" hidden="1" customWidth="1"/>
    <col min="16" max="16" width="13.75390625" style="0" hidden="1" customWidth="1"/>
    <col min="17" max="26" width="10.625" style="0" hidden="1" customWidth="1"/>
    <col min="27" max="36" width="9.25390625" style="0" hidden="1" customWidth="1"/>
    <col min="37" max="46" width="10.625" style="0" hidden="1" customWidth="1"/>
    <col min="47" max="84" width="9.125" style="0" hidden="1" customWidth="1"/>
    <col min="85" max="90" width="0" style="0" hidden="1" customWidth="1"/>
  </cols>
  <sheetData>
    <row r="1" ht="5.25" customHeight="1"/>
    <row r="2" spans="1:11" ht="15.75">
      <c r="A2" s="892" t="s">
        <v>204</v>
      </c>
      <c r="B2" s="892"/>
      <c r="C2" s="892"/>
      <c r="D2" s="892"/>
      <c r="E2" s="892"/>
      <c r="F2" s="892"/>
      <c r="G2" s="892"/>
      <c r="H2" s="892"/>
      <c r="I2" s="892"/>
      <c r="J2" s="892"/>
      <c r="K2" s="892"/>
    </row>
    <row r="3" ht="6" customHeight="1" thickBot="1"/>
    <row r="4" spans="1:71" s="39" customFormat="1" ht="10.5" customHeight="1" thickBot="1">
      <c r="A4" s="890" t="s">
        <v>169</v>
      </c>
      <c r="B4" s="878">
        <v>2004</v>
      </c>
      <c r="C4" s="879"/>
      <c r="D4" s="879"/>
      <c r="E4" s="879"/>
      <c r="F4" s="879"/>
      <c r="G4" s="879"/>
      <c r="H4" s="879"/>
      <c r="I4" s="879"/>
      <c r="J4" s="879"/>
      <c r="K4" s="707"/>
      <c r="P4" s="872" t="s">
        <v>189</v>
      </c>
      <c r="Q4" s="874" t="s">
        <v>8</v>
      </c>
      <c r="R4" s="865"/>
      <c r="S4" s="865"/>
      <c r="T4" s="865"/>
      <c r="U4" s="865"/>
      <c r="V4" s="865"/>
      <c r="W4" s="866"/>
      <c r="X4" s="866"/>
      <c r="Y4" s="866"/>
      <c r="Z4" s="875"/>
      <c r="AA4" s="874" t="s">
        <v>7</v>
      </c>
      <c r="AB4" s="865"/>
      <c r="AC4" s="865"/>
      <c r="AD4" s="865"/>
      <c r="AE4" s="865"/>
      <c r="AF4" s="865"/>
      <c r="AG4" s="866"/>
      <c r="AH4" s="866"/>
      <c r="AI4" s="866"/>
      <c r="AJ4" s="875"/>
      <c r="AK4" s="864" t="s">
        <v>6</v>
      </c>
      <c r="AL4" s="865"/>
      <c r="AM4" s="865"/>
      <c r="AN4" s="865"/>
      <c r="AO4" s="865"/>
      <c r="AP4" s="865"/>
      <c r="AQ4" s="866"/>
      <c r="AR4" s="866"/>
      <c r="AS4" s="866"/>
      <c r="AT4" s="866"/>
      <c r="AU4" s="865" t="s">
        <v>5</v>
      </c>
      <c r="AV4" s="865"/>
      <c r="AW4" s="865"/>
      <c r="AX4" s="865"/>
      <c r="AY4" s="865"/>
      <c r="AZ4" s="865"/>
      <c r="BA4" s="866"/>
      <c r="BB4" s="866"/>
      <c r="BC4" s="866"/>
      <c r="BD4" s="867"/>
      <c r="BE4" s="868" t="s">
        <v>171</v>
      </c>
      <c r="BF4" s="869"/>
      <c r="BG4" s="869"/>
      <c r="BH4" s="869"/>
      <c r="BI4" s="869"/>
      <c r="BJ4" s="869"/>
      <c r="BK4" s="870"/>
      <c r="BL4" s="870"/>
      <c r="BM4" s="870"/>
      <c r="BN4" s="871"/>
      <c r="BO4" s="861" t="s">
        <v>214</v>
      </c>
      <c r="BP4" s="862"/>
      <c r="BQ4" s="862"/>
      <c r="BR4" s="862"/>
      <c r="BS4" s="863"/>
    </row>
    <row r="5" spans="1:116" ht="32.25" customHeight="1" thickBot="1">
      <c r="A5" s="891"/>
      <c r="B5" s="880" t="s">
        <v>170</v>
      </c>
      <c r="C5" s="883"/>
      <c r="D5" s="882" t="s">
        <v>7</v>
      </c>
      <c r="E5" s="883"/>
      <c r="F5" s="882" t="s">
        <v>6</v>
      </c>
      <c r="G5" s="883"/>
      <c r="H5" s="882" t="s">
        <v>5</v>
      </c>
      <c r="I5" s="884"/>
      <c r="J5" s="882" t="s">
        <v>171</v>
      </c>
      <c r="K5" s="885"/>
      <c r="P5" s="873"/>
      <c r="Q5" s="405" t="s">
        <v>72</v>
      </c>
      <c r="R5" s="404" t="s">
        <v>73</v>
      </c>
      <c r="S5" s="404" t="s">
        <v>110</v>
      </c>
      <c r="T5" s="404" t="s">
        <v>109</v>
      </c>
      <c r="U5" s="404" t="s">
        <v>111</v>
      </c>
      <c r="V5" s="404" t="s">
        <v>112</v>
      </c>
      <c r="W5" s="404" t="s">
        <v>113</v>
      </c>
      <c r="X5" s="404" t="s">
        <v>114</v>
      </c>
      <c r="Y5" s="404" t="s">
        <v>79</v>
      </c>
      <c r="Z5" s="406" t="s">
        <v>115</v>
      </c>
      <c r="AA5" s="405" t="s">
        <v>72</v>
      </c>
      <c r="AB5" s="404" t="s">
        <v>73</v>
      </c>
      <c r="AC5" s="404" t="s">
        <v>110</v>
      </c>
      <c r="AD5" s="404" t="s">
        <v>109</v>
      </c>
      <c r="AE5" s="404" t="s">
        <v>111</v>
      </c>
      <c r="AF5" s="404" t="s">
        <v>112</v>
      </c>
      <c r="AG5" s="404" t="s">
        <v>113</v>
      </c>
      <c r="AH5" s="404" t="s">
        <v>114</v>
      </c>
      <c r="AI5" s="404" t="s">
        <v>79</v>
      </c>
      <c r="AJ5" s="406" t="s">
        <v>115</v>
      </c>
      <c r="AK5" s="407" t="s">
        <v>72</v>
      </c>
      <c r="AL5" s="404" t="s">
        <v>73</v>
      </c>
      <c r="AM5" s="404" t="s">
        <v>110</v>
      </c>
      <c r="AN5" s="404" t="s">
        <v>109</v>
      </c>
      <c r="AO5" s="404" t="s">
        <v>111</v>
      </c>
      <c r="AP5" s="404" t="s">
        <v>112</v>
      </c>
      <c r="AQ5" s="404" t="s">
        <v>113</v>
      </c>
      <c r="AR5" s="404" t="s">
        <v>114</v>
      </c>
      <c r="AS5" s="404" t="s">
        <v>79</v>
      </c>
      <c r="AT5" s="404" t="s">
        <v>115</v>
      </c>
      <c r="AU5" s="404" t="s">
        <v>72</v>
      </c>
      <c r="AV5" s="404" t="s">
        <v>73</v>
      </c>
      <c r="AW5" s="404" t="s">
        <v>110</v>
      </c>
      <c r="AX5" s="404" t="s">
        <v>109</v>
      </c>
      <c r="AY5" s="404" t="s">
        <v>111</v>
      </c>
      <c r="AZ5" s="404" t="s">
        <v>112</v>
      </c>
      <c r="BA5" s="404" t="s">
        <v>113</v>
      </c>
      <c r="BB5" s="404" t="s">
        <v>114</v>
      </c>
      <c r="BC5" s="404" t="s">
        <v>79</v>
      </c>
      <c r="BD5" s="459" t="s">
        <v>115</v>
      </c>
      <c r="BE5" s="473" t="s">
        <v>72</v>
      </c>
      <c r="BF5" s="474" t="s">
        <v>73</v>
      </c>
      <c r="BG5" s="474" t="s">
        <v>110</v>
      </c>
      <c r="BH5" s="474" t="s">
        <v>109</v>
      </c>
      <c r="BI5" s="474" t="s">
        <v>111</v>
      </c>
      <c r="BJ5" s="474" t="s">
        <v>112</v>
      </c>
      <c r="BK5" s="474" t="s">
        <v>113</v>
      </c>
      <c r="BL5" s="474" t="s">
        <v>114</v>
      </c>
      <c r="BM5" s="474" t="s">
        <v>79</v>
      </c>
      <c r="BN5" s="464" t="s">
        <v>115</v>
      </c>
      <c r="BO5" s="475" t="s">
        <v>205</v>
      </c>
      <c r="BP5" s="474" t="s">
        <v>206</v>
      </c>
      <c r="BQ5" s="477" t="s">
        <v>207</v>
      </c>
      <c r="BR5" s="474" t="s">
        <v>208</v>
      </c>
      <c r="BS5" s="476" t="s">
        <v>209</v>
      </c>
      <c r="BT5" s="408"/>
      <c r="BU5" s="408"/>
      <c r="BV5" s="408"/>
      <c r="BW5" s="408"/>
      <c r="BX5" s="408"/>
      <c r="BY5" s="408"/>
      <c r="BZ5" s="408"/>
      <c r="CA5" s="408"/>
      <c r="CB5" s="408"/>
      <c r="CC5" s="408"/>
      <c r="CD5" s="408"/>
      <c r="CE5" s="408"/>
      <c r="CF5" s="408"/>
      <c r="CG5" s="408"/>
      <c r="CH5" s="408"/>
      <c r="CI5" s="408"/>
      <c r="CJ5" s="408"/>
      <c r="CK5" s="408"/>
      <c r="CL5" s="408"/>
      <c r="CM5" s="408"/>
      <c r="CN5" s="408"/>
      <c r="CO5" s="408"/>
      <c r="CP5" s="408"/>
      <c r="CQ5" s="408"/>
      <c r="CR5" s="408"/>
      <c r="CS5" s="408"/>
      <c r="CT5" s="408"/>
      <c r="CU5" s="408"/>
      <c r="CV5" s="408"/>
      <c r="CW5" s="408"/>
      <c r="CX5" s="408"/>
      <c r="CY5" s="408"/>
      <c r="CZ5" s="408"/>
      <c r="DA5" s="408"/>
      <c r="DB5" s="408"/>
      <c r="DC5" s="408"/>
      <c r="DD5" s="408"/>
      <c r="DE5" s="408"/>
      <c r="DF5" s="408"/>
      <c r="DG5" s="408"/>
      <c r="DH5" s="408"/>
      <c r="DI5" s="408"/>
      <c r="DJ5" s="408"/>
      <c r="DK5" s="408"/>
      <c r="DL5" s="408"/>
    </row>
    <row r="6" spans="1:71" s="39" customFormat="1" ht="16.5" customHeight="1" thickBot="1">
      <c r="A6" s="92" t="s">
        <v>172</v>
      </c>
      <c r="B6" s="69">
        <f>+Q23</f>
        <v>31155.310936691396</v>
      </c>
      <c r="C6" s="319" t="s">
        <v>173</v>
      </c>
      <c r="D6" s="51">
        <f>+AA23</f>
        <v>33544.40974995764</v>
      </c>
      <c r="E6" s="319" t="s">
        <v>173</v>
      </c>
      <c r="F6" s="51">
        <f>+AK23</f>
        <v>35916.214998197334</v>
      </c>
      <c r="G6" s="319" t="s">
        <v>173</v>
      </c>
      <c r="H6" s="51">
        <f>+AU23</f>
        <v>36753.20808930683</v>
      </c>
      <c r="I6" s="319" t="s">
        <v>173</v>
      </c>
      <c r="J6" s="51">
        <f>+BE23</f>
        <v>36363.24655436447</v>
      </c>
      <c r="K6" s="320" t="s">
        <v>173</v>
      </c>
      <c r="P6" s="396" t="s">
        <v>190</v>
      </c>
      <c r="Q6" s="344">
        <f>SUM(Q7:Q21)</f>
        <v>43345761</v>
      </c>
      <c r="R6" s="345">
        <f aca="true" t="shared" si="0" ref="R6:AJ6">SUM(R7:R21)</f>
        <v>1560438</v>
      </c>
      <c r="S6" s="345">
        <f t="shared" si="0"/>
        <v>85590363</v>
      </c>
      <c r="T6" s="345">
        <f t="shared" si="0"/>
        <v>12356009</v>
      </c>
      <c r="U6" s="345">
        <f t="shared" si="0"/>
        <v>5116320</v>
      </c>
      <c r="V6" s="345">
        <f t="shared" si="0"/>
        <v>16008769</v>
      </c>
      <c r="W6" s="345">
        <f t="shared" si="0"/>
        <v>1412433</v>
      </c>
      <c r="X6" s="345">
        <f t="shared" si="0"/>
        <v>0</v>
      </c>
      <c r="Y6" s="345">
        <f t="shared" si="0"/>
        <v>10413086</v>
      </c>
      <c r="Z6" s="394">
        <f t="shared" si="0"/>
        <v>20736803</v>
      </c>
      <c r="AA6" s="395">
        <f t="shared" si="0"/>
        <v>55432808</v>
      </c>
      <c r="AB6" s="395">
        <f t="shared" si="0"/>
        <v>1655725</v>
      </c>
      <c r="AC6" s="395">
        <f t="shared" si="0"/>
        <v>102641455</v>
      </c>
      <c r="AD6" s="395">
        <f t="shared" si="0"/>
        <v>14839822</v>
      </c>
      <c r="AE6" s="395">
        <f t="shared" si="0"/>
        <v>4019358</v>
      </c>
      <c r="AF6" s="395">
        <f t="shared" si="0"/>
        <v>18031838</v>
      </c>
      <c r="AG6" s="395">
        <f t="shared" si="0"/>
        <v>241122</v>
      </c>
      <c r="AH6" s="395">
        <f t="shared" si="0"/>
        <v>0</v>
      </c>
      <c r="AI6" s="395">
        <f t="shared" si="0"/>
        <v>13933044</v>
      </c>
      <c r="AJ6" s="395">
        <f t="shared" si="0"/>
        <v>15735439</v>
      </c>
      <c r="AK6" s="395">
        <f>SUM(AK7:AK21)</f>
        <v>35863059</v>
      </c>
      <c r="AL6" s="345">
        <f aca="true" t="shared" si="1" ref="AL6:BN6">SUM(AL7:AL21)</f>
        <v>806807</v>
      </c>
      <c r="AM6" s="345">
        <f t="shared" si="1"/>
        <v>54173241</v>
      </c>
      <c r="AN6" s="345">
        <f t="shared" si="1"/>
        <v>12397766</v>
      </c>
      <c r="AO6" s="345">
        <f t="shared" si="1"/>
        <v>1916373</v>
      </c>
      <c r="AP6" s="345">
        <f t="shared" si="1"/>
        <v>11592868</v>
      </c>
      <c r="AQ6" s="345">
        <f t="shared" si="1"/>
        <v>0</v>
      </c>
      <c r="AR6" s="345">
        <f t="shared" si="1"/>
        <v>0</v>
      </c>
      <c r="AS6" s="345">
        <f t="shared" si="1"/>
        <v>10540682</v>
      </c>
      <c r="AT6" s="345">
        <f t="shared" si="1"/>
        <v>10562287</v>
      </c>
      <c r="AU6" s="345">
        <f t="shared" si="1"/>
        <v>53467097</v>
      </c>
      <c r="AV6" s="345">
        <f t="shared" si="1"/>
        <v>1742169</v>
      </c>
      <c r="AW6" s="345">
        <f t="shared" si="1"/>
        <v>84231304</v>
      </c>
      <c r="AX6" s="345">
        <f t="shared" si="1"/>
        <v>10719487</v>
      </c>
      <c r="AY6" s="345">
        <f t="shared" si="1"/>
        <v>2396532</v>
      </c>
      <c r="AZ6" s="345">
        <f t="shared" si="1"/>
        <v>13547918</v>
      </c>
      <c r="BA6" s="345">
        <f t="shared" si="1"/>
        <v>2963729</v>
      </c>
      <c r="BB6" s="345">
        <f t="shared" si="1"/>
        <v>0</v>
      </c>
      <c r="BC6" s="345">
        <f t="shared" si="1"/>
        <v>12421848</v>
      </c>
      <c r="BD6" s="460">
        <f t="shared" si="1"/>
        <v>8966609</v>
      </c>
      <c r="BE6" s="344">
        <f>SUM(BE7:BE21)</f>
        <v>54139056</v>
      </c>
      <c r="BF6" s="345">
        <f t="shared" si="1"/>
        <v>1298831</v>
      </c>
      <c r="BG6" s="345">
        <f t="shared" si="1"/>
        <v>80148124</v>
      </c>
      <c r="BH6" s="345">
        <f t="shared" si="1"/>
        <v>14469306</v>
      </c>
      <c r="BI6" s="345">
        <f t="shared" si="1"/>
        <v>2499355</v>
      </c>
      <c r="BJ6" s="345">
        <f t="shared" si="1"/>
        <v>11215137</v>
      </c>
      <c r="BK6" s="345">
        <f t="shared" si="1"/>
        <v>1915073</v>
      </c>
      <c r="BL6" s="345">
        <f t="shared" si="1"/>
        <v>0</v>
      </c>
      <c r="BM6" s="345">
        <f t="shared" si="1"/>
        <v>10358807</v>
      </c>
      <c r="BN6" s="394">
        <f t="shared" si="1"/>
        <v>17706729</v>
      </c>
      <c r="BO6" s="344">
        <f>SUM(Q6:Z6)</f>
        <v>196539982</v>
      </c>
      <c r="BP6" s="345">
        <f>SUM(AA6:AJ6)</f>
        <v>226530611</v>
      </c>
      <c r="BQ6" s="345">
        <f>SUM(AK6:AT6)</f>
        <v>137853083</v>
      </c>
      <c r="BR6" s="345">
        <f>SUM(AU6:BD6)</f>
        <v>190456693</v>
      </c>
      <c r="BS6" s="394">
        <f>SUM(BE6:BN6)</f>
        <v>193750418</v>
      </c>
    </row>
    <row r="7" spans="1:71" s="39" customFormat="1" ht="16.5" customHeight="1">
      <c r="A7" s="321" t="s">
        <v>174</v>
      </c>
      <c r="B7" s="30">
        <f>+Q24</f>
        <v>16676.115519521594</v>
      </c>
      <c r="C7" s="423">
        <f aca="true" t="shared" si="2" ref="C7:C14">+B7/$B$6</f>
        <v>0.5352575537894005</v>
      </c>
      <c r="D7" s="13">
        <f>+AA24</f>
        <v>16456.24137680633</v>
      </c>
      <c r="E7" s="322">
        <f aca="true" t="shared" si="3" ref="E7:E14">+D7/$D$6</f>
        <v>0.4905807405607163</v>
      </c>
      <c r="F7" s="2">
        <f>+AK24</f>
        <v>16901.481192164403</v>
      </c>
      <c r="G7" s="322">
        <f aca="true" t="shared" si="4" ref="G7:G14">+F7/$F$6</f>
        <v>0.47058080014869896</v>
      </c>
      <c r="H7" s="2">
        <f>+AU24</f>
        <v>16444.710467706012</v>
      </c>
      <c r="I7" s="322">
        <f aca="true" t="shared" si="5" ref="I7:I14">+H7/$H$6</f>
        <v>0.4474360558606726</v>
      </c>
      <c r="J7" s="2">
        <f>+BE24</f>
        <v>16629.85881625964</v>
      </c>
      <c r="K7" s="323">
        <f aca="true" t="shared" si="6" ref="K7:K14">+J7/$J$6</f>
        <v>0.4573260198700177</v>
      </c>
      <c r="P7" s="397" t="s">
        <v>191</v>
      </c>
      <c r="Q7" s="375">
        <v>23201146</v>
      </c>
      <c r="R7" s="347">
        <v>956114</v>
      </c>
      <c r="S7" s="347">
        <v>56850325</v>
      </c>
      <c r="T7" s="347">
        <v>7865078</v>
      </c>
      <c r="U7" s="347">
        <v>3591896</v>
      </c>
      <c r="V7" s="347">
        <v>10002960</v>
      </c>
      <c r="W7" s="347">
        <v>1016995</v>
      </c>
      <c r="X7" s="347"/>
      <c r="Y7" s="347">
        <v>6032853</v>
      </c>
      <c r="Z7" s="373">
        <v>13838523</v>
      </c>
      <c r="AA7" s="346">
        <v>27194268</v>
      </c>
      <c r="AB7" s="347">
        <v>1160204</v>
      </c>
      <c r="AC7" s="347">
        <v>69178097</v>
      </c>
      <c r="AD7" s="347">
        <v>9852108</v>
      </c>
      <c r="AE7" s="347">
        <v>3316589</v>
      </c>
      <c r="AF7" s="347">
        <v>13363450</v>
      </c>
      <c r="AG7" s="347">
        <v>200668</v>
      </c>
      <c r="AH7" s="347"/>
      <c r="AI7" s="347">
        <v>9635181</v>
      </c>
      <c r="AJ7" s="373">
        <v>11676689</v>
      </c>
      <c r="AK7" s="374">
        <v>16876467</v>
      </c>
      <c r="AL7" s="347">
        <v>589650</v>
      </c>
      <c r="AM7" s="347">
        <v>36499446</v>
      </c>
      <c r="AN7" s="347">
        <v>8051988</v>
      </c>
      <c r="AO7" s="347">
        <v>1588548</v>
      </c>
      <c r="AP7" s="347">
        <v>7473439</v>
      </c>
      <c r="AQ7" s="347"/>
      <c r="AR7" s="347"/>
      <c r="AS7" s="347">
        <v>7248095</v>
      </c>
      <c r="AT7" s="347">
        <v>7164591</v>
      </c>
      <c r="AU7" s="347">
        <v>23923107</v>
      </c>
      <c r="AV7" s="347">
        <v>828315</v>
      </c>
      <c r="AW7" s="347">
        <v>58567903</v>
      </c>
      <c r="AX7" s="347">
        <v>7010740</v>
      </c>
      <c r="AY7" s="347">
        <v>1880552</v>
      </c>
      <c r="AZ7" s="347">
        <v>9934092</v>
      </c>
      <c r="BA7" s="347">
        <v>2237740</v>
      </c>
      <c r="BB7" s="347"/>
      <c r="BC7" s="347">
        <v>7126465</v>
      </c>
      <c r="BD7" s="461">
        <v>6147981</v>
      </c>
      <c r="BE7" s="346">
        <v>24759199</v>
      </c>
      <c r="BF7" s="347">
        <v>798625</v>
      </c>
      <c r="BG7" s="347">
        <v>51925621</v>
      </c>
      <c r="BH7" s="347">
        <v>8844847</v>
      </c>
      <c r="BI7" s="347">
        <v>1876646</v>
      </c>
      <c r="BJ7" s="347">
        <v>7555636</v>
      </c>
      <c r="BK7" s="347">
        <v>1195508</v>
      </c>
      <c r="BL7" s="347"/>
      <c r="BM7" s="347">
        <v>6704434</v>
      </c>
      <c r="BN7" s="373">
        <v>11884603</v>
      </c>
      <c r="BO7" s="344">
        <f aca="true" t="shared" si="7" ref="BO7:BO22">SUM(Q7:Z7)</f>
        <v>123355890</v>
      </c>
      <c r="BP7" s="345">
        <f aca="true" t="shared" si="8" ref="BP7:BP22">SUM(AA7:AJ7)</f>
        <v>145577254</v>
      </c>
      <c r="BQ7" s="345">
        <f aca="true" t="shared" si="9" ref="BQ7:BQ22">SUM(AK7:AT7)</f>
        <v>85492224</v>
      </c>
      <c r="BR7" s="345">
        <f aca="true" t="shared" si="10" ref="BR7:BR22">SUM(AU7:BD7)</f>
        <v>117656895</v>
      </c>
      <c r="BS7" s="394">
        <f aca="true" t="shared" si="11" ref="BS7:BS22">SUM(BE7:BN7)</f>
        <v>115545119</v>
      </c>
    </row>
    <row r="8" spans="1:71" s="39" customFormat="1" ht="16.5" customHeight="1">
      <c r="A8" s="324" t="s">
        <v>175</v>
      </c>
      <c r="B8" s="27">
        <f>+Q28</f>
        <v>2982.0510608935656</v>
      </c>
      <c r="C8" s="423">
        <f t="shared" si="2"/>
        <v>0.09571565717810329</v>
      </c>
      <c r="D8" s="4">
        <f>+AA28</f>
        <v>4529.1397380969665</v>
      </c>
      <c r="E8" s="322">
        <f t="shared" si="3"/>
        <v>0.1350192110058722</v>
      </c>
      <c r="F8" s="4">
        <f>+AK28</f>
        <v>3376.1667267555986</v>
      </c>
      <c r="G8" s="322">
        <f t="shared" si="4"/>
        <v>0.09400118378078122</v>
      </c>
      <c r="H8" s="4">
        <f>+AU28</f>
        <v>4473.024416398581</v>
      </c>
      <c r="I8" s="322">
        <f t="shared" si="5"/>
        <v>0.12170432593338665</v>
      </c>
      <c r="J8" s="4">
        <f>+BE28</f>
        <v>2617.377287015395</v>
      </c>
      <c r="K8" s="323">
        <f t="shared" si="6"/>
        <v>0.07197864698638262</v>
      </c>
      <c r="P8" s="397" t="s">
        <v>192</v>
      </c>
      <c r="Q8" s="346">
        <v>665789</v>
      </c>
      <c r="R8" s="347">
        <v>41730</v>
      </c>
      <c r="S8" s="347">
        <v>759843</v>
      </c>
      <c r="T8" s="347">
        <v>124269</v>
      </c>
      <c r="U8" s="347">
        <v>78599</v>
      </c>
      <c r="V8" s="347">
        <v>0</v>
      </c>
      <c r="W8" s="347">
        <v>0</v>
      </c>
      <c r="X8" s="347"/>
      <c r="Y8" s="347">
        <v>350218</v>
      </c>
      <c r="Z8" s="373">
        <v>108393</v>
      </c>
      <c r="AA8" s="346">
        <v>542496</v>
      </c>
      <c r="AB8" s="347">
        <v>16060</v>
      </c>
      <c r="AC8" s="347">
        <v>481482</v>
      </c>
      <c r="AD8" s="347">
        <v>29813</v>
      </c>
      <c r="AE8" s="347">
        <v>0</v>
      </c>
      <c r="AF8" s="347">
        <v>0</v>
      </c>
      <c r="AG8" s="347">
        <v>5442</v>
      </c>
      <c r="AH8" s="347"/>
      <c r="AI8" s="347">
        <v>314660</v>
      </c>
      <c r="AJ8" s="373">
        <v>29256</v>
      </c>
      <c r="AK8" s="349">
        <v>303583</v>
      </c>
      <c r="AL8" s="347">
        <v>5389</v>
      </c>
      <c r="AM8" s="347">
        <v>266030</v>
      </c>
      <c r="AN8" s="347">
        <v>40166</v>
      </c>
      <c r="AO8" s="347">
        <v>8000</v>
      </c>
      <c r="AP8" s="347">
        <v>0</v>
      </c>
      <c r="AQ8" s="347"/>
      <c r="AR8" s="347"/>
      <c r="AS8" s="347">
        <v>169866</v>
      </c>
      <c r="AT8" s="347">
        <v>15464</v>
      </c>
      <c r="AU8" s="347">
        <v>985381</v>
      </c>
      <c r="AV8" s="347">
        <v>56677</v>
      </c>
      <c r="AW8" s="347">
        <v>980084</v>
      </c>
      <c r="AX8" s="347">
        <v>205931</v>
      </c>
      <c r="AY8" s="347">
        <v>32342</v>
      </c>
      <c r="AZ8" s="347">
        <v>0</v>
      </c>
      <c r="BA8" s="347">
        <v>0</v>
      </c>
      <c r="BB8" s="347"/>
      <c r="BC8" s="347">
        <v>593996</v>
      </c>
      <c r="BD8" s="461">
        <v>0</v>
      </c>
      <c r="BE8" s="346">
        <v>633378</v>
      </c>
      <c r="BF8" s="347">
        <v>43467</v>
      </c>
      <c r="BG8" s="347">
        <v>327417</v>
      </c>
      <c r="BH8" s="347">
        <v>44914</v>
      </c>
      <c r="BI8" s="347">
        <v>6496</v>
      </c>
      <c r="BJ8" s="347">
        <v>0</v>
      </c>
      <c r="BK8" s="347">
        <v>0</v>
      </c>
      <c r="BL8" s="347"/>
      <c r="BM8" s="347">
        <v>318281</v>
      </c>
      <c r="BN8" s="373">
        <v>25466</v>
      </c>
      <c r="BO8" s="344">
        <f t="shared" si="7"/>
        <v>2128841</v>
      </c>
      <c r="BP8" s="345">
        <f t="shared" si="8"/>
        <v>1419209</v>
      </c>
      <c r="BQ8" s="345">
        <f t="shared" si="9"/>
        <v>808498</v>
      </c>
      <c r="BR8" s="345">
        <f t="shared" si="10"/>
        <v>2854411</v>
      </c>
      <c r="BS8" s="394">
        <f t="shared" si="11"/>
        <v>1399419</v>
      </c>
    </row>
    <row r="9" spans="1:71" s="39" customFormat="1" ht="16.5" customHeight="1">
      <c r="A9" s="324" t="s">
        <v>176</v>
      </c>
      <c r="B9" s="27">
        <f>+Q29</f>
        <v>644.4763095854178</v>
      </c>
      <c r="C9" s="423">
        <f t="shared" si="2"/>
        <v>0.020685921283052338</v>
      </c>
      <c r="D9" s="4">
        <f>+AA29</f>
        <v>2702.7436884273716</v>
      </c>
      <c r="E9" s="322">
        <f t="shared" si="3"/>
        <v>0.08057210451976382</v>
      </c>
      <c r="F9" s="4">
        <f>+AK29</f>
        <v>2963.4078436085406</v>
      </c>
      <c r="G9" s="322">
        <f t="shared" si="4"/>
        <v>0.08250891258327962</v>
      </c>
      <c r="H9" s="4">
        <f>+AU29</f>
        <v>2986.87068657373</v>
      </c>
      <c r="I9" s="322">
        <f t="shared" si="5"/>
        <v>0.08126829852011601</v>
      </c>
      <c r="J9" s="4">
        <f>+BE29</f>
        <v>2344.0638349318933</v>
      </c>
      <c r="K9" s="323">
        <f t="shared" si="6"/>
        <v>0.06446244648225857</v>
      </c>
      <c r="P9" s="397" t="s">
        <v>193</v>
      </c>
      <c r="Q9" s="346">
        <v>0</v>
      </c>
      <c r="R9" s="347">
        <v>0</v>
      </c>
      <c r="S9" s="347">
        <v>0</v>
      </c>
      <c r="T9" s="347">
        <v>0</v>
      </c>
      <c r="U9" s="347">
        <v>0</v>
      </c>
      <c r="V9" s="347">
        <v>0</v>
      </c>
      <c r="W9" s="347">
        <v>0</v>
      </c>
      <c r="X9" s="347"/>
      <c r="Y9" s="347">
        <v>0</v>
      </c>
      <c r="Z9" s="373">
        <v>0</v>
      </c>
      <c r="AA9" s="346">
        <v>0</v>
      </c>
      <c r="AB9" s="347">
        <v>0</v>
      </c>
      <c r="AC9" s="347">
        <v>0</v>
      </c>
      <c r="AD9" s="347">
        <v>0</v>
      </c>
      <c r="AE9" s="347">
        <v>0</v>
      </c>
      <c r="AF9" s="347">
        <v>0</v>
      </c>
      <c r="AG9" s="347">
        <v>0</v>
      </c>
      <c r="AH9" s="347"/>
      <c r="AI9" s="347">
        <v>0</v>
      </c>
      <c r="AJ9" s="373">
        <v>0</v>
      </c>
      <c r="AK9" s="349">
        <v>0</v>
      </c>
      <c r="AL9" s="347">
        <v>0</v>
      </c>
      <c r="AM9" s="347">
        <v>1319</v>
      </c>
      <c r="AN9" s="347">
        <v>0</v>
      </c>
      <c r="AO9" s="347">
        <v>0</v>
      </c>
      <c r="AP9" s="347">
        <v>0</v>
      </c>
      <c r="AQ9" s="347"/>
      <c r="AR9" s="347"/>
      <c r="AS9" s="347">
        <v>0</v>
      </c>
      <c r="AT9" s="347">
        <v>0</v>
      </c>
      <c r="AU9" s="347">
        <v>0</v>
      </c>
      <c r="AV9" s="347">
        <v>0</v>
      </c>
      <c r="AW9" s="347">
        <v>0</v>
      </c>
      <c r="AX9" s="347">
        <v>0</v>
      </c>
      <c r="AY9" s="347">
        <v>0</v>
      </c>
      <c r="AZ9" s="347">
        <v>0</v>
      </c>
      <c r="BA9" s="347">
        <v>2353</v>
      </c>
      <c r="BB9" s="347"/>
      <c r="BC9" s="347">
        <v>0</v>
      </c>
      <c r="BD9" s="461">
        <v>0</v>
      </c>
      <c r="BE9" s="346">
        <v>5167</v>
      </c>
      <c r="BF9" s="347">
        <v>1712</v>
      </c>
      <c r="BG9" s="347">
        <v>95827</v>
      </c>
      <c r="BH9" s="347">
        <v>34189</v>
      </c>
      <c r="BI9" s="347">
        <v>8502</v>
      </c>
      <c r="BJ9" s="347">
        <v>12102</v>
      </c>
      <c r="BK9" s="347">
        <v>4927</v>
      </c>
      <c r="BL9" s="347"/>
      <c r="BM9" s="347">
        <v>2176</v>
      </c>
      <c r="BN9" s="373">
        <v>11789</v>
      </c>
      <c r="BO9" s="344">
        <f t="shared" si="7"/>
        <v>0</v>
      </c>
      <c r="BP9" s="345">
        <f t="shared" si="8"/>
        <v>0</v>
      </c>
      <c r="BQ9" s="345">
        <f t="shared" si="9"/>
        <v>1319</v>
      </c>
      <c r="BR9" s="345">
        <f t="shared" si="10"/>
        <v>2353</v>
      </c>
      <c r="BS9" s="394">
        <f t="shared" si="11"/>
        <v>176391</v>
      </c>
    </row>
    <row r="10" spans="1:71" s="39" customFormat="1" ht="16.5" customHeight="1">
      <c r="A10" s="324" t="s">
        <v>177</v>
      </c>
      <c r="B10" s="27">
        <f>+Q35</f>
        <v>735.0066126157208</v>
      </c>
      <c r="C10" s="423">
        <f t="shared" si="2"/>
        <v>0.023591695621631832</v>
      </c>
      <c r="D10" s="4">
        <f>+AA35</f>
        <v>597.0275700142812</v>
      </c>
      <c r="E10" s="322">
        <f t="shared" si="3"/>
        <v>0.017798124172241105</v>
      </c>
      <c r="F10" s="4">
        <f>+AK35</f>
        <v>580.1586347794737</v>
      </c>
      <c r="G10" s="322">
        <f t="shared" si="4"/>
        <v>0.016153111757700313</v>
      </c>
      <c r="H10" s="4">
        <f>+AU35</f>
        <v>588.1382496081827</v>
      </c>
      <c r="I10" s="322">
        <f t="shared" si="5"/>
        <v>0.016002364968496417</v>
      </c>
      <c r="J10" s="4">
        <f>+BE35</f>
        <v>676.7684909056716</v>
      </c>
      <c r="K10" s="323">
        <f t="shared" si="6"/>
        <v>0.018611333008835617</v>
      </c>
      <c r="P10" s="397" t="s">
        <v>194</v>
      </c>
      <c r="Q10" s="346">
        <v>986542</v>
      </c>
      <c r="R10" s="347">
        <v>26031</v>
      </c>
      <c r="S10" s="347">
        <v>3701688</v>
      </c>
      <c r="T10" s="347">
        <v>300281</v>
      </c>
      <c r="U10" s="347">
        <v>96899</v>
      </c>
      <c r="V10" s="347">
        <v>801530</v>
      </c>
      <c r="W10" s="347">
        <v>39597</v>
      </c>
      <c r="X10" s="347"/>
      <c r="Y10" s="347">
        <v>132220</v>
      </c>
      <c r="Z10" s="373">
        <v>653628</v>
      </c>
      <c r="AA10" s="346">
        <v>680570</v>
      </c>
      <c r="AB10" s="347">
        <v>6232</v>
      </c>
      <c r="AC10" s="347">
        <v>3516531</v>
      </c>
      <c r="AD10" s="347">
        <v>298677</v>
      </c>
      <c r="AE10" s="347">
        <v>44891</v>
      </c>
      <c r="AF10" s="347">
        <v>495743</v>
      </c>
      <c r="AG10" s="347">
        <v>3267</v>
      </c>
      <c r="AH10" s="347"/>
      <c r="AI10" s="347">
        <v>66281</v>
      </c>
      <c r="AJ10" s="373">
        <v>158077</v>
      </c>
      <c r="AK10" s="349">
        <v>339353</v>
      </c>
      <c r="AL10" s="347">
        <v>0</v>
      </c>
      <c r="AM10" s="347">
        <v>1130585</v>
      </c>
      <c r="AN10" s="347">
        <v>174395</v>
      </c>
      <c r="AO10" s="347">
        <v>17520</v>
      </c>
      <c r="AP10" s="347">
        <v>254754</v>
      </c>
      <c r="AQ10" s="347"/>
      <c r="AR10" s="347"/>
      <c r="AS10" s="347">
        <v>7071</v>
      </c>
      <c r="AT10" s="347">
        <v>65509</v>
      </c>
      <c r="AU10" s="347">
        <v>393962</v>
      </c>
      <c r="AV10" s="347">
        <v>8262</v>
      </c>
      <c r="AW10" s="347">
        <v>1485134</v>
      </c>
      <c r="AX10" s="347">
        <v>176652</v>
      </c>
      <c r="AY10" s="347">
        <v>21094</v>
      </c>
      <c r="AZ10" s="347">
        <v>348827</v>
      </c>
      <c r="BA10" s="347">
        <v>47345</v>
      </c>
      <c r="BB10" s="347"/>
      <c r="BC10" s="347">
        <v>13826</v>
      </c>
      <c r="BD10" s="461">
        <v>48169</v>
      </c>
      <c r="BE10" s="346">
        <v>770346</v>
      </c>
      <c r="BF10" s="347">
        <v>9759</v>
      </c>
      <c r="BG10" s="347">
        <v>3156419</v>
      </c>
      <c r="BH10" s="347">
        <v>284610</v>
      </c>
      <c r="BI10" s="347">
        <v>49346</v>
      </c>
      <c r="BJ10" s="347">
        <v>444524</v>
      </c>
      <c r="BK10" s="347">
        <v>32748</v>
      </c>
      <c r="BL10" s="347"/>
      <c r="BM10" s="347">
        <v>30074</v>
      </c>
      <c r="BN10" s="373">
        <v>488131</v>
      </c>
      <c r="BO10" s="344">
        <f t="shared" si="7"/>
        <v>6738416</v>
      </c>
      <c r="BP10" s="345">
        <f t="shared" si="8"/>
        <v>5270269</v>
      </c>
      <c r="BQ10" s="345">
        <f t="shared" si="9"/>
        <v>1989187</v>
      </c>
      <c r="BR10" s="345">
        <f t="shared" si="10"/>
        <v>2543271</v>
      </c>
      <c r="BS10" s="394">
        <f t="shared" si="11"/>
        <v>5265957</v>
      </c>
    </row>
    <row r="11" spans="1:71" s="39" customFormat="1" ht="16.5" customHeight="1">
      <c r="A11" s="324" t="s">
        <v>178</v>
      </c>
      <c r="B11" s="27">
        <f>+Q36</f>
        <v>3141.635759875798</v>
      </c>
      <c r="C11" s="423">
        <f t="shared" si="2"/>
        <v>0.10083788816165899</v>
      </c>
      <c r="D11" s="4">
        <f>+AA36</f>
        <v>3198.118630939414</v>
      </c>
      <c r="E11" s="322">
        <f t="shared" si="3"/>
        <v>0.09533983917971467</v>
      </c>
      <c r="F11" s="4">
        <f>+AK36</f>
        <v>3598.3916195970037</v>
      </c>
      <c r="G11" s="322">
        <f t="shared" si="4"/>
        <v>0.10018849758465946</v>
      </c>
      <c r="H11" s="4">
        <f>+AU36</f>
        <v>3403.1194148863037</v>
      </c>
      <c r="I11" s="322">
        <f t="shared" si="5"/>
        <v>0.09259380586905624</v>
      </c>
      <c r="J11" s="4">
        <f>+BE36</f>
        <v>3519.1545095510605</v>
      </c>
      <c r="K11" s="323">
        <f t="shared" si="6"/>
        <v>0.09677778644681209</v>
      </c>
      <c r="P11" s="397" t="s">
        <v>195</v>
      </c>
      <c r="Q11" s="346">
        <v>4148868</v>
      </c>
      <c r="R11" s="347">
        <v>47277</v>
      </c>
      <c r="S11" s="347">
        <v>2354997</v>
      </c>
      <c r="T11" s="347">
        <v>1289124</v>
      </c>
      <c r="U11" s="347">
        <v>156039</v>
      </c>
      <c r="V11" s="347">
        <v>1404468</v>
      </c>
      <c r="W11" s="347">
        <v>85787</v>
      </c>
      <c r="X11" s="347"/>
      <c r="Y11" s="347">
        <v>91646</v>
      </c>
      <c r="Z11" s="373">
        <v>980175</v>
      </c>
      <c r="AA11" s="346">
        <v>7484494</v>
      </c>
      <c r="AB11" s="347">
        <v>101871</v>
      </c>
      <c r="AC11" s="347">
        <v>4394331</v>
      </c>
      <c r="AD11" s="347">
        <v>1841426</v>
      </c>
      <c r="AE11" s="347">
        <v>33101</v>
      </c>
      <c r="AF11" s="347">
        <v>520101</v>
      </c>
      <c r="AG11" s="347">
        <v>0</v>
      </c>
      <c r="AH11" s="347"/>
      <c r="AI11" s="347">
        <v>103165</v>
      </c>
      <c r="AJ11" s="373">
        <v>333526</v>
      </c>
      <c r="AK11" s="349">
        <v>3371170</v>
      </c>
      <c r="AL11" s="347">
        <v>31902</v>
      </c>
      <c r="AM11" s="347">
        <v>2313651</v>
      </c>
      <c r="AN11" s="347">
        <v>1074307</v>
      </c>
      <c r="AO11" s="347">
        <v>11976</v>
      </c>
      <c r="AP11" s="347">
        <v>770093</v>
      </c>
      <c r="AQ11" s="347"/>
      <c r="AR11" s="347"/>
      <c r="AS11" s="347">
        <v>195905</v>
      </c>
      <c r="AT11" s="347">
        <v>916306</v>
      </c>
      <c r="AU11" s="347">
        <v>6507177</v>
      </c>
      <c r="AV11" s="347">
        <v>151438</v>
      </c>
      <c r="AW11" s="347">
        <v>1460627</v>
      </c>
      <c r="AX11" s="347">
        <v>929098</v>
      </c>
      <c r="AY11" s="347">
        <v>8609</v>
      </c>
      <c r="AZ11" s="347">
        <v>169442</v>
      </c>
      <c r="BA11" s="347">
        <v>104219</v>
      </c>
      <c r="BB11" s="347"/>
      <c r="BC11" s="347">
        <v>51115</v>
      </c>
      <c r="BD11" s="461">
        <v>254003</v>
      </c>
      <c r="BE11" s="346">
        <v>3896856</v>
      </c>
      <c r="BF11" s="347">
        <v>54600</v>
      </c>
      <c r="BG11" s="347">
        <v>280643</v>
      </c>
      <c r="BH11" s="347">
        <v>1387312</v>
      </c>
      <c r="BI11" s="347">
        <v>0</v>
      </c>
      <c r="BJ11" s="347">
        <v>236714</v>
      </c>
      <c r="BK11" s="347">
        <v>112197</v>
      </c>
      <c r="BL11" s="347"/>
      <c r="BM11" s="347">
        <v>69095</v>
      </c>
      <c r="BN11" s="373">
        <v>455614</v>
      </c>
      <c r="BO11" s="344">
        <f t="shared" si="7"/>
        <v>10558381</v>
      </c>
      <c r="BP11" s="345">
        <f t="shared" si="8"/>
        <v>14812015</v>
      </c>
      <c r="BQ11" s="345">
        <f t="shared" si="9"/>
        <v>8685310</v>
      </c>
      <c r="BR11" s="345">
        <f t="shared" si="10"/>
        <v>9635728</v>
      </c>
      <c r="BS11" s="394">
        <f t="shared" si="11"/>
        <v>6493031</v>
      </c>
    </row>
    <row r="12" spans="1:71" s="39" customFormat="1" ht="16.5" customHeight="1">
      <c r="A12" s="324" t="s">
        <v>179</v>
      </c>
      <c r="B12" s="27">
        <f>+Q37</f>
        <v>3767.339428439998</v>
      </c>
      <c r="C12" s="423">
        <f t="shared" si="2"/>
        <v>0.12092125917457072</v>
      </c>
      <c r="D12" s="4">
        <f>+AA37</f>
        <v>357.499455377242</v>
      </c>
      <c r="E12" s="322">
        <f t="shared" si="3"/>
        <v>0.010657497271291037</v>
      </c>
      <c r="F12" s="4">
        <f>+AK37</f>
        <v>184.78047510315267</v>
      </c>
      <c r="G12" s="322">
        <f t="shared" si="4"/>
        <v>0.005144764700635269</v>
      </c>
      <c r="H12" s="4">
        <f>+AU37</f>
        <v>1202.6547334268196</v>
      </c>
      <c r="I12" s="322">
        <f t="shared" si="5"/>
        <v>0.03272244236488097</v>
      </c>
      <c r="J12" s="4">
        <f>+BE37</f>
        <v>8267.394750275382</v>
      </c>
      <c r="K12" s="323">
        <f t="shared" si="6"/>
        <v>0.22735579283096474</v>
      </c>
      <c r="P12" s="397" t="s">
        <v>196</v>
      </c>
      <c r="Q12" s="346">
        <v>896647</v>
      </c>
      <c r="R12" s="347">
        <v>20223</v>
      </c>
      <c r="S12" s="347">
        <v>829046</v>
      </c>
      <c r="T12" s="347">
        <v>485879</v>
      </c>
      <c r="U12" s="347">
        <v>0</v>
      </c>
      <c r="V12" s="347">
        <v>584135</v>
      </c>
      <c r="W12" s="347">
        <v>14175</v>
      </c>
      <c r="X12" s="347"/>
      <c r="Y12" s="347">
        <v>144230</v>
      </c>
      <c r="Z12" s="373">
        <v>161901</v>
      </c>
      <c r="AA12" s="346">
        <v>4466338</v>
      </c>
      <c r="AB12" s="347">
        <v>0</v>
      </c>
      <c r="AC12" s="347">
        <v>1166531</v>
      </c>
      <c r="AD12" s="347">
        <v>478634</v>
      </c>
      <c r="AE12" s="347">
        <v>408</v>
      </c>
      <c r="AF12" s="347">
        <v>187653</v>
      </c>
      <c r="AG12" s="347">
        <v>0</v>
      </c>
      <c r="AH12" s="347"/>
      <c r="AI12" s="347">
        <v>133586</v>
      </c>
      <c r="AJ12" s="373">
        <v>280419</v>
      </c>
      <c r="AK12" s="349">
        <v>2959022</v>
      </c>
      <c r="AL12" s="347">
        <v>0</v>
      </c>
      <c r="AM12" s="347">
        <v>1370320</v>
      </c>
      <c r="AN12" s="347">
        <v>573986</v>
      </c>
      <c r="AO12" s="347">
        <v>0</v>
      </c>
      <c r="AP12" s="347">
        <v>493122</v>
      </c>
      <c r="AQ12" s="347"/>
      <c r="AR12" s="347"/>
      <c r="AS12" s="347">
        <v>288374</v>
      </c>
      <c r="AT12" s="347">
        <v>345556</v>
      </c>
      <c r="AU12" s="347">
        <v>4345180</v>
      </c>
      <c r="AV12" s="347">
        <v>49312</v>
      </c>
      <c r="AW12" s="347">
        <v>626090</v>
      </c>
      <c r="AX12" s="347">
        <v>437975</v>
      </c>
      <c r="AY12" s="347">
        <v>0</v>
      </c>
      <c r="AZ12" s="347">
        <v>50652</v>
      </c>
      <c r="BA12" s="347">
        <v>7604</v>
      </c>
      <c r="BB12" s="347"/>
      <c r="BC12" s="347">
        <v>100999</v>
      </c>
      <c r="BD12" s="461">
        <v>23936</v>
      </c>
      <c r="BE12" s="346">
        <v>3489936</v>
      </c>
      <c r="BF12" s="347">
        <v>0</v>
      </c>
      <c r="BG12" s="347">
        <v>118515</v>
      </c>
      <c r="BH12" s="347">
        <v>588415</v>
      </c>
      <c r="BI12" s="347">
        <v>0</v>
      </c>
      <c r="BJ12" s="347">
        <v>51491</v>
      </c>
      <c r="BK12" s="347">
        <v>2822</v>
      </c>
      <c r="BL12" s="347"/>
      <c r="BM12" s="347">
        <v>76873</v>
      </c>
      <c r="BN12" s="373">
        <v>245077</v>
      </c>
      <c r="BO12" s="344">
        <f t="shared" si="7"/>
        <v>3136236</v>
      </c>
      <c r="BP12" s="345">
        <f t="shared" si="8"/>
        <v>6713569</v>
      </c>
      <c r="BQ12" s="345">
        <f t="shared" si="9"/>
        <v>6030380</v>
      </c>
      <c r="BR12" s="345">
        <f t="shared" si="10"/>
        <v>5641748</v>
      </c>
      <c r="BS12" s="394">
        <f t="shared" si="11"/>
        <v>4573129</v>
      </c>
    </row>
    <row r="13" spans="1:71" s="39" customFormat="1" ht="16.5" customHeight="1">
      <c r="A13" s="324" t="s">
        <v>180</v>
      </c>
      <c r="B13" s="27">
        <f>+Q38</f>
        <v>1166.9376401587028</v>
      </c>
      <c r="C13" s="423">
        <f t="shared" si="2"/>
        <v>0.03745549651325766</v>
      </c>
      <c r="D13" s="4">
        <f>+AA38</f>
        <v>3951.7936242829132</v>
      </c>
      <c r="E13" s="322">
        <f t="shared" si="3"/>
        <v>0.11780781518410542</v>
      </c>
      <c r="F13" s="4">
        <f>+AK38</f>
        <v>6693.338140447863</v>
      </c>
      <c r="G13" s="322">
        <f t="shared" si="4"/>
        <v>0.1863597859847929</v>
      </c>
      <c r="H13" s="4">
        <f>+AU38</f>
        <v>5277.231983282466</v>
      </c>
      <c r="I13" s="322">
        <f t="shared" si="5"/>
        <v>0.14358561490630398</v>
      </c>
      <c r="J13" s="4">
        <f>+BE38</f>
        <v>441.6512183982161</v>
      </c>
      <c r="K13" s="323">
        <f t="shared" si="6"/>
        <v>0.012145538703149904</v>
      </c>
      <c r="P13" s="397" t="s">
        <v>197</v>
      </c>
      <c r="Q13" s="346">
        <v>782447</v>
      </c>
      <c r="R13" s="347">
        <v>3900</v>
      </c>
      <c r="S13" s="347">
        <v>3757195</v>
      </c>
      <c r="T13" s="347">
        <v>215350</v>
      </c>
      <c r="U13" s="347">
        <v>32514</v>
      </c>
      <c r="V13" s="347">
        <v>508824</v>
      </c>
      <c r="W13" s="347">
        <v>14067</v>
      </c>
      <c r="X13" s="347"/>
      <c r="Y13" s="347">
        <v>57887</v>
      </c>
      <c r="Z13" s="373">
        <v>612081</v>
      </c>
      <c r="AA13" s="346">
        <v>732677</v>
      </c>
      <c r="AB13" s="347">
        <v>14086</v>
      </c>
      <c r="AC13" s="347">
        <v>4093717</v>
      </c>
      <c r="AD13" s="347">
        <v>201711</v>
      </c>
      <c r="AE13" s="347">
        <v>9900</v>
      </c>
      <c r="AF13" s="347">
        <v>499115</v>
      </c>
      <c r="AG13" s="347">
        <v>0</v>
      </c>
      <c r="AH13" s="347"/>
      <c r="AI13" s="347">
        <v>54540</v>
      </c>
      <c r="AJ13" s="373">
        <v>531658</v>
      </c>
      <c r="AK13" s="349">
        <v>540445</v>
      </c>
      <c r="AL13" s="347">
        <v>5893</v>
      </c>
      <c r="AM13" s="347">
        <v>1908282</v>
      </c>
      <c r="AN13" s="347">
        <v>155107</v>
      </c>
      <c r="AO13" s="347">
        <v>3290</v>
      </c>
      <c r="AP13" s="347">
        <v>346711</v>
      </c>
      <c r="AQ13" s="347"/>
      <c r="AR13" s="347"/>
      <c r="AS13" s="347">
        <v>27093</v>
      </c>
      <c r="AT13" s="347">
        <v>216602</v>
      </c>
      <c r="AU13" s="347">
        <v>1114077</v>
      </c>
      <c r="AV13" s="347">
        <v>29026</v>
      </c>
      <c r="AW13" s="347">
        <v>3362182</v>
      </c>
      <c r="AX13" s="347">
        <v>164741</v>
      </c>
      <c r="AY13" s="347">
        <v>7578</v>
      </c>
      <c r="AZ13" s="347">
        <v>437102</v>
      </c>
      <c r="BA13" s="347">
        <v>28456</v>
      </c>
      <c r="BB13" s="347"/>
      <c r="BC13" s="347">
        <v>10745</v>
      </c>
      <c r="BD13" s="461">
        <v>309629</v>
      </c>
      <c r="BE13" s="346">
        <v>719751</v>
      </c>
      <c r="BF13" s="347">
        <v>9200</v>
      </c>
      <c r="BG13" s="347">
        <v>3247710</v>
      </c>
      <c r="BH13" s="347">
        <v>134128</v>
      </c>
      <c r="BI13" s="347">
        <v>0</v>
      </c>
      <c r="BJ13" s="347">
        <v>297383</v>
      </c>
      <c r="BK13" s="347">
        <v>18738</v>
      </c>
      <c r="BL13" s="347"/>
      <c r="BM13" s="347">
        <v>11663</v>
      </c>
      <c r="BN13" s="373">
        <v>510191</v>
      </c>
      <c r="BO13" s="344">
        <f t="shared" si="7"/>
        <v>5984265</v>
      </c>
      <c r="BP13" s="345">
        <f t="shared" si="8"/>
        <v>6137404</v>
      </c>
      <c r="BQ13" s="345">
        <f t="shared" si="9"/>
        <v>3203423</v>
      </c>
      <c r="BR13" s="345">
        <f t="shared" si="10"/>
        <v>5463536</v>
      </c>
      <c r="BS13" s="394">
        <f t="shared" si="11"/>
        <v>4948764</v>
      </c>
    </row>
    <row r="14" spans="1:71" s="39" customFormat="1" ht="16.5" customHeight="1">
      <c r="A14" s="325" t="s">
        <v>181</v>
      </c>
      <c r="B14" s="27">
        <f>+Q26+Q27+Q30+Q31+Q32+Q33+Q25</f>
        <v>2041.748605600598</v>
      </c>
      <c r="C14" s="423">
        <f t="shared" si="2"/>
        <v>0.06553452827832461</v>
      </c>
      <c r="D14" s="4">
        <f>+AA26+AA27+AA30+AA31+AA32+AA33+AA25</f>
        <v>1751.8456660131192</v>
      </c>
      <c r="E14" s="322">
        <f t="shared" si="3"/>
        <v>0.05222466810629546</v>
      </c>
      <c r="F14" s="4">
        <f>+AK26+AK27+AK30+AK31+AK32+AK33+AK25</f>
        <v>1618.4903657412972</v>
      </c>
      <c r="G14" s="322">
        <f t="shared" si="4"/>
        <v>0.04506294345945224</v>
      </c>
      <c r="H14" s="4">
        <f>+AU26+AU27+AU30+AU31+AU32+AU33+AU25</f>
        <v>2377.4581374247296</v>
      </c>
      <c r="I14" s="322">
        <f t="shared" si="5"/>
        <v>0.06468709157708712</v>
      </c>
      <c r="J14" s="4">
        <f>+BE26+BE27+BE30+BE31+BE32+BE33+BE25</f>
        <v>1866.9776470272157</v>
      </c>
      <c r="K14" s="323">
        <f t="shared" si="6"/>
        <v>0.05134243567157875</v>
      </c>
      <c r="P14" s="397" t="s">
        <v>198</v>
      </c>
      <c r="Q14" s="346">
        <v>352960</v>
      </c>
      <c r="R14" s="347">
        <v>2699</v>
      </c>
      <c r="S14" s="347">
        <v>1673149</v>
      </c>
      <c r="T14" s="347">
        <v>105974</v>
      </c>
      <c r="U14" s="347">
        <v>18064</v>
      </c>
      <c r="V14" s="347">
        <v>217964</v>
      </c>
      <c r="W14" s="347">
        <v>6214</v>
      </c>
      <c r="X14" s="347"/>
      <c r="Y14" s="347">
        <v>26295</v>
      </c>
      <c r="Z14" s="373">
        <v>276088</v>
      </c>
      <c r="AA14" s="346">
        <v>337838</v>
      </c>
      <c r="AB14" s="347">
        <v>14893</v>
      </c>
      <c r="AC14" s="347">
        <v>1838991</v>
      </c>
      <c r="AD14" s="347">
        <v>85326</v>
      </c>
      <c r="AE14" s="347">
        <v>1432</v>
      </c>
      <c r="AF14" s="347">
        <v>220659</v>
      </c>
      <c r="AG14" s="347">
        <v>0</v>
      </c>
      <c r="AH14" s="347"/>
      <c r="AI14" s="347">
        <v>29539</v>
      </c>
      <c r="AJ14" s="373">
        <v>255670</v>
      </c>
      <c r="AK14" s="349">
        <v>246508</v>
      </c>
      <c r="AL14" s="347">
        <v>1023</v>
      </c>
      <c r="AM14" s="347">
        <v>863225</v>
      </c>
      <c r="AN14" s="347">
        <v>65843</v>
      </c>
      <c r="AO14" s="347">
        <v>0</v>
      </c>
      <c r="AP14" s="347">
        <v>144403</v>
      </c>
      <c r="AQ14" s="347"/>
      <c r="AR14" s="347"/>
      <c r="AS14" s="347">
        <v>7756</v>
      </c>
      <c r="AT14" s="347">
        <v>106116</v>
      </c>
      <c r="AU14" s="347">
        <v>479970</v>
      </c>
      <c r="AV14" s="347">
        <v>7752</v>
      </c>
      <c r="AW14" s="347">
        <v>1496924</v>
      </c>
      <c r="AX14" s="347">
        <v>69140</v>
      </c>
      <c r="AY14" s="347">
        <v>600</v>
      </c>
      <c r="AZ14" s="347">
        <v>210345</v>
      </c>
      <c r="BA14" s="347">
        <v>9704</v>
      </c>
      <c r="BB14" s="347"/>
      <c r="BC14" s="347">
        <v>5403</v>
      </c>
      <c r="BD14" s="461">
        <v>135699</v>
      </c>
      <c r="BE14" s="346">
        <v>286119</v>
      </c>
      <c r="BF14" s="347">
        <v>0</v>
      </c>
      <c r="BG14" s="347">
        <v>1400104</v>
      </c>
      <c r="BH14" s="347">
        <v>62177</v>
      </c>
      <c r="BI14" s="347">
        <v>0</v>
      </c>
      <c r="BJ14" s="347">
        <v>143357</v>
      </c>
      <c r="BK14" s="347">
        <v>9554</v>
      </c>
      <c r="BL14" s="347"/>
      <c r="BM14" s="347">
        <v>3901</v>
      </c>
      <c r="BN14" s="373">
        <v>223404</v>
      </c>
      <c r="BO14" s="344">
        <f t="shared" si="7"/>
        <v>2679407</v>
      </c>
      <c r="BP14" s="345">
        <f t="shared" si="8"/>
        <v>2784348</v>
      </c>
      <c r="BQ14" s="345">
        <f t="shared" si="9"/>
        <v>1434874</v>
      </c>
      <c r="BR14" s="345">
        <f t="shared" si="10"/>
        <v>2415537</v>
      </c>
      <c r="BS14" s="394">
        <f t="shared" si="11"/>
        <v>2128616</v>
      </c>
    </row>
    <row r="15" spans="1:71" s="39" customFormat="1" ht="16.5" customHeight="1" thickBot="1">
      <c r="A15" s="326" t="s">
        <v>182</v>
      </c>
      <c r="B15" s="31"/>
      <c r="C15" s="327"/>
      <c r="D15" s="6"/>
      <c r="E15" s="327"/>
      <c r="F15" s="6"/>
      <c r="G15" s="327"/>
      <c r="H15" s="6"/>
      <c r="I15" s="327"/>
      <c r="J15" s="6"/>
      <c r="K15" s="328"/>
      <c r="P15" s="397" t="s">
        <v>199</v>
      </c>
      <c r="Q15" s="346">
        <v>52906</v>
      </c>
      <c r="R15" s="347">
        <v>3065</v>
      </c>
      <c r="S15" s="347">
        <v>2919224</v>
      </c>
      <c r="T15" s="347">
        <v>42633</v>
      </c>
      <c r="U15" s="347">
        <v>0</v>
      </c>
      <c r="V15" s="347">
        <v>172734</v>
      </c>
      <c r="W15" s="347">
        <v>2024</v>
      </c>
      <c r="X15" s="347"/>
      <c r="Y15" s="347">
        <v>46120</v>
      </c>
      <c r="Z15" s="373">
        <v>12104</v>
      </c>
      <c r="AA15" s="346">
        <v>601379</v>
      </c>
      <c r="AB15" s="347">
        <v>0</v>
      </c>
      <c r="AC15" s="347">
        <v>3527102</v>
      </c>
      <c r="AD15" s="347">
        <v>110936</v>
      </c>
      <c r="AE15" s="347">
        <v>0</v>
      </c>
      <c r="AF15" s="347">
        <v>265977</v>
      </c>
      <c r="AG15" s="347">
        <v>0</v>
      </c>
      <c r="AH15" s="347"/>
      <c r="AI15" s="347">
        <v>0</v>
      </c>
      <c r="AJ15" s="373">
        <v>148189</v>
      </c>
      <c r="AK15" s="349">
        <v>186206</v>
      </c>
      <c r="AL15" s="347">
        <v>0</v>
      </c>
      <c r="AM15" s="347">
        <v>1500756</v>
      </c>
      <c r="AN15" s="347">
        <v>20870</v>
      </c>
      <c r="AO15" s="347">
        <v>0</v>
      </c>
      <c r="AP15" s="347">
        <v>189423</v>
      </c>
      <c r="AQ15" s="347"/>
      <c r="AR15" s="347"/>
      <c r="AS15" s="347">
        <v>1739</v>
      </c>
      <c r="AT15" s="347">
        <v>48217</v>
      </c>
      <c r="AU15" s="347">
        <v>485241</v>
      </c>
      <c r="AV15" s="347">
        <v>88</v>
      </c>
      <c r="AW15" s="347">
        <v>2915508</v>
      </c>
      <c r="AX15" s="347">
        <v>73982</v>
      </c>
      <c r="AY15" s="347">
        <v>365</v>
      </c>
      <c r="AZ15" s="347">
        <v>303564</v>
      </c>
      <c r="BA15" s="347">
        <v>2378</v>
      </c>
      <c r="BB15" s="347"/>
      <c r="BC15" s="347">
        <v>7267</v>
      </c>
      <c r="BD15" s="461">
        <v>172999</v>
      </c>
      <c r="BE15" s="346">
        <v>364870</v>
      </c>
      <c r="BF15" s="347">
        <v>0</v>
      </c>
      <c r="BG15" s="347">
        <v>2981345</v>
      </c>
      <c r="BH15" s="347">
        <v>44332</v>
      </c>
      <c r="BI15" s="347">
        <v>0</v>
      </c>
      <c r="BJ15" s="347">
        <v>147544</v>
      </c>
      <c r="BK15" s="347">
        <v>0</v>
      </c>
      <c r="BL15" s="347"/>
      <c r="BM15" s="347">
        <v>3515</v>
      </c>
      <c r="BN15" s="373">
        <v>82844</v>
      </c>
      <c r="BO15" s="344">
        <f t="shared" si="7"/>
        <v>3250810</v>
      </c>
      <c r="BP15" s="345">
        <f t="shared" si="8"/>
        <v>4653583</v>
      </c>
      <c r="BQ15" s="345">
        <f t="shared" si="9"/>
        <v>1947211</v>
      </c>
      <c r="BR15" s="345">
        <f t="shared" si="10"/>
        <v>3961392</v>
      </c>
      <c r="BS15" s="394">
        <f t="shared" si="11"/>
        <v>3624450</v>
      </c>
    </row>
    <row r="16" spans="1:71" s="39" customFormat="1" ht="17.25" customHeight="1">
      <c r="A16" s="329"/>
      <c r="B16" s="329"/>
      <c r="C16" s="330"/>
      <c r="D16" s="329"/>
      <c r="E16" s="330"/>
      <c r="F16" s="329"/>
      <c r="G16" s="330"/>
      <c r="H16" s="329"/>
      <c r="I16" s="330"/>
      <c r="J16" s="329"/>
      <c r="K16" s="330"/>
      <c r="P16" s="397" t="s">
        <v>200</v>
      </c>
      <c r="Q16" s="346">
        <v>0</v>
      </c>
      <c r="R16" s="347">
        <v>0</v>
      </c>
      <c r="S16" s="347">
        <v>0</v>
      </c>
      <c r="T16" s="347">
        <v>0</v>
      </c>
      <c r="U16" s="347">
        <v>0</v>
      </c>
      <c r="V16" s="347">
        <v>0</v>
      </c>
      <c r="W16" s="347">
        <v>0</v>
      </c>
      <c r="X16" s="347"/>
      <c r="Y16" s="347">
        <v>0</v>
      </c>
      <c r="Z16" s="373">
        <v>0</v>
      </c>
      <c r="AA16" s="346">
        <v>0</v>
      </c>
      <c r="AB16" s="347">
        <v>0</v>
      </c>
      <c r="AC16" s="347">
        <v>0</v>
      </c>
      <c r="AD16" s="347">
        <v>0</v>
      </c>
      <c r="AE16" s="347">
        <v>0</v>
      </c>
      <c r="AF16" s="347">
        <v>0</v>
      </c>
      <c r="AG16" s="347">
        <v>0</v>
      </c>
      <c r="AH16" s="347"/>
      <c r="AI16" s="347">
        <v>0</v>
      </c>
      <c r="AJ16" s="373">
        <v>27460</v>
      </c>
      <c r="AK16" s="349">
        <v>0</v>
      </c>
      <c r="AL16" s="347">
        <v>0</v>
      </c>
      <c r="AM16" s="347">
        <v>0</v>
      </c>
      <c r="AN16" s="347">
        <v>0</v>
      </c>
      <c r="AO16" s="347">
        <v>0</v>
      </c>
      <c r="AP16" s="347">
        <v>0</v>
      </c>
      <c r="AQ16" s="347"/>
      <c r="AR16" s="347"/>
      <c r="AS16" s="347">
        <v>0</v>
      </c>
      <c r="AT16" s="347">
        <v>0</v>
      </c>
      <c r="AU16" s="347">
        <v>0</v>
      </c>
      <c r="AV16" s="347">
        <v>0</v>
      </c>
      <c r="AW16" s="347">
        <v>0</v>
      </c>
      <c r="AX16" s="347">
        <v>0</v>
      </c>
      <c r="AY16" s="347">
        <v>0</v>
      </c>
      <c r="AZ16" s="347">
        <v>0</v>
      </c>
      <c r="BA16" s="347">
        <v>0</v>
      </c>
      <c r="BB16" s="347"/>
      <c r="BC16" s="347">
        <v>0</v>
      </c>
      <c r="BD16" s="461">
        <v>0</v>
      </c>
      <c r="BE16" s="346">
        <v>0</v>
      </c>
      <c r="BF16" s="347">
        <v>0</v>
      </c>
      <c r="BG16" s="347">
        <v>0</v>
      </c>
      <c r="BH16" s="347">
        <v>0</v>
      </c>
      <c r="BI16" s="347">
        <v>0</v>
      </c>
      <c r="BJ16" s="347">
        <v>2420</v>
      </c>
      <c r="BK16" s="347">
        <v>0</v>
      </c>
      <c r="BL16" s="347"/>
      <c r="BM16" s="347">
        <v>0</v>
      </c>
      <c r="BN16" s="373">
        <v>0</v>
      </c>
      <c r="BO16" s="344">
        <f t="shared" si="7"/>
        <v>0</v>
      </c>
      <c r="BP16" s="345">
        <f t="shared" si="8"/>
        <v>27460</v>
      </c>
      <c r="BQ16" s="345">
        <f t="shared" si="9"/>
        <v>0</v>
      </c>
      <c r="BR16" s="345">
        <f t="shared" si="10"/>
        <v>0</v>
      </c>
      <c r="BS16" s="394">
        <f t="shared" si="11"/>
        <v>2420</v>
      </c>
    </row>
    <row r="17" spans="1:71" s="39" customFormat="1" ht="17.25" customHeight="1">
      <c r="A17" s="329"/>
      <c r="B17" s="329"/>
      <c r="C17" s="330"/>
      <c r="D17" s="329"/>
      <c r="E17" s="330"/>
      <c r="F17" s="329"/>
      <c r="G17" s="330"/>
      <c r="H17" s="329"/>
      <c r="I17" s="330"/>
      <c r="J17" s="329"/>
      <c r="K17" s="330"/>
      <c r="P17" s="397" t="s">
        <v>201</v>
      </c>
      <c r="Q17" s="346">
        <v>0</v>
      </c>
      <c r="R17" s="347">
        <v>0</v>
      </c>
      <c r="S17" s="347">
        <v>0</v>
      </c>
      <c r="T17" s="347">
        <v>0</v>
      </c>
      <c r="U17" s="347">
        <v>0</v>
      </c>
      <c r="V17" s="347">
        <v>0</v>
      </c>
      <c r="W17" s="347">
        <v>0</v>
      </c>
      <c r="X17" s="347"/>
      <c r="Y17" s="347">
        <v>0</v>
      </c>
      <c r="Z17" s="373">
        <v>0</v>
      </c>
      <c r="AA17" s="346">
        <v>0</v>
      </c>
      <c r="AB17" s="347">
        <v>0</v>
      </c>
      <c r="AC17" s="347">
        <v>0</v>
      </c>
      <c r="AD17" s="347">
        <v>0</v>
      </c>
      <c r="AE17" s="347">
        <v>0</v>
      </c>
      <c r="AF17" s="347">
        <v>0</v>
      </c>
      <c r="AG17" s="347">
        <v>0</v>
      </c>
      <c r="AH17" s="347"/>
      <c r="AI17" s="347">
        <v>0</v>
      </c>
      <c r="AJ17" s="373">
        <v>0</v>
      </c>
      <c r="AK17" s="349">
        <v>0</v>
      </c>
      <c r="AL17" s="347">
        <v>0</v>
      </c>
      <c r="AM17" s="347">
        <v>0</v>
      </c>
      <c r="AN17" s="347">
        <v>0</v>
      </c>
      <c r="AO17" s="347">
        <v>0</v>
      </c>
      <c r="AP17" s="347">
        <v>0</v>
      </c>
      <c r="AQ17" s="347"/>
      <c r="AR17" s="347"/>
      <c r="AS17" s="347">
        <v>0</v>
      </c>
      <c r="AT17" s="347">
        <v>0</v>
      </c>
      <c r="AU17" s="347">
        <v>0</v>
      </c>
      <c r="AV17" s="347">
        <v>0</v>
      </c>
      <c r="AW17" s="347">
        <v>0</v>
      </c>
      <c r="AX17" s="347">
        <v>0</v>
      </c>
      <c r="AY17" s="347">
        <v>0</v>
      </c>
      <c r="AZ17" s="347">
        <v>0</v>
      </c>
      <c r="BA17" s="347">
        <v>0</v>
      </c>
      <c r="BB17" s="347"/>
      <c r="BC17" s="347">
        <v>0</v>
      </c>
      <c r="BD17" s="461">
        <v>0</v>
      </c>
      <c r="BE17" s="346">
        <v>0</v>
      </c>
      <c r="BF17" s="347">
        <v>0</v>
      </c>
      <c r="BG17" s="347">
        <v>0</v>
      </c>
      <c r="BH17" s="347">
        <v>0</v>
      </c>
      <c r="BI17" s="347">
        <v>0</v>
      </c>
      <c r="BJ17" s="347">
        <v>0</v>
      </c>
      <c r="BK17" s="347">
        <v>0</v>
      </c>
      <c r="BL17" s="347"/>
      <c r="BM17" s="347">
        <v>0</v>
      </c>
      <c r="BN17" s="373">
        <v>0</v>
      </c>
      <c r="BO17" s="344">
        <f t="shared" si="7"/>
        <v>0</v>
      </c>
      <c r="BP17" s="345">
        <f t="shared" si="8"/>
        <v>0</v>
      </c>
      <c r="BQ17" s="345">
        <f t="shared" si="9"/>
        <v>0</v>
      </c>
      <c r="BR17" s="345">
        <f t="shared" si="10"/>
        <v>0</v>
      </c>
      <c r="BS17" s="394">
        <f t="shared" si="11"/>
        <v>0</v>
      </c>
    </row>
    <row r="18" spans="1:71" s="39" customFormat="1" ht="17.25" customHeight="1">
      <c r="A18" s="329"/>
      <c r="B18" s="329"/>
      <c r="C18" s="330"/>
      <c r="D18" s="329"/>
      <c r="E18" s="330"/>
      <c r="F18" s="329"/>
      <c r="G18" s="330"/>
      <c r="H18" s="329"/>
      <c r="I18" s="330"/>
      <c r="J18" s="329"/>
      <c r="K18" s="330"/>
      <c r="P18" s="397" t="s">
        <v>177</v>
      </c>
      <c r="Q18" s="346">
        <v>1022600</v>
      </c>
      <c r="R18" s="347">
        <v>41800</v>
      </c>
      <c r="S18" s="347">
        <v>2079200</v>
      </c>
      <c r="T18" s="347">
        <v>282900</v>
      </c>
      <c r="U18" s="347">
        <v>143400</v>
      </c>
      <c r="V18" s="347">
        <v>373200</v>
      </c>
      <c r="W18" s="347">
        <v>39000</v>
      </c>
      <c r="X18" s="347"/>
      <c r="Y18" s="347">
        <v>265900</v>
      </c>
      <c r="Z18" s="373">
        <v>552300</v>
      </c>
      <c r="AA18" s="346">
        <v>986600</v>
      </c>
      <c r="AB18" s="347">
        <v>46500</v>
      </c>
      <c r="AC18" s="347">
        <v>2484300</v>
      </c>
      <c r="AD18" s="347">
        <v>354800</v>
      </c>
      <c r="AE18" s="347">
        <v>109700</v>
      </c>
      <c r="AF18" s="347">
        <v>470000</v>
      </c>
      <c r="AG18" s="347">
        <v>6900</v>
      </c>
      <c r="AH18" s="347"/>
      <c r="AI18" s="347">
        <v>377600</v>
      </c>
      <c r="AJ18" s="373">
        <v>401100</v>
      </c>
      <c r="AK18" s="349">
        <v>579300</v>
      </c>
      <c r="AL18" s="347">
        <v>21100</v>
      </c>
      <c r="AM18" s="347">
        <v>1269500</v>
      </c>
      <c r="AN18" s="347">
        <v>287200</v>
      </c>
      <c r="AO18" s="347">
        <v>52000</v>
      </c>
      <c r="AP18" s="347">
        <v>253100</v>
      </c>
      <c r="AQ18" s="347"/>
      <c r="AR18" s="347"/>
      <c r="AS18" s="347">
        <v>263300</v>
      </c>
      <c r="AT18" s="347">
        <v>239400</v>
      </c>
      <c r="AU18" s="347">
        <v>855600</v>
      </c>
      <c r="AV18" s="347">
        <v>40900</v>
      </c>
      <c r="AW18" s="347">
        <v>2054600</v>
      </c>
      <c r="AX18" s="347">
        <v>255000</v>
      </c>
      <c r="AY18" s="347">
        <v>66600</v>
      </c>
      <c r="AZ18" s="347">
        <v>351100</v>
      </c>
      <c r="BA18" s="347">
        <v>75100</v>
      </c>
      <c r="BB18" s="347"/>
      <c r="BC18" s="347">
        <v>325800</v>
      </c>
      <c r="BD18" s="461">
        <v>225600</v>
      </c>
      <c r="BE18" s="346">
        <v>1007600</v>
      </c>
      <c r="BF18" s="347">
        <v>35100</v>
      </c>
      <c r="BG18" s="347">
        <v>2069700</v>
      </c>
      <c r="BH18" s="347">
        <v>351300</v>
      </c>
      <c r="BI18" s="347">
        <v>74600</v>
      </c>
      <c r="BJ18" s="347">
        <v>316600</v>
      </c>
      <c r="BK18" s="347">
        <v>51200</v>
      </c>
      <c r="BL18" s="347"/>
      <c r="BM18" s="347">
        <v>276800</v>
      </c>
      <c r="BN18" s="373">
        <v>479800</v>
      </c>
      <c r="BO18" s="344">
        <f t="shared" si="7"/>
        <v>4800300</v>
      </c>
      <c r="BP18" s="345">
        <f t="shared" si="8"/>
        <v>5237500</v>
      </c>
      <c r="BQ18" s="345">
        <f t="shared" si="9"/>
        <v>2964900</v>
      </c>
      <c r="BR18" s="345">
        <f t="shared" si="10"/>
        <v>4250300</v>
      </c>
      <c r="BS18" s="394">
        <f t="shared" si="11"/>
        <v>4662700</v>
      </c>
    </row>
    <row r="19" spans="1:71" s="39" customFormat="1" ht="17.25" customHeight="1">
      <c r="A19" s="329"/>
      <c r="B19" s="329"/>
      <c r="C19" s="330"/>
      <c r="D19" s="329"/>
      <c r="E19" s="330"/>
      <c r="F19" s="329"/>
      <c r="G19" s="330"/>
      <c r="H19" s="329"/>
      <c r="I19" s="330"/>
      <c r="J19" s="329"/>
      <c r="K19" s="330"/>
      <c r="P19" s="397" t="s">
        <v>202</v>
      </c>
      <c r="Q19" s="346">
        <v>4370895</v>
      </c>
      <c r="R19" s="347">
        <v>177905</v>
      </c>
      <c r="S19" s="347">
        <v>9143661</v>
      </c>
      <c r="T19" s="347">
        <v>1357027</v>
      </c>
      <c r="U19" s="347">
        <v>576407</v>
      </c>
      <c r="V19" s="347">
        <v>1510428</v>
      </c>
      <c r="W19" s="347">
        <v>161770</v>
      </c>
      <c r="X19" s="347"/>
      <c r="Y19" s="347">
        <v>1017636</v>
      </c>
      <c r="Z19" s="373">
        <v>2117581</v>
      </c>
      <c r="AA19" s="346">
        <v>5284955</v>
      </c>
      <c r="AB19" s="347">
        <v>154749</v>
      </c>
      <c r="AC19" s="347">
        <v>10967301</v>
      </c>
      <c r="AD19" s="347">
        <v>1461136</v>
      </c>
      <c r="AE19" s="347">
        <v>461157</v>
      </c>
      <c r="AF19" s="347">
        <v>1833736</v>
      </c>
      <c r="AG19" s="347">
        <v>21845</v>
      </c>
      <c r="AH19" s="347"/>
      <c r="AI19" s="347">
        <v>1493833</v>
      </c>
      <c r="AJ19" s="373">
        <v>1614738</v>
      </c>
      <c r="AK19" s="349">
        <v>3593066</v>
      </c>
      <c r="AL19" s="347">
        <v>97527</v>
      </c>
      <c r="AM19" s="347">
        <v>5576782</v>
      </c>
      <c r="AN19" s="347">
        <v>1327409</v>
      </c>
      <c r="AO19" s="347">
        <v>230239</v>
      </c>
      <c r="AP19" s="347">
        <v>1119404</v>
      </c>
      <c r="AQ19" s="347"/>
      <c r="AR19" s="347"/>
      <c r="AS19" s="347">
        <v>1014310</v>
      </c>
      <c r="AT19" s="347">
        <v>950704</v>
      </c>
      <c r="AU19" s="347">
        <v>4950722</v>
      </c>
      <c r="AV19" s="347">
        <v>185611</v>
      </c>
      <c r="AW19" s="347">
        <v>9157545</v>
      </c>
      <c r="AX19" s="347">
        <v>1205610</v>
      </c>
      <c r="AY19" s="347">
        <v>299851</v>
      </c>
      <c r="AZ19" s="347">
        <v>1430337</v>
      </c>
      <c r="BA19" s="347">
        <v>411080</v>
      </c>
      <c r="BB19" s="347"/>
      <c r="BC19" s="347">
        <v>1238709</v>
      </c>
      <c r="BD19" s="461">
        <v>981539</v>
      </c>
      <c r="BE19" s="346">
        <v>5239458</v>
      </c>
      <c r="BF19" s="347">
        <v>114203</v>
      </c>
      <c r="BG19" s="347">
        <v>8855788</v>
      </c>
      <c r="BH19" s="347">
        <v>1585925</v>
      </c>
      <c r="BI19" s="347">
        <v>288773</v>
      </c>
      <c r="BJ19" s="347">
        <v>1197534</v>
      </c>
      <c r="BK19" s="347">
        <v>200965</v>
      </c>
      <c r="BL19" s="347"/>
      <c r="BM19" s="347">
        <v>1068831</v>
      </c>
      <c r="BN19" s="373">
        <v>1754899</v>
      </c>
      <c r="BO19" s="344">
        <f t="shared" si="7"/>
        <v>20433310</v>
      </c>
      <c r="BP19" s="345">
        <f t="shared" si="8"/>
        <v>23293450</v>
      </c>
      <c r="BQ19" s="345">
        <f t="shared" si="9"/>
        <v>13909441</v>
      </c>
      <c r="BR19" s="345">
        <f t="shared" si="10"/>
        <v>19861004</v>
      </c>
      <c r="BS19" s="394">
        <f t="shared" si="11"/>
        <v>20306376</v>
      </c>
    </row>
    <row r="20" spans="1:71" s="39" customFormat="1" ht="17.25" customHeight="1">
      <c r="A20" s="329"/>
      <c r="B20" s="329"/>
      <c r="C20" s="330"/>
      <c r="D20" s="329"/>
      <c r="E20" s="330"/>
      <c r="F20" s="329"/>
      <c r="G20" s="330"/>
      <c r="H20" s="329"/>
      <c r="I20" s="330"/>
      <c r="J20" s="329"/>
      <c r="K20" s="330"/>
      <c r="P20" s="397" t="s">
        <v>179</v>
      </c>
      <c r="Q20" s="346">
        <v>5241424</v>
      </c>
      <c r="R20" s="347">
        <v>176264</v>
      </c>
      <c r="S20" s="347">
        <v>195565</v>
      </c>
      <c r="T20" s="347">
        <v>142960</v>
      </c>
      <c r="U20" s="347">
        <v>334627</v>
      </c>
      <c r="V20" s="347">
        <v>213497</v>
      </c>
      <c r="W20" s="347">
        <v>16072</v>
      </c>
      <c r="X20" s="347"/>
      <c r="Y20" s="347">
        <v>2019897</v>
      </c>
      <c r="Z20" s="373">
        <v>1260404</v>
      </c>
      <c r="AA20" s="346">
        <v>590775</v>
      </c>
      <c r="AB20" s="347">
        <v>89830</v>
      </c>
      <c r="AC20" s="347">
        <v>46330</v>
      </c>
      <c r="AD20" s="347">
        <v>39420</v>
      </c>
      <c r="AE20" s="347">
        <v>0</v>
      </c>
      <c r="AF20" s="347">
        <v>5177</v>
      </c>
      <c r="AG20" s="347">
        <v>0</v>
      </c>
      <c r="AH20" s="347"/>
      <c r="AI20" s="347">
        <v>656046</v>
      </c>
      <c r="AJ20" s="373">
        <v>0</v>
      </c>
      <c r="AK20" s="349">
        <v>184507</v>
      </c>
      <c r="AL20" s="347">
        <v>10323</v>
      </c>
      <c r="AM20" s="347">
        <v>0</v>
      </c>
      <c r="AN20" s="347">
        <v>72764</v>
      </c>
      <c r="AO20" s="347">
        <v>0</v>
      </c>
      <c r="AP20" s="347">
        <v>59</v>
      </c>
      <c r="AQ20" s="347"/>
      <c r="AR20" s="347"/>
      <c r="AS20" s="347">
        <v>389392</v>
      </c>
      <c r="AT20" s="347">
        <v>28862</v>
      </c>
      <c r="AU20" s="347">
        <v>1749574</v>
      </c>
      <c r="AV20" s="347">
        <v>279886</v>
      </c>
      <c r="AW20" s="347">
        <v>565947</v>
      </c>
      <c r="AX20" s="347">
        <v>74943</v>
      </c>
      <c r="AY20" s="347">
        <v>46151</v>
      </c>
      <c r="AZ20" s="347">
        <v>79237</v>
      </c>
      <c r="BA20" s="347">
        <v>0</v>
      </c>
      <c r="BB20" s="347"/>
      <c r="BC20" s="347">
        <v>2187744</v>
      </c>
      <c r="BD20" s="461">
        <v>450114</v>
      </c>
      <c r="BE20" s="346">
        <v>12308828</v>
      </c>
      <c r="BF20" s="347">
        <v>226085</v>
      </c>
      <c r="BG20" s="347">
        <v>5501691</v>
      </c>
      <c r="BH20" s="347">
        <v>1057876</v>
      </c>
      <c r="BI20" s="347">
        <v>186272</v>
      </c>
      <c r="BJ20" s="347">
        <v>764618</v>
      </c>
      <c r="BK20" s="347">
        <v>253454</v>
      </c>
      <c r="BL20" s="347"/>
      <c r="BM20" s="347">
        <v>1529164</v>
      </c>
      <c r="BN20" s="373">
        <v>1483451</v>
      </c>
      <c r="BO20" s="344">
        <f t="shared" si="7"/>
        <v>9600710</v>
      </c>
      <c r="BP20" s="345">
        <f t="shared" si="8"/>
        <v>1427578</v>
      </c>
      <c r="BQ20" s="345">
        <f t="shared" si="9"/>
        <v>685907</v>
      </c>
      <c r="BR20" s="345">
        <f t="shared" si="10"/>
        <v>5433596</v>
      </c>
      <c r="BS20" s="394">
        <f t="shared" si="11"/>
        <v>23311439</v>
      </c>
    </row>
    <row r="21" spans="1:71" s="39" customFormat="1" ht="17.25" customHeight="1">
      <c r="A21" s="329"/>
      <c r="B21" s="329"/>
      <c r="C21" s="330"/>
      <c r="D21" s="329"/>
      <c r="E21" s="330"/>
      <c r="F21" s="329"/>
      <c r="G21" s="330"/>
      <c r="H21" s="329"/>
      <c r="I21" s="330"/>
      <c r="J21" s="329"/>
      <c r="K21" s="330"/>
      <c r="P21" s="397" t="s">
        <v>180</v>
      </c>
      <c r="Q21" s="346">
        <v>1623537</v>
      </c>
      <c r="R21" s="347">
        <v>63430</v>
      </c>
      <c r="S21" s="347">
        <v>1326470</v>
      </c>
      <c r="T21" s="347">
        <v>144534</v>
      </c>
      <c r="U21" s="347">
        <v>87875</v>
      </c>
      <c r="V21" s="347">
        <v>219029</v>
      </c>
      <c r="W21" s="347">
        <v>16732</v>
      </c>
      <c r="X21" s="347"/>
      <c r="Y21" s="347">
        <v>228184</v>
      </c>
      <c r="Z21" s="373">
        <v>163625</v>
      </c>
      <c r="AA21" s="346">
        <v>6530418</v>
      </c>
      <c r="AB21" s="347">
        <v>51300</v>
      </c>
      <c r="AC21" s="347">
        <v>946742</v>
      </c>
      <c r="AD21" s="347">
        <v>85835</v>
      </c>
      <c r="AE21" s="347">
        <v>42180</v>
      </c>
      <c r="AF21" s="347">
        <v>170227</v>
      </c>
      <c r="AG21" s="347">
        <v>3000</v>
      </c>
      <c r="AH21" s="347"/>
      <c r="AI21" s="347">
        <v>1068613</v>
      </c>
      <c r="AJ21" s="373">
        <v>278657</v>
      </c>
      <c r="AK21" s="349">
        <v>6683432</v>
      </c>
      <c r="AL21" s="347">
        <v>44000</v>
      </c>
      <c r="AM21" s="347">
        <v>1473345</v>
      </c>
      <c r="AN21" s="347">
        <v>553731</v>
      </c>
      <c r="AO21" s="347">
        <v>4800</v>
      </c>
      <c r="AP21" s="347">
        <v>548360</v>
      </c>
      <c r="AQ21" s="347"/>
      <c r="AR21" s="347"/>
      <c r="AS21" s="347">
        <v>927781</v>
      </c>
      <c r="AT21" s="347">
        <v>464960</v>
      </c>
      <c r="AU21" s="347">
        <v>7677106</v>
      </c>
      <c r="AV21" s="347">
        <v>104902</v>
      </c>
      <c r="AW21" s="347">
        <v>1558760</v>
      </c>
      <c r="AX21" s="347">
        <v>115675</v>
      </c>
      <c r="AY21" s="347">
        <v>32790</v>
      </c>
      <c r="AZ21" s="347">
        <v>233220</v>
      </c>
      <c r="BA21" s="347">
        <v>37750</v>
      </c>
      <c r="BB21" s="347"/>
      <c r="BC21" s="347">
        <v>759779</v>
      </c>
      <c r="BD21" s="461">
        <v>216940</v>
      </c>
      <c r="BE21" s="346">
        <v>657548</v>
      </c>
      <c r="BF21" s="347">
        <v>6080</v>
      </c>
      <c r="BG21" s="347">
        <v>187344</v>
      </c>
      <c r="BH21" s="347">
        <v>49281</v>
      </c>
      <c r="BI21" s="347">
        <v>8720</v>
      </c>
      <c r="BJ21" s="347">
        <v>45214</v>
      </c>
      <c r="BK21" s="347">
        <v>32960</v>
      </c>
      <c r="BL21" s="347"/>
      <c r="BM21" s="347">
        <v>264000</v>
      </c>
      <c r="BN21" s="373">
        <v>61460</v>
      </c>
      <c r="BO21" s="344">
        <f t="shared" si="7"/>
        <v>3873416</v>
      </c>
      <c r="BP21" s="345">
        <f t="shared" si="8"/>
        <v>9176972</v>
      </c>
      <c r="BQ21" s="345">
        <f t="shared" si="9"/>
        <v>10700409</v>
      </c>
      <c r="BR21" s="345">
        <f t="shared" si="10"/>
        <v>10736922</v>
      </c>
      <c r="BS21" s="394">
        <f t="shared" si="11"/>
        <v>1312607</v>
      </c>
    </row>
    <row r="22" spans="1:71" s="39" customFormat="1" ht="17.25" customHeight="1" thickBot="1">
      <c r="A22" s="329"/>
      <c r="B22" s="329"/>
      <c r="C22" s="330"/>
      <c r="D22" s="329"/>
      <c r="E22" s="330"/>
      <c r="F22" s="329"/>
      <c r="G22" s="330"/>
      <c r="H22" s="329"/>
      <c r="I22" s="330"/>
      <c r="J22" s="329"/>
      <c r="K22" s="330"/>
      <c r="P22" s="398" t="s">
        <v>203</v>
      </c>
      <c r="Q22" s="389">
        <v>115.94</v>
      </c>
      <c r="R22" s="390">
        <v>5</v>
      </c>
      <c r="S22" s="390">
        <v>433.26</v>
      </c>
      <c r="T22" s="390">
        <v>57.57</v>
      </c>
      <c r="U22" s="390">
        <v>22.53</v>
      </c>
      <c r="V22" s="390">
        <v>106.49</v>
      </c>
      <c r="W22" s="390">
        <v>6.87</v>
      </c>
      <c r="X22" s="390"/>
      <c r="Y22" s="390">
        <v>50.37</v>
      </c>
      <c r="Z22" s="391">
        <v>170.04</v>
      </c>
      <c r="AA22" s="389">
        <v>137.71</v>
      </c>
      <c r="AB22" s="390">
        <v>5.84</v>
      </c>
      <c r="AC22" s="390">
        <v>527.76</v>
      </c>
      <c r="AD22" s="390">
        <v>71.25</v>
      </c>
      <c r="AE22" s="390">
        <v>23.8</v>
      </c>
      <c r="AF22" s="390">
        <v>145.79</v>
      </c>
      <c r="AG22" s="390">
        <v>1</v>
      </c>
      <c r="AH22" s="390"/>
      <c r="AI22" s="390">
        <v>79.05</v>
      </c>
      <c r="AJ22" s="391">
        <v>137.07</v>
      </c>
      <c r="AK22" s="392">
        <v>83.21</v>
      </c>
      <c r="AL22" s="390">
        <v>3</v>
      </c>
      <c r="AM22" s="390">
        <v>268.18</v>
      </c>
      <c r="AN22" s="390">
        <v>55.06</v>
      </c>
      <c r="AO22" s="390">
        <v>12.52</v>
      </c>
      <c r="AP22" s="390">
        <v>71.78</v>
      </c>
      <c r="AQ22" s="390"/>
      <c r="AR22" s="390"/>
      <c r="AS22" s="390">
        <v>57.24</v>
      </c>
      <c r="AT22" s="390">
        <v>78.04</v>
      </c>
      <c r="AU22" s="390">
        <v>121.23</v>
      </c>
      <c r="AV22" s="390">
        <v>4.39</v>
      </c>
      <c r="AW22" s="390">
        <v>430.78</v>
      </c>
      <c r="AX22" s="390">
        <v>50.99</v>
      </c>
      <c r="AY22" s="390">
        <v>13.29</v>
      </c>
      <c r="AZ22" s="390">
        <v>110.97</v>
      </c>
      <c r="BA22" s="390">
        <v>15.28</v>
      </c>
      <c r="BB22" s="390"/>
      <c r="BC22" s="390">
        <v>60.36</v>
      </c>
      <c r="BD22" s="462">
        <v>70.07</v>
      </c>
      <c r="BE22" s="389">
        <v>124.07</v>
      </c>
      <c r="BF22" s="390">
        <v>4</v>
      </c>
      <c r="BG22" s="390">
        <v>403.1</v>
      </c>
      <c r="BH22" s="390">
        <v>68.57</v>
      </c>
      <c r="BI22" s="390">
        <v>14.47</v>
      </c>
      <c r="BJ22" s="390">
        <v>86.54</v>
      </c>
      <c r="BK22" s="390">
        <v>7.11</v>
      </c>
      <c r="BL22" s="390"/>
      <c r="BM22" s="390">
        <v>60.42</v>
      </c>
      <c r="BN22" s="391">
        <v>160.03</v>
      </c>
      <c r="BO22" s="465">
        <f t="shared" si="7"/>
        <v>968.07</v>
      </c>
      <c r="BP22" s="457">
        <f t="shared" si="8"/>
        <v>1129.2699999999998</v>
      </c>
      <c r="BQ22" s="457">
        <f t="shared" si="9"/>
        <v>629.03</v>
      </c>
      <c r="BR22" s="457">
        <f t="shared" si="10"/>
        <v>877.3599999999999</v>
      </c>
      <c r="BS22" s="466">
        <f t="shared" si="11"/>
        <v>928.31</v>
      </c>
    </row>
    <row r="23" spans="1:93" s="39" customFormat="1" ht="17.25" customHeight="1" thickBot="1">
      <c r="A23" s="329"/>
      <c r="B23" s="329"/>
      <c r="C23" s="330"/>
      <c r="D23" s="329"/>
      <c r="E23" s="330"/>
      <c r="F23" s="329"/>
      <c r="G23" s="330"/>
      <c r="H23" s="329"/>
      <c r="I23" s="330"/>
      <c r="J23" s="329"/>
      <c r="K23" s="330"/>
      <c r="P23" s="399" t="s">
        <v>83</v>
      </c>
      <c r="Q23" s="357">
        <f>+Q6/Q22/12</f>
        <v>31155.310936691396</v>
      </c>
      <c r="R23" s="147">
        <f>+R6/$R$22/12</f>
        <v>26007.3</v>
      </c>
      <c r="S23" s="147">
        <f>+S6/$S$22/12</f>
        <v>16462.471148963672</v>
      </c>
      <c r="T23" s="147">
        <f>+T6/$T22/12</f>
        <v>17885.485785420646</v>
      </c>
      <c r="U23" s="147">
        <f>+U6/$U$22/12</f>
        <v>18924.101198402128</v>
      </c>
      <c r="V23" s="147">
        <f>+V6/$V$22/12</f>
        <v>12527.599618117507</v>
      </c>
      <c r="W23" s="147">
        <f>+W6/W22/12</f>
        <v>17132.860262008733</v>
      </c>
      <c r="X23" s="147"/>
      <c r="Y23" s="147">
        <f>+Y6/Y22/12</f>
        <v>17227.65865925485</v>
      </c>
      <c r="Z23" s="358">
        <f>+Z6/$Z22/12</f>
        <v>10162.708284325257</v>
      </c>
      <c r="AA23" s="357">
        <f aca="true" t="shared" si="12" ref="AA23:AK23">+AA6/AA22/12</f>
        <v>33544.40974995764</v>
      </c>
      <c r="AB23" s="147">
        <f t="shared" si="12"/>
        <v>23626.212899543378</v>
      </c>
      <c r="AC23" s="147">
        <f t="shared" si="12"/>
        <v>16207.09144939619</v>
      </c>
      <c r="AD23" s="147">
        <f t="shared" si="12"/>
        <v>17356.516959064327</v>
      </c>
      <c r="AE23" s="147">
        <f t="shared" si="12"/>
        <v>14073.382352941177</v>
      </c>
      <c r="AF23" s="147">
        <f t="shared" si="12"/>
        <v>10306.970071106844</v>
      </c>
      <c r="AG23" s="147">
        <f t="shared" si="12"/>
        <v>20093.5</v>
      </c>
      <c r="AH23" s="147"/>
      <c r="AI23" s="147">
        <f t="shared" si="12"/>
        <v>14688.00759013283</v>
      </c>
      <c r="AJ23" s="358">
        <f t="shared" si="12"/>
        <v>9566.546898178547</v>
      </c>
      <c r="AK23" s="388">
        <f t="shared" si="12"/>
        <v>35916.214998197334</v>
      </c>
      <c r="AL23" s="147">
        <f>+AL6/$AL$22/12</f>
        <v>22411.30555555556</v>
      </c>
      <c r="AM23" s="147">
        <f>+AM6/$AM$22/12</f>
        <v>16833.607092251474</v>
      </c>
      <c r="AN23" s="147">
        <f>+AN6/$AN$22/12</f>
        <v>18764.024094926746</v>
      </c>
      <c r="AO23" s="147">
        <f>+AO6/$AO$22/12</f>
        <v>12755.411341853034</v>
      </c>
      <c r="AP23" s="147">
        <f>+AP6/$AP$22/12</f>
        <v>13458.795393331477</v>
      </c>
      <c r="AQ23" s="147" t="e">
        <f>+AQ6/AQ22/12</f>
        <v>#DIV/0!</v>
      </c>
      <c r="AR23" s="147" t="e">
        <f>+AR6/AR22/12</f>
        <v>#DIV/0!</v>
      </c>
      <c r="AS23" s="147">
        <f>+AS6/$AS$22/12</f>
        <v>15345.740158397391</v>
      </c>
      <c r="AT23" s="147">
        <f>+AT6/$AT$22/12</f>
        <v>11278.710703912524</v>
      </c>
      <c r="AU23" s="147">
        <f aca="true" t="shared" si="13" ref="AU23:BN23">+AU6/AU22/12</f>
        <v>36753.20808930683</v>
      </c>
      <c r="AV23" s="147">
        <f t="shared" si="13"/>
        <v>33070.78587699317</v>
      </c>
      <c r="AW23" s="147">
        <f t="shared" si="13"/>
        <v>16294.338951050035</v>
      </c>
      <c r="AX23" s="147">
        <f t="shared" si="13"/>
        <v>17518.936719618225</v>
      </c>
      <c r="AY23" s="147">
        <f t="shared" si="13"/>
        <v>15027.163280662155</v>
      </c>
      <c r="AZ23" s="147">
        <f t="shared" si="13"/>
        <v>10173.859301312668</v>
      </c>
      <c r="BA23" s="147">
        <f t="shared" si="13"/>
        <v>16163.443499127401</v>
      </c>
      <c r="BB23" s="147" t="e">
        <f t="shared" si="13"/>
        <v>#DIV/0!</v>
      </c>
      <c r="BC23" s="147">
        <f t="shared" si="13"/>
        <v>17149.668654738238</v>
      </c>
      <c r="BD23" s="413">
        <f t="shared" si="13"/>
        <v>10663.870653156368</v>
      </c>
      <c r="BE23" s="357">
        <f t="shared" si="13"/>
        <v>36363.24655436447</v>
      </c>
      <c r="BF23" s="147">
        <f t="shared" si="13"/>
        <v>27058.979166666668</v>
      </c>
      <c r="BG23" s="147">
        <f t="shared" si="13"/>
        <v>16569.115190606135</v>
      </c>
      <c r="BH23" s="147">
        <f t="shared" si="13"/>
        <v>17584.592387341403</v>
      </c>
      <c r="BI23" s="147">
        <f t="shared" si="13"/>
        <v>14393.889656761115</v>
      </c>
      <c r="BJ23" s="147">
        <f t="shared" si="13"/>
        <v>10799.569563207764</v>
      </c>
      <c r="BK23" s="147">
        <f t="shared" si="13"/>
        <v>22445.76887013596</v>
      </c>
      <c r="BL23" s="147"/>
      <c r="BM23" s="147">
        <f t="shared" si="13"/>
        <v>14287.221394681672</v>
      </c>
      <c r="BN23" s="358">
        <f t="shared" si="13"/>
        <v>9220.525838905205</v>
      </c>
      <c r="BO23" s="467">
        <f>+BO6/BO22/12</f>
        <v>16918.54084243219</v>
      </c>
      <c r="BP23" s="358">
        <f>+BP6/BP22/12</f>
        <v>16716.596488587027</v>
      </c>
      <c r="BQ23" s="358">
        <f>+BQ6/BQ22/12</f>
        <v>18262.65347704667</v>
      </c>
      <c r="BR23" s="358">
        <f>+BR6/BR22/12</f>
        <v>18089.941510136472</v>
      </c>
      <c r="BS23" s="358">
        <f>+BS6/BS22/12</f>
        <v>17392.75475505668</v>
      </c>
      <c r="BT23" s="348"/>
      <c r="BU23" s="348"/>
      <c r="BV23" s="348"/>
      <c r="BW23" s="348"/>
      <c r="BX23" s="348"/>
      <c r="BY23" s="348"/>
      <c r="BZ23" s="348"/>
      <c r="CA23" s="348"/>
      <c r="CB23" s="348"/>
      <c r="CC23" s="348"/>
      <c r="CD23" s="348"/>
      <c r="CE23" s="348"/>
      <c r="CF23" s="348"/>
      <c r="CG23" s="348"/>
      <c r="CH23" s="348"/>
      <c r="CI23" s="348"/>
      <c r="CJ23" s="348"/>
      <c r="CK23" s="348"/>
      <c r="CL23" s="348"/>
      <c r="CM23" s="348"/>
      <c r="CN23" s="348"/>
      <c r="CO23" s="348"/>
    </row>
    <row r="24" spans="1:71" s="39" customFormat="1" ht="17.25" customHeight="1">
      <c r="A24" s="329"/>
      <c r="B24" s="329"/>
      <c r="C24" s="330"/>
      <c r="D24" s="329"/>
      <c r="E24" s="330"/>
      <c r="F24" s="329"/>
      <c r="G24" s="330"/>
      <c r="H24" s="329"/>
      <c r="I24" s="330"/>
      <c r="J24" s="329"/>
      <c r="K24" s="330"/>
      <c r="P24" s="400" t="s">
        <v>191</v>
      </c>
      <c r="Q24" s="369">
        <f>+Q7/$Q$22/12</f>
        <v>16676.115519521594</v>
      </c>
      <c r="R24" s="370">
        <f>+R7/$R$22/12</f>
        <v>15935.233333333332</v>
      </c>
      <c r="S24" s="370">
        <f>+S7/$S$22/12</f>
        <v>10934.605279354968</v>
      </c>
      <c r="T24" s="370">
        <f>+T7/$T$22/12</f>
        <v>11384.804006716462</v>
      </c>
      <c r="U24" s="370">
        <f>+U7/$U$22/12</f>
        <v>13285.604379346056</v>
      </c>
      <c r="V24" s="370">
        <f>+V7/$V$22/12</f>
        <v>7827.777256080383</v>
      </c>
      <c r="W24" s="370">
        <f>+W7/$W$22/12</f>
        <v>12336.183891314895</v>
      </c>
      <c r="X24" s="371"/>
      <c r="Y24" s="370">
        <f>+Y7/$Y$22/12</f>
        <v>9980.89636688505</v>
      </c>
      <c r="Z24" s="372">
        <f>+Z7/$Z$22/12</f>
        <v>6781.993942601741</v>
      </c>
      <c r="AA24" s="369">
        <f>+AA7/$AA$22/12</f>
        <v>16456.24137680633</v>
      </c>
      <c r="AB24" s="370">
        <f>+AB7/$AB$22/12</f>
        <v>16555.422374429225</v>
      </c>
      <c r="AC24" s="370">
        <f>+AC7/$AC$22/12</f>
        <v>10923.225361275327</v>
      </c>
      <c r="AD24" s="370">
        <f>+AD7/$AD$22/12</f>
        <v>11522.933333333334</v>
      </c>
      <c r="AE24" s="370">
        <f>+AE7/$AE$22/12</f>
        <v>11612.706582633053</v>
      </c>
      <c r="AF24" s="370">
        <f>+AF7/$AF$22/12</f>
        <v>7638.526876557607</v>
      </c>
      <c r="AG24" s="370">
        <f>+AG7/$AG$22/12</f>
        <v>16722.333333333332</v>
      </c>
      <c r="AH24" s="371"/>
      <c r="AI24" s="370">
        <f>+AI7/$AI$22/12</f>
        <v>10157.264389626818</v>
      </c>
      <c r="AJ24" s="372">
        <f>+AJ7/$AJ$22/12</f>
        <v>7098.981663870042</v>
      </c>
      <c r="AK24" s="393">
        <f>+AK7/$AK$22/12</f>
        <v>16901.481192164403</v>
      </c>
      <c r="AL24" s="370">
        <f aca="true" t="shared" si="14" ref="AL24:AL38">+AL7/$AL$22/12</f>
        <v>16379.166666666666</v>
      </c>
      <c r="AM24" s="370">
        <f aca="true" t="shared" si="15" ref="AM24:AM38">+AM7/$AM$22/12</f>
        <v>11341.712655679023</v>
      </c>
      <c r="AN24" s="370">
        <f aca="true" t="shared" si="16" ref="AN24:AN38">+AN7/$AN$22/12</f>
        <v>12186.687250272429</v>
      </c>
      <c r="AO24" s="370">
        <f aca="true" t="shared" si="17" ref="AO24:AO38">+AO7/$AO$22/12</f>
        <v>10573.402555910543</v>
      </c>
      <c r="AP24" s="370">
        <f aca="true" t="shared" si="18" ref="AP24:AP38">+AP7/$AP$22/12</f>
        <v>8676.32464939166</v>
      </c>
      <c r="AQ24" s="371"/>
      <c r="AR24" s="371"/>
      <c r="AS24" s="370">
        <f aca="true" t="shared" si="19" ref="AS24:AS38">+AS7/$AS$22/12</f>
        <v>10552.19980200326</v>
      </c>
      <c r="AT24" s="370">
        <f aca="true" t="shared" si="20" ref="AT24:AT38">+AT7/$AT$22/12</f>
        <v>7650.554202972834</v>
      </c>
      <c r="AU24" s="370">
        <f>+AU7/$AU$22/12</f>
        <v>16444.710467706012</v>
      </c>
      <c r="AV24" s="370">
        <f>+AV7/$AV$22/12</f>
        <v>15723.51936218679</v>
      </c>
      <c r="AW24" s="370">
        <f>+AW7/$AW$22/12</f>
        <v>11329.817037312163</v>
      </c>
      <c r="AX24" s="370">
        <f>+AX7/$AX$22/12</f>
        <v>11457.704124991827</v>
      </c>
      <c r="AY24" s="370">
        <f>+AY7/$AY$22/12</f>
        <v>11791.773263105091</v>
      </c>
      <c r="AZ24" s="370">
        <f>+AZ7/$AZ$22/12</f>
        <v>7460.043254933767</v>
      </c>
      <c r="BA24" s="370">
        <f>+BA7/$BA$22/12</f>
        <v>12204.079406631763</v>
      </c>
      <c r="BB24" s="370" t="e">
        <f>+BB7/$BB$22/12</f>
        <v>#DIV/0!</v>
      </c>
      <c r="BC24" s="370">
        <f>+BC7/$BC$22/12</f>
        <v>9838.835045283853</v>
      </c>
      <c r="BD24" s="463">
        <f>+BD7/$BD$22/12</f>
        <v>7311.713286713287</v>
      </c>
      <c r="BE24" s="369">
        <f>+BE7/$BE$22/12</f>
        <v>16629.85881625964</v>
      </c>
      <c r="BF24" s="370">
        <f>+BF7/$BF$22/12</f>
        <v>16638.020833333332</v>
      </c>
      <c r="BG24" s="370">
        <f>+BG7/$BG$22/12</f>
        <v>10734.644215661952</v>
      </c>
      <c r="BH24" s="370">
        <f>+BH7/$BH$22/12</f>
        <v>10749.169947985029</v>
      </c>
      <c r="BI24" s="370">
        <f>+BI7/$BI$22/12</f>
        <v>10807.682561621745</v>
      </c>
      <c r="BJ24" s="370">
        <f>+BJ7/$BJ$22/12</f>
        <v>7275.668284415683</v>
      </c>
      <c r="BK24" s="370">
        <f>+BK7/$BK$22/12</f>
        <v>14012.048757618379</v>
      </c>
      <c r="BL24" s="370"/>
      <c r="BM24" s="370">
        <f>+BM7/$BM$22/12</f>
        <v>9246.98499393137</v>
      </c>
      <c r="BN24" s="372">
        <f aca="true" t="shared" si="21" ref="BN24:BN38">+BN7/$BN$22/12</f>
        <v>6188.7370076443995</v>
      </c>
      <c r="BO24" s="369">
        <f>+BO7/$BO$22/12</f>
        <v>10618.713006290867</v>
      </c>
      <c r="BP24" s="370">
        <f>+BP7/$BP$22/12</f>
        <v>10742.725684144038</v>
      </c>
      <c r="BQ24" s="370">
        <f>+BQ7/$BQ$22/12</f>
        <v>11325.93358027439</v>
      </c>
      <c r="BR24" s="370">
        <f>+BR7/$BR$22/12</f>
        <v>11175.277252211179</v>
      </c>
      <c r="BS24" s="372">
        <f>+BS7/$BS$22/12</f>
        <v>10372.353972990344</v>
      </c>
    </row>
    <row r="25" spans="1:71" s="39" customFormat="1" ht="17.25" customHeight="1">
      <c r="A25" s="329"/>
      <c r="B25" s="329"/>
      <c r="C25" s="330"/>
      <c r="D25" s="329"/>
      <c r="E25" s="330"/>
      <c r="F25" s="329"/>
      <c r="G25" s="330"/>
      <c r="H25" s="329"/>
      <c r="I25" s="330"/>
      <c r="J25" s="329"/>
      <c r="K25" s="330"/>
      <c r="P25" s="397" t="s">
        <v>192</v>
      </c>
      <c r="Q25" s="359">
        <f aca="true" t="shared" si="22" ref="Q25:Q38">+Q8/$Q$22/12</f>
        <v>478.5442182738198</v>
      </c>
      <c r="R25" s="350">
        <f aca="true" t="shared" si="23" ref="R25:R38">+R8/$R$22/12</f>
        <v>695.5</v>
      </c>
      <c r="S25" s="350">
        <f aca="true" t="shared" si="24" ref="S25:S38">+S8/$S$22/12</f>
        <v>146.14838665004848</v>
      </c>
      <c r="T25" s="350">
        <f aca="true" t="shared" si="25" ref="T25:T38">+T8/$T$22/12</f>
        <v>179.8810144172312</v>
      </c>
      <c r="U25" s="350">
        <f aca="true" t="shared" si="26" ref="U25:U38">+U8/$U$22/12</f>
        <v>290.71978103269714</v>
      </c>
      <c r="V25" s="350">
        <f aca="true" t="shared" si="27" ref="V25:V38">+V8/$V$22/12</f>
        <v>0</v>
      </c>
      <c r="W25" s="350">
        <f aca="true" t="shared" si="28" ref="W25:W38">+W8/$W$22/12</f>
        <v>0</v>
      </c>
      <c r="X25" s="351"/>
      <c r="Y25" s="350">
        <f aca="true" t="shared" si="29" ref="Y25:Y38">+Y8/$Y$22/12</f>
        <v>579.4090397723513</v>
      </c>
      <c r="Z25" s="360">
        <f aca="true" t="shared" si="30" ref="Z25:Z38">+Z8/$Z$22/12</f>
        <v>53.12132439426018</v>
      </c>
      <c r="AA25" s="369">
        <f aca="true" t="shared" si="31" ref="AA25:AA38">+AA8/$AA$22/12</f>
        <v>328.28407523055694</v>
      </c>
      <c r="AB25" s="370">
        <f aca="true" t="shared" si="32" ref="AB25:AB38">+AB8/$AB$22/12</f>
        <v>229.16666666666666</v>
      </c>
      <c r="AC25" s="370">
        <f aca="true" t="shared" si="33" ref="AC25:AC38">+AC8/$AC$22/12</f>
        <v>76.02603456116417</v>
      </c>
      <c r="AD25" s="370">
        <f aca="true" t="shared" si="34" ref="AD25:AD38">+AD8/$AD$22/12</f>
        <v>34.86900584795322</v>
      </c>
      <c r="AE25" s="370">
        <f aca="true" t="shared" si="35" ref="AE25:AE38">+AE8/$AE$22/12</f>
        <v>0</v>
      </c>
      <c r="AF25" s="370">
        <f aca="true" t="shared" si="36" ref="AF25:AF38">+AF8/$AF$22/12</f>
        <v>0</v>
      </c>
      <c r="AG25" s="370">
        <f aca="true" t="shared" si="37" ref="AG25:AG38">+AG8/$AG$22/12</f>
        <v>453.5</v>
      </c>
      <c r="AH25" s="371"/>
      <c r="AI25" s="370">
        <f aca="true" t="shared" si="38" ref="AI25:AI38">+AI8/$AI$22/12</f>
        <v>331.70988825637784</v>
      </c>
      <c r="AJ25" s="372">
        <f aca="true" t="shared" si="39" ref="AJ25:AJ38">+AJ8/$AJ$22/12</f>
        <v>17.786532428686073</v>
      </c>
      <c r="AK25" s="378">
        <f aca="true" t="shared" si="40" ref="AK25:AK37">+AK8/$AK$22/12</f>
        <v>304.03296879381486</v>
      </c>
      <c r="AL25" s="350">
        <f t="shared" si="14"/>
        <v>149.69444444444443</v>
      </c>
      <c r="AM25" s="350">
        <f t="shared" si="15"/>
        <v>82.66524970790762</v>
      </c>
      <c r="AN25" s="350">
        <f t="shared" si="16"/>
        <v>60.791258021552245</v>
      </c>
      <c r="AO25" s="350">
        <f t="shared" si="17"/>
        <v>53.24813631522897</v>
      </c>
      <c r="AP25" s="350">
        <f t="shared" si="18"/>
        <v>0</v>
      </c>
      <c r="AQ25" s="351"/>
      <c r="AR25" s="351"/>
      <c r="AS25" s="350">
        <f t="shared" si="19"/>
        <v>247.30083857442347</v>
      </c>
      <c r="AT25" s="350">
        <f t="shared" si="20"/>
        <v>16.51289936784555</v>
      </c>
      <c r="AU25" s="350">
        <f aca="true" t="shared" si="41" ref="AU25:AU38">+AU8/$AU$22/12</f>
        <v>677.3495284445544</v>
      </c>
      <c r="AV25" s="350">
        <f aca="true" t="shared" si="42" ref="AV25:AV38">+AV8/$AV$22/12</f>
        <v>1075.8731966590738</v>
      </c>
      <c r="AW25" s="350">
        <f aca="true" t="shared" si="43" ref="AW25:AW38">+AW8/$AW$22/12</f>
        <v>189.59484346224679</v>
      </c>
      <c r="AX25" s="350">
        <f aca="true" t="shared" si="44" ref="AX25:AX38">+AX8/$AX$22/12</f>
        <v>336.5545531803621</v>
      </c>
      <c r="AY25" s="350">
        <f aca="true" t="shared" si="45" ref="AY25:AY38">+AY8/$AY$22/12</f>
        <v>202.7965889139704</v>
      </c>
      <c r="AZ25" s="350">
        <f aca="true" t="shared" si="46" ref="AZ25:AZ38">+AZ8/$AZ$22/12</f>
        <v>0</v>
      </c>
      <c r="BA25" s="350">
        <f aca="true" t="shared" si="47" ref="BA25:BA38">+BA8/$BA$22/12</f>
        <v>0</v>
      </c>
      <c r="BB25" s="350">
        <f aca="true" t="shared" si="48" ref="BB25:BB38">+BB8/$AU$22/12</f>
        <v>0</v>
      </c>
      <c r="BC25" s="350">
        <f aca="true" t="shared" si="49" ref="BC25:BC38">+BC8/$BC$22/12</f>
        <v>820.0740004417936</v>
      </c>
      <c r="BD25" s="470">
        <f aca="true" t="shared" si="50" ref="BD25:BD38">+BD8/$BD$22/12</f>
        <v>0</v>
      </c>
      <c r="BE25" s="369">
        <f aca="true" t="shared" si="51" ref="BE25:BE38">+BE8/$BE$22/12</f>
        <v>425.41710324816637</v>
      </c>
      <c r="BF25" s="370">
        <f aca="true" t="shared" si="52" ref="BF25:BF38">+BF8/$BF$22/12</f>
        <v>905.5625</v>
      </c>
      <c r="BG25" s="370">
        <f aca="true" t="shared" si="53" ref="BG25:BG38">+BG8/$BG$22/12</f>
        <v>67.68729843711237</v>
      </c>
      <c r="BH25" s="370">
        <f aca="true" t="shared" si="54" ref="BH25:BH38">+BH8/$BH$22/12</f>
        <v>54.58412328034612</v>
      </c>
      <c r="BI25" s="370">
        <f aca="true" t="shared" si="55" ref="BI25:BI38">+BI8/$BI$22/12</f>
        <v>37.410734853720335</v>
      </c>
      <c r="BJ25" s="370">
        <f aca="true" t="shared" si="56" ref="BJ25:BJ38">+BJ8/$BJ$22/12</f>
        <v>0</v>
      </c>
      <c r="BK25" s="370">
        <f aca="true" t="shared" si="57" ref="BK25:BK38">+BK8/$BK$22/12</f>
        <v>0</v>
      </c>
      <c r="BL25" s="370"/>
      <c r="BM25" s="370">
        <f aca="true" t="shared" si="58" ref="BM25:BM38">+BM8/$BM$22/12</f>
        <v>438.9840560520799</v>
      </c>
      <c r="BN25" s="372">
        <f t="shared" si="21"/>
        <v>13.261055218813139</v>
      </c>
      <c r="BO25" s="369">
        <f aca="true" t="shared" si="59" ref="BO25:BO38">+BO8/$BO$22/12</f>
        <v>183.2547405318486</v>
      </c>
      <c r="BP25" s="370">
        <f aca="true" t="shared" si="60" ref="BP25:BP38">+BP8/$BP$22/12</f>
        <v>104.72908752261787</v>
      </c>
      <c r="BQ25" s="370">
        <f aca="true" t="shared" si="61" ref="BQ25:BQ38">+BQ8/$BQ$22/12</f>
        <v>107.10909389589261</v>
      </c>
      <c r="BR25" s="370">
        <f aca="true" t="shared" si="62" ref="BR25:BR38">+BR8/$BR$22/12</f>
        <v>271.1174242424243</v>
      </c>
      <c r="BS25" s="372">
        <f aca="true" t="shared" si="63" ref="BS25:BS38">+BS8/$BS$22/12</f>
        <v>125.62425267421445</v>
      </c>
    </row>
    <row r="26" spans="1:71" s="39" customFormat="1" ht="17.25" customHeight="1">
      <c r="A26" s="329"/>
      <c r="B26" s="329"/>
      <c r="C26" s="330"/>
      <c r="D26" s="329"/>
      <c r="E26" s="330"/>
      <c r="F26" s="329"/>
      <c r="G26" s="330"/>
      <c r="H26" s="329"/>
      <c r="I26" s="330"/>
      <c r="J26" s="329"/>
      <c r="K26" s="330"/>
      <c r="P26" s="397" t="s">
        <v>193</v>
      </c>
      <c r="Q26" s="359">
        <f t="shared" si="22"/>
        <v>0</v>
      </c>
      <c r="R26" s="350">
        <f t="shared" si="23"/>
        <v>0</v>
      </c>
      <c r="S26" s="350">
        <f t="shared" si="24"/>
        <v>0</v>
      </c>
      <c r="T26" s="350">
        <f t="shared" si="25"/>
        <v>0</v>
      </c>
      <c r="U26" s="350">
        <f t="shared" si="26"/>
        <v>0</v>
      </c>
      <c r="V26" s="350">
        <f t="shared" si="27"/>
        <v>0</v>
      </c>
      <c r="W26" s="350">
        <f t="shared" si="28"/>
        <v>0</v>
      </c>
      <c r="X26" s="351"/>
      <c r="Y26" s="350">
        <f t="shared" si="29"/>
        <v>0</v>
      </c>
      <c r="Z26" s="360">
        <f t="shared" si="30"/>
        <v>0</v>
      </c>
      <c r="AA26" s="369">
        <f t="shared" si="31"/>
        <v>0</v>
      </c>
      <c r="AB26" s="370">
        <f t="shared" si="32"/>
        <v>0</v>
      </c>
      <c r="AC26" s="370">
        <f t="shared" si="33"/>
        <v>0</v>
      </c>
      <c r="AD26" s="370">
        <f t="shared" si="34"/>
        <v>0</v>
      </c>
      <c r="AE26" s="370">
        <f t="shared" si="35"/>
        <v>0</v>
      </c>
      <c r="AF26" s="370">
        <f t="shared" si="36"/>
        <v>0</v>
      </c>
      <c r="AG26" s="370">
        <f t="shared" si="37"/>
        <v>0</v>
      </c>
      <c r="AH26" s="371"/>
      <c r="AI26" s="370">
        <f t="shared" si="38"/>
        <v>0</v>
      </c>
      <c r="AJ26" s="372">
        <f t="shared" si="39"/>
        <v>0</v>
      </c>
      <c r="AK26" s="378">
        <f t="shared" si="40"/>
        <v>0</v>
      </c>
      <c r="AL26" s="350">
        <f t="shared" si="14"/>
        <v>0</v>
      </c>
      <c r="AM26" s="350">
        <f t="shared" si="15"/>
        <v>0.40986153578442336</v>
      </c>
      <c r="AN26" s="350">
        <f t="shared" si="16"/>
        <v>0</v>
      </c>
      <c r="AO26" s="350">
        <f t="shared" si="17"/>
        <v>0</v>
      </c>
      <c r="AP26" s="350">
        <f t="shared" si="18"/>
        <v>0</v>
      </c>
      <c r="AQ26" s="351"/>
      <c r="AR26" s="351"/>
      <c r="AS26" s="350">
        <f t="shared" si="19"/>
        <v>0</v>
      </c>
      <c r="AT26" s="350">
        <f t="shared" si="20"/>
        <v>0</v>
      </c>
      <c r="AU26" s="350">
        <f t="shared" si="41"/>
        <v>0</v>
      </c>
      <c r="AV26" s="350">
        <f t="shared" si="42"/>
        <v>0</v>
      </c>
      <c r="AW26" s="350">
        <f t="shared" si="43"/>
        <v>0</v>
      </c>
      <c r="AX26" s="350">
        <f t="shared" si="44"/>
        <v>0</v>
      </c>
      <c r="AY26" s="350">
        <f t="shared" si="45"/>
        <v>0</v>
      </c>
      <c r="AZ26" s="350">
        <f t="shared" si="46"/>
        <v>0</v>
      </c>
      <c r="BA26" s="350">
        <f t="shared" si="47"/>
        <v>12.832678883071553</v>
      </c>
      <c r="BB26" s="350">
        <f t="shared" si="48"/>
        <v>0</v>
      </c>
      <c r="BC26" s="350">
        <f t="shared" si="49"/>
        <v>0</v>
      </c>
      <c r="BD26" s="470">
        <f t="shared" si="50"/>
        <v>0</v>
      </c>
      <c r="BE26" s="369">
        <f t="shared" si="51"/>
        <v>3.4704870906208867</v>
      </c>
      <c r="BF26" s="370">
        <f t="shared" si="52"/>
        <v>35.666666666666664</v>
      </c>
      <c r="BG26" s="370">
        <f t="shared" si="53"/>
        <v>19.810427520052922</v>
      </c>
      <c r="BH26" s="370">
        <f t="shared" si="54"/>
        <v>41.54999756939381</v>
      </c>
      <c r="BI26" s="370">
        <f t="shared" si="55"/>
        <v>48.96337249481686</v>
      </c>
      <c r="BJ26" s="370">
        <f t="shared" si="56"/>
        <v>11.653570603189275</v>
      </c>
      <c r="BK26" s="370">
        <f t="shared" si="57"/>
        <v>57.7473042662916</v>
      </c>
      <c r="BL26" s="370"/>
      <c r="BM26" s="370">
        <f t="shared" si="58"/>
        <v>3.0012137261392478</v>
      </c>
      <c r="BN26" s="372">
        <f t="shared" si="21"/>
        <v>6.138953112957988</v>
      </c>
      <c r="BO26" s="369">
        <f t="shared" si="59"/>
        <v>0</v>
      </c>
      <c r="BP26" s="370">
        <f t="shared" si="60"/>
        <v>0</v>
      </c>
      <c r="BQ26" s="370">
        <f t="shared" si="61"/>
        <v>0.17473994351090835</v>
      </c>
      <c r="BR26" s="370">
        <f t="shared" si="62"/>
        <v>0.223492447038084</v>
      </c>
      <c r="BS26" s="372">
        <f t="shared" si="63"/>
        <v>15.834419536577222</v>
      </c>
    </row>
    <row r="27" spans="1:71" s="39" customFormat="1" ht="17.25" customHeight="1">
      <c r="A27" s="329"/>
      <c r="B27" s="329"/>
      <c r="C27" s="330"/>
      <c r="D27" s="329"/>
      <c r="E27" s="330"/>
      <c r="F27" s="329"/>
      <c r="G27" s="330"/>
      <c r="H27" s="329"/>
      <c r="I27" s="330"/>
      <c r="J27" s="329"/>
      <c r="K27" s="330"/>
      <c r="P27" s="397" t="s">
        <v>194</v>
      </c>
      <c r="Q27" s="359">
        <f t="shared" si="22"/>
        <v>709.0894715657524</v>
      </c>
      <c r="R27" s="350">
        <f t="shared" si="23"/>
        <v>433.84999999999997</v>
      </c>
      <c r="S27" s="350">
        <f t="shared" si="24"/>
        <v>711.9835664497068</v>
      </c>
      <c r="T27" s="350">
        <f t="shared" si="25"/>
        <v>434.6607029123965</v>
      </c>
      <c r="U27" s="350">
        <f t="shared" si="26"/>
        <v>358.40730877348716</v>
      </c>
      <c r="V27" s="350">
        <f t="shared" si="27"/>
        <v>627.2341690925596</v>
      </c>
      <c r="W27" s="350">
        <f t="shared" si="28"/>
        <v>480.31295487627364</v>
      </c>
      <c r="X27" s="351"/>
      <c r="Y27" s="350">
        <f t="shared" si="29"/>
        <v>218.74793197008805</v>
      </c>
      <c r="Z27" s="360">
        <f t="shared" si="30"/>
        <v>320.33051046812517</v>
      </c>
      <c r="AA27" s="369">
        <f t="shared" si="31"/>
        <v>411.8376782126691</v>
      </c>
      <c r="AB27" s="370">
        <f t="shared" si="32"/>
        <v>88.9269406392694</v>
      </c>
      <c r="AC27" s="370">
        <f t="shared" si="33"/>
        <v>555.260440351675</v>
      </c>
      <c r="AD27" s="370">
        <f t="shared" si="34"/>
        <v>349.3298245614035</v>
      </c>
      <c r="AE27" s="370">
        <f t="shared" si="35"/>
        <v>157.18137254901958</v>
      </c>
      <c r="AF27" s="370">
        <f t="shared" si="36"/>
        <v>283.3659144431488</v>
      </c>
      <c r="AG27" s="370">
        <f t="shared" si="37"/>
        <v>272.25</v>
      </c>
      <c r="AH27" s="371"/>
      <c r="AI27" s="370">
        <f t="shared" si="38"/>
        <v>69.87244360109635</v>
      </c>
      <c r="AJ27" s="372">
        <f t="shared" si="39"/>
        <v>96.10478830767734</v>
      </c>
      <c r="AK27" s="378">
        <f t="shared" si="40"/>
        <v>339.8559868605536</v>
      </c>
      <c r="AL27" s="350">
        <f t="shared" si="14"/>
        <v>0</v>
      </c>
      <c r="AM27" s="350">
        <f t="shared" si="15"/>
        <v>351.3141049543838</v>
      </c>
      <c r="AN27" s="350">
        <f t="shared" si="16"/>
        <v>263.9469064051338</v>
      </c>
      <c r="AO27" s="350">
        <f t="shared" si="17"/>
        <v>116.61341853035144</v>
      </c>
      <c r="AP27" s="350">
        <f t="shared" si="18"/>
        <v>295.7578712733352</v>
      </c>
      <c r="AQ27" s="351"/>
      <c r="AR27" s="351"/>
      <c r="AS27" s="350">
        <f t="shared" si="19"/>
        <v>10.294374563242487</v>
      </c>
      <c r="AT27" s="350">
        <f t="shared" si="20"/>
        <v>69.952374850504</v>
      </c>
      <c r="AU27" s="350">
        <f t="shared" si="41"/>
        <v>270.8089306827243</v>
      </c>
      <c r="AV27" s="350">
        <f t="shared" si="42"/>
        <v>156.8337129840547</v>
      </c>
      <c r="AW27" s="350">
        <f t="shared" si="43"/>
        <v>287.2955259451847</v>
      </c>
      <c r="AX27" s="350">
        <f t="shared" si="44"/>
        <v>288.7036673857619</v>
      </c>
      <c r="AY27" s="350">
        <f t="shared" si="45"/>
        <v>132.26736894908453</v>
      </c>
      <c r="AZ27" s="350">
        <f t="shared" si="46"/>
        <v>261.95293022138117</v>
      </c>
      <c r="BA27" s="350">
        <f t="shared" si="47"/>
        <v>258.2078970331588</v>
      </c>
      <c r="BB27" s="350">
        <f t="shared" si="48"/>
        <v>0</v>
      </c>
      <c r="BC27" s="350">
        <f t="shared" si="49"/>
        <v>19.08824828804948</v>
      </c>
      <c r="BD27" s="470">
        <f t="shared" si="50"/>
        <v>57.28676085818944</v>
      </c>
      <c r="BE27" s="369">
        <f t="shared" si="51"/>
        <v>517.4135568630612</v>
      </c>
      <c r="BF27" s="370">
        <f t="shared" si="52"/>
        <v>203.3125</v>
      </c>
      <c r="BG27" s="370">
        <f t="shared" si="53"/>
        <v>652.5301827503514</v>
      </c>
      <c r="BH27" s="370">
        <f t="shared" si="54"/>
        <v>345.8874143211317</v>
      </c>
      <c r="BI27" s="370">
        <f t="shared" si="55"/>
        <v>284.1856715042617</v>
      </c>
      <c r="BJ27" s="370">
        <f t="shared" si="56"/>
        <v>428.05253832524454</v>
      </c>
      <c r="BK27" s="370">
        <f t="shared" si="57"/>
        <v>383.82559774964835</v>
      </c>
      <c r="BL27" s="370"/>
      <c r="BM27" s="370">
        <f t="shared" si="58"/>
        <v>41.47909080878296</v>
      </c>
      <c r="BN27" s="372">
        <f t="shared" si="21"/>
        <v>254.1872357266346</v>
      </c>
      <c r="BO27" s="369">
        <f t="shared" si="59"/>
        <v>580.0558499557538</v>
      </c>
      <c r="BP27" s="370">
        <f t="shared" si="60"/>
        <v>388.9141510297213</v>
      </c>
      <c r="BQ27" s="370">
        <f t="shared" si="61"/>
        <v>263.5257194940358</v>
      </c>
      <c r="BR27" s="370">
        <f t="shared" si="62"/>
        <v>241.56475107139602</v>
      </c>
      <c r="BS27" s="372">
        <f t="shared" si="63"/>
        <v>472.71897318783596</v>
      </c>
    </row>
    <row r="28" spans="1:71" s="39" customFormat="1" ht="17.25" customHeight="1">
      <c r="A28" s="329"/>
      <c r="B28" s="329"/>
      <c r="C28" s="330"/>
      <c r="D28" s="329"/>
      <c r="E28" s="330"/>
      <c r="F28" s="329"/>
      <c r="G28" s="330"/>
      <c r="H28" s="329"/>
      <c r="I28" s="330"/>
      <c r="J28" s="329"/>
      <c r="K28" s="330"/>
      <c r="P28" s="397" t="s">
        <v>195</v>
      </c>
      <c r="Q28" s="359">
        <f t="shared" si="22"/>
        <v>2982.0510608935656</v>
      </c>
      <c r="R28" s="350">
        <f t="shared" si="23"/>
        <v>787.9499999999999</v>
      </c>
      <c r="S28" s="350">
        <f t="shared" si="24"/>
        <v>452.96069334810505</v>
      </c>
      <c r="T28" s="350">
        <f t="shared" si="25"/>
        <v>1866.0239708181343</v>
      </c>
      <c r="U28" s="350">
        <f t="shared" si="26"/>
        <v>577.1526853084775</v>
      </c>
      <c r="V28" s="350">
        <f t="shared" si="27"/>
        <v>1099.0609446896422</v>
      </c>
      <c r="W28" s="350">
        <f t="shared" si="28"/>
        <v>1040.5992236778263</v>
      </c>
      <c r="X28" s="351"/>
      <c r="Y28" s="350">
        <f t="shared" si="29"/>
        <v>151.62133545099599</v>
      </c>
      <c r="Z28" s="360">
        <f t="shared" si="30"/>
        <v>480.3649141378499</v>
      </c>
      <c r="AA28" s="369">
        <f t="shared" si="31"/>
        <v>4529.1397380969665</v>
      </c>
      <c r="AB28" s="370">
        <f t="shared" si="32"/>
        <v>1453.638698630137</v>
      </c>
      <c r="AC28" s="370">
        <f t="shared" si="33"/>
        <v>693.8651091405185</v>
      </c>
      <c r="AD28" s="370">
        <f t="shared" si="34"/>
        <v>2153.714619883041</v>
      </c>
      <c r="AE28" s="370">
        <f t="shared" si="35"/>
        <v>115.89985994397757</v>
      </c>
      <c r="AF28" s="370">
        <f t="shared" si="36"/>
        <v>297.2889087043007</v>
      </c>
      <c r="AG28" s="370">
        <f t="shared" si="37"/>
        <v>0</v>
      </c>
      <c r="AH28" s="371"/>
      <c r="AI28" s="370">
        <f t="shared" si="38"/>
        <v>108.7550073792958</v>
      </c>
      <c r="AJ28" s="372">
        <f t="shared" si="39"/>
        <v>202.77109019722283</v>
      </c>
      <c r="AK28" s="378">
        <f t="shared" si="40"/>
        <v>3376.1667267555986</v>
      </c>
      <c r="AL28" s="350">
        <f t="shared" si="14"/>
        <v>886.1666666666666</v>
      </c>
      <c r="AM28" s="350">
        <f t="shared" si="15"/>
        <v>718.9359758371243</v>
      </c>
      <c r="AN28" s="350">
        <f t="shared" si="16"/>
        <v>1625.964099769948</v>
      </c>
      <c r="AO28" s="350">
        <f t="shared" si="17"/>
        <v>79.71246006389777</v>
      </c>
      <c r="AP28" s="350">
        <f t="shared" si="18"/>
        <v>894.0431410792236</v>
      </c>
      <c r="AQ28" s="351"/>
      <c r="AR28" s="351"/>
      <c r="AS28" s="350">
        <f t="shared" si="19"/>
        <v>285.20993477754485</v>
      </c>
      <c r="AT28" s="350">
        <f t="shared" si="20"/>
        <v>978.457628566547</v>
      </c>
      <c r="AU28" s="350">
        <f t="shared" si="41"/>
        <v>4473.024416398581</v>
      </c>
      <c r="AV28" s="350">
        <f t="shared" si="42"/>
        <v>2874.6772968868645</v>
      </c>
      <c r="AW28" s="350">
        <f t="shared" si="43"/>
        <v>282.5547069656592</v>
      </c>
      <c r="AX28" s="350">
        <f t="shared" si="44"/>
        <v>1518.4317186376413</v>
      </c>
      <c r="AY28" s="350">
        <f t="shared" si="45"/>
        <v>53.98169049410584</v>
      </c>
      <c r="AZ28" s="350">
        <f t="shared" si="46"/>
        <v>127.24309873539396</v>
      </c>
      <c r="BA28" s="350">
        <f t="shared" si="47"/>
        <v>568.3845986038394</v>
      </c>
      <c r="BB28" s="350">
        <f t="shared" si="48"/>
        <v>0</v>
      </c>
      <c r="BC28" s="350">
        <f t="shared" si="49"/>
        <v>70.56963772918047</v>
      </c>
      <c r="BD28" s="470">
        <f t="shared" si="50"/>
        <v>302.0824413681557</v>
      </c>
      <c r="BE28" s="369">
        <f t="shared" si="51"/>
        <v>2617.377287015395</v>
      </c>
      <c r="BF28" s="370">
        <f t="shared" si="52"/>
        <v>1137.5</v>
      </c>
      <c r="BG28" s="370">
        <f t="shared" si="53"/>
        <v>58.017654841643925</v>
      </c>
      <c r="BH28" s="370">
        <f t="shared" si="54"/>
        <v>1686.0045695396432</v>
      </c>
      <c r="BI28" s="370">
        <f t="shared" si="55"/>
        <v>0</v>
      </c>
      <c r="BJ28" s="370">
        <f t="shared" si="56"/>
        <v>227.94276249903703</v>
      </c>
      <c r="BK28" s="370">
        <f t="shared" si="57"/>
        <v>1315.014064697609</v>
      </c>
      <c r="BL28" s="370"/>
      <c r="BM28" s="370">
        <f t="shared" si="58"/>
        <v>95.29819044466512</v>
      </c>
      <c r="BN28" s="372">
        <f t="shared" si="21"/>
        <v>237.2544731196234</v>
      </c>
      <c r="BO28" s="369">
        <f t="shared" si="59"/>
        <v>908.8858071558185</v>
      </c>
      <c r="BP28" s="370">
        <f t="shared" si="60"/>
        <v>1093.0376113182265</v>
      </c>
      <c r="BQ28" s="370">
        <f t="shared" si="61"/>
        <v>1150.6221218913777</v>
      </c>
      <c r="BR28" s="370">
        <f t="shared" si="62"/>
        <v>915.2199021306345</v>
      </c>
      <c r="BS28" s="372">
        <f t="shared" si="63"/>
        <v>582.8720111457021</v>
      </c>
    </row>
    <row r="29" spans="1:71" s="39" customFormat="1" ht="17.25" customHeight="1">
      <c r="A29" s="329"/>
      <c r="B29" s="329"/>
      <c r="C29" s="330"/>
      <c r="D29" s="329"/>
      <c r="E29" s="330"/>
      <c r="F29" s="329"/>
      <c r="G29" s="330"/>
      <c r="H29" s="329"/>
      <c r="I29" s="330"/>
      <c r="J29" s="329"/>
      <c r="K29" s="330"/>
      <c r="P29" s="397" t="s">
        <v>196</v>
      </c>
      <c r="Q29" s="359">
        <f t="shared" si="22"/>
        <v>644.4763095854178</v>
      </c>
      <c r="R29" s="350">
        <f t="shared" si="23"/>
        <v>337.05</v>
      </c>
      <c r="S29" s="350">
        <f t="shared" si="24"/>
        <v>159.4589084306575</v>
      </c>
      <c r="T29" s="350">
        <f t="shared" si="25"/>
        <v>703.3162526778993</v>
      </c>
      <c r="U29" s="350">
        <f t="shared" si="26"/>
        <v>0</v>
      </c>
      <c r="V29" s="350">
        <f t="shared" si="27"/>
        <v>457.11256142986826</v>
      </c>
      <c r="W29" s="350">
        <f t="shared" si="28"/>
        <v>171.94323144104803</v>
      </c>
      <c r="X29" s="351"/>
      <c r="Y29" s="350">
        <f t="shared" si="29"/>
        <v>238.6175633644365</v>
      </c>
      <c r="Z29" s="360">
        <f t="shared" si="30"/>
        <v>79.34456598447424</v>
      </c>
      <c r="AA29" s="369">
        <f t="shared" si="31"/>
        <v>2702.7436884273716</v>
      </c>
      <c r="AB29" s="370">
        <f t="shared" si="32"/>
        <v>0</v>
      </c>
      <c r="AC29" s="370">
        <f t="shared" si="33"/>
        <v>184.195309736749</v>
      </c>
      <c r="AD29" s="370">
        <f t="shared" si="34"/>
        <v>559.8058479532164</v>
      </c>
      <c r="AE29" s="370">
        <f t="shared" si="35"/>
        <v>1.4285714285714286</v>
      </c>
      <c r="AF29" s="370">
        <f t="shared" si="36"/>
        <v>107.26215789834696</v>
      </c>
      <c r="AG29" s="370">
        <f t="shared" si="37"/>
        <v>0</v>
      </c>
      <c r="AH29" s="371"/>
      <c r="AI29" s="370">
        <f t="shared" si="38"/>
        <v>140.82437275985663</v>
      </c>
      <c r="AJ29" s="372">
        <f t="shared" si="39"/>
        <v>170.48405923980448</v>
      </c>
      <c r="AK29" s="378">
        <f t="shared" si="40"/>
        <v>2963.4078436085406</v>
      </c>
      <c r="AL29" s="350">
        <f t="shared" si="14"/>
        <v>0</v>
      </c>
      <c r="AM29" s="350">
        <f t="shared" si="15"/>
        <v>425.80853655505007</v>
      </c>
      <c r="AN29" s="350">
        <f t="shared" si="16"/>
        <v>868.7280542438551</v>
      </c>
      <c r="AO29" s="350">
        <f t="shared" si="17"/>
        <v>0</v>
      </c>
      <c r="AP29" s="350">
        <f t="shared" si="18"/>
        <v>572.4923376985233</v>
      </c>
      <c r="AQ29" s="351"/>
      <c r="AR29" s="351"/>
      <c r="AS29" s="350">
        <f t="shared" si="19"/>
        <v>419.8317027719543</v>
      </c>
      <c r="AT29" s="350">
        <f t="shared" si="20"/>
        <v>368.9945327182641</v>
      </c>
      <c r="AU29" s="350">
        <f t="shared" si="41"/>
        <v>2986.87068657373</v>
      </c>
      <c r="AV29" s="350">
        <f t="shared" si="42"/>
        <v>936.0668185269552</v>
      </c>
      <c r="AW29" s="350">
        <f t="shared" si="43"/>
        <v>121.11557330114367</v>
      </c>
      <c r="AX29" s="350">
        <f t="shared" si="44"/>
        <v>715.7857749885598</v>
      </c>
      <c r="AY29" s="350">
        <f t="shared" si="45"/>
        <v>0</v>
      </c>
      <c r="AZ29" s="350">
        <f t="shared" si="46"/>
        <v>38.03730738037307</v>
      </c>
      <c r="BA29" s="350">
        <f t="shared" si="47"/>
        <v>41.47033158813264</v>
      </c>
      <c r="BB29" s="350">
        <f t="shared" si="48"/>
        <v>0</v>
      </c>
      <c r="BC29" s="350">
        <f t="shared" si="49"/>
        <v>139.43975038656947</v>
      </c>
      <c r="BD29" s="470">
        <f t="shared" si="50"/>
        <v>28.466771323914184</v>
      </c>
      <c r="BE29" s="369">
        <f t="shared" si="51"/>
        <v>2344.0638349318933</v>
      </c>
      <c r="BF29" s="370">
        <f t="shared" si="52"/>
        <v>0</v>
      </c>
      <c r="BG29" s="370">
        <f t="shared" si="53"/>
        <v>24.500744232200447</v>
      </c>
      <c r="BH29" s="370">
        <f t="shared" si="54"/>
        <v>715.1025715813524</v>
      </c>
      <c r="BI29" s="370">
        <f t="shared" si="55"/>
        <v>0</v>
      </c>
      <c r="BJ29" s="370">
        <f t="shared" si="56"/>
        <v>49.58304444958015</v>
      </c>
      <c r="BK29" s="370">
        <f t="shared" si="57"/>
        <v>33.07548054383497</v>
      </c>
      <c r="BL29" s="370"/>
      <c r="BM29" s="370">
        <f t="shared" si="58"/>
        <v>106.02587443451397</v>
      </c>
      <c r="BN29" s="372">
        <f t="shared" si="21"/>
        <v>127.62034201920473</v>
      </c>
      <c r="BO29" s="369">
        <f t="shared" si="59"/>
        <v>269.973245736362</v>
      </c>
      <c r="BP29" s="370">
        <f t="shared" si="60"/>
        <v>495.42100944267844</v>
      </c>
      <c r="BQ29" s="370">
        <f t="shared" si="61"/>
        <v>798.899363570365</v>
      </c>
      <c r="BR29" s="370">
        <f t="shared" si="62"/>
        <v>535.8640314884046</v>
      </c>
      <c r="BS29" s="372">
        <f t="shared" si="63"/>
        <v>410.5245912823662</v>
      </c>
    </row>
    <row r="30" spans="1:71" s="39" customFormat="1" ht="17.25" customHeight="1" thickBot="1">
      <c r="A30" s="329"/>
      <c r="B30" s="329"/>
      <c r="C30" s="330"/>
      <c r="D30" s="329"/>
      <c r="E30" s="330"/>
      <c r="F30" s="329"/>
      <c r="G30" s="330"/>
      <c r="H30" s="329"/>
      <c r="I30" s="330"/>
      <c r="J30" s="329"/>
      <c r="K30" s="330"/>
      <c r="P30" s="397" t="s">
        <v>197</v>
      </c>
      <c r="Q30" s="359">
        <f t="shared" si="22"/>
        <v>562.3936231384049</v>
      </c>
      <c r="R30" s="350">
        <f t="shared" si="23"/>
        <v>65</v>
      </c>
      <c r="S30" s="350">
        <f t="shared" si="24"/>
        <v>722.6597962732154</v>
      </c>
      <c r="T30" s="350">
        <f t="shared" si="25"/>
        <v>311.72196166985117</v>
      </c>
      <c r="U30" s="350">
        <f t="shared" si="26"/>
        <v>120.2618730581447</v>
      </c>
      <c r="V30" s="350">
        <f t="shared" si="27"/>
        <v>398.1782326979059</v>
      </c>
      <c r="W30" s="350">
        <f t="shared" si="28"/>
        <v>170.63318777292577</v>
      </c>
      <c r="X30" s="351"/>
      <c r="Y30" s="350">
        <f t="shared" si="29"/>
        <v>95.76963801204421</v>
      </c>
      <c r="Z30" s="360">
        <f t="shared" si="30"/>
        <v>299.9691249117855</v>
      </c>
      <c r="AA30" s="369">
        <f t="shared" si="31"/>
        <v>443.3695204899184</v>
      </c>
      <c r="AB30" s="370">
        <f t="shared" si="32"/>
        <v>200.9988584474886</v>
      </c>
      <c r="AC30" s="370">
        <f t="shared" si="33"/>
        <v>646.3981418321459</v>
      </c>
      <c r="AD30" s="370">
        <f t="shared" si="34"/>
        <v>235.91929824561404</v>
      </c>
      <c r="AE30" s="370">
        <f t="shared" si="35"/>
        <v>34.66386554621849</v>
      </c>
      <c r="AF30" s="370">
        <f t="shared" si="36"/>
        <v>285.293344308023</v>
      </c>
      <c r="AG30" s="370">
        <f t="shared" si="37"/>
        <v>0</v>
      </c>
      <c r="AH30" s="371"/>
      <c r="AI30" s="370">
        <f t="shared" si="38"/>
        <v>57.49525616698293</v>
      </c>
      <c r="AJ30" s="372">
        <f t="shared" si="39"/>
        <v>323.2277911529389</v>
      </c>
      <c r="AK30" s="378">
        <f t="shared" si="40"/>
        <v>541.2460441453351</v>
      </c>
      <c r="AL30" s="350">
        <f t="shared" si="14"/>
        <v>163.69444444444443</v>
      </c>
      <c r="AM30" s="350">
        <f t="shared" si="15"/>
        <v>592.9730032068014</v>
      </c>
      <c r="AN30" s="350">
        <f t="shared" si="16"/>
        <v>234.75451023126286</v>
      </c>
      <c r="AO30" s="350">
        <f t="shared" si="17"/>
        <v>21.898296059637914</v>
      </c>
      <c r="AP30" s="350">
        <f t="shared" si="18"/>
        <v>402.5157889848611</v>
      </c>
      <c r="AQ30" s="351"/>
      <c r="AR30" s="351"/>
      <c r="AS30" s="350">
        <f t="shared" si="19"/>
        <v>39.443570929419984</v>
      </c>
      <c r="AT30" s="350">
        <f t="shared" si="20"/>
        <v>231.29378096702544</v>
      </c>
      <c r="AU30" s="350">
        <f t="shared" si="41"/>
        <v>765.8149797904808</v>
      </c>
      <c r="AV30" s="350">
        <f t="shared" si="42"/>
        <v>550.9870918754747</v>
      </c>
      <c r="AW30" s="350">
        <f t="shared" si="43"/>
        <v>650.4058529489145</v>
      </c>
      <c r="AX30" s="350">
        <f t="shared" si="44"/>
        <v>269.2374321762437</v>
      </c>
      <c r="AY30" s="350">
        <f t="shared" si="45"/>
        <v>47.51693002257337</v>
      </c>
      <c r="AZ30" s="350">
        <f t="shared" si="46"/>
        <v>328.24336907873</v>
      </c>
      <c r="BA30" s="350">
        <f t="shared" si="47"/>
        <v>155.19197207678883</v>
      </c>
      <c r="BB30" s="350">
        <f t="shared" si="48"/>
        <v>0</v>
      </c>
      <c r="BC30" s="350">
        <f t="shared" si="49"/>
        <v>14.83460349017009</v>
      </c>
      <c r="BD30" s="470">
        <f t="shared" si="50"/>
        <v>368.23771466628614</v>
      </c>
      <c r="BE30" s="369">
        <f t="shared" si="51"/>
        <v>483.43072459095674</v>
      </c>
      <c r="BF30" s="370">
        <f t="shared" si="52"/>
        <v>191.66666666666666</v>
      </c>
      <c r="BG30" s="370">
        <f t="shared" si="53"/>
        <v>671.4028776978417</v>
      </c>
      <c r="BH30" s="370">
        <f t="shared" si="54"/>
        <v>163.0061737397307</v>
      </c>
      <c r="BI30" s="370">
        <f t="shared" si="55"/>
        <v>0</v>
      </c>
      <c r="BJ30" s="370">
        <f t="shared" si="56"/>
        <v>286.3637239041676</v>
      </c>
      <c r="BK30" s="370">
        <f t="shared" si="57"/>
        <v>219.62025316455697</v>
      </c>
      <c r="BL30" s="370"/>
      <c r="BM30" s="370">
        <f t="shared" si="58"/>
        <v>16.086009047776674</v>
      </c>
      <c r="BN30" s="372">
        <f t="shared" si="21"/>
        <v>265.6746651669479</v>
      </c>
      <c r="BO30" s="369">
        <f t="shared" si="59"/>
        <v>515.1370768642763</v>
      </c>
      <c r="BP30" s="370">
        <f t="shared" si="60"/>
        <v>452.90349813006054</v>
      </c>
      <c r="BQ30" s="370">
        <f t="shared" si="61"/>
        <v>424.38662172975324</v>
      </c>
      <c r="BR30" s="370">
        <f t="shared" si="62"/>
        <v>518.9371143734234</v>
      </c>
      <c r="BS30" s="372">
        <f t="shared" si="63"/>
        <v>444.24491818465816</v>
      </c>
    </row>
    <row r="31" spans="1:71" s="39" customFormat="1" ht="19.5" customHeight="1" thickBot="1">
      <c r="A31" s="890" t="s">
        <v>184</v>
      </c>
      <c r="B31" s="878">
        <v>2004</v>
      </c>
      <c r="C31" s="879"/>
      <c r="D31" s="879"/>
      <c r="E31" s="879"/>
      <c r="F31" s="879"/>
      <c r="G31" s="879"/>
      <c r="H31" s="879"/>
      <c r="I31" s="879"/>
      <c r="J31" s="879"/>
      <c r="K31" s="707"/>
      <c r="P31" s="397" t="s">
        <v>198</v>
      </c>
      <c r="Q31" s="359">
        <f t="shared" si="22"/>
        <v>253.69443965269394</v>
      </c>
      <c r="R31" s="350">
        <f t="shared" si="23"/>
        <v>44.98333333333333</v>
      </c>
      <c r="S31" s="350">
        <f t="shared" si="24"/>
        <v>321.8138838880426</v>
      </c>
      <c r="T31" s="350">
        <f t="shared" si="25"/>
        <v>153.39876092872444</v>
      </c>
      <c r="U31" s="350">
        <f t="shared" si="26"/>
        <v>66.8146175469744</v>
      </c>
      <c r="V31" s="350">
        <f t="shared" si="27"/>
        <v>170.5668763890193</v>
      </c>
      <c r="W31" s="350">
        <f t="shared" si="28"/>
        <v>75.37603105288694</v>
      </c>
      <c r="X31" s="351"/>
      <c r="Y31" s="350">
        <f t="shared" si="29"/>
        <v>43.503077228509035</v>
      </c>
      <c r="Z31" s="360">
        <f t="shared" si="30"/>
        <v>135.3054183329413</v>
      </c>
      <c r="AA31" s="369">
        <f t="shared" si="31"/>
        <v>204.43807034105487</v>
      </c>
      <c r="AB31" s="370">
        <f t="shared" si="32"/>
        <v>212.5142694063927</v>
      </c>
      <c r="AC31" s="370">
        <f t="shared" si="33"/>
        <v>290.37678111262693</v>
      </c>
      <c r="AD31" s="370">
        <f t="shared" si="34"/>
        <v>99.79649122807018</v>
      </c>
      <c r="AE31" s="370">
        <f t="shared" si="35"/>
        <v>5.014005602240896</v>
      </c>
      <c r="AF31" s="370">
        <f t="shared" si="36"/>
        <v>126.12833527676797</v>
      </c>
      <c r="AG31" s="370">
        <f t="shared" si="37"/>
        <v>0</v>
      </c>
      <c r="AH31" s="371"/>
      <c r="AI31" s="370">
        <f t="shared" si="38"/>
        <v>31.13957410921358</v>
      </c>
      <c r="AJ31" s="372">
        <f t="shared" si="39"/>
        <v>155.43761095304103</v>
      </c>
      <c r="AK31" s="378">
        <f t="shared" si="40"/>
        <v>246.87337259143533</v>
      </c>
      <c r="AL31" s="350">
        <f t="shared" si="14"/>
        <v>28.416666666666668</v>
      </c>
      <c r="AM31" s="350">
        <f t="shared" si="15"/>
        <v>268.2355756084222</v>
      </c>
      <c r="AN31" s="350">
        <f t="shared" si="16"/>
        <v>99.65340840295435</v>
      </c>
      <c r="AO31" s="350">
        <f t="shared" si="17"/>
        <v>0</v>
      </c>
      <c r="AP31" s="350">
        <f t="shared" si="18"/>
        <v>167.64535153710412</v>
      </c>
      <c r="AQ31" s="351"/>
      <c r="AR31" s="351"/>
      <c r="AS31" s="350">
        <f t="shared" si="19"/>
        <v>11.291637549499185</v>
      </c>
      <c r="AT31" s="350">
        <f t="shared" si="20"/>
        <v>113.31368528959507</v>
      </c>
      <c r="AU31" s="350">
        <f t="shared" si="41"/>
        <v>329.9307102202425</v>
      </c>
      <c r="AV31" s="350">
        <f t="shared" si="42"/>
        <v>147.15261958997723</v>
      </c>
      <c r="AW31" s="350">
        <f t="shared" si="43"/>
        <v>289.57627249794945</v>
      </c>
      <c r="AX31" s="350">
        <f t="shared" si="44"/>
        <v>112.9960122899915</v>
      </c>
      <c r="AY31" s="350">
        <f t="shared" si="45"/>
        <v>3.7622272385252074</v>
      </c>
      <c r="AZ31" s="350">
        <f t="shared" si="46"/>
        <v>157.95935838514916</v>
      </c>
      <c r="BA31" s="350">
        <f t="shared" si="47"/>
        <v>52.923211169284464</v>
      </c>
      <c r="BB31" s="350">
        <f t="shared" si="48"/>
        <v>0</v>
      </c>
      <c r="BC31" s="350">
        <f t="shared" si="49"/>
        <v>7.459410205434062</v>
      </c>
      <c r="BD31" s="470">
        <f t="shared" si="50"/>
        <v>161.38504352790068</v>
      </c>
      <c r="BE31" s="369">
        <f t="shared" si="51"/>
        <v>192.175787861691</v>
      </c>
      <c r="BF31" s="370">
        <f t="shared" si="52"/>
        <v>0</v>
      </c>
      <c r="BG31" s="370">
        <f t="shared" si="53"/>
        <v>289.44513354833373</v>
      </c>
      <c r="BH31" s="370">
        <f t="shared" si="54"/>
        <v>75.56390063681883</v>
      </c>
      <c r="BI31" s="370">
        <f t="shared" si="55"/>
        <v>0</v>
      </c>
      <c r="BJ31" s="370">
        <f t="shared" si="56"/>
        <v>138.04502734766194</v>
      </c>
      <c r="BK31" s="370">
        <f t="shared" si="57"/>
        <v>111.97843413033286</v>
      </c>
      <c r="BL31" s="370"/>
      <c r="BM31" s="370">
        <f t="shared" si="58"/>
        <v>5.380392805914156</v>
      </c>
      <c r="BN31" s="372">
        <f t="shared" si="21"/>
        <v>116.33443729300757</v>
      </c>
      <c r="BO31" s="369">
        <f t="shared" si="59"/>
        <v>230.64852403923956</v>
      </c>
      <c r="BP31" s="370">
        <f t="shared" si="60"/>
        <v>205.46813428143852</v>
      </c>
      <c r="BQ31" s="370">
        <f t="shared" si="61"/>
        <v>190.09082767647544</v>
      </c>
      <c r="BR31" s="370">
        <f t="shared" si="62"/>
        <v>229.43233108416158</v>
      </c>
      <c r="BS31" s="372">
        <f t="shared" si="63"/>
        <v>191.0834383629032</v>
      </c>
    </row>
    <row r="32" spans="1:71" ht="23.25" customHeight="1" thickBot="1">
      <c r="A32" s="891"/>
      <c r="B32" s="880" t="s">
        <v>170</v>
      </c>
      <c r="C32" s="883"/>
      <c r="D32" s="882" t="s">
        <v>7</v>
      </c>
      <c r="E32" s="883"/>
      <c r="F32" s="882" t="s">
        <v>6</v>
      </c>
      <c r="G32" s="883"/>
      <c r="H32" s="882" t="s">
        <v>5</v>
      </c>
      <c r="I32" s="884"/>
      <c r="J32" s="882" t="s">
        <v>171</v>
      </c>
      <c r="K32" s="885"/>
      <c r="P32" s="397" t="s">
        <v>199</v>
      </c>
      <c r="Q32" s="359">
        <f t="shared" si="22"/>
        <v>38.02685296992697</v>
      </c>
      <c r="R32" s="350">
        <f t="shared" si="23"/>
        <v>51.083333333333336</v>
      </c>
      <c r="S32" s="350">
        <f t="shared" si="24"/>
        <v>561.4842511809691</v>
      </c>
      <c r="T32" s="350">
        <f t="shared" si="25"/>
        <v>61.71182907764461</v>
      </c>
      <c r="U32" s="350">
        <f t="shared" si="26"/>
        <v>0</v>
      </c>
      <c r="V32" s="350">
        <f t="shared" si="27"/>
        <v>135.17231664945066</v>
      </c>
      <c r="W32" s="350">
        <f t="shared" si="28"/>
        <v>24.55118874332848</v>
      </c>
      <c r="X32" s="351"/>
      <c r="Y32" s="350">
        <f t="shared" si="29"/>
        <v>76.30203163258554</v>
      </c>
      <c r="Z32" s="360">
        <f t="shared" si="30"/>
        <v>5.93193758331373</v>
      </c>
      <c r="AA32" s="369">
        <f t="shared" si="31"/>
        <v>363.91632173892</v>
      </c>
      <c r="AB32" s="370">
        <f t="shared" si="32"/>
        <v>0</v>
      </c>
      <c r="AC32" s="370">
        <f t="shared" si="33"/>
        <v>556.9296018392198</v>
      </c>
      <c r="AD32" s="370">
        <f t="shared" si="34"/>
        <v>129.74970760233919</v>
      </c>
      <c r="AE32" s="370">
        <f t="shared" si="35"/>
        <v>0</v>
      </c>
      <c r="AF32" s="370">
        <f t="shared" si="36"/>
        <v>152.0320323753344</v>
      </c>
      <c r="AG32" s="370">
        <f t="shared" si="37"/>
        <v>0</v>
      </c>
      <c r="AH32" s="371"/>
      <c r="AI32" s="370">
        <f t="shared" si="38"/>
        <v>0</v>
      </c>
      <c r="AJ32" s="372">
        <f t="shared" si="39"/>
        <v>90.09326135064809</v>
      </c>
      <c r="AK32" s="378">
        <f t="shared" si="40"/>
        <v>186.48199335015826</v>
      </c>
      <c r="AL32" s="350">
        <f t="shared" si="14"/>
        <v>0</v>
      </c>
      <c r="AM32" s="350">
        <f t="shared" si="15"/>
        <v>466.339771795063</v>
      </c>
      <c r="AN32" s="350">
        <f t="shared" si="16"/>
        <v>31.586753844291078</v>
      </c>
      <c r="AO32" s="350">
        <f t="shared" si="17"/>
        <v>0</v>
      </c>
      <c r="AP32" s="350">
        <f t="shared" si="18"/>
        <v>219.9115352465868</v>
      </c>
      <c r="AQ32" s="352"/>
      <c r="AR32" s="352"/>
      <c r="AS32" s="350">
        <f t="shared" si="19"/>
        <v>2.5317377125553224</v>
      </c>
      <c r="AT32" s="350">
        <f t="shared" si="20"/>
        <v>51.487485050401496</v>
      </c>
      <c r="AU32" s="350">
        <f t="shared" si="41"/>
        <v>333.5539882867277</v>
      </c>
      <c r="AV32" s="350">
        <f t="shared" si="42"/>
        <v>1.6704631738800304</v>
      </c>
      <c r="AW32" s="350">
        <f t="shared" si="43"/>
        <v>563.9978643391058</v>
      </c>
      <c r="AX32" s="350">
        <f t="shared" si="44"/>
        <v>120.90932862652807</v>
      </c>
      <c r="AY32" s="350">
        <f t="shared" si="45"/>
        <v>2.288688236769501</v>
      </c>
      <c r="AZ32" s="350">
        <f t="shared" si="46"/>
        <v>227.96251239073624</v>
      </c>
      <c r="BA32" s="350">
        <f t="shared" si="47"/>
        <v>12.969022687609076</v>
      </c>
      <c r="BB32" s="350">
        <f t="shared" si="48"/>
        <v>0</v>
      </c>
      <c r="BC32" s="350">
        <f t="shared" si="49"/>
        <v>10.032858405124808</v>
      </c>
      <c r="BD32" s="470">
        <f t="shared" si="50"/>
        <v>205.74544503115933</v>
      </c>
      <c r="BE32" s="369">
        <f t="shared" si="51"/>
        <v>245.06998737271974</v>
      </c>
      <c r="BF32" s="370">
        <f t="shared" si="52"/>
        <v>0</v>
      </c>
      <c r="BG32" s="370">
        <f t="shared" si="53"/>
        <v>616.3369304556355</v>
      </c>
      <c r="BH32" s="370">
        <f t="shared" si="54"/>
        <v>53.87681687812941</v>
      </c>
      <c r="BI32" s="370">
        <f t="shared" si="55"/>
        <v>0</v>
      </c>
      <c r="BJ32" s="370">
        <f t="shared" si="56"/>
        <v>142.07688159617902</v>
      </c>
      <c r="BK32" s="370">
        <f t="shared" si="57"/>
        <v>0</v>
      </c>
      <c r="BL32" s="370"/>
      <c r="BM32" s="370">
        <f t="shared" si="58"/>
        <v>4.848008385744235</v>
      </c>
      <c r="BN32" s="372">
        <f t="shared" si="21"/>
        <v>43.13982794892624</v>
      </c>
      <c r="BO32" s="369">
        <f t="shared" si="59"/>
        <v>279.835996708227</v>
      </c>
      <c r="BP32" s="370">
        <f t="shared" si="60"/>
        <v>343.40643365477996</v>
      </c>
      <c r="BQ32" s="370">
        <f t="shared" si="61"/>
        <v>257.9647764547531</v>
      </c>
      <c r="BR32" s="370">
        <f t="shared" si="62"/>
        <v>376.2605999817635</v>
      </c>
      <c r="BS32" s="372">
        <f t="shared" si="63"/>
        <v>325.3627559759132</v>
      </c>
    </row>
    <row r="33" spans="1:71" s="39" customFormat="1" ht="16.5" customHeight="1" thickBot="1">
      <c r="A33" s="92" t="s">
        <v>172</v>
      </c>
      <c r="B33" s="69">
        <f>+R23</f>
        <v>26007.3</v>
      </c>
      <c r="C33" s="424" t="s">
        <v>173</v>
      </c>
      <c r="D33" s="51">
        <f>+AB23</f>
        <v>23626.212899543378</v>
      </c>
      <c r="E33" s="319" t="s">
        <v>173</v>
      </c>
      <c r="F33" s="51">
        <f>+AL23</f>
        <v>22411.30555555556</v>
      </c>
      <c r="G33" s="319" t="s">
        <v>173</v>
      </c>
      <c r="H33" s="51">
        <f>+AV23</f>
        <v>33070.78587699317</v>
      </c>
      <c r="I33" s="319" t="s">
        <v>173</v>
      </c>
      <c r="J33" s="51">
        <f>+BF23</f>
        <v>27058.979166666668</v>
      </c>
      <c r="K33" s="320" t="s">
        <v>173</v>
      </c>
      <c r="P33" s="397" t="s">
        <v>200</v>
      </c>
      <c r="Q33" s="359">
        <f t="shared" si="22"/>
        <v>0</v>
      </c>
      <c r="R33" s="350">
        <f t="shared" si="23"/>
        <v>0</v>
      </c>
      <c r="S33" s="350">
        <f t="shared" si="24"/>
        <v>0</v>
      </c>
      <c r="T33" s="350">
        <f t="shared" si="25"/>
        <v>0</v>
      </c>
      <c r="U33" s="350">
        <f t="shared" si="26"/>
        <v>0</v>
      </c>
      <c r="V33" s="350">
        <f t="shared" si="27"/>
        <v>0</v>
      </c>
      <c r="W33" s="350">
        <f t="shared" si="28"/>
        <v>0</v>
      </c>
      <c r="X33" s="351"/>
      <c r="Y33" s="350">
        <f t="shared" si="29"/>
        <v>0</v>
      </c>
      <c r="Z33" s="360">
        <f t="shared" si="30"/>
        <v>0</v>
      </c>
      <c r="AA33" s="369">
        <f t="shared" si="31"/>
        <v>0</v>
      </c>
      <c r="AB33" s="370">
        <f t="shared" si="32"/>
        <v>0</v>
      </c>
      <c r="AC33" s="370">
        <f t="shared" si="33"/>
        <v>0</v>
      </c>
      <c r="AD33" s="370">
        <f t="shared" si="34"/>
        <v>0</v>
      </c>
      <c r="AE33" s="370">
        <f t="shared" si="35"/>
        <v>0</v>
      </c>
      <c r="AF33" s="370">
        <f t="shared" si="36"/>
        <v>0</v>
      </c>
      <c r="AG33" s="370">
        <f t="shared" si="37"/>
        <v>0</v>
      </c>
      <c r="AH33" s="371"/>
      <c r="AI33" s="370">
        <f t="shared" si="38"/>
        <v>0</v>
      </c>
      <c r="AJ33" s="372">
        <f t="shared" si="39"/>
        <v>16.69463291262372</v>
      </c>
      <c r="AK33" s="378">
        <f t="shared" si="40"/>
        <v>0</v>
      </c>
      <c r="AL33" s="350">
        <f t="shared" si="14"/>
        <v>0</v>
      </c>
      <c r="AM33" s="350">
        <f t="shared" si="15"/>
        <v>0</v>
      </c>
      <c r="AN33" s="350">
        <f t="shared" si="16"/>
        <v>0</v>
      </c>
      <c r="AO33" s="350">
        <f t="shared" si="17"/>
        <v>0</v>
      </c>
      <c r="AP33" s="350">
        <f t="shared" si="18"/>
        <v>0</v>
      </c>
      <c r="AQ33" s="351"/>
      <c r="AR33" s="351"/>
      <c r="AS33" s="350">
        <f t="shared" si="19"/>
        <v>0</v>
      </c>
      <c r="AT33" s="350">
        <f t="shared" si="20"/>
        <v>0</v>
      </c>
      <c r="AU33" s="350">
        <f t="shared" si="41"/>
        <v>0</v>
      </c>
      <c r="AV33" s="350">
        <f t="shared" si="42"/>
        <v>0</v>
      </c>
      <c r="AW33" s="350">
        <f t="shared" si="43"/>
        <v>0</v>
      </c>
      <c r="AX33" s="350">
        <f t="shared" si="44"/>
        <v>0</v>
      </c>
      <c r="AY33" s="350">
        <f t="shared" si="45"/>
        <v>0</v>
      </c>
      <c r="AZ33" s="350">
        <f t="shared" si="46"/>
        <v>0</v>
      </c>
      <c r="BA33" s="350">
        <f t="shared" si="47"/>
        <v>0</v>
      </c>
      <c r="BB33" s="350">
        <f t="shared" si="48"/>
        <v>0</v>
      </c>
      <c r="BC33" s="350">
        <f t="shared" si="49"/>
        <v>0</v>
      </c>
      <c r="BD33" s="470">
        <f t="shared" si="50"/>
        <v>0</v>
      </c>
      <c r="BE33" s="369">
        <f t="shared" si="51"/>
        <v>0</v>
      </c>
      <c r="BF33" s="370">
        <f t="shared" si="52"/>
        <v>0</v>
      </c>
      <c r="BG33" s="370">
        <f t="shared" si="53"/>
        <v>0</v>
      </c>
      <c r="BH33" s="370">
        <f t="shared" si="54"/>
        <v>0</v>
      </c>
      <c r="BI33" s="370">
        <f t="shared" si="55"/>
        <v>0</v>
      </c>
      <c r="BJ33" s="370">
        <f t="shared" si="56"/>
        <v>2.330328942300285</v>
      </c>
      <c r="BK33" s="370">
        <f t="shared" si="57"/>
        <v>0</v>
      </c>
      <c r="BL33" s="370"/>
      <c r="BM33" s="370">
        <f t="shared" si="58"/>
        <v>0</v>
      </c>
      <c r="BN33" s="372">
        <f t="shared" si="21"/>
        <v>0</v>
      </c>
      <c r="BO33" s="369">
        <f t="shared" si="59"/>
        <v>0</v>
      </c>
      <c r="BP33" s="370">
        <f t="shared" si="60"/>
        <v>2.0263828254831298</v>
      </c>
      <c r="BQ33" s="370">
        <f t="shared" si="61"/>
        <v>0</v>
      </c>
      <c r="BR33" s="370">
        <f t="shared" si="62"/>
        <v>0</v>
      </c>
      <c r="BS33" s="372">
        <f t="shared" si="63"/>
        <v>0.21724064877752766</v>
      </c>
    </row>
    <row r="34" spans="1:71" s="39" customFormat="1" ht="16.5" customHeight="1">
      <c r="A34" s="321" t="s">
        <v>174</v>
      </c>
      <c r="B34" s="30">
        <f>+R24</f>
        <v>15935.233333333332</v>
      </c>
      <c r="C34" s="423">
        <f aca="true" t="shared" si="64" ref="C34:C41">+B34/$B$33</f>
        <v>0.6127215563835282</v>
      </c>
      <c r="D34" s="2">
        <f>+AB24</f>
        <v>16555.422374429225</v>
      </c>
      <c r="E34" s="322">
        <f aca="true" t="shared" si="65" ref="E34:E41">+D34/$D$33</f>
        <v>0.7007226441589033</v>
      </c>
      <c r="F34" s="2">
        <f>+AL24</f>
        <v>16379.166666666666</v>
      </c>
      <c r="G34" s="322">
        <f aca="true" t="shared" si="66" ref="G34:G41">+F34/$F$33</f>
        <v>0.73084393169618</v>
      </c>
      <c r="H34" s="2">
        <f>+AV24</f>
        <v>15723.51936218679</v>
      </c>
      <c r="I34" s="322">
        <f aca="true" t="shared" si="67" ref="I34:I41">+H34/$H$33</f>
        <v>0.4754504298951479</v>
      </c>
      <c r="J34" s="2">
        <f>+BF24</f>
        <v>16638.020833333332</v>
      </c>
      <c r="K34" s="323">
        <f aca="true" t="shared" si="68" ref="K34:K41">+J34/$J$33</f>
        <v>0.6148798419501844</v>
      </c>
      <c r="P34" s="397" t="s">
        <v>201</v>
      </c>
      <c r="Q34" s="359">
        <f t="shared" si="22"/>
        <v>0</v>
      </c>
      <c r="R34" s="350">
        <f t="shared" si="23"/>
        <v>0</v>
      </c>
      <c r="S34" s="350">
        <f t="shared" si="24"/>
        <v>0</v>
      </c>
      <c r="T34" s="350">
        <f t="shared" si="25"/>
        <v>0</v>
      </c>
      <c r="U34" s="350">
        <f t="shared" si="26"/>
        <v>0</v>
      </c>
      <c r="V34" s="350">
        <f t="shared" si="27"/>
        <v>0</v>
      </c>
      <c r="W34" s="350">
        <f t="shared" si="28"/>
        <v>0</v>
      </c>
      <c r="X34" s="351"/>
      <c r="Y34" s="350">
        <f t="shared" si="29"/>
        <v>0</v>
      </c>
      <c r="Z34" s="360">
        <f t="shared" si="30"/>
        <v>0</v>
      </c>
      <c r="AA34" s="369">
        <f t="shared" si="31"/>
        <v>0</v>
      </c>
      <c r="AB34" s="370">
        <f t="shared" si="32"/>
        <v>0</v>
      </c>
      <c r="AC34" s="370">
        <f t="shared" si="33"/>
        <v>0</v>
      </c>
      <c r="AD34" s="370">
        <f t="shared" si="34"/>
        <v>0</v>
      </c>
      <c r="AE34" s="370">
        <f t="shared" si="35"/>
        <v>0</v>
      </c>
      <c r="AF34" s="370">
        <f t="shared" si="36"/>
        <v>0</v>
      </c>
      <c r="AG34" s="370">
        <f t="shared" si="37"/>
        <v>0</v>
      </c>
      <c r="AH34" s="371"/>
      <c r="AI34" s="370">
        <f t="shared" si="38"/>
        <v>0</v>
      </c>
      <c r="AJ34" s="372">
        <f t="shared" si="39"/>
        <v>0</v>
      </c>
      <c r="AK34" s="378">
        <f t="shared" si="40"/>
        <v>0</v>
      </c>
      <c r="AL34" s="350">
        <f t="shared" si="14"/>
        <v>0</v>
      </c>
      <c r="AM34" s="350">
        <f t="shared" si="15"/>
        <v>0</v>
      </c>
      <c r="AN34" s="350">
        <f t="shared" si="16"/>
        <v>0</v>
      </c>
      <c r="AO34" s="350">
        <f t="shared" si="17"/>
        <v>0</v>
      </c>
      <c r="AP34" s="350">
        <f t="shared" si="18"/>
        <v>0</v>
      </c>
      <c r="AQ34" s="351"/>
      <c r="AR34" s="351"/>
      <c r="AS34" s="350">
        <f t="shared" si="19"/>
        <v>0</v>
      </c>
      <c r="AT34" s="350">
        <f t="shared" si="20"/>
        <v>0</v>
      </c>
      <c r="AU34" s="350">
        <f t="shared" si="41"/>
        <v>0</v>
      </c>
      <c r="AV34" s="350">
        <f t="shared" si="42"/>
        <v>0</v>
      </c>
      <c r="AW34" s="350">
        <f t="shared" si="43"/>
        <v>0</v>
      </c>
      <c r="AX34" s="350">
        <f t="shared" si="44"/>
        <v>0</v>
      </c>
      <c r="AY34" s="350">
        <f t="shared" si="45"/>
        <v>0</v>
      </c>
      <c r="AZ34" s="350">
        <f t="shared" si="46"/>
        <v>0</v>
      </c>
      <c r="BA34" s="350">
        <f t="shared" si="47"/>
        <v>0</v>
      </c>
      <c r="BB34" s="350">
        <f t="shared" si="48"/>
        <v>0</v>
      </c>
      <c r="BC34" s="350">
        <f t="shared" si="49"/>
        <v>0</v>
      </c>
      <c r="BD34" s="470">
        <f t="shared" si="50"/>
        <v>0</v>
      </c>
      <c r="BE34" s="369">
        <f t="shared" si="51"/>
        <v>0</v>
      </c>
      <c r="BF34" s="370">
        <f t="shared" si="52"/>
        <v>0</v>
      </c>
      <c r="BG34" s="370">
        <f t="shared" si="53"/>
        <v>0</v>
      </c>
      <c r="BH34" s="370">
        <f t="shared" si="54"/>
        <v>0</v>
      </c>
      <c r="BI34" s="370">
        <f t="shared" si="55"/>
        <v>0</v>
      </c>
      <c r="BJ34" s="370">
        <f t="shared" si="56"/>
        <v>0</v>
      </c>
      <c r="BK34" s="370">
        <f t="shared" si="57"/>
        <v>0</v>
      </c>
      <c r="BL34" s="370"/>
      <c r="BM34" s="370">
        <f t="shared" si="58"/>
        <v>0</v>
      </c>
      <c r="BN34" s="372">
        <f t="shared" si="21"/>
        <v>0</v>
      </c>
      <c r="BO34" s="369">
        <f t="shared" si="59"/>
        <v>0</v>
      </c>
      <c r="BP34" s="370">
        <f t="shared" si="60"/>
        <v>0</v>
      </c>
      <c r="BQ34" s="370">
        <f t="shared" si="61"/>
        <v>0</v>
      </c>
      <c r="BR34" s="370">
        <f t="shared" si="62"/>
        <v>0</v>
      </c>
      <c r="BS34" s="372">
        <f t="shared" si="63"/>
        <v>0</v>
      </c>
    </row>
    <row r="35" spans="1:71" s="39" customFormat="1" ht="16.5" customHeight="1">
      <c r="A35" s="324" t="s">
        <v>175</v>
      </c>
      <c r="B35" s="30">
        <f>+R28</f>
        <v>787.9499999999999</v>
      </c>
      <c r="C35" s="423">
        <f t="shared" si="64"/>
        <v>0.030297262691628888</v>
      </c>
      <c r="D35" s="2">
        <f>+AB28</f>
        <v>1453.638698630137</v>
      </c>
      <c r="E35" s="322">
        <f t="shared" si="65"/>
        <v>0.06152652161439853</v>
      </c>
      <c r="F35" s="2">
        <f>+AL28</f>
        <v>886.1666666666666</v>
      </c>
      <c r="G35" s="322">
        <f t="shared" si="66"/>
        <v>0.039541055047861505</v>
      </c>
      <c r="H35" s="2">
        <f>+AV28</f>
        <v>2874.6772968868645</v>
      </c>
      <c r="I35" s="322">
        <f t="shared" si="67"/>
        <v>0.08692497685356587</v>
      </c>
      <c r="J35" s="2">
        <f>+BF28</f>
        <v>1137.5</v>
      </c>
      <c r="K35" s="323">
        <f t="shared" si="68"/>
        <v>0.042037801684745746</v>
      </c>
      <c r="P35" s="397" t="s">
        <v>177</v>
      </c>
      <c r="Q35" s="359">
        <f t="shared" si="22"/>
        <v>735.0066126157208</v>
      </c>
      <c r="R35" s="350">
        <f t="shared" si="23"/>
        <v>696.6666666666666</v>
      </c>
      <c r="S35" s="350">
        <f t="shared" si="24"/>
        <v>399.91383157149676</v>
      </c>
      <c r="T35" s="350">
        <f t="shared" si="25"/>
        <v>409.50147646343584</v>
      </c>
      <c r="U35" s="350">
        <f t="shared" si="26"/>
        <v>530.4039059032401</v>
      </c>
      <c r="V35" s="350">
        <f t="shared" si="27"/>
        <v>292.0462015212696</v>
      </c>
      <c r="W35" s="350">
        <f t="shared" si="28"/>
        <v>473.0713245997088</v>
      </c>
      <c r="X35" s="351"/>
      <c r="Y35" s="350">
        <f t="shared" si="29"/>
        <v>439.9113228773742</v>
      </c>
      <c r="Z35" s="360">
        <f t="shared" si="30"/>
        <v>270.671606680781</v>
      </c>
      <c r="AA35" s="369">
        <f t="shared" si="31"/>
        <v>597.0275700142812</v>
      </c>
      <c r="AB35" s="370">
        <f t="shared" si="32"/>
        <v>663.5273972602739</v>
      </c>
      <c r="AC35" s="370">
        <f t="shared" si="33"/>
        <v>392.27110807943</v>
      </c>
      <c r="AD35" s="370">
        <f t="shared" si="34"/>
        <v>414.9707602339181</v>
      </c>
      <c r="AE35" s="370">
        <f t="shared" si="35"/>
        <v>384.10364145658264</v>
      </c>
      <c r="AF35" s="370">
        <f t="shared" si="36"/>
        <v>268.6512563733224</v>
      </c>
      <c r="AG35" s="370">
        <f t="shared" si="37"/>
        <v>575</v>
      </c>
      <c r="AH35" s="371"/>
      <c r="AI35" s="370">
        <f t="shared" si="38"/>
        <v>398.0602993885727</v>
      </c>
      <c r="AJ35" s="372">
        <f t="shared" si="39"/>
        <v>243.85350550813453</v>
      </c>
      <c r="AK35" s="378">
        <f t="shared" si="40"/>
        <v>580.1586347794737</v>
      </c>
      <c r="AL35" s="350">
        <f t="shared" si="14"/>
        <v>586.1111111111111</v>
      </c>
      <c r="AM35" s="350">
        <f t="shared" si="15"/>
        <v>394.4800755711338</v>
      </c>
      <c r="AN35" s="350">
        <f t="shared" si="16"/>
        <v>434.67732170965</v>
      </c>
      <c r="AO35" s="350">
        <f t="shared" si="17"/>
        <v>346.1128860489883</v>
      </c>
      <c r="AP35" s="350">
        <f t="shared" si="18"/>
        <v>293.83765208507475</v>
      </c>
      <c r="AQ35" s="351"/>
      <c r="AR35" s="351"/>
      <c r="AS35" s="350">
        <f t="shared" si="19"/>
        <v>383.3275098998369</v>
      </c>
      <c r="AT35" s="350">
        <f t="shared" si="20"/>
        <v>255.63813429010762</v>
      </c>
      <c r="AU35" s="350">
        <f t="shared" si="41"/>
        <v>588.1382496081827</v>
      </c>
      <c r="AV35" s="350">
        <f t="shared" si="42"/>
        <v>776.3857251328778</v>
      </c>
      <c r="AW35" s="350">
        <f t="shared" si="43"/>
        <v>397.45732547162515</v>
      </c>
      <c r="AX35" s="350">
        <f t="shared" si="44"/>
        <v>416.7483820356933</v>
      </c>
      <c r="AY35" s="350">
        <f t="shared" si="45"/>
        <v>417.60722347629803</v>
      </c>
      <c r="AZ35" s="350">
        <f t="shared" si="46"/>
        <v>263.65984800696884</v>
      </c>
      <c r="BA35" s="350">
        <f t="shared" si="47"/>
        <v>409.57678883071554</v>
      </c>
      <c r="BB35" s="350">
        <f t="shared" si="48"/>
        <v>0</v>
      </c>
      <c r="BC35" s="350">
        <f t="shared" si="49"/>
        <v>449.8011928429423</v>
      </c>
      <c r="BD35" s="470">
        <f t="shared" si="50"/>
        <v>268.30312544598263</v>
      </c>
      <c r="BE35" s="369">
        <f t="shared" si="51"/>
        <v>676.7684909056716</v>
      </c>
      <c r="BF35" s="370">
        <f t="shared" si="52"/>
        <v>731.25</v>
      </c>
      <c r="BG35" s="370">
        <f t="shared" si="53"/>
        <v>427.8714959067229</v>
      </c>
      <c r="BH35" s="370">
        <f t="shared" si="54"/>
        <v>426.9359778328715</v>
      </c>
      <c r="BI35" s="370">
        <f t="shared" si="55"/>
        <v>429.6245104814559</v>
      </c>
      <c r="BJ35" s="370">
        <f t="shared" si="56"/>
        <v>304.8686541868885</v>
      </c>
      <c r="BK35" s="370">
        <f t="shared" si="57"/>
        <v>600.0937646507267</v>
      </c>
      <c r="BL35" s="370"/>
      <c r="BM35" s="370">
        <f t="shared" si="58"/>
        <v>381.77204016330137</v>
      </c>
      <c r="BN35" s="372">
        <f t="shared" si="21"/>
        <v>249.84898664833676</v>
      </c>
      <c r="BO35" s="369">
        <f t="shared" si="59"/>
        <v>413.21908539671716</v>
      </c>
      <c r="BP35" s="370">
        <f t="shared" si="60"/>
        <v>386.49599593837917</v>
      </c>
      <c r="BQ35" s="370">
        <f t="shared" si="61"/>
        <v>392.7873074416165</v>
      </c>
      <c r="BR35" s="370">
        <f t="shared" si="62"/>
        <v>403.70163520865634</v>
      </c>
      <c r="BS35" s="372">
        <f t="shared" si="63"/>
        <v>418.5652781218918</v>
      </c>
    </row>
    <row r="36" spans="1:71" s="39" customFormat="1" ht="16.5" customHeight="1">
      <c r="A36" s="324" t="s">
        <v>176</v>
      </c>
      <c r="B36" s="30">
        <f>+R29</f>
        <v>337.05</v>
      </c>
      <c r="C36" s="423">
        <f t="shared" si="64"/>
        <v>0.01295982281897775</v>
      </c>
      <c r="D36" s="2">
        <f>+AB29</f>
        <v>0</v>
      </c>
      <c r="E36" s="322">
        <f t="shared" si="65"/>
        <v>0</v>
      </c>
      <c r="F36" s="2">
        <f>+AL29</f>
        <v>0</v>
      </c>
      <c r="G36" s="322">
        <f t="shared" si="66"/>
        <v>0</v>
      </c>
      <c r="H36" s="2">
        <f>+AV29</f>
        <v>936.0668185269552</v>
      </c>
      <c r="I36" s="322">
        <f t="shared" si="67"/>
        <v>0.028304946305438793</v>
      </c>
      <c r="J36" s="2">
        <f>+BF29</f>
        <v>0</v>
      </c>
      <c r="K36" s="323">
        <f t="shared" si="68"/>
        <v>0</v>
      </c>
      <c r="P36" s="397" t="s">
        <v>202</v>
      </c>
      <c r="Q36" s="359">
        <f t="shared" si="22"/>
        <v>3141.635759875798</v>
      </c>
      <c r="R36" s="350">
        <f t="shared" si="23"/>
        <v>2965.0833333333335</v>
      </c>
      <c r="S36" s="350">
        <f t="shared" si="24"/>
        <v>1758.693971287449</v>
      </c>
      <c r="T36" s="350">
        <f t="shared" si="25"/>
        <v>1964.3144577615656</v>
      </c>
      <c r="U36" s="350">
        <f t="shared" si="26"/>
        <v>2131.9980766385556</v>
      </c>
      <c r="V36" s="350">
        <f t="shared" si="27"/>
        <v>1181.9795285942344</v>
      </c>
      <c r="W36" s="350">
        <f t="shared" si="28"/>
        <v>1962.275594371664</v>
      </c>
      <c r="X36" s="351"/>
      <c r="Y36" s="350">
        <f t="shared" si="29"/>
        <v>1683.6013500099268</v>
      </c>
      <c r="Z36" s="360">
        <f t="shared" si="30"/>
        <v>1037.785717086176</v>
      </c>
      <c r="AA36" s="369">
        <f t="shared" si="31"/>
        <v>3198.118630939414</v>
      </c>
      <c r="AB36" s="370">
        <f t="shared" si="32"/>
        <v>2208.176369863014</v>
      </c>
      <c r="AC36" s="370">
        <f t="shared" si="33"/>
        <v>1731.737437471578</v>
      </c>
      <c r="AD36" s="370">
        <f t="shared" si="34"/>
        <v>1708.9309941520469</v>
      </c>
      <c r="AE36" s="370">
        <f t="shared" si="35"/>
        <v>1614.6953781512605</v>
      </c>
      <c r="AF36" s="370">
        <f t="shared" si="36"/>
        <v>1048.1605962914696</v>
      </c>
      <c r="AG36" s="370">
        <f t="shared" si="37"/>
        <v>1820.4166666666667</v>
      </c>
      <c r="AH36" s="371"/>
      <c r="AI36" s="370">
        <f t="shared" si="38"/>
        <v>1574.7765127556402</v>
      </c>
      <c r="AJ36" s="372">
        <f t="shared" si="39"/>
        <v>981.6991318304516</v>
      </c>
      <c r="AK36" s="378">
        <f t="shared" si="40"/>
        <v>3598.3916195970037</v>
      </c>
      <c r="AL36" s="350">
        <f t="shared" si="14"/>
        <v>2709.0833333333335</v>
      </c>
      <c r="AM36" s="350">
        <f t="shared" si="15"/>
        <v>1732.9101101250405</v>
      </c>
      <c r="AN36" s="350">
        <f t="shared" si="16"/>
        <v>2009.0340840295432</v>
      </c>
      <c r="AO36" s="350">
        <f t="shared" si="17"/>
        <v>1532.4747071352504</v>
      </c>
      <c r="AP36" s="350">
        <f t="shared" si="18"/>
        <v>1299.5774124640104</v>
      </c>
      <c r="AQ36" s="351"/>
      <c r="AR36" s="351"/>
      <c r="AS36" s="350">
        <f t="shared" si="19"/>
        <v>1476.6917074307012</v>
      </c>
      <c r="AT36" s="350">
        <f t="shared" si="20"/>
        <v>1015.1887920724415</v>
      </c>
      <c r="AU36" s="350">
        <f t="shared" si="41"/>
        <v>3403.1194148863037</v>
      </c>
      <c r="AV36" s="350">
        <f t="shared" si="42"/>
        <v>3523.367501898254</v>
      </c>
      <c r="AW36" s="350">
        <f t="shared" si="43"/>
        <v>1771.5045963136636</v>
      </c>
      <c r="AX36" s="350">
        <f t="shared" si="44"/>
        <v>1970.3373210433417</v>
      </c>
      <c r="AY36" s="350">
        <f t="shared" si="45"/>
        <v>1880.1793328317033</v>
      </c>
      <c r="AZ36" s="350">
        <f t="shared" si="46"/>
        <v>1074.1168784356132</v>
      </c>
      <c r="BA36" s="350">
        <f t="shared" si="47"/>
        <v>2241.9284467713787</v>
      </c>
      <c r="BB36" s="350">
        <f t="shared" si="48"/>
        <v>0</v>
      </c>
      <c r="BC36" s="350">
        <f t="shared" si="49"/>
        <v>1710.1681577203447</v>
      </c>
      <c r="BD36" s="470">
        <f t="shared" si="50"/>
        <v>1167.3314780457638</v>
      </c>
      <c r="BE36" s="369">
        <f t="shared" si="51"/>
        <v>3519.1545095510605</v>
      </c>
      <c r="BF36" s="370">
        <f t="shared" si="52"/>
        <v>2379.2291666666665</v>
      </c>
      <c r="BG36" s="370">
        <f t="shared" si="53"/>
        <v>1830.767386091127</v>
      </c>
      <c r="BH36" s="370">
        <f t="shared" si="54"/>
        <v>1927.3795634631279</v>
      </c>
      <c r="BI36" s="370">
        <f t="shared" si="55"/>
        <v>1663.055747523612</v>
      </c>
      <c r="BJ36" s="370">
        <f t="shared" si="56"/>
        <v>1153.1603882597642</v>
      </c>
      <c r="BK36" s="370">
        <f t="shared" si="57"/>
        <v>2355.426629160806</v>
      </c>
      <c r="BL36" s="370"/>
      <c r="BM36" s="370">
        <f t="shared" si="58"/>
        <v>1474.1683217477657</v>
      </c>
      <c r="BN36" s="372">
        <f t="shared" si="21"/>
        <v>913.8385511050011</v>
      </c>
      <c r="BO36" s="369">
        <f t="shared" si="59"/>
        <v>1758.938747542361</v>
      </c>
      <c r="BP36" s="370">
        <f t="shared" si="60"/>
        <v>1718.9164976784416</v>
      </c>
      <c r="BQ36" s="370">
        <f t="shared" si="61"/>
        <v>1842.7103370798425</v>
      </c>
      <c r="BR36" s="370">
        <f t="shared" si="62"/>
        <v>1886.4362025470352</v>
      </c>
      <c r="BS36" s="372">
        <f t="shared" si="63"/>
        <v>1822.8802878348827</v>
      </c>
    </row>
    <row r="37" spans="1:71" s="39" customFormat="1" ht="16.5" customHeight="1">
      <c r="A37" s="324" t="s">
        <v>177</v>
      </c>
      <c r="B37" s="30">
        <f>+R35</f>
        <v>696.6666666666666</v>
      </c>
      <c r="C37" s="423">
        <f t="shared" si="64"/>
        <v>0.026787350731012703</v>
      </c>
      <c r="D37" s="2">
        <f>+AB35</f>
        <v>663.5273972602739</v>
      </c>
      <c r="E37" s="322">
        <f t="shared" si="65"/>
        <v>0.028084373914750334</v>
      </c>
      <c r="F37" s="2">
        <f>+AL35</f>
        <v>586.1111111111111</v>
      </c>
      <c r="G37" s="322">
        <f t="shared" si="66"/>
        <v>0.026152475127260915</v>
      </c>
      <c r="H37" s="2">
        <f>+AV35</f>
        <v>776.3857251328778</v>
      </c>
      <c r="I37" s="322">
        <f t="shared" si="67"/>
        <v>0.023476482476728722</v>
      </c>
      <c r="J37" s="2">
        <f>+BF35</f>
        <v>731.25</v>
      </c>
      <c r="K37" s="323">
        <f t="shared" si="68"/>
        <v>0.027024301083050834</v>
      </c>
      <c r="P37" s="397" t="s">
        <v>179</v>
      </c>
      <c r="Q37" s="359">
        <f t="shared" si="22"/>
        <v>3767.339428439998</v>
      </c>
      <c r="R37" s="350">
        <f t="shared" si="23"/>
        <v>2937.7333333333336</v>
      </c>
      <c r="S37" s="350">
        <f t="shared" si="24"/>
        <v>37.61501946483251</v>
      </c>
      <c r="T37" s="350">
        <f t="shared" si="25"/>
        <v>206.93648312199642</v>
      </c>
      <c r="U37" s="350">
        <f t="shared" si="26"/>
        <v>1237.7089806184347</v>
      </c>
      <c r="V37" s="350">
        <f t="shared" si="27"/>
        <v>167.07124299621248</v>
      </c>
      <c r="W37" s="350">
        <f t="shared" si="28"/>
        <v>194.95390587093644</v>
      </c>
      <c r="X37" s="351"/>
      <c r="Y37" s="350">
        <f t="shared" si="29"/>
        <v>3341.765932102442</v>
      </c>
      <c r="Z37" s="360">
        <f t="shared" si="30"/>
        <v>617.6997569199405</v>
      </c>
      <c r="AA37" s="369">
        <f t="shared" si="31"/>
        <v>357.499455377242</v>
      </c>
      <c r="AB37" s="370">
        <f t="shared" si="32"/>
        <v>1281.8207762557079</v>
      </c>
      <c r="AC37" s="370">
        <f t="shared" si="33"/>
        <v>7.31550957505937</v>
      </c>
      <c r="AD37" s="370">
        <f t="shared" si="34"/>
        <v>46.10526315789474</v>
      </c>
      <c r="AE37" s="370">
        <f t="shared" si="35"/>
        <v>0</v>
      </c>
      <c r="AF37" s="370">
        <f t="shared" si="36"/>
        <v>2.959165009031255</v>
      </c>
      <c r="AG37" s="370">
        <f t="shared" si="37"/>
        <v>0</v>
      </c>
      <c r="AH37" s="371"/>
      <c r="AI37" s="370">
        <f t="shared" si="38"/>
        <v>691.5939278937382</v>
      </c>
      <c r="AJ37" s="372">
        <f t="shared" si="39"/>
        <v>0</v>
      </c>
      <c r="AK37" s="378">
        <f t="shared" si="40"/>
        <v>184.78047510315267</v>
      </c>
      <c r="AL37" s="350">
        <f t="shared" si="14"/>
        <v>286.75</v>
      </c>
      <c r="AM37" s="350">
        <f t="shared" si="15"/>
        <v>0</v>
      </c>
      <c r="AN37" s="350">
        <f t="shared" si="16"/>
        <v>110.12834483593655</v>
      </c>
      <c r="AO37" s="350">
        <f t="shared" si="17"/>
        <v>0</v>
      </c>
      <c r="AP37" s="350">
        <f t="shared" si="18"/>
        <v>0.06849633138292932</v>
      </c>
      <c r="AQ37" s="351"/>
      <c r="AR37" s="351"/>
      <c r="AS37" s="350">
        <f t="shared" si="19"/>
        <v>566.8996040065223</v>
      </c>
      <c r="AT37" s="350">
        <f t="shared" si="20"/>
        <v>30.819665128993677</v>
      </c>
      <c r="AU37" s="350">
        <f t="shared" si="41"/>
        <v>1202.6547334268196</v>
      </c>
      <c r="AV37" s="350">
        <f t="shared" si="42"/>
        <v>5312.946089597571</v>
      </c>
      <c r="AW37" s="350">
        <f t="shared" si="43"/>
        <v>109.48105761641675</v>
      </c>
      <c r="AX37" s="350">
        <f t="shared" si="44"/>
        <v>122.47989801921945</v>
      </c>
      <c r="AY37" s="350">
        <f t="shared" si="45"/>
        <v>289.38424880862806</v>
      </c>
      <c r="AZ37" s="350">
        <f t="shared" si="46"/>
        <v>59.503319215403565</v>
      </c>
      <c r="BA37" s="350">
        <f t="shared" si="47"/>
        <v>0</v>
      </c>
      <c r="BB37" s="350">
        <f t="shared" si="48"/>
        <v>0</v>
      </c>
      <c r="BC37" s="350">
        <f t="shared" si="49"/>
        <v>3020.4108681245857</v>
      </c>
      <c r="BD37" s="470">
        <f t="shared" si="50"/>
        <v>535.3146853146853</v>
      </c>
      <c r="BE37" s="369">
        <f t="shared" si="51"/>
        <v>8267.394750275382</v>
      </c>
      <c r="BF37" s="370">
        <f t="shared" si="52"/>
        <v>4710.104166666667</v>
      </c>
      <c r="BG37" s="370">
        <f t="shared" si="53"/>
        <v>1137.3709997519225</v>
      </c>
      <c r="BH37" s="370">
        <f t="shared" si="54"/>
        <v>1285.6399786106656</v>
      </c>
      <c r="BI37" s="370">
        <f t="shared" si="55"/>
        <v>1072.7482146970744</v>
      </c>
      <c r="BJ37" s="370">
        <f t="shared" si="56"/>
        <v>736.2857252908096</v>
      </c>
      <c r="BK37" s="370">
        <f t="shared" si="57"/>
        <v>2970.628223159869</v>
      </c>
      <c r="BL37" s="370"/>
      <c r="BM37" s="370">
        <f t="shared" si="58"/>
        <v>2109.0753613593733</v>
      </c>
      <c r="BN37" s="372">
        <f t="shared" si="21"/>
        <v>772.4858880626549</v>
      </c>
      <c r="BO37" s="369">
        <f t="shared" si="59"/>
        <v>826.4476398056614</v>
      </c>
      <c r="BP37" s="370">
        <f t="shared" si="60"/>
        <v>105.34666938228533</v>
      </c>
      <c r="BQ37" s="370">
        <f t="shared" si="61"/>
        <v>90.86834756158954</v>
      </c>
      <c r="BR37" s="370">
        <f t="shared" si="62"/>
        <v>516.0933558250509</v>
      </c>
      <c r="BS37" s="372">
        <f t="shared" si="63"/>
        <v>2092.6413769825454</v>
      </c>
    </row>
    <row r="38" spans="1:71" s="39" customFormat="1" ht="16.5" customHeight="1" thickBot="1">
      <c r="A38" s="324" t="s">
        <v>178</v>
      </c>
      <c r="B38" s="30">
        <f>+R36</f>
        <v>2965.0833333333335</v>
      </c>
      <c r="C38" s="423">
        <f t="shared" si="64"/>
        <v>0.1140096562631774</v>
      </c>
      <c r="D38" s="2">
        <f>+AB36</f>
        <v>2208.176369863014</v>
      </c>
      <c r="E38" s="322">
        <f t="shared" si="65"/>
        <v>0.09346298449319786</v>
      </c>
      <c r="F38" s="2">
        <f>+AL36</f>
        <v>2709.0833333333335</v>
      </c>
      <c r="G38" s="322">
        <f t="shared" si="66"/>
        <v>0.12088021050883296</v>
      </c>
      <c r="H38" s="2">
        <f>+AV36</f>
        <v>3523.367501898254</v>
      </c>
      <c r="I38" s="322">
        <f t="shared" si="67"/>
        <v>0.10654018065985561</v>
      </c>
      <c r="J38" s="2">
        <f>+BF36</f>
        <v>2379.2291666666665</v>
      </c>
      <c r="K38" s="323">
        <f t="shared" si="68"/>
        <v>0.08792752867771095</v>
      </c>
      <c r="P38" s="398" t="s">
        <v>180</v>
      </c>
      <c r="Q38" s="361">
        <f t="shared" si="22"/>
        <v>1166.9376401587028</v>
      </c>
      <c r="R38" s="354">
        <f t="shared" si="23"/>
        <v>1057.1666666666667</v>
      </c>
      <c r="S38" s="354">
        <f t="shared" si="24"/>
        <v>255.1335610641801</v>
      </c>
      <c r="T38" s="354">
        <f t="shared" si="25"/>
        <v>209.21486885530658</v>
      </c>
      <c r="U38" s="354">
        <f t="shared" si="26"/>
        <v>325.0295901760615</v>
      </c>
      <c r="V38" s="354">
        <f t="shared" si="27"/>
        <v>171.40028797696186</v>
      </c>
      <c r="W38" s="354">
        <f t="shared" si="28"/>
        <v>202.9597282872392</v>
      </c>
      <c r="X38" s="355"/>
      <c r="Y38" s="354">
        <f t="shared" si="29"/>
        <v>377.51306994904377</v>
      </c>
      <c r="Z38" s="362">
        <f t="shared" si="30"/>
        <v>80.1894652238689</v>
      </c>
      <c r="AA38" s="414">
        <f t="shared" si="31"/>
        <v>3951.7936242829132</v>
      </c>
      <c r="AB38" s="415">
        <f t="shared" si="32"/>
        <v>732.0205479452055</v>
      </c>
      <c r="AC38" s="415">
        <f t="shared" si="33"/>
        <v>149.4906144206963</v>
      </c>
      <c r="AD38" s="415">
        <f t="shared" si="34"/>
        <v>100.39181286549707</v>
      </c>
      <c r="AE38" s="415">
        <f t="shared" si="35"/>
        <v>147.6890756302521</v>
      </c>
      <c r="AF38" s="415">
        <f t="shared" si="36"/>
        <v>97.30148386949266</v>
      </c>
      <c r="AG38" s="415">
        <f t="shared" si="37"/>
        <v>250</v>
      </c>
      <c r="AH38" s="416"/>
      <c r="AI38" s="415">
        <f t="shared" si="38"/>
        <v>1126.5159181952351</v>
      </c>
      <c r="AJ38" s="417">
        <f t="shared" si="39"/>
        <v>169.41283042727562</v>
      </c>
      <c r="AK38" s="387">
        <f>+AK21/$AK$22/12</f>
        <v>6693.338140447863</v>
      </c>
      <c r="AL38" s="354">
        <f t="shared" si="14"/>
        <v>1222.2222222222222</v>
      </c>
      <c r="AM38" s="354">
        <f t="shared" si="15"/>
        <v>457.8221716757402</v>
      </c>
      <c r="AN38" s="354">
        <f t="shared" si="16"/>
        <v>838.0721031601888</v>
      </c>
      <c r="AO38" s="354">
        <f t="shared" si="17"/>
        <v>31.948881789137378</v>
      </c>
      <c r="AP38" s="354">
        <f t="shared" si="18"/>
        <v>636.621157239714</v>
      </c>
      <c r="AQ38" s="355"/>
      <c r="AR38" s="355"/>
      <c r="AS38" s="354">
        <f t="shared" si="19"/>
        <v>1350.71773817843</v>
      </c>
      <c r="AT38" s="354">
        <f t="shared" si="20"/>
        <v>496.4975226379634</v>
      </c>
      <c r="AU38" s="354">
        <f t="shared" si="41"/>
        <v>5277.231983282466</v>
      </c>
      <c r="AV38" s="354">
        <f t="shared" si="42"/>
        <v>1991.3059984813972</v>
      </c>
      <c r="AW38" s="354">
        <f t="shared" si="43"/>
        <v>301.53829487596147</v>
      </c>
      <c r="AX38" s="354">
        <f t="shared" si="44"/>
        <v>189.04850624305416</v>
      </c>
      <c r="AY38" s="354">
        <f t="shared" si="45"/>
        <v>205.60571858540257</v>
      </c>
      <c r="AZ38" s="354">
        <f t="shared" si="46"/>
        <v>175.137424529152</v>
      </c>
      <c r="BA38" s="354">
        <f t="shared" si="47"/>
        <v>205.87914485165797</v>
      </c>
      <c r="BB38" s="354">
        <f t="shared" si="48"/>
        <v>0</v>
      </c>
      <c r="BC38" s="354">
        <f t="shared" si="49"/>
        <v>1048.95488182019</v>
      </c>
      <c r="BD38" s="471">
        <f t="shared" si="50"/>
        <v>258.00390086104375</v>
      </c>
      <c r="BE38" s="369">
        <f t="shared" si="51"/>
        <v>441.6512183982161</v>
      </c>
      <c r="BF38" s="370">
        <f t="shared" si="52"/>
        <v>126.66666666666667</v>
      </c>
      <c r="BG38" s="370">
        <f t="shared" si="53"/>
        <v>38.729843711237905</v>
      </c>
      <c r="BH38" s="370">
        <f t="shared" si="54"/>
        <v>59.891351903164654</v>
      </c>
      <c r="BI38" s="370">
        <f t="shared" si="55"/>
        <v>50.21884358442755</v>
      </c>
      <c r="BJ38" s="370">
        <f t="shared" si="56"/>
        <v>43.5386333872583</v>
      </c>
      <c r="BK38" s="370">
        <f t="shared" si="57"/>
        <v>386.3103609939053</v>
      </c>
      <c r="BL38" s="370"/>
      <c r="BM38" s="370">
        <f t="shared" si="58"/>
        <v>364.1178417742469</v>
      </c>
      <c r="BN38" s="372">
        <f t="shared" si="21"/>
        <v>32.00441583869691</v>
      </c>
      <c r="BO38" s="369">
        <f t="shared" si="59"/>
        <v>333.4311224050602</v>
      </c>
      <c r="BP38" s="370">
        <f t="shared" si="60"/>
        <v>677.2053332388772</v>
      </c>
      <c r="BQ38" s="370">
        <f t="shared" si="61"/>
        <v>1417.5806400330669</v>
      </c>
      <c r="BR38" s="370">
        <f t="shared" si="62"/>
        <v>1019.8134175253034</v>
      </c>
      <c r="BS38" s="372">
        <f t="shared" si="63"/>
        <v>117.83123812806787</v>
      </c>
    </row>
    <row r="39" spans="1:71" s="39" customFormat="1" ht="16.5" customHeight="1" thickBot="1">
      <c r="A39" s="324" t="s">
        <v>179</v>
      </c>
      <c r="B39" s="30">
        <f>+R37</f>
        <v>2937.7333333333336</v>
      </c>
      <c r="C39" s="423">
        <f t="shared" si="64"/>
        <v>0.11295802845098621</v>
      </c>
      <c r="D39" s="2">
        <f>+AB37</f>
        <v>1281.8207762557079</v>
      </c>
      <c r="E39" s="322">
        <f t="shared" si="65"/>
        <v>0.05425417868305426</v>
      </c>
      <c r="F39" s="2">
        <f>+AL37</f>
        <v>286.75</v>
      </c>
      <c r="G39" s="322">
        <f t="shared" si="66"/>
        <v>0.01279488155159784</v>
      </c>
      <c r="H39" s="2">
        <f>+AV37</f>
        <v>5312.946089597571</v>
      </c>
      <c r="I39" s="322">
        <f t="shared" si="67"/>
        <v>0.1606537597672786</v>
      </c>
      <c r="J39" s="2">
        <f>+BF37</f>
        <v>4710.104166666667</v>
      </c>
      <c r="K39" s="323">
        <f t="shared" si="68"/>
        <v>0.17406806582226633</v>
      </c>
      <c r="P39" s="399" t="s">
        <v>83</v>
      </c>
      <c r="Q39" s="357">
        <f>SUM(Q24:Q38)</f>
        <v>31155.310936691392</v>
      </c>
      <c r="R39" s="147">
        <f aca="true" t="shared" si="69" ref="R39:Z39">+R23</f>
        <v>26007.3</v>
      </c>
      <c r="S39" s="147">
        <f t="shared" si="69"/>
        <v>16462.471148963672</v>
      </c>
      <c r="T39" s="147">
        <f t="shared" si="69"/>
        <v>17885.485785420646</v>
      </c>
      <c r="U39" s="147">
        <f t="shared" si="69"/>
        <v>18924.101198402128</v>
      </c>
      <c r="V39" s="147">
        <f t="shared" si="69"/>
        <v>12527.599618117507</v>
      </c>
      <c r="W39" s="147">
        <f t="shared" si="69"/>
        <v>17132.860262008733</v>
      </c>
      <c r="X39" s="147">
        <f t="shared" si="69"/>
        <v>0</v>
      </c>
      <c r="Y39" s="147">
        <f t="shared" si="69"/>
        <v>17227.65865925485</v>
      </c>
      <c r="Z39" s="413">
        <f t="shared" si="69"/>
        <v>10162.708284325257</v>
      </c>
      <c r="AA39" s="418">
        <f>SUM(AA24:AA38)</f>
        <v>33544.40974995764</v>
      </c>
      <c r="AB39" s="419">
        <f aca="true" t="shared" si="70" ref="AB39:AJ39">SUM(AB24:AB38)</f>
        <v>23626.21289954338</v>
      </c>
      <c r="AC39" s="419">
        <f t="shared" si="70"/>
        <v>16207.09144939619</v>
      </c>
      <c r="AD39" s="419">
        <f t="shared" si="70"/>
        <v>17356.516959064327</v>
      </c>
      <c r="AE39" s="419">
        <f t="shared" si="70"/>
        <v>14073.382352941177</v>
      </c>
      <c r="AF39" s="419">
        <f t="shared" si="70"/>
        <v>10306.970071106845</v>
      </c>
      <c r="AG39" s="419">
        <f t="shared" si="70"/>
        <v>20093.5</v>
      </c>
      <c r="AH39" s="419">
        <f t="shared" si="70"/>
        <v>0</v>
      </c>
      <c r="AI39" s="419">
        <f t="shared" si="70"/>
        <v>14688.007590132827</v>
      </c>
      <c r="AJ39" s="420">
        <f t="shared" si="70"/>
        <v>9566.546898178547</v>
      </c>
      <c r="AK39" s="388">
        <f>SUM(AK24:AK38)</f>
        <v>35916.214998197334</v>
      </c>
      <c r="AL39" s="147">
        <f aca="true" t="shared" si="71" ref="AL39:BD39">SUM(AL24:AL38)</f>
        <v>22411.305555555555</v>
      </c>
      <c r="AM39" s="147">
        <f t="shared" si="71"/>
        <v>16833.607092251477</v>
      </c>
      <c r="AN39" s="147">
        <f t="shared" si="71"/>
        <v>18764.024094926746</v>
      </c>
      <c r="AO39" s="147">
        <f t="shared" si="71"/>
        <v>12755.411341853036</v>
      </c>
      <c r="AP39" s="147">
        <f t="shared" si="71"/>
        <v>13458.795393331477</v>
      </c>
      <c r="AQ39" s="147">
        <f t="shared" si="71"/>
        <v>0</v>
      </c>
      <c r="AR39" s="147">
        <f t="shared" si="71"/>
        <v>0</v>
      </c>
      <c r="AS39" s="147">
        <f t="shared" si="71"/>
        <v>15345.740158397391</v>
      </c>
      <c r="AT39" s="147">
        <f t="shared" si="71"/>
        <v>11278.710703912526</v>
      </c>
      <c r="AU39" s="147">
        <f t="shared" si="71"/>
        <v>36753.20808930682</v>
      </c>
      <c r="AV39" s="147">
        <f t="shared" si="71"/>
        <v>33070.78587699317</v>
      </c>
      <c r="AW39" s="147">
        <f t="shared" si="71"/>
        <v>16294.338951050031</v>
      </c>
      <c r="AX39" s="147">
        <f t="shared" si="71"/>
        <v>17518.936719618225</v>
      </c>
      <c r="AY39" s="147">
        <f t="shared" si="71"/>
        <v>15027.163280662151</v>
      </c>
      <c r="AZ39" s="147">
        <f t="shared" si="71"/>
        <v>10173.859301312667</v>
      </c>
      <c r="BA39" s="147">
        <f t="shared" si="71"/>
        <v>16163.4434991274</v>
      </c>
      <c r="BB39" s="147" t="e">
        <f t="shared" si="71"/>
        <v>#DIV/0!</v>
      </c>
      <c r="BC39" s="147">
        <f t="shared" si="71"/>
        <v>17149.668654738238</v>
      </c>
      <c r="BD39" s="413">
        <f t="shared" si="71"/>
        <v>10663.870653156366</v>
      </c>
      <c r="BE39" s="357">
        <f aca="true" t="shared" si="72" ref="BE39:BK39">SUM(BE24:BE38)</f>
        <v>36363.24655436448</v>
      </c>
      <c r="BF39" s="147">
        <f t="shared" si="72"/>
        <v>27058.97916666667</v>
      </c>
      <c r="BG39" s="147">
        <f t="shared" si="72"/>
        <v>16569.115190606135</v>
      </c>
      <c r="BH39" s="147">
        <f t="shared" si="72"/>
        <v>17584.592387341403</v>
      </c>
      <c r="BI39" s="147">
        <f t="shared" si="72"/>
        <v>14393.889656761112</v>
      </c>
      <c r="BJ39" s="147">
        <f t="shared" si="72"/>
        <v>10799.56956320776</v>
      </c>
      <c r="BK39" s="147">
        <f t="shared" si="72"/>
        <v>22445.768870135966</v>
      </c>
      <c r="BL39" s="147"/>
      <c r="BM39" s="147">
        <f aca="true" t="shared" si="73" ref="BM39:BS39">SUM(BM24:BM38)</f>
        <v>14287.221394681676</v>
      </c>
      <c r="BN39" s="358">
        <f t="shared" si="73"/>
        <v>9220.525838905205</v>
      </c>
      <c r="BO39" s="468">
        <f t="shared" si="73"/>
        <v>16918.540842432194</v>
      </c>
      <c r="BP39" s="458">
        <f t="shared" si="73"/>
        <v>16716.596488587027</v>
      </c>
      <c r="BQ39" s="458">
        <f t="shared" si="73"/>
        <v>18262.653477046668</v>
      </c>
      <c r="BR39" s="458">
        <f t="shared" si="73"/>
        <v>18089.94151013647</v>
      </c>
      <c r="BS39" s="469">
        <f t="shared" si="73"/>
        <v>17392.75475505668</v>
      </c>
    </row>
    <row r="40" spans="1:71" s="39" customFormat="1" ht="16.5" customHeight="1">
      <c r="A40" s="324" t="s">
        <v>180</v>
      </c>
      <c r="B40" s="30">
        <f>+R38</f>
        <v>1057.1666666666667</v>
      </c>
      <c r="C40" s="423">
        <f t="shared" si="64"/>
        <v>0.04064884346574488</v>
      </c>
      <c r="D40" s="2">
        <f>+AB38</f>
        <v>732.0205479452055</v>
      </c>
      <c r="E40" s="322">
        <f t="shared" si="65"/>
        <v>0.030983406060789084</v>
      </c>
      <c r="F40" s="2">
        <f>+AL38</f>
        <v>1222.2222222222222</v>
      </c>
      <c r="G40" s="322">
        <f t="shared" si="66"/>
        <v>0.05453596709002276</v>
      </c>
      <c r="H40" s="2">
        <f>+AV38</f>
        <v>1991.3059984813972</v>
      </c>
      <c r="I40" s="322">
        <f t="shared" si="67"/>
        <v>0.06021344657148646</v>
      </c>
      <c r="J40" s="2">
        <f>+BF38</f>
        <v>126.66666666666667</v>
      </c>
      <c r="K40" s="323">
        <f t="shared" si="68"/>
        <v>0.0046811324952976945</v>
      </c>
      <c r="P40" s="400" t="s">
        <v>191</v>
      </c>
      <c r="Q40" s="363">
        <f>+Q24/$Q$23</f>
        <v>0.5352575537894005</v>
      </c>
      <c r="R40" s="356">
        <f>+R24/$R$23</f>
        <v>0.6127215563835282</v>
      </c>
      <c r="S40" s="356">
        <f>+S24/$S$23</f>
        <v>0.6642140891492655</v>
      </c>
      <c r="T40" s="356">
        <f>+T24/$T$23</f>
        <v>0.6365387076037256</v>
      </c>
      <c r="U40" s="356">
        <f>+U24/$U$23</f>
        <v>0.702046783625731</v>
      </c>
      <c r="V40" s="356">
        <f>+V24/$V$23</f>
        <v>0.6248425472314579</v>
      </c>
      <c r="W40" s="356">
        <f>+W24/$W$23</f>
        <v>0.7200306138415061</v>
      </c>
      <c r="X40" s="356"/>
      <c r="Y40" s="356">
        <f>+Y24/$Y$23</f>
        <v>0.5793530371303953</v>
      </c>
      <c r="Z40" s="382">
        <f>+Z24/$Z$23</f>
        <v>0.667341200087593</v>
      </c>
      <c r="AA40" s="421">
        <f>+AA24/$AA$23</f>
        <v>0.4905807405607163</v>
      </c>
      <c r="AB40" s="353">
        <f>+AB24/$AB$23</f>
        <v>0.7007226441589033</v>
      </c>
      <c r="AC40" s="353">
        <f>+AC24/$AC$23</f>
        <v>0.6739781407034808</v>
      </c>
      <c r="AD40" s="353">
        <f>+AD24/$AD$23</f>
        <v>0.6638966424260345</v>
      </c>
      <c r="AE40" s="353">
        <f>+AE24/$AE$23</f>
        <v>0.8251539176156988</v>
      </c>
      <c r="AF40" s="353">
        <f>+AF24/$AF$23</f>
        <v>0.7411030422966312</v>
      </c>
      <c r="AG40" s="353">
        <f>+AG24/$AG$23</f>
        <v>0.8322260100695913</v>
      </c>
      <c r="AH40" s="353"/>
      <c r="AI40" s="353">
        <f>+AI24/$AI$23</f>
        <v>0.691534527559089</v>
      </c>
      <c r="AJ40" s="365">
        <f>+AJ24/$AJ$23</f>
        <v>0.7420631226113233</v>
      </c>
      <c r="AK40" s="379">
        <f>+AK24/$AK$23</f>
        <v>0.47058080014869896</v>
      </c>
      <c r="AL40" s="356">
        <f>+AL24/$AL$23</f>
        <v>0.73084393169618</v>
      </c>
      <c r="AM40" s="356">
        <f>+AM24/$AM$23</f>
        <v>0.6737541510577151</v>
      </c>
      <c r="AN40" s="356">
        <f>+AN24/$AN$23</f>
        <v>0.649470880479596</v>
      </c>
      <c r="AO40" s="356">
        <f>+AO24/$AO$23</f>
        <v>0.828934659379985</v>
      </c>
      <c r="AP40" s="356">
        <f>+AP24/$AP$23</f>
        <v>0.6446583364875714</v>
      </c>
      <c r="AQ40" s="356">
        <f>+AQ24/$AK$23</f>
        <v>0</v>
      </c>
      <c r="AR40" s="356">
        <f>+AR24/$AK$23</f>
        <v>0</v>
      </c>
      <c r="AS40" s="356">
        <f>+AS24/$AS$23</f>
        <v>0.6876305536966203</v>
      </c>
      <c r="AT40" s="364">
        <f>+AT24/$AT$23</f>
        <v>0.678318152119896</v>
      </c>
      <c r="AU40" s="384">
        <f>+AU24/$AU$23</f>
        <v>0.4474360558606726</v>
      </c>
      <c r="AV40" s="385">
        <f>+AV24/$AV$23</f>
        <v>0.4754504298951479</v>
      </c>
      <c r="AW40" s="385">
        <f>+AW24/$AW$23</f>
        <v>0.6953222877803245</v>
      </c>
      <c r="AX40" s="385">
        <f>+AX24/$AX$23</f>
        <v>0.6540182379996357</v>
      </c>
      <c r="AY40" s="385">
        <f>+AY24/$AY$23</f>
        <v>0.7846972208174143</v>
      </c>
      <c r="AZ40" s="385">
        <f>+AZ24/$AZ$23</f>
        <v>0.7332559881156647</v>
      </c>
      <c r="BA40" s="385">
        <f>+BA24/$BA$23</f>
        <v>0.7550420433177257</v>
      </c>
      <c r="BB40" s="385" t="e">
        <f>+BB24/$AK$23</f>
        <v>#DIV/0!</v>
      </c>
      <c r="BC40" s="385">
        <f>+BC24/$BC$23</f>
        <v>0.5737040897618454</v>
      </c>
      <c r="BD40" s="472">
        <f>+BD24/$BD$23</f>
        <v>0.6856528482506598</v>
      </c>
      <c r="BE40" s="410">
        <f>+BE24/$BE$23</f>
        <v>0.4573260198700177</v>
      </c>
      <c r="BF40" s="411">
        <f>+BF24/$BF$23</f>
        <v>0.6148798419501844</v>
      </c>
      <c r="BG40" s="411">
        <f>+BG24/$BG$23</f>
        <v>0.6478706975100252</v>
      </c>
      <c r="BH40" s="411">
        <f>+BH24/$BH$23</f>
        <v>0.6112834299032726</v>
      </c>
      <c r="BI40" s="411">
        <f>+BI24/$BI$23</f>
        <v>0.7508521198469204</v>
      </c>
      <c r="BJ40" s="411">
        <f>+BJ24/$BJ$23</f>
        <v>0.6736998397790415</v>
      </c>
      <c r="BK40" s="411">
        <f>+BK24/$BK$23</f>
        <v>0.6242623649333472</v>
      </c>
      <c r="BL40" s="411"/>
      <c r="BM40" s="411">
        <f>+BM24/$BM$23</f>
        <v>0.6472206693299721</v>
      </c>
      <c r="BN40" s="412">
        <f aca="true" t="shared" si="74" ref="BN40:BN54">+BN24/$BN$23</f>
        <v>0.6711913307082296</v>
      </c>
      <c r="BO40" s="384">
        <f>+BO24/$BO$23</f>
        <v>0.627637637618182</v>
      </c>
      <c r="BP40" s="385">
        <f>+BP24/$BP$23</f>
        <v>0.6426383320000846</v>
      </c>
      <c r="BQ40" s="385">
        <f>+BQ24/$BQ$23</f>
        <v>0.6201691114880614</v>
      </c>
      <c r="BR40" s="385">
        <f>+BR24/$BR$23</f>
        <v>0.6177619339426417</v>
      </c>
      <c r="BS40" s="386">
        <f>+BS24/$BS$23</f>
        <v>0.5963606179161894</v>
      </c>
    </row>
    <row r="41" spans="1:71" s="39" customFormat="1" ht="16.5" customHeight="1">
      <c r="A41" s="324" t="s">
        <v>181</v>
      </c>
      <c r="B41" s="30">
        <f>+R26+R27+R30+R31+R32+R33+R25</f>
        <v>1290.4166666666665</v>
      </c>
      <c r="C41" s="423">
        <f t="shared" si="64"/>
        <v>0.04961747919494398</v>
      </c>
      <c r="D41" s="2">
        <f>+AB26+AB27+AB30+AB31+AB32+AB33+AB25</f>
        <v>731.6067351598174</v>
      </c>
      <c r="E41" s="322">
        <f t="shared" si="65"/>
        <v>0.030965891074906767</v>
      </c>
      <c r="F41" s="2">
        <f>+AL26+AL27+AL30+AL31+AL32+AL33+AL25</f>
        <v>341.80555555555554</v>
      </c>
      <c r="G41" s="322">
        <f t="shared" si="66"/>
        <v>0.015251478978243865</v>
      </c>
      <c r="H41" s="2">
        <f>+AV26+AV27+AV30+AV31+AV32+AV33+AV25</f>
        <v>1932.5170842824605</v>
      </c>
      <c r="I41" s="322">
        <f t="shared" si="67"/>
        <v>0.05843577747049799</v>
      </c>
      <c r="J41" s="2">
        <f>+BF26+BF27+BF30+BF31+BF32+BF33+BF25</f>
        <v>1336.2083333333333</v>
      </c>
      <c r="K41" s="323">
        <f t="shared" si="68"/>
        <v>0.049381328286744</v>
      </c>
      <c r="P41" s="397" t="s">
        <v>192</v>
      </c>
      <c r="Q41" s="363">
        <f aca="true" t="shared" si="75" ref="Q41:Q54">+Q25/$Q$23</f>
        <v>0.015359956421113473</v>
      </c>
      <c r="R41" s="356">
        <f aca="true" t="shared" si="76" ref="R41:R54">+R25/$R$23</f>
        <v>0.026742491531223926</v>
      </c>
      <c r="S41" s="356">
        <f aca="true" t="shared" si="77" ref="S41:S54">+S25/$S$23</f>
        <v>0.00887767002460312</v>
      </c>
      <c r="T41" s="356">
        <f aca="true" t="shared" si="78" ref="T41:T54">+T25/$T$23</f>
        <v>0.010057373703758228</v>
      </c>
      <c r="U41" s="356">
        <f aca="true" t="shared" si="79" ref="U41:U54">+U25/$U$23</f>
        <v>0.01536240891891047</v>
      </c>
      <c r="V41" s="356">
        <f aca="true" t="shared" si="80" ref="V41:V54">+V25/$V$23</f>
        <v>0</v>
      </c>
      <c r="W41" s="356">
        <f aca="true" t="shared" si="81" ref="W41:W54">+W25/$W$23</f>
        <v>0</v>
      </c>
      <c r="X41" s="356"/>
      <c r="Y41" s="356">
        <f aca="true" t="shared" si="82" ref="Y41:Y54">+Y25/$Y$23</f>
        <v>0.033632488966287226</v>
      </c>
      <c r="Z41" s="382">
        <f aca="true" t="shared" si="83" ref="Z41:Z54">+Z25/$Z$23</f>
        <v>0.005227083461225918</v>
      </c>
      <c r="AA41" s="421">
        <f aca="true" t="shared" si="84" ref="AA41:AA54">+AA25/$AA$23</f>
        <v>0.009786550953724011</v>
      </c>
      <c r="AB41" s="353">
        <f aca="true" t="shared" si="85" ref="AB41:AB54">+AB25/$AB$23</f>
        <v>0.009699678388621298</v>
      </c>
      <c r="AC41" s="353">
        <f aca="true" t="shared" si="86" ref="AC41:AC54">+AC25/$AC$23</f>
        <v>0.004690911678911801</v>
      </c>
      <c r="AD41" s="353">
        <f aca="true" t="shared" si="87" ref="AD41:AD54">+AD25/$AD$23</f>
        <v>0.0020089863611571623</v>
      </c>
      <c r="AE41" s="353">
        <f aca="true" t="shared" si="88" ref="AE41:AE54">+AE25/$AE$23</f>
        <v>0</v>
      </c>
      <c r="AF41" s="353">
        <f aca="true" t="shared" si="89" ref="AF41:AF54">+AF25/$AF$23</f>
        <v>0</v>
      </c>
      <c r="AG41" s="353">
        <f aca="true" t="shared" si="90" ref="AG41:AG54">+AG25/$AG$23</f>
        <v>0.022569487645258415</v>
      </c>
      <c r="AH41" s="353"/>
      <c r="AI41" s="353">
        <f aca="true" t="shared" si="91" ref="AI41:AI54">+AI25/$AI$23</f>
        <v>0.022583722551941986</v>
      </c>
      <c r="AJ41" s="365">
        <f aca="true" t="shared" si="92" ref="AJ41:AJ54">+AJ25/$AJ$23</f>
        <v>0.0018592426941504458</v>
      </c>
      <c r="AK41" s="380">
        <f aca="true" t="shared" si="93" ref="AK41:AK54">+AK25/$AK$23</f>
        <v>0.008465061499633927</v>
      </c>
      <c r="AL41" s="353">
        <f aca="true" t="shared" si="94" ref="AL41:AL54">+AL25/$AL$23</f>
        <v>0.006679416514730287</v>
      </c>
      <c r="AM41" s="353">
        <f aca="true" t="shared" si="95" ref="AM41:AM54">+AM25/$AM$23</f>
        <v>0.0049107270506484925</v>
      </c>
      <c r="AN41" s="353">
        <f aca="true" t="shared" si="96" ref="AN41:AN54">+AN25/$AN$23</f>
        <v>0.0032397772308333616</v>
      </c>
      <c r="AO41" s="353">
        <f aca="true" t="shared" si="97" ref="AO41:AO54">+AO25/$AO$23</f>
        <v>0.004174552657546313</v>
      </c>
      <c r="AP41" s="353">
        <f aca="true" t="shared" si="98" ref="AP41:AP54">+AP25/$AP$23</f>
        <v>0</v>
      </c>
      <c r="AQ41" s="351"/>
      <c r="AR41" s="351"/>
      <c r="AS41" s="353">
        <f aca="true" t="shared" si="99" ref="AS41:AS54">+AS25/$AS$23</f>
        <v>0.016115276032423707</v>
      </c>
      <c r="AT41" s="365">
        <f aca="true" t="shared" si="100" ref="AT41:AT54">+AT25/$AT$23</f>
        <v>0.0014640768613842815</v>
      </c>
      <c r="AU41" s="363">
        <f aca="true" t="shared" si="101" ref="AU41:AU54">+AU25/$AU$23</f>
        <v>0.018429670868422125</v>
      </c>
      <c r="AV41" s="356">
        <f aca="true" t="shared" si="102" ref="AV41:AV54">+AV25/$AV$23</f>
        <v>0.03253243514262968</v>
      </c>
      <c r="AW41" s="356">
        <f aca="true" t="shared" si="103" ref="AW41:AW54">+AW25/$AW$23</f>
        <v>0.011635626583674877</v>
      </c>
      <c r="AX41" s="356">
        <f aca="true" t="shared" si="104" ref="AX41:AX54">+AX25/$AX$23</f>
        <v>0.01921090067089964</v>
      </c>
      <c r="AY41" s="356">
        <f aca="true" t="shared" si="105" ref="AY41:AY54">+AY25/$AY$23</f>
        <v>0.013495334091094963</v>
      </c>
      <c r="AZ41" s="356">
        <f aca="true" t="shared" si="106" ref="AZ41:AZ54">+AZ25/$AZ$23</f>
        <v>0</v>
      </c>
      <c r="BA41" s="356">
        <f aca="true" t="shared" si="107" ref="BA41:BA54">+BA25/$BA$23</f>
        <v>0</v>
      </c>
      <c r="BB41" s="356">
        <f aca="true" t="shared" si="108" ref="BB41:BB54">+BB25/$AK$23</f>
        <v>0</v>
      </c>
      <c r="BC41" s="356">
        <f aca="true" t="shared" si="109" ref="BC41:BC54">+BC25/$BC$23</f>
        <v>0.0478186498498452</v>
      </c>
      <c r="BD41" s="382">
        <f aca="true" t="shared" si="110" ref="BD41:BD54">+BD25/$BD$23</f>
        <v>0</v>
      </c>
      <c r="BE41" s="421">
        <f aca="true" t="shared" si="111" ref="BE41:BE54">+BE25/$BE$23</f>
        <v>0.011699095750764476</v>
      </c>
      <c r="BF41" s="353">
        <f aca="true" t="shared" si="112" ref="BF41:BF54">+BF25/$BF$23</f>
        <v>0.03346624772583962</v>
      </c>
      <c r="BG41" s="353">
        <f aca="true" t="shared" si="113" ref="BG41:BG54">+BG25/$BG$23</f>
        <v>0.0040851486430299976</v>
      </c>
      <c r="BH41" s="353">
        <f aca="true" t="shared" si="114" ref="BH41:BH54">+BH25/$BH$23</f>
        <v>0.003104088060616038</v>
      </c>
      <c r="BI41" s="353">
        <f aca="true" t="shared" si="115" ref="BI41:BI54">+BI25/$BI$23</f>
        <v>0.0025990705602045323</v>
      </c>
      <c r="BJ41" s="353">
        <f aca="true" t="shared" si="116" ref="BJ41:BJ54">+BJ25/$BJ$23</f>
        <v>0</v>
      </c>
      <c r="BK41" s="353">
        <f aca="true" t="shared" si="117" ref="BK41:BK54">+BK25/$BK$23</f>
        <v>0</v>
      </c>
      <c r="BL41" s="353"/>
      <c r="BM41" s="353">
        <f aca="true" t="shared" si="118" ref="BM41:BM54">+BM25/$BM$23</f>
        <v>0.030725642441257958</v>
      </c>
      <c r="BN41" s="365">
        <f t="shared" si="74"/>
        <v>0.001438210298469017</v>
      </c>
      <c r="BO41" s="421">
        <f aca="true" t="shared" si="119" ref="BO41:BO54">+BO25/$BO$23</f>
        <v>0.010831592525535087</v>
      </c>
      <c r="BP41" s="353">
        <f aca="true" t="shared" si="120" ref="BP41:BP54">+BP25/$BP$23</f>
        <v>0.006264976701095817</v>
      </c>
      <c r="BQ41" s="353">
        <f aca="true" t="shared" si="121" ref="BQ41:BQ54">+BQ25/$BQ$23</f>
        <v>0.0058649250521295914</v>
      </c>
      <c r="BR41" s="353">
        <f aca="true" t="shared" si="122" ref="BR41:BR54">+BR25/$BR$23</f>
        <v>0.014987191865186909</v>
      </c>
      <c r="BS41" s="365">
        <f aca="true" t="shared" si="123" ref="BS41:BS54">+BS25/$BS$23</f>
        <v>0.007222792159343883</v>
      </c>
    </row>
    <row r="42" spans="1:71" s="39" customFormat="1" ht="16.5" customHeight="1" thickBot="1">
      <c r="A42" s="326" t="s">
        <v>182</v>
      </c>
      <c r="B42" s="31"/>
      <c r="C42" s="425"/>
      <c r="D42" s="6"/>
      <c r="E42" s="327"/>
      <c r="F42" s="6"/>
      <c r="G42" s="327"/>
      <c r="H42" s="6"/>
      <c r="I42" s="327"/>
      <c r="J42" s="6"/>
      <c r="K42" s="328"/>
      <c r="P42" s="397" t="s">
        <v>193</v>
      </c>
      <c r="Q42" s="363">
        <f t="shared" si="75"/>
        <v>0</v>
      </c>
      <c r="R42" s="356">
        <f t="shared" si="76"/>
        <v>0</v>
      </c>
      <c r="S42" s="356">
        <f t="shared" si="77"/>
        <v>0</v>
      </c>
      <c r="T42" s="356">
        <f t="shared" si="78"/>
        <v>0</v>
      </c>
      <c r="U42" s="356">
        <f t="shared" si="79"/>
        <v>0</v>
      </c>
      <c r="V42" s="356">
        <f t="shared" si="80"/>
        <v>0</v>
      </c>
      <c r="W42" s="356">
        <f t="shared" si="81"/>
        <v>0</v>
      </c>
      <c r="X42" s="356"/>
      <c r="Y42" s="356">
        <f t="shared" si="82"/>
        <v>0</v>
      </c>
      <c r="Z42" s="382">
        <f t="shared" si="83"/>
        <v>0</v>
      </c>
      <c r="AA42" s="421">
        <f t="shared" si="84"/>
        <v>0</v>
      </c>
      <c r="AB42" s="353">
        <f t="shared" si="85"/>
        <v>0</v>
      </c>
      <c r="AC42" s="353">
        <f t="shared" si="86"/>
        <v>0</v>
      </c>
      <c r="AD42" s="353">
        <f t="shared" si="87"/>
        <v>0</v>
      </c>
      <c r="AE42" s="353">
        <f t="shared" si="88"/>
        <v>0</v>
      </c>
      <c r="AF42" s="353">
        <f t="shared" si="89"/>
        <v>0</v>
      </c>
      <c r="AG42" s="353">
        <f t="shared" si="90"/>
        <v>0</v>
      </c>
      <c r="AH42" s="353"/>
      <c r="AI42" s="353">
        <f t="shared" si="91"/>
        <v>0</v>
      </c>
      <c r="AJ42" s="365">
        <f t="shared" si="92"/>
        <v>0</v>
      </c>
      <c r="AK42" s="380">
        <f t="shared" si="93"/>
        <v>0</v>
      </c>
      <c r="AL42" s="353">
        <f t="shared" si="94"/>
        <v>0</v>
      </c>
      <c r="AM42" s="353">
        <f t="shared" si="95"/>
        <v>2.4347814080387027E-05</v>
      </c>
      <c r="AN42" s="353">
        <f t="shared" si="96"/>
        <v>0</v>
      </c>
      <c r="AO42" s="353">
        <f t="shared" si="97"/>
        <v>0</v>
      </c>
      <c r="AP42" s="353">
        <f t="shared" si="98"/>
        <v>0</v>
      </c>
      <c r="AQ42" s="351"/>
      <c r="AR42" s="351"/>
      <c r="AS42" s="353">
        <f t="shared" si="99"/>
        <v>0</v>
      </c>
      <c r="AT42" s="365">
        <f t="shared" si="100"/>
        <v>0</v>
      </c>
      <c r="AU42" s="363">
        <f t="shared" si="101"/>
        <v>0</v>
      </c>
      <c r="AV42" s="356">
        <f t="shared" si="102"/>
        <v>0</v>
      </c>
      <c r="AW42" s="356">
        <f t="shared" si="103"/>
        <v>0</v>
      </c>
      <c r="AX42" s="356">
        <f t="shared" si="104"/>
        <v>0</v>
      </c>
      <c r="AY42" s="356">
        <f t="shared" si="105"/>
        <v>0</v>
      </c>
      <c r="AZ42" s="356">
        <f t="shared" si="106"/>
        <v>0</v>
      </c>
      <c r="BA42" s="356">
        <f t="shared" si="107"/>
        <v>0.0007939322387438257</v>
      </c>
      <c r="BB42" s="356">
        <f t="shared" si="108"/>
        <v>0</v>
      </c>
      <c r="BC42" s="356">
        <f t="shared" si="109"/>
        <v>0</v>
      </c>
      <c r="BD42" s="382">
        <f t="shared" si="110"/>
        <v>0</v>
      </c>
      <c r="BE42" s="421">
        <f t="shared" si="111"/>
        <v>9.543941807925135E-05</v>
      </c>
      <c r="BF42" s="353">
        <f t="shared" si="112"/>
        <v>0.0013181083605180348</v>
      </c>
      <c r="BG42" s="353">
        <f t="shared" si="113"/>
        <v>0.0011956237428589096</v>
      </c>
      <c r="BH42" s="353">
        <f t="shared" si="114"/>
        <v>0.0023628638443336535</v>
      </c>
      <c r="BI42" s="353">
        <f t="shared" si="115"/>
        <v>0.0034016776328292695</v>
      </c>
      <c r="BJ42" s="353">
        <f t="shared" si="116"/>
        <v>0.001079077322015772</v>
      </c>
      <c r="BK42" s="353">
        <f t="shared" si="117"/>
        <v>0.0025727478795847464</v>
      </c>
      <c r="BL42" s="353"/>
      <c r="BM42" s="353">
        <f t="shared" si="118"/>
        <v>0.0002100627997027071</v>
      </c>
      <c r="BN42" s="365">
        <f t="shared" si="74"/>
        <v>0.0006657920839021143</v>
      </c>
      <c r="BO42" s="421">
        <f t="shared" si="119"/>
        <v>0</v>
      </c>
      <c r="BP42" s="353">
        <f t="shared" si="120"/>
        <v>0</v>
      </c>
      <c r="BQ42" s="353">
        <f t="shared" si="121"/>
        <v>9.568157427425834E-06</v>
      </c>
      <c r="BR42" s="353">
        <f t="shared" si="122"/>
        <v>1.2354514629737902E-05</v>
      </c>
      <c r="BS42" s="365">
        <f t="shared" si="123"/>
        <v>0.0009104031971688444</v>
      </c>
    </row>
    <row r="43" spans="16:71" ht="12.75">
      <c r="P43" s="397" t="s">
        <v>194</v>
      </c>
      <c r="Q43" s="363">
        <f t="shared" si="75"/>
        <v>0.022759826502988377</v>
      </c>
      <c r="R43" s="356">
        <f t="shared" si="76"/>
        <v>0.016681854710023723</v>
      </c>
      <c r="S43" s="356">
        <f t="shared" si="77"/>
        <v>0.043248887728166305</v>
      </c>
      <c r="T43" s="356">
        <f t="shared" si="78"/>
        <v>0.024302426455014726</v>
      </c>
      <c r="U43" s="356">
        <f t="shared" si="79"/>
        <v>0.01893919848641211</v>
      </c>
      <c r="V43" s="356">
        <f t="shared" si="80"/>
        <v>0.05006818450562939</v>
      </c>
      <c r="W43" s="356">
        <f t="shared" si="81"/>
        <v>0.02803460411927504</v>
      </c>
      <c r="X43" s="356"/>
      <c r="Y43" s="356">
        <f t="shared" si="82"/>
        <v>0.012697484684175279</v>
      </c>
      <c r="Z43" s="382">
        <f t="shared" si="83"/>
        <v>0.03152019142005641</v>
      </c>
      <c r="AA43" s="421">
        <f t="shared" si="84"/>
        <v>0.012277386344924111</v>
      </c>
      <c r="AB43" s="353">
        <f t="shared" si="85"/>
        <v>0.00376391006960697</v>
      </c>
      <c r="AC43" s="353">
        <f t="shared" si="86"/>
        <v>0.03426033857372735</v>
      </c>
      <c r="AD43" s="353">
        <f t="shared" si="87"/>
        <v>0.02012672389197121</v>
      </c>
      <c r="AE43" s="353">
        <f t="shared" si="88"/>
        <v>0.011168699080798474</v>
      </c>
      <c r="AF43" s="353">
        <f t="shared" si="89"/>
        <v>0.027492649390483653</v>
      </c>
      <c r="AG43" s="353">
        <f t="shared" si="90"/>
        <v>0.01354915768780949</v>
      </c>
      <c r="AH43" s="353"/>
      <c r="AI43" s="353">
        <f t="shared" si="91"/>
        <v>0.004757108353350495</v>
      </c>
      <c r="AJ43" s="365">
        <f t="shared" si="92"/>
        <v>0.010045922455674735</v>
      </c>
      <c r="AK43" s="380">
        <f t="shared" si="93"/>
        <v>0.009462466656845976</v>
      </c>
      <c r="AL43" s="353">
        <f t="shared" si="94"/>
        <v>0</v>
      </c>
      <c r="AM43" s="353">
        <f t="shared" si="95"/>
        <v>0.020869805445090497</v>
      </c>
      <c r="AN43" s="353">
        <f t="shared" si="96"/>
        <v>0.014066647168530202</v>
      </c>
      <c r="AO43" s="353">
        <f t="shared" si="97"/>
        <v>0.009142270320026426</v>
      </c>
      <c r="AP43" s="353">
        <f t="shared" si="98"/>
        <v>0.021975062598832314</v>
      </c>
      <c r="AQ43" s="351"/>
      <c r="AR43" s="351"/>
      <c r="AS43" s="353">
        <f t="shared" si="99"/>
        <v>0.0006708294586631111</v>
      </c>
      <c r="AT43" s="365">
        <f t="shared" si="100"/>
        <v>0.006202160573746953</v>
      </c>
      <c r="AU43" s="363">
        <f t="shared" si="101"/>
        <v>0.00736830727877371</v>
      </c>
      <c r="AV43" s="356">
        <f t="shared" si="102"/>
        <v>0.004742364259724516</v>
      </c>
      <c r="AW43" s="356">
        <f t="shared" si="103"/>
        <v>0.017631615913247644</v>
      </c>
      <c r="AX43" s="356">
        <f t="shared" si="104"/>
        <v>0.016479519962102663</v>
      </c>
      <c r="AY43" s="356">
        <f t="shared" si="105"/>
        <v>0.008801885391056743</v>
      </c>
      <c r="AZ43" s="356">
        <f t="shared" si="106"/>
        <v>0.02574764624350398</v>
      </c>
      <c r="BA43" s="356">
        <f t="shared" si="107"/>
        <v>0.0159748074132284</v>
      </c>
      <c r="BB43" s="356">
        <f t="shared" si="108"/>
        <v>0</v>
      </c>
      <c r="BC43" s="356">
        <f t="shared" si="109"/>
        <v>0.0011130388972719679</v>
      </c>
      <c r="BD43" s="382">
        <f t="shared" si="110"/>
        <v>0.005372041983764432</v>
      </c>
      <c r="BE43" s="421">
        <f t="shared" si="111"/>
        <v>0.014229025345399448</v>
      </c>
      <c r="BF43" s="353">
        <f t="shared" si="112"/>
        <v>0.0075136796088174675</v>
      </c>
      <c r="BG43" s="353">
        <f t="shared" si="113"/>
        <v>0.03938231916694644</v>
      </c>
      <c r="BH43" s="353">
        <f t="shared" si="114"/>
        <v>0.019669913677960782</v>
      </c>
      <c r="BI43" s="353">
        <f t="shared" si="115"/>
        <v>0.01974349382140592</v>
      </c>
      <c r="BJ43" s="353">
        <f t="shared" si="116"/>
        <v>0.0396360739953511</v>
      </c>
      <c r="BK43" s="353">
        <f t="shared" si="117"/>
        <v>0.017100131431021168</v>
      </c>
      <c r="BL43" s="353"/>
      <c r="BM43" s="353">
        <f t="shared" si="118"/>
        <v>0.0029032300727294177</v>
      </c>
      <c r="BN43" s="365">
        <f t="shared" si="74"/>
        <v>0.02756754226034634</v>
      </c>
      <c r="BO43" s="421">
        <f t="shared" si="119"/>
        <v>0.03428521734575106</v>
      </c>
      <c r="BP43" s="353">
        <f t="shared" si="120"/>
        <v>0.023265151569294974</v>
      </c>
      <c r="BQ43" s="353">
        <f t="shared" si="121"/>
        <v>0.01442976070400979</v>
      </c>
      <c r="BR43" s="353">
        <f t="shared" si="122"/>
        <v>0.013353539641686417</v>
      </c>
      <c r="BS43" s="365">
        <f t="shared" si="123"/>
        <v>0.027179074266564934</v>
      </c>
    </row>
    <row r="44" spans="16:71" ht="12.75">
      <c r="P44" s="397" t="s">
        <v>195</v>
      </c>
      <c r="Q44" s="363">
        <f t="shared" si="75"/>
        <v>0.09571565717810329</v>
      </c>
      <c r="R44" s="356">
        <f t="shared" si="76"/>
        <v>0.030297262691628888</v>
      </c>
      <c r="S44" s="356">
        <f t="shared" si="77"/>
        <v>0.027514744855095426</v>
      </c>
      <c r="T44" s="356">
        <f t="shared" si="78"/>
        <v>0.10433174660199745</v>
      </c>
      <c r="U44" s="356">
        <f t="shared" si="79"/>
        <v>0.030498287831879165</v>
      </c>
      <c r="V44" s="356">
        <f t="shared" si="80"/>
        <v>0.08773116783682743</v>
      </c>
      <c r="W44" s="356">
        <f t="shared" si="81"/>
        <v>0.06073704027022875</v>
      </c>
      <c r="X44" s="356"/>
      <c r="Y44" s="356">
        <f t="shared" si="82"/>
        <v>0.008801041305142396</v>
      </c>
      <c r="Z44" s="382">
        <f t="shared" si="83"/>
        <v>0.047267411471286096</v>
      </c>
      <c r="AA44" s="421">
        <f t="shared" si="84"/>
        <v>0.1350192110058722</v>
      </c>
      <c r="AB44" s="353">
        <f t="shared" si="85"/>
        <v>0.06152652161439853</v>
      </c>
      <c r="AC44" s="353">
        <f t="shared" si="86"/>
        <v>0.042812438697405454</v>
      </c>
      <c r="AD44" s="353">
        <f t="shared" si="87"/>
        <v>0.12408679834569444</v>
      </c>
      <c r="AE44" s="353">
        <f t="shared" si="88"/>
        <v>0.008235394806832334</v>
      </c>
      <c r="AF44" s="353">
        <f t="shared" si="89"/>
        <v>0.028843482289492618</v>
      </c>
      <c r="AG44" s="353">
        <f t="shared" si="90"/>
        <v>0</v>
      </c>
      <c r="AH44" s="353"/>
      <c r="AI44" s="353">
        <f t="shared" si="91"/>
        <v>0.007404340358072506</v>
      </c>
      <c r="AJ44" s="365">
        <f t="shared" si="92"/>
        <v>0.021195849699522203</v>
      </c>
      <c r="AK44" s="380">
        <f t="shared" si="93"/>
        <v>0.09400118378078122</v>
      </c>
      <c r="AL44" s="353">
        <f t="shared" si="94"/>
        <v>0.039541055047861505</v>
      </c>
      <c r="AM44" s="353">
        <f t="shared" si="95"/>
        <v>0.04270837330925059</v>
      </c>
      <c r="AN44" s="353">
        <f t="shared" si="96"/>
        <v>0.08665327285577096</v>
      </c>
      <c r="AO44" s="353">
        <f t="shared" si="97"/>
        <v>0.006249305328346831</v>
      </c>
      <c r="AP44" s="353">
        <f t="shared" si="98"/>
        <v>0.06642816945729046</v>
      </c>
      <c r="AQ44" s="351"/>
      <c r="AR44" s="351"/>
      <c r="AS44" s="353">
        <f t="shared" si="99"/>
        <v>0.018585609545947786</v>
      </c>
      <c r="AT44" s="365">
        <f t="shared" si="100"/>
        <v>0.0867526133308061</v>
      </c>
      <c r="AU44" s="363">
        <f t="shared" si="101"/>
        <v>0.12170432593338665</v>
      </c>
      <c r="AV44" s="356">
        <f t="shared" si="102"/>
        <v>0.08692497685356587</v>
      </c>
      <c r="AW44" s="356">
        <f t="shared" si="103"/>
        <v>0.017340667075509124</v>
      </c>
      <c r="AX44" s="356">
        <f t="shared" si="104"/>
        <v>0.08667373727865896</v>
      </c>
      <c r="AY44" s="356">
        <f t="shared" si="105"/>
        <v>0.003592274169508272</v>
      </c>
      <c r="AZ44" s="356">
        <f t="shared" si="106"/>
        <v>0.012506866368692221</v>
      </c>
      <c r="BA44" s="356">
        <f t="shared" si="107"/>
        <v>0.0351648210750713</v>
      </c>
      <c r="BB44" s="356">
        <f t="shared" si="108"/>
        <v>0</v>
      </c>
      <c r="BC44" s="356">
        <f t="shared" si="109"/>
        <v>0.004114927183137324</v>
      </c>
      <c r="BD44" s="382">
        <f t="shared" si="110"/>
        <v>0.02832765430052766</v>
      </c>
      <c r="BE44" s="421">
        <f t="shared" si="111"/>
        <v>0.07197864698638262</v>
      </c>
      <c r="BF44" s="353">
        <f t="shared" si="112"/>
        <v>0.042037801684745746</v>
      </c>
      <c r="BG44" s="353">
        <f t="shared" si="113"/>
        <v>0.003501554197325941</v>
      </c>
      <c r="BH44" s="353">
        <f t="shared" si="114"/>
        <v>0.09587965034397641</v>
      </c>
      <c r="BI44" s="353">
        <f t="shared" si="115"/>
        <v>0</v>
      </c>
      <c r="BJ44" s="353">
        <f t="shared" si="116"/>
        <v>0.021106652553597872</v>
      </c>
      <c r="BK44" s="353">
        <f t="shared" si="117"/>
        <v>0.058586278434294675</v>
      </c>
      <c r="BL44" s="353"/>
      <c r="BM44" s="353">
        <f t="shared" si="118"/>
        <v>0.006670169644052641</v>
      </c>
      <c r="BN44" s="365">
        <f t="shared" si="74"/>
        <v>0.0257311217673236</v>
      </c>
      <c r="BO44" s="421">
        <f t="shared" si="119"/>
        <v>0.053721288119381226</v>
      </c>
      <c r="BP44" s="353">
        <f t="shared" si="120"/>
        <v>0.06538637288185303</v>
      </c>
      <c r="BQ44" s="353">
        <f t="shared" si="121"/>
        <v>0.06300410415920839</v>
      </c>
      <c r="BR44" s="353">
        <f t="shared" si="122"/>
        <v>0.05059275076250537</v>
      </c>
      <c r="BS44" s="365">
        <f t="shared" si="123"/>
        <v>0.033512345764332756</v>
      </c>
    </row>
    <row r="45" spans="16:71" ht="16.5">
      <c r="P45" s="397" t="s">
        <v>196</v>
      </c>
      <c r="Q45" s="363">
        <f t="shared" si="75"/>
        <v>0.020685921283052338</v>
      </c>
      <c r="R45" s="356">
        <f t="shared" si="76"/>
        <v>0.01295982281897775</v>
      </c>
      <c r="S45" s="356">
        <f t="shared" si="77"/>
        <v>0.009686207312848994</v>
      </c>
      <c r="T45" s="356">
        <f t="shared" si="78"/>
        <v>0.039323296057812845</v>
      </c>
      <c r="U45" s="356">
        <f t="shared" si="79"/>
        <v>0</v>
      </c>
      <c r="V45" s="356">
        <f t="shared" si="80"/>
        <v>0.036488439554596616</v>
      </c>
      <c r="W45" s="356">
        <f t="shared" si="81"/>
        <v>0.010035874268018377</v>
      </c>
      <c r="X45" s="356"/>
      <c r="Y45" s="356">
        <f t="shared" si="82"/>
        <v>0.013850841143538043</v>
      </c>
      <c r="Z45" s="382">
        <f t="shared" si="83"/>
        <v>0.00780742335257754</v>
      </c>
      <c r="AA45" s="421">
        <f t="shared" si="84"/>
        <v>0.08057210451976382</v>
      </c>
      <c r="AB45" s="353">
        <f t="shared" si="85"/>
        <v>0</v>
      </c>
      <c r="AC45" s="353">
        <f t="shared" si="86"/>
        <v>0.01136510584344308</v>
      </c>
      <c r="AD45" s="353">
        <f t="shared" si="87"/>
        <v>0.032253351825918125</v>
      </c>
      <c r="AE45" s="353">
        <f t="shared" si="88"/>
        <v>0.00010150874841205984</v>
      </c>
      <c r="AF45" s="353">
        <f t="shared" si="89"/>
        <v>0.010406759421862598</v>
      </c>
      <c r="AG45" s="353">
        <f t="shared" si="90"/>
        <v>0</v>
      </c>
      <c r="AH45" s="353"/>
      <c r="AI45" s="353">
        <f t="shared" si="91"/>
        <v>0.009587711055818095</v>
      </c>
      <c r="AJ45" s="365">
        <f t="shared" si="92"/>
        <v>0.017820856475628036</v>
      </c>
      <c r="AK45" s="380">
        <f t="shared" si="93"/>
        <v>0.08250891258327962</v>
      </c>
      <c r="AL45" s="353">
        <f t="shared" si="94"/>
        <v>0</v>
      </c>
      <c r="AM45" s="353">
        <f t="shared" si="95"/>
        <v>0.025295145254462435</v>
      </c>
      <c r="AN45" s="353">
        <f t="shared" si="96"/>
        <v>0.04629753457195433</v>
      </c>
      <c r="AO45" s="353">
        <f t="shared" si="97"/>
        <v>0</v>
      </c>
      <c r="AP45" s="353">
        <f t="shared" si="98"/>
        <v>0.04253666995949579</v>
      </c>
      <c r="AQ45" s="351"/>
      <c r="AR45" s="351"/>
      <c r="AS45" s="353">
        <f t="shared" si="99"/>
        <v>0.027358191813394994</v>
      </c>
      <c r="AT45" s="365">
        <f t="shared" si="100"/>
        <v>0.03271602068756511</v>
      </c>
      <c r="AU45" s="363">
        <f t="shared" si="101"/>
        <v>0.08126829852011601</v>
      </c>
      <c r="AV45" s="356">
        <f t="shared" si="102"/>
        <v>0.028304946305438793</v>
      </c>
      <c r="AW45" s="356">
        <f t="shared" si="103"/>
        <v>0.007432984772502156</v>
      </c>
      <c r="AX45" s="356">
        <f t="shared" si="104"/>
        <v>0.040857832095882944</v>
      </c>
      <c r="AY45" s="356">
        <f t="shared" si="105"/>
        <v>0</v>
      </c>
      <c r="AZ45" s="356">
        <f t="shared" si="106"/>
        <v>0.0037387294490563044</v>
      </c>
      <c r="BA45" s="356">
        <f t="shared" si="107"/>
        <v>0.002565686673781577</v>
      </c>
      <c r="BB45" s="356">
        <f t="shared" si="108"/>
        <v>0</v>
      </c>
      <c r="BC45" s="356">
        <f t="shared" si="109"/>
        <v>0.0081307547798041</v>
      </c>
      <c r="BD45" s="382">
        <f t="shared" si="110"/>
        <v>0.002669459547081846</v>
      </c>
      <c r="BE45" s="421">
        <f t="shared" si="111"/>
        <v>0.06446244648225857</v>
      </c>
      <c r="BF45" s="353">
        <f t="shared" si="112"/>
        <v>0</v>
      </c>
      <c r="BG45" s="353">
        <f t="shared" si="113"/>
        <v>0.001478699613730198</v>
      </c>
      <c r="BH45" s="353">
        <f t="shared" si="114"/>
        <v>0.04066642864557568</v>
      </c>
      <c r="BI45" s="353">
        <f t="shared" si="115"/>
        <v>0</v>
      </c>
      <c r="BJ45" s="353">
        <f t="shared" si="116"/>
        <v>0.004591205617907298</v>
      </c>
      <c r="BK45" s="353">
        <f t="shared" si="117"/>
        <v>0.0014735730700605146</v>
      </c>
      <c r="BL45" s="353"/>
      <c r="BM45" s="353">
        <f t="shared" si="118"/>
        <v>0.007421028309534101</v>
      </c>
      <c r="BN45" s="365">
        <f t="shared" si="74"/>
        <v>0.013840896305579647</v>
      </c>
      <c r="BO45" s="421">
        <f t="shared" si="119"/>
        <v>0.015957241717870923</v>
      </c>
      <c r="BP45" s="353">
        <f t="shared" si="120"/>
        <v>0.029636475928632885</v>
      </c>
      <c r="BQ45" s="353">
        <f t="shared" si="121"/>
        <v>0.043744977397422447</v>
      </c>
      <c r="BR45" s="353">
        <f t="shared" si="122"/>
        <v>0.029622209181170648</v>
      </c>
      <c r="BS45" s="365">
        <f t="shared" si="123"/>
        <v>0.02360319552962203</v>
      </c>
    </row>
    <row r="46" spans="16:71" ht="16.5">
      <c r="P46" s="397" t="s">
        <v>197</v>
      </c>
      <c r="Q46" s="363">
        <f t="shared" si="75"/>
        <v>0.01805129225900544</v>
      </c>
      <c r="R46" s="356">
        <f t="shared" si="76"/>
        <v>0.0024992982739461614</v>
      </c>
      <c r="S46" s="356">
        <f t="shared" si="77"/>
        <v>0.0438974070012999</v>
      </c>
      <c r="T46" s="356">
        <f t="shared" si="78"/>
        <v>0.01742876684534626</v>
      </c>
      <c r="U46" s="356">
        <f t="shared" si="79"/>
        <v>0.006354958251243082</v>
      </c>
      <c r="V46" s="356">
        <f t="shared" si="80"/>
        <v>0.031784080337470044</v>
      </c>
      <c r="W46" s="356">
        <f t="shared" si="81"/>
        <v>0.009959410464071571</v>
      </c>
      <c r="X46" s="356"/>
      <c r="Y46" s="356">
        <f t="shared" si="82"/>
        <v>0.005559062894515613</v>
      </c>
      <c r="Z46" s="382">
        <f t="shared" si="83"/>
        <v>0.029516652108813497</v>
      </c>
      <c r="AA46" s="421">
        <f t="shared" si="84"/>
        <v>0.013217389239960567</v>
      </c>
      <c r="AB46" s="353">
        <f t="shared" si="85"/>
        <v>0.008507451418562866</v>
      </c>
      <c r="AC46" s="353">
        <f t="shared" si="86"/>
        <v>0.03988366104124304</v>
      </c>
      <c r="AD46" s="353">
        <f t="shared" si="87"/>
        <v>0.013592548482050527</v>
      </c>
      <c r="AE46" s="353">
        <f t="shared" si="88"/>
        <v>0.0024630799247043933</v>
      </c>
      <c r="AF46" s="353">
        <f t="shared" si="89"/>
        <v>0.027679651957831477</v>
      </c>
      <c r="AG46" s="353">
        <f t="shared" si="90"/>
        <v>0</v>
      </c>
      <c r="AH46" s="353"/>
      <c r="AI46" s="353">
        <f t="shared" si="91"/>
        <v>0.003914435352389614</v>
      </c>
      <c r="AJ46" s="365">
        <f t="shared" si="92"/>
        <v>0.03378730011917684</v>
      </c>
      <c r="AK46" s="380">
        <f t="shared" si="93"/>
        <v>0.015069684936803633</v>
      </c>
      <c r="AL46" s="353">
        <f t="shared" si="94"/>
        <v>0.007304101228670548</v>
      </c>
      <c r="AM46" s="353">
        <f t="shared" si="95"/>
        <v>0.035225546132637696</v>
      </c>
      <c r="AN46" s="353">
        <f t="shared" si="96"/>
        <v>0.012510883009084055</v>
      </c>
      <c r="AO46" s="353">
        <f t="shared" si="97"/>
        <v>0.0017167847804159214</v>
      </c>
      <c r="AP46" s="353">
        <f t="shared" si="98"/>
        <v>0.029907267123200226</v>
      </c>
      <c r="AQ46" s="351"/>
      <c r="AR46" s="351"/>
      <c r="AS46" s="353">
        <f t="shared" si="99"/>
        <v>0.0025703270433545</v>
      </c>
      <c r="AT46" s="365">
        <f t="shared" si="100"/>
        <v>0.020507111764715348</v>
      </c>
      <c r="AU46" s="363">
        <f t="shared" si="101"/>
        <v>0.020836683914221114</v>
      </c>
      <c r="AV46" s="356">
        <f t="shared" si="102"/>
        <v>0.016660840595831977</v>
      </c>
      <c r="AW46" s="356">
        <f t="shared" si="103"/>
        <v>0.03991606256030419</v>
      </c>
      <c r="AX46" s="356">
        <f t="shared" si="104"/>
        <v>0.015368366042143623</v>
      </c>
      <c r="AY46" s="356">
        <f t="shared" si="105"/>
        <v>0.0031620691899795204</v>
      </c>
      <c r="AZ46" s="356">
        <f t="shared" si="106"/>
        <v>0.032263407558268356</v>
      </c>
      <c r="BA46" s="356">
        <f t="shared" si="107"/>
        <v>0.009601417673478243</v>
      </c>
      <c r="BB46" s="356">
        <f t="shared" si="108"/>
        <v>0</v>
      </c>
      <c r="BC46" s="356">
        <f t="shared" si="109"/>
        <v>0.0008650081694768766</v>
      </c>
      <c r="BD46" s="382">
        <f t="shared" si="110"/>
        <v>0.03453133732049653</v>
      </c>
      <c r="BE46" s="421">
        <f t="shared" si="111"/>
        <v>0.013294487439899211</v>
      </c>
      <c r="BF46" s="353">
        <f t="shared" si="112"/>
        <v>0.0070832925915688795</v>
      </c>
      <c r="BG46" s="353">
        <f t="shared" si="113"/>
        <v>0.04052134769866853</v>
      </c>
      <c r="BH46" s="353">
        <f t="shared" si="114"/>
        <v>0.009269829527414793</v>
      </c>
      <c r="BI46" s="353">
        <f t="shared" si="115"/>
        <v>0</v>
      </c>
      <c r="BJ46" s="353">
        <f t="shared" si="116"/>
        <v>0.026516216431417647</v>
      </c>
      <c r="BK46" s="353">
        <f t="shared" si="117"/>
        <v>0.009784483411337324</v>
      </c>
      <c r="BL46" s="353"/>
      <c r="BM46" s="353">
        <f t="shared" si="118"/>
        <v>0.0011259018533697944</v>
      </c>
      <c r="BN46" s="365">
        <f t="shared" si="74"/>
        <v>0.028813396308262244</v>
      </c>
      <c r="BO46" s="421">
        <f t="shared" si="119"/>
        <v>0.030448079515953148</v>
      </c>
      <c r="BP46" s="353">
        <f t="shared" si="120"/>
        <v>0.02709304483357439</v>
      </c>
      <c r="BQ46" s="353">
        <f t="shared" si="121"/>
        <v>0.023237949636570696</v>
      </c>
      <c r="BR46" s="353">
        <f t="shared" si="122"/>
        <v>0.02868650040038236</v>
      </c>
      <c r="BS46" s="365">
        <f t="shared" si="123"/>
        <v>0.025541952637232503</v>
      </c>
    </row>
    <row r="47" spans="16:71" ht="16.5">
      <c r="P47" s="397" t="s">
        <v>198</v>
      </c>
      <c r="Q47" s="363">
        <f t="shared" si="75"/>
        <v>0.008142895449453524</v>
      </c>
      <c r="R47" s="356">
        <f t="shared" si="76"/>
        <v>0.001729642574712997</v>
      </c>
      <c r="S47" s="356">
        <f t="shared" si="77"/>
        <v>0.019548333963719723</v>
      </c>
      <c r="T47" s="356">
        <f t="shared" si="78"/>
        <v>0.008576717611649522</v>
      </c>
      <c r="U47" s="356">
        <f t="shared" si="79"/>
        <v>0.003530662663789599</v>
      </c>
      <c r="V47" s="356">
        <f t="shared" si="80"/>
        <v>0.013615287971236265</v>
      </c>
      <c r="W47" s="356">
        <f t="shared" si="81"/>
        <v>0.004399500719680155</v>
      </c>
      <c r="X47" s="356"/>
      <c r="Y47" s="356">
        <f t="shared" si="82"/>
        <v>0.0025251880182301386</v>
      </c>
      <c r="Z47" s="382">
        <f t="shared" si="83"/>
        <v>0.01331391343207533</v>
      </c>
      <c r="AA47" s="421">
        <f t="shared" si="84"/>
        <v>0.006094549639267778</v>
      </c>
      <c r="AB47" s="353">
        <f t="shared" si="85"/>
        <v>0.00899485119811563</v>
      </c>
      <c r="AC47" s="353">
        <f t="shared" si="86"/>
        <v>0.017916649759105615</v>
      </c>
      <c r="AD47" s="353">
        <f t="shared" si="87"/>
        <v>0.0057497994248178995</v>
      </c>
      <c r="AE47" s="353">
        <f t="shared" si="88"/>
        <v>0.0003562758032501708</v>
      </c>
      <c r="AF47" s="353">
        <f t="shared" si="89"/>
        <v>0.012237188466311643</v>
      </c>
      <c r="AG47" s="353">
        <f t="shared" si="90"/>
        <v>0</v>
      </c>
      <c r="AH47" s="353"/>
      <c r="AI47" s="353">
        <f t="shared" si="91"/>
        <v>0.002120067947822457</v>
      </c>
      <c r="AJ47" s="365">
        <f t="shared" si="92"/>
        <v>0.016248037312463923</v>
      </c>
      <c r="AK47" s="380">
        <f t="shared" si="93"/>
        <v>0.006873591011854287</v>
      </c>
      <c r="AL47" s="353">
        <f t="shared" si="94"/>
        <v>0.0012679612348430293</v>
      </c>
      <c r="AM47" s="353">
        <f t="shared" si="95"/>
        <v>0.015934527528083466</v>
      </c>
      <c r="AN47" s="353">
        <f t="shared" si="96"/>
        <v>0.005310876169142086</v>
      </c>
      <c r="AO47" s="353">
        <f t="shared" si="97"/>
        <v>0</v>
      </c>
      <c r="AP47" s="353">
        <f t="shared" si="98"/>
        <v>0.012456192893768824</v>
      </c>
      <c r="AQ47" s="351"/>
      <c r="AR47" s="351"/>
      <c r="AS47" s="353">
        <f t="shared" si="99"/>
        <v>0.0007358157660007199</v>
      </c>
      <c r="AT47" s="365">
        <f t="shared" si="100"/>
        <v>0.01004668780539669</v>
      </c>
      <c r="AU47" s="363">
        <f t="shared" si="101"/>
        <v>0.008976922760553093</v>
      </c>
      <c r="AV47" s="356">
        <f t="shared" si="102"/>
        <v>0.0044496257251736195</v>
      </c>
      <c r="AW47" s="356">
        <f t="shared" si="103"/>
        <v>0.01777158762732677</v>
      </c>
      <c r="AX47" s="356">
        <f t="shared" si="104"/>
        <v>0.006449935523966772</v>
      </c>
      <c r="AY47" s="356">
        <f t="shared" si="105"/>
        <v>0.00025036177276164054</v>
      </c>
      <c r="AZ47" s="356">
        <f t="shared" si="106"/>
        <v>0.015526001855045182</v>
      </c>
      <c r="BA47" s="356">
        <f t="shared" si="107"/>
        <v>0.0032742534826902185</v>
      </c>
      <c r="BB47" s="356">
        <f t="shared" si="108"/>
        <v>0</v>
      </c>
      <c r="BC47" s="356">
        <f t="shared" si="109"/>
        <v>0.0004349594359873023</v>
      </c>
      <c r="BD47" s="382">
        <f t="shared" si="110"/>
        <v>0.015133814801113777</v>
      </c>
      <c r="BE47" s="421">
        <f t="shared" si="111"/>
        <v>0.005284890818931161</v>
      </c>
      <c r="BF47" s="353">
        <f t="shared" si="112"/>
        <v>0</v>
      </c>
      <c r="BG47" s="353">
        <f t="shared" si="113"/>
        <v>0.017468955355711132</v>
      </c>
      <c r="BH47" s="353">
        <f t="shared" si="114"/>
        <v>0.004297165323616766</v>
      </c>
      <c r="BI47" s="353">
        <f t="shared" si="115"/>
        <v>0</v>
      </c>
      <c r="BJ47" s="353">
        <f t="shared" si="116"/>
        <v>0.012782456424740954</v>
      </c>
      <c r="BK47" s="353">
        <f t="shared" si="117"/>
        <v>0.004988843767313308</v>
      </c>
      <c r="BL47" s="353"/>
      <c r="BM47" s="353">
        <f t="shared" si="118"/>
        <v>0.00037658776729791374</v>
      </c>
      <c r="BN47" s="365">
        <f t="shared" si="74"/>
        <v>0.012616898355421829</v>
      </c>
      <c r="BO47" s="421">
        <f t="shared" si="119"/>
        <v>0.01363288513987958</v>
      </c>
      <c r="BP47" s="353">
        <f t="shared" si="120"/>
        <v>0.012291266013492544</v>
      </c>
      <c r="BQ47" s="353">
        <f t="shared" si="121"/>
        <v>0.010408718969310247</v>
      </c>
      <c r="BR47" s="353">
        <f t="shared" si="122"/>
        <v>0.012682867490511346</v>
      </c>
      <c r="BS47" s="365">
        <f t="shared" si="123"/>
        <v>0.010986381459058323</v>
      </c>
    </row>
    <row r="48" spans="16:71" ht="12.75">
      <c r="P48" s="397" t="s">
        <v>199</v>
      </c>
      <c r="Q48" s="363">
        <f t="shared" si="75"/>
        <v>0.001220557645763792</v>
      </c>
      <c r="R48" s="356">
        <f t="shared" si="76"/>
        <v>0.0019641921050371756</v>
      </c>
      <c r="S48" s="356">
        <f t="shared" si="77"/>
        <v>0.03410692393020929</v>
      </c>
      <c r="T48" s="356">
        <f t="shared" si="78"/>
        <v>0.0034503859620043983</v>
      </c>
      <c r="U48" s="356">
        <f t="shared" si="79"/>
        <v>0</v>
      </c>
      <c r="V48" s="356">
        <f t="shared" si="80"/>
        <v>0.010789961426765544</v>
      </c>
      <c r="W48" s="356">
        <f t="shared" si="81"/>
        <v>0.0014329883258179326</v>
      </c>
      <c r="X48" s="356"/>
      <c r="Y48" s="356">
        <f t="shared" si="82"/>
        <v>0.00442904245677026</v>
      </c>
      <c r="Z48" s="382">
        <f t="shared" si="83"/>
        <v>0.000583696532199298</v>
      </c>
      <c r="AA48" s="421">
        <f t="shared" si="84"/>
        <v>0.010848791928418998</v>
      </c>
      <c r="AB48" s="353">
        <f t="shared" si="85"/>
        <v>0</v>
      </c>
      <c r="AC48" s="353">
        <f t="shared" si="86"/>
        <v>0.03436332815040472</v>
      </c>
      <c r="AD48" s="353">
        <f t="shared" si="87"/>
        <v>0.007475561364550061</v>
      </c>
      <c r="AE48" s="353">
        <f t="shared" si="88"/>
        <v>0</v>
      </c>
      <c r="AF48" s="353">
        <f t="shared" si="89"/>
        <v>0.014750409802927468</v>
      </c>
      <c r="AG48" s="353">
        <f t="shared" si="90"/>
        <v>0</v>
      </c>
      <c r="AH48" s="353"/>
      <c r="AI48" s="353">
        <f t="shared" si="91"/>
        <v>0</v>
      </c>
      <c r="AJ48" s="365">
        <f t="shared" si="92"/>
        <v>0.009417531979883115</v>
      </c>
      <c r="AK48" s="380">
        <f t="shared" si="93"/>
        <v>0.005192139354314422</v>
      </c>
      <c r="AL48" s="353">
        <f t="shared" si="94"/>
        <v>0</v>
      </c>
      <c r="AM48" s="353">
        <f t="shared" si="95"/>
        <v>0.02770290225020873</v>
      </c>
      <c r="AN48" s="353">
        <f t="shared" si="96"/>
        <v>0.0016833677938428585</v>
      </c>
      <c r="AO48" s="353">
        <f t="shared" si="97"/>
        <v>0</v>
      </c>
      <c r="AP48" s="353">
        <f t="shared" si="98"/>
        <v>0.016339615011574358</v>
      </c>
      <c r="AQ48" s="352"/>
      <c r="AR48" s="352"/>
      <c r="AS48" s="353">
        <f t="shared" si="99"/>
        <v>0.00016497983716803142</v>
      </c>
      <c r="AT48" s="365">
        <f t="shared" si="100"/>
        <v>0.004565015133559615</v>
      </c>
      <c r="AU48" s="363">
        <f t="shared" si="101"/>
        <v>0.009075506755117077</v>
      </c>
      <c r="AV48" s="356">
        <f t="shared" si="102"/>
        <v>5.051174713819382E-05</v>
      </c>
      <c r="AW48" s="356">
        <f t="shared" si="103"/>
        <v>0.034613117232519634</v>
      </c>
      <c r="AX48" s="356">
        <f t="shared" si="104"/>
        <v>0.006901636244346394</v>
      </c>
      <c r="AY48" s="356">
        <f t="shared" si="105"/>
        <v>0.0001523034117633313</v>
      </c>
      <c r="AZ48" s="356">
        <f t="shared" si="106"/>
        <v>0.022406690090684044</v>
      </c>
      <c r="BA48" s="356">
        <f t="shared" si="107"/>
        <v>0.0008023675578975001</v>
      </c>
      <c r="BB48" s="356">
        <f t="shared" si="108"/>
        <v>0</v>
      </c>
      <c r="BC48" s="356">
        <f t="shared" si="109"/>
        <v>0.0005850176237867345</v>
      </c>
      <c r="BD48" s="382">
        <f t="shared" si="110"/>
        <v>0.019293692855348106</v>
      </c>
      <c r="BE48" s="421">
        <f t="shared" si="111"/>
        <v>0.006739496898505213</v>
      </c>
      <c r="BF48" s="353">
        <f t="shared" si="112"/>
        <v>0</v>
      </c>
      <c r="BG48" s="353">
        <f t="shared" si="113"/>
        <v>0.03719793865668023</v>
      </c>
      <c r="BH48" s="353">
        <f t="shared" si="114"/>
        <v>0.003063864984263931</v>
      </c>
      <c r="BI48" s="353">
        <f t="shared" si="115"/>
        <v>0</v>
      </c>
      <c r="BJ48" s="353">
        <f t="shared" si="116"/>
        <v>0.013155791141918284</v>
      </c>
      <c r="BK48" s="353">
        <f t="shared" si="117"/>
        <v>0</v>
      </c>
      <c r="BL48" s="353"/>
      <c r="BM48" s="353">
        <f t="shared" si="118"/>
        <v>0.00033932478904182695</v>
      </c>
      <c r="BN48" s="365">
        <f t="shared" si="74"/>
        <v>0.004678673288556006</v>
      </c>
      <c r="BO48" s="421">
        <f t="shared" si="119"/>
        <v>0.016540196894899484</v>
      </c>
      <c r="BP48" s="353">
        <f t="shared" si="120"/>
        <v>0.020542843986766975</v>
      </c>
      <c r="BQ48" s="353">
        <f t="shared" si="121"/>
        <v>0.014125262617449043</v>
      </c>
      <c r="BR48" s="353">
        <f t="shared" si="122"/>
        <v>0.02079943706677717</v>
      </c>
      <c r="BS48" s="365">
        <f t="shared" si="123"/>
        <v>0.018706798351268587</v>
      </c>
    </row>
    <row r="49" spans="16:71" ht="16.5">
      <c r="P49" s="397" t="s">
        <v>200</v>
      </c>
      <c r="Q49" s="363">
        <f t="shared" si="75"/>
        <v>0</v>
      </c>
      <c r="R49" s="356">
        <f t="shared" si="76"/>
        <v>0</v>
      </c>
      <c r="S49" s="356">
        <f t="shared" si="77"/>
        <v>0</v>
      </c>
      <c r="T49" s="356">
        <f t="shared" si="78"/>
        <v>0</v>
      </c>
      <c r="U49" s="356">
        <f t="shared" si="79"/>
        <v>0</v>
      </c>
      <c r="V49" s="356">
        <f t="shared" si="80"/>
        <v>0</v>
      </c>
      <c r="W49" s="356">
        <f t="shared" si="81"/>
        <v>0</v>
      </c>
      <c r="X49" s="356"/>
      <c r="Y49" s="356">
        <f t="shared" si="82"/>
        <v>0</v>
      </c>
      <c r="Z49" s="382">
        <f t="shared" si="83"/>
        <v>0</v>
      </c>
      <c r="AA49" s="421">
        <f t="shared" si="84"/>
        <v>0</v>
      </c>
      <c r="AB49" s="353">
        <f t="shared" si="85"/>
        <v>0</v>
      </c>
      <c r="AC49" s="353">
        <f t="shared" si="86"/>
        <v>0</v>
      </c>
      <c r="AD49" s="353">
        <f t="shared" si="87"/>
        <v>0</v>
      </c>
      <c r="AE49" s="353">
        <f t="shared" si="88"/>
        <v>0</v>
      </c>
      <c r="AF49" s="353">
        <f t="shared" si="89"/>
        <v>0</v>
      </c>
      <c r="AG49" s="353">
        <f t="shared" si="90"/>
        <v>0</v>
      </c>
      <c r="AH49" s="353"/>
      <c r="AI49" s="353">
        <f t="shared" si="91"/>
        <v>0</v>
      </c>
      <c r="AJ49" s="365">
        <f t="shared" si="92"/>
        <v>0.0017451054273096543</v>
      </c>
      <c r="AK49" s="380">
        <f t="shared" si="93"/>
        <v>0</v>
      </c>
      <c r="AL49" s="353">
        <f t="shared" si="94"/>
        <v>0</v>
      </c>
      <c r="AM49" s="353">
        <f t="shared" si="95"/>
        <v>0</v>
      </c>
      <c r="AN49" s="353">
        <f t="shared" si="96"/>
        <v>0</v>
      </c>
      <c r="AO49" s="353">
        <f t="shared" si="97"/>
        <v>0</v>
      </c>
      <c r="AP49" s="353">
        <f t="shared" si="98"/>
        <v>0</v>
      </c>
      <c r="AQ49" s="351"/>
      <c r="AR49" s="351"/>
      <c r="AS49" s="353">
        <f t="shared" si="99"/>
        <v>0</v>
      </c>
      <c r="AT49" s="365">
        <f t="shared" si="100"/>
        <v>0</v>
      </c>
      <c r="AU49" s="363">
        <f t="shared" si="101"/>
        <v>0</v>
      </c>
      <c r="AV49" s="356">
        <f t="shared" si="102"/>
        <v>0</v>
      </c>
      <c r="AW49" s="356">
        <f t="shared" si="103"/>
        <v>0</v>
      </c>
      <c r="AX49" s="356">
        <f t="shared" si="104"/>
        <v>0</v>
      </c>
      <c r="AY49" s="356">
        <f t="shared" si="105"/>
        <v>0</v>
      </c>
      <c r="AZ49" s="356">
        <f t="shared" si="106"/>
        <v>0</v>
      </c>
      <c r="BA49" s="356">
        <f t="shared" si="107"/>
        <v>0</v>
      </c>
      <c r="BB49" s="356">
        <f t="shared" si="108"/>
        <v>0</v>
      </c>
      <c r="BC49" s="356">
        <f t="shared" si="109"/>
        <v>0</v>
      </c>
      <c r="BD49" s="382">
        <f t="shared" si="110"/>
        <v>0</v>
      </c>
      <c r="BE49" s="421">
        <f t="shared" si="111"/>
        <v>0</v>
      </c>
      <c r="BF49" s="353">
        <f t="shared" si="112"/>
        <v>0</v>
      </c>
      <c r="BG49" s="353">
        <f t="shared" si="113"/>
        <v>0</v>
      </c>
      <c r="BH49" s="353">
        <f t="shared" si="114"/>
        <v>0</v>
      </c>
      <c r="BI49" s="353">
        <f t="shared" si="115"/>
        <v>0</v>
      </c>
      <c r="BJ49" s="353">
        <f t="shared" si="116"/>
        <v>0.00021577979832078736</v>
      </c>
      <c r="BK49" s="353">
        <f t="shared" si="117"/>
        <v>0</v>
      </c>
      <c r="BL49" s="353"/>
      <c r="BM49" s="353">
        <f t="shared" si="118"/>
        <v>0</v>
      </c>
      <c r="BN49" s="365">
        <f t="shared" si="74"/>
        <v>0</v>
      </c>
      <c r="BO49" s="421">
        <f t="shared" si="119"/>
        <v>0</v>
      </c>
      <c r="BP49" s="353">
        <f t="shared" si="120"/>
        <v>0.00012121982048598279</v>
      </c>
      <c r="BQ49" s="353">
        <f t="shared" si="121"/>
        <v>0</v>
      </c>
      <c r="BR49" s="353">
        <f t="shared" si="122"/>
        <v>0</v>
      </c>
      <c r="BS49" s="365">
        <f t="shared" si="123"/>
        <v>1.2490295633839614E-05</v>
      </c>
    </row>
    <row r="50" spans="16:71" ht="16.5">
      <c r="P50" s="397" t="s">
        <v>201</v>
      </c>
      <c r="Q50" s="363">
        <f t="shared" si="75"/>
        <v>0</v>
      </c>
      <c r="R50" s="356">
        <f t="shared" si="76"/>
        <v>0</v>
      </c>
      <c r="S50" s="356">
        <f t="shared" si="77"/>
        <v>0</v>
      </c>
      <c r="T50" s="356">
        <f t="shared" si="78"/>
        <v>0</v>
      </c>
      <c r="U50" s="356">
        <f t="shared" si="79"/>
        <v>0</v>
      </c>
      <c r="V50" s="356">
        <f t="shared" si="80"/>
        <v>0</v>
      </c>
      <c r="W50" s="356">
        <f t="shared" si="81"/>
        <v>0</v>
      </c>
      <c r="X50" s="356"/>
      <c r="Y50" s="356">
        <f t="shared" si="82"/>
        <v>0</v>
      </c>
      <c r="Z50" s="382">
        <f t="shared" si="83"/>
        <v>0</v>
      </c>
      <c r="AA50" s="421">
        <f t="shared" si="84"/>
        <v>0</v>
      </c>
      <c r="AB50" s="353">
        <f t="shared" si="85"/>
        <v>0</v>
      </c>
      <c r="AC50" s="353">
        <f t="shared" si="86"/>
        <v>0</v>
      </c>
      <c r="AD50" s="353">
        <f t="shared" si="87"/>
        <v>0</v>
      </c>
      <c r="AE50" s="353">
        <f t="shared" si="88"/>
        <v>0</v>
      </c>
      <c r="AF50" s="353">
        <f t="shared" si="89"/>
        <v>0</v>
      </c>
      <c r="AG50" s="353">
        <f t="shared" si="90"/>
        <v>0</v>
      </c>
      <c r="AH50" s="353"/>
      <c r="AI50" s="353">
        <f t="shared" si="91"/>
        <v>0</v>
      </c>
      <c r="AJ50" s="365">
        <f t="shared" si="92"/>
        <v>0</v>
      </c>
      <c r="AK50" s="380">
        <f t="shared" si="93"/>
        <v>0</v>
      </c>
      <c r="AL50" s="353">
        <f t="shared" si="94"/>
        <v>0</v>
      </c>
      <c r="AM50" s="353">
        <f t="shared" si="95"/>
        <v>0</v>
      </c>
      <c r="AN50" s="353">
        <f t="shared" si="96"/>
        <v>0</v>
      </c>
      <c r="AO50" s="353">
        <f t="shared" si="97"/>
        <v>0</v>
      </c>
      <c r="AP50" s="353">
        <f t="shared" si="98"/>
        <v>0</v>
      </c>
      <c r="AQ50" s="351"/>
      <c r="AR50" s="351"/>
      <c r="AS50" s="353">
        <f t="shared" si="99"/>
        <v>0</v>
      </c>
      <c r="AT50" s="365">
        <f t="shared" si="100"/>
        <v>0</v>
      </c>
      <c r="AU50" s="363">
        <f t="shared" si="101"/>
        <v>0</v>
      </c>
      <c r="AV50" s="356">
        <f t="shared" si="102"/>
        <v>0</v>
      </c>
      <c r="AW50" s="356">
        <f t="shared" si="103"/>
        <v>0</v>
      </c>
      <c r="AX50" s="356">
        <f t="shared" si="104"/>
        <v>0</v>
      </c>
      <c r="AY50" s="356">
        <f t="shared" si="105"/>
        <v>0</v>
      </c>
      <c r="AZ50" s="356">
        <f t="shared" si="106"/>
        <v>0</v>
      </c>
      <c r="BA50" s="356">
        <f t="shared" si="107"/>
        <v>0</v>
      </c>
      <c r="BB50" s="356">
        <f t="shared" si="108"/>
        <v>0</v>
      </c>
      <c r="BC50" s="356">
        <f t="shared" si="109"/>
        <v>0</v>
      </c>
      <c r="BD50" s="382">
        <f t="shared" si="110"/>
        <v>0</v>
      </c>
      <c r="BE50" s="421">
        <f t="shared" si="111"/>
        <v>0</v>
      </c>
      <c r="BF50" s="353">
        <f t="shared" si="112"/>
        <v>0</v>
      </c>
      <c r="BG50" s="353">
        <f t="shared" si="113"/>
        <v>0</v>
      </c>
      <c r="BH50" s="353">
        <f t="shared" si="114"/>
        <v>0</v>
      </c>
      <c r="BI50" s="353">
        <f t="shared" si="115"/>
        <v>0</v>
      </c>
      <c r="BJ50" s="353">
        <f t="shared" si="116"/>
        <v>0</v>
      </c>
      <c r="BK50" s="353">
        <f t="shared" si="117"/>
        <v>0</v>
      </c>
      <c r="BL50" s="353"/>
      <c r="BM50" s="353">
        <f t="shared" si="118"/>
        <v>0</v>
      </c>
      <c r="BN50" s="365">
        <f t="shared" si="74"/>
        <v>0</v>
      </c>
      <c r="BO50" s="421">
        <f t="shared" si="119"/>
        <v>0</v>
      </c>
      <c r="BP50" s="353">
        <f t="shared" si="120"/>
        <v>0</v>
      </c>
      <c r="BQ50" s="353">
        <f t="shared" si="121"/>
        <v>0</v>
      </c>
      <c r="BR50" s="353">
        <f t="shared" si="122"/>
        <v>0</v>
      </c>
      <c r="BS50" s="365">
        <f t="shared" si="123"/>
        <v>0</v>
      </c>
    </row>
    <row r="51" spans="16:71" ht="12.75">
      <c r="P51" s="397" t="s">
        <v>177</v>
      </c>
      <c r="Q51" s="363">
        <f t="shared" si="75"/>
        <v>0.023591695621631832</v>
      </c>
      <c r="R51" s="356">
        <f t="shared" si="76"/>
        <v>0.026787350731012703</v>
      </c>
      <c r="S51" s="356">
        <f t="shared" si="77"/>
        <v>0.024292454513833526</v>
      </c>
      <c r="T51" s="356">
        <f t="shared" si="78"/>
        <v>0.022895742468300246</v>
      </c>
      <c r="U51" s="356">
        <f t="shared" si="79"/>
        <v>0.028027957594521067</v>
      </c>
      <c r="V51" s="356">
        <f t="shared" si="80"/>
        <v>0.023312223444538427</v>
      </c>
      <c r="W51" s="356">
        <f t="shared" si="81"/>
        <v>0.02761192920301352</v>
      </c>
      <c r="X51" s="356"/>
      <c r="Y51" s="356">
        <f t="shared" si="82"/>
        <v>0.02553517756407659</v>
      </c>
      <c r="Z51" s="382">
        <f t="shared" si="83"/>
        <v>0.026633806570858582</v>
      </c>
      <c r="AA51" s="421">
        <f t="shared" si="84"/>
        <v>0.017798124172241105</v>
      </c>
      <c r="AB51" s="353">
        <f t="shared" si="85"/>
        <v>0.028084373914750334</v>
      </c>
      <c r="AC51" s="353">
        <f t="shared" si="86"/>
        <v>0.02420367092418945</v>
      </c>
      <c r="AD51" s="353">
        <f t="shared" si="87"/>
        <v>0.023908642569971526</v>
      </c>
      <c r="AE51" s="353">
        <f t="shared" si="88"/>
        <v>0.027292915933340597</v>
      </c>
      <c r="AF51" s="353">
        <f t="shared" si="89"/>
        <v>0.026065007904352292</v>
      </c>
      <c r="AG51" s="353">
        <f t="shared" si="90"/>
        <v>0.028616219175355215</v>
      </c>
      <c r="AH51" s="353"/>
      <c r="AI51" s="353">
        <f t="shared" si="91"/>
        <v>0.02710104123693286</v>
      </c>
      <c r="AJ51" s="365">
        <f t="shared" si="92"/>
        <v>0.025490232588998626</v>
      </c>
      <c r="AK51" s="380">
        <f t="shared" si="93"/>
        <v>0.016153111757700313</v>
      </c>
      <c r="AL51" s="353">
        <f t="shared" si="94"/>
        <v>0.026152475127260915</v>
      </c>
      <c r="AM51" s="353">
        <f t="shared" si="95"/>
        <v>0.023434078828696994</v>
      </c>
      <c r="AN51" s="353">
        <f t="shared" si="96"/>
        <v>0.023165463842437416</v>
      </c>
      <c r="AO51" s="353">
        <f t="shared" si="97"/>
        <v>0.027134592274051034</v>
      </c>
      <c r="AP51" s="353">
        <f t="shared" si="98"/>
        <v>0.021832388672069755</v>
      </c>
      <c r="AQ51" s="351"/>
      <c r="AR51" s="351"/>
      <c r="AS51" s="353">
        <f t="shared" si="99"/>
        <v>0.024979408353273534</v>
      </c>
      <c r="AT51" s="365">
        <f t="shared" si="100"/>
        <v>0.022665545823551278</v>
      </c>
      <c r="AU51" s="363">
        <f t="shared" si="101"/>
        <v>0.016002364968496417</v>
      </c>
      <c r="AV51" s="356">
        <f t="shared" si="102"/>
        <v>0.023476482476728722</v>
      </c>
      <c r="AW51" s="356">
        <f t="shared" si="103"/>
        <v>0.024392356551906167</v>
      </c>
      <c r="AX51" s="356">
        <f t="shared" si="104"/>
        <v>0.023788451816770712</v>
      </c>
      <c r="AY51" s="356">
        <f t="shared" si="105"/>
        <v>0.0277901567765421</v>
      </c>
      <c r="AZ51" s="356">
        <f t="shared" si="106"/>
        <v>0.025915421100127706</v>
      </c>
      <c r="BA51" s="356">
        <f t="shared" si="107"/>
        <v>0.025339698737637615</v>
      </c>
      <c r="BB51" s="356">
        <f t="shared" si="108"/>
        <v>0</v>
      </c>
      <c r="BC51" s="356">
        <f t="shared" si="109"/>
        <v>0.026227981537046658</v>
      </c>
      <c r="BD51" s="382">
        <f t="shared" si="110"/>
        <v>0.025160013110864993</v>
      </c>
      <c r="BE51" s="421">
        <f t="shared" si="111"/>
        <v>0.018611333008835617</v>
      </c>
      <c r="BF51" s="353">
        <f t="shared" si="112"/>
        <v>0.027024301083050834</v>
      </c>
      <c r="BG51" s="353">
        <f t="shared" si="113"/>
        <v>0.025823436615933767</v>
      </c>
      <c r="BH51" s="353">
        <f t="shared" si="114"/>
        <v>0.02427898062284397</v>
      </c>
      <c r="BI51" s="353">
        <f t="shared" si="115"/>
        <v>0.02984770070678235</v>
      </c>
      <c r="BJ51" s="353">
        <f t="shared" si="116"/>
        <v>0.028229704193537715</v>
      </c>
      <c r="BK51" s="353">
        <f t="shared" si="117"/>
        <v>0.02673527327678893</v>
      </c>
      <c r="BL51" s="353"/>
      <c r="BM51" s="353">
        <f t="shared" si="118"/>
        <v>0.026721223785712008</v>
      </c>
      <c r="BN51" s="365">
        <f t="shared" si="74"/>
        <v>0.027097043163646996</v>
      </c>
      <c r="BO51" s="421">
        <f t="shared" si="119"/>
        <v>0.024424038056541596</v>
      </c>
      <c r="BP51" s="353">
        <f t="shared" si="120"/>
        <v>0.023120495622554076</v>
      </c>
      <c r="BQ51" s="353">
        <f t="shared" si="121"/>
        <v>0.021507680027729233</v>
      </c>
      <c r="BR51" s="353">
        <f t="shared" si="122"/>
        <v>0.022316359341595836</v>
      </c>
      <c r="BS51" s="365">
        <f t="shared" si="123"/>
        <v>0.024065496467728913</v>
      </c>
    </row>
    <row r="52" spans="16:71" ht="12.75">
      <c r="P52" s="397" t="s">
        <v>202</v>
      </c>
      <c r="Q52" s="363">
        <f t="shared" si="75"/>
        <v>0.10083788816165899</v>
      </c>
      <c r="R52" s="356">
        <f t="shared" si="76"/>
        <v>0.1140096562631774</v>
      </c>
      <c r="S52" s="356">
        <f t="shared" si="77"/>
        <v>0.10683049679319623</v>
      </c>
      <c r="T52" s="356">
        <f t="shared" si="78"/>
        <v>0.10982729132036081</v>
      </c>
      <c r="U52" s="356">
        <f t="shared" si="79"/>
        <v>0.112660466898083</v>
      </c>
      <c r="V52" s="356">
        <f t="shared" si="80"/>
        <v>0.09435004028104849</v>
      </c>
      <c r="W52" s="356">
        <f t="shared" si="81"/>
        <v>0.1145328663377307</v>
      </c>
      <c r="X52" s="356"/>
      <c r="Y52" s="356">
        <f t="shared" si="82"/>
        <v>0.09772664894921641</v>
      </c>
      <c r="Z52" s="382">
        <f t="shared" si="83"/>
        <v>0.10211704282477874</v>
      </c>
      <c r="AA52" s="421">
        <f t="shared" si="84"/>
        <v>0.09533983917971467</v>
      </c>
      <c r="AB52" s="353">
        <f t="shared" si="85"/>
        <v>0.09346298449319786</v>
      </c>
      <c r="AC52" s="353">
        <f t="shared" si="86"/>
        <v>0.10685059949705507</v>
      </c>
      <c r="AD52" s="353">
        <f t="shared" si="87"/>
        <v>0.09846048018635264</v>
      </c>
      <c r="AE52" s="353">
        <f t="shared" si="88"/>
        <v>0.11473399483201048</v>
      </c>
      <c r="AF52" s="353">
        <f t="shared" si="89"/>
        <v>0.10169434752020289</v>
      </c>
      <c r="AG52" s="353">
        <f t="shared" si="90"/>
        <v>0.09059729099791806</v>
      </c>
      <c r="AH52" s="353"/>
      <c r="AI52" s="353">
        <f t="shared" si="91"/>
        <v>0.10721512111782609</v>
      </c>
      <c r="AJ52" s="365">
        <f t="shared" si="92"/>
        <v>0.10261791869931305</v>
      </c>
      <c r="AK52" s="380">
        <f t="shared" si="93"/>
        <v>0.10018849758465946</v>
      </c>
      <c r="AL52" s="353">
        <f t="shared" si="94"/>
        <v>0.12088021050883296</v>
      </c>
      <c r="AM52" s="353">
        <f t="shared" si="95"/>
        <v>0.10294348089677707</v>
      </c>
      <c r="AN52" s="353">
        <f t="shared" si="96"/>
        <v>0.10706840248477023</v>
      </c>
      <c r="AO52" s="353">
        <f t="shared" si="97"/>
        <v>0.1201431036651007</v>
      </c>
      <c r="AP52" s="353">
        <f t="shared" si="98"/>
        <v>0.09655971240248745</v>
      </c>
      <c r="AQ52" s="351"/>
      <c r="AR52" s="351"/>
      <c r="AS52" s="353">
        <f t="shared" si="99"/>
        <v>0.09622811882570786</v>
      </c>
      <c r="AT52" s="365">
        <f t="shared" si="100"/>
        <v>0.0900092943886111</v>
      </c>
      <c r="AU52" s="363">
        <f t="shared" si="101"/>
        <v>0.09259380586905624</v>
      </c>
      <c r="AV52" s="356">
        <f t="shared" si="102"/>
        <v>0.10654018065985561</v>
      </c>
      <c r="AW52" s="356">
        <f t="shared" si="103"/>
        <v>0.10871902208708534</v>
      </c>
      <c r="AX52" s="356">
        <f t="shared" si="104"/>
        <v>0.11246900154830171</v>
      </c>
      <c r="AY52" s="356">
        <f t="shared" si="105"/>
        <v>0.12511871320725113</v>
      </c>
      <c r="AZ52" s="356">
        <f t="shared" si="106"/>
        <v>0.10557614830559203</v>
      </c>
      <c r="BA52" s="356">
        <f t="shared" si="107"/>
        <v>0.13870363990769735</v>
      </c>
      <c r="BB52" s="356">
        <f t="shared" si="108"/>
        <v>0</v>
      </c>
      <c r="BC52" s="356">
        <f t="shared" si="109"/>
        <v>0.09972018656161305</v>
      </c>
      <c r="BD52" s="382">
        <f t="shared" si="110"/>
        <v>0.1094660199859278</v>
      </c>
      <c r="BE52" s="421">
        <f t="shared" si="111"/>
        <v>0.09677778644681209</v>
      </c>
      <c r="BF52" s="353">
        <f t="shared" si="112"/>
        <v>0.08792752867771095</v>
      </c>
      <c r="BG52" s="353">
        <f t="shared" si="113"/>
        <v>0.11049276711704444</v>
      </c>
      <c r="BH52" s="353">
        <f t="shared" si="114"/>
        <v>0.10960615526411564</v>
      </c>
      <c r="BI52" s="353">
        <f t="shared" si="115"/>
        <v>0.11553900906433859</v>
      </c>
      <c r="BJ52" s="353">
        <f t="shared" si="116"/>
        <v>0.10677836570342387</v>
      </c>
      <c r="BK52" s="353">
        <f t="shared" si="117"/>
        <v>0.10493855847792746</v>
      </c>
      <c r="BL52" s="353"/>
      <c r="BM52" s="353">
        <f t="shared" si="118"/>
        <v>0.10318089718246513</v>
      </c>
      <c r="BN52" s="365">
        <f t="shared" si="74"/>
        <v>0.09910915788003533</v>
      </c>
      <c r="BO52" s="421">
        <f t="shared" si="119"/>
        <v>0.10396515656544633</v>
      </c>
      <c r="BP52" s="353">
        <f t="shared" si="120"/>
        <v>0.10282694200652644</v>
      </c>
      <c r="BQ52" s="353">
        <f t="shared" si="121"/>
        <v>0.10090047097459545</v>
      </c>
      <c r="BR52" s="353">
        <f t="shared" si="122"/>
        <v>0.10428094538006076</v>
      </c>
      <c r="BS52" s="365">
        <f t="shared" si="123"/>
        <v>0.10480687582310144</v>
      </c>
    </row>
    <row r="53" spans="16:71" ht="12.75">
      <c r="P53" s="397" t="s">
        <v>179</v>
      </c>
      <c r="Q53" s="363">
        <f t="shared" si="75"/>
        <v>0.12092125917457072</v>
      </c>
      <c r="R53" s="356">
        <f t="shared" si="76"/>
        <v>0.11295802845098621</v>
      </c>
      <c r="S53" s="356">
        <f t="shared" si="77"/>
        <v>0.002284895088013588</v>
      </c>
      <c r="T53" s="356">
        <f t="shared" si="78"/>
        <v>0.011570078979385659</v>
      </c>
      <c r="U53" s="356">
        <f t="shared" si="79"/>
        <v>0.06540384495105858</v>
      </c>
      <c r="V53" s="356">
        <f t="shared" si="80"/>
        <v>0.01333625339962117</v>
      </c>
      <c r="W53" s="356">
        <f t="shared" si="81"/>
        <v>0.011378946824380343</v>
      </c>
      <c r="X53" s="356"/>
      <c r="Y53" s="356">
        <f t="shared" si="82"/>
        <v>0.19397679035782475</v>
      </c>
      <c r="Z53" s="382">
        <f t="shared" si="83"/>
        <v>0.06078101817334138</v>
      </c>
      <c r="AA53" s="421">
        <f t="shared" si="84"/>
        <v>0.010657497271291037</v>
      </c>
      <c r="AB53" s="353">
        <f t="shared" si="85"/>
        <v>0.05425417868305426</v>
      </c>
      <c r="AC53" s="353">
        <f t="shared" si="86"/>
        <v>0.000451377077614498</v>
      </c>
      <c r="AD53" s="353">
        <f t="shared" si="87"/>
        <v>0.0026563660938790238</v>
      </c>
      <c r="AE53" s="353">
        <f t="shared" si="88"/>
        <v>0</v>
      </c>
      <c r="AF53" s="353">
        <f t="shared" si="89"/>
        <v>0.00028710328919325916</v>
      </c>
      <c r="AG53" s="353">
        <f t="shared" si="90"/>
        <v>0</v>
      </c>
      <c r="AH53" s="353"/>
      <c r="AI53" s="353">
        <f t="shared" si="91"/>
        <v>0.04708561890711031</v>
      </c>
      <c r="AJ53" s="365">
        <f t="shared" si="92"/>
        <v>0</v>
      </c>
      <c r="AK53" s="380">
        <f t="shared" si="93"/>
        <v>0.005144764700635269</v>
      </c>
      <c r="AL53" s="353">
        <f t="shared" si="94"/>
        <v>0.01279488155159784</v>
      </c>
      <c r="AM53" s="353">
        <f t="shared" si="95"/>
        <v>0</v>
      </c>
      <c r="AN53" s="353">
        <f t="shared" si="96"/>
        <v>0.005869121904704444</v>
      </c>
      <c r="AO53" s="353">
        <f t="shared" si="97"/>
        <v>0</v>
      </c>
      <c r="AP53" s="353">
        <f t="shared" si="98"/>
        <v>5.089335960695835E-06</v>
      </c>
      <c r="AQ53" s="351"/>
      <c r="AR53" s="351"/>
      <c r="AS53" s="353">
        <f t="shared" si="99"/>
        <v>0.036941822170519896</v>
      </c>
      <c r="AT53" s="365">
        <f t="shared" si="100"/>
        <v>0.0027325521451935547</v>
      </c>
      <c r="AU53" s="363">
        <f t="shared" si="101"/>
        <v>0.03272244236488097</v>
      </c>
      <c r="AV53" s="356">
        <f t="shared" si="102"/>
        <v>0.1606537597672786</v>
      </c>
      <c r="AW53" s="356">
        <f t="shared" si="103"/>
        <v>0.006718962821708186</v>
      </c>
      <c r="AX53" s="356">
        <f t="shared" si="104"/>
        <v>0.006991286056879401</v>
      </c>
      <c r="AY53" s="356">
        <f t="shared" si="105"/>
        <v>0.019257410291204122</v>
      </c>
      <c r="AZ53" s="356">
        <f t="shared" si="106"/>
        <v>0.005848647740560578</v>
      </c>
      <c r="BA53" s="356">
        <f t="shared" si="107"/>
        <v>0</v>
      </c>
      <c r="BB53" s="356">
        <f t="shared" si="108"/>
        <v>0</v>
      </c>
      <c r="BC53" s="356">
        <f t="shared" si="109"/>
        <v>0.17612065451130943</v>
      </c>
      <c r="BD53" s="382">
        <f t="shared" si="110"/>
        <v>0.0501989102011697</v>
      </c>
      <c r="BE53" s="421">
        <f t="shared" si="111"/>
        <v>0.22735579283096474</v>
      </c>
      <c r="BF53" s="353">
        <f t="shared" si="112"/>
        <v>0.17406806582226633</v>
      </c>
      <c r="BG53" s="353">
        <f t="shared" si="113"/>
        <v>0.06864403962842598</v>
      </c>
      <c r="BH53" s="353">
        <f t="shared" si="114"/>
        <v>0.07311173044512294</v>
      </c>
      <c r="BI53" s="353">
        <f t="shared" si="115"/>
        <v>0.07452802823128367</v>
      </c>
      <c r="BJ53" s="353">
        <f t="shared" si="116"/>
        <v>0.0681773214183652</v>
      </c>
      <c r="BK53" s="353">
        <f t="shared" si="117"/>
        <v>0.13234691314639183</v>
      </c>
      <c r="BL53" s="353"/>
      <c r="BM53" s="353">
        <f t="shared" si="118"/>
        <v>0.14761970176681544</v>
      </c>
      <c r="BN53" s="365">
        <f t="shared" si="74"/>
        <v>0.08377894076314152</v>
      </c>
      <c r="BO53" s="421">
        <f t="shared" si="119"/>
        <v>0.04884863579564183</v>
      </c>
      <c r="BP53" s="353">
        <f t="shared" si="120"/>
        <v>0.006301920935533078</v>
      </c>
      <c r="BQ53" s="353">
        <f t="shared" si="121"/>
        <v>0.00497563772295176</v>
      </c>
      <c r="BR53" s="353">
        <f t="shared" si="122"/>
        <v>0.028529299309003543</v>
      </c>
      <c r="BS53" s="365">
        <f t="shared" si="123"/>
        <v>0.12031684494223903</v>
      </c>
    </row>
    <row r="54" spans="16:71" ht="13.5" thickBot="1">
      <c r="P54" s="401" t="s">
        <v>180</v>
      </c>
      <c r="Q54" s="376">
        <f t="shared" si="75"/>
        <v>0.03745549651325766</v>
      </c>
      <c r="R54" s="377">
        <f t="shared" si="76"/>
        <v>0.04064884346574488</v>
      </c>
      <c r="S54" s="377">
        <f t="shared" si="77"/>
        <v>0.015497889639748344</v>
      </c>
      <c r="T54" s="377">
        <f t="shared" si="78"/>
        <v>0.011697466390644423</v>
      </c>
      <c r="U54" s="377">
        <f t="shared" si="79"/>
        <v>0.017175430778371956</v>
      </c>
      <c r="V54" s="377">
        <f t="shared" si="80"/>
        <v>0.013681814010808703</v>
      </c>
      <c r="W54" s="377">
        <f t="shared" si="81"/>
        <v>0.011846225626277494</v>
      </c>
      <c r="X54" s="377"/>
      <c r="Y54" s="377">
        <f t="shared" si="82"/>
        <v>0.021913196529827948</v>
      </c>
      <c r="Z54" s="383">
        <f t="shared" si="83"/>
        <v>0.007890560565194162</v>
      </c>
      <c r="AA54" s="422">
        <f t="shared" si="84"/>
        <v>0.11780781518410542</v>
      </c>
      <c r="AB54" s="366">
        <f t="shared" si="85"/>
        <v>0.030983406060789084</v>
      </c>
      <c r="AC54" s="366">
        <f t="shared" si="86"/>
        <v>0.009223778053419061</v>
      </c>
      <c r="AD54" s="366">
        <f t="shared" si="87"/>
        <v>0.005784099027602891</v>
      </c>
      <c r="AE54" s="366">
        <f t="shared" si="88"/>
        <v>0.010494213254952657</v>
      </c>
      <c r="AF54" s="366">
        <f t="shared" si="89"/>
        <v>0.009440357660711015</v>
      </c>
      <c r="AG54" s="366">
        <f t="shared" si="90"/>
        <v>0.012441834424067485</v>
      </c>
      <c r="AH54" s="366"/>
      <c r="AI54" s="366">
        <f t="shared" si="91"/>
        <v>0.07669630555964654</v>
      </c>
      <c r="AJ54" s="368">
        <f t="shared" si="92"/>
        <v>0.017708879936555948</v>
      </c>
      <c r="AK54" s="381">
        <f t="shared" si="93"/>
        <v>0.1863597859847929</v>
      </c>
      <c r="AL54" s="366">
        <f t="shared" si="94"/>
        <v>0.05453596709002276</v>
      </c>
      <c r="AM54" s="366">
        <f t="shared" si="95"/>
        <v>0.02719691443234862</v>
      </c>
      <c r="AN54" s="366">
        <f t="shared" si="96"/>
        <v>0.04466377248933396</v>
      </c>
      <c r="AO54" s="366">
        <f t="shared" si="97"/>
        <v>0.0025047315945277877</v>
      </c>
      <c r="AP54" s="366">
        <f t="shared" si="98"/>
        <v>0.04730149605774861</v>
      </c>
      <c r="AQ54" s="367"/>
      <c r="AR54" s="367"/>
      <c r="AS54" s="366">
        <f t="shared" si="99"/>
        <v>0.08801906745692546</v>
      </c>
      <c r="AT54" s="368">
        <f t="shared" si="100"/>
        <v>0.04402076936557395</v>
      </c>
      <c r="AU54" s="376">
        <f t="shared" si="101"/>
        <v>0.14358561490630398</v>
      </c>
      <c r="AV54" s="377">
        <f t="shared" si="102"/>
        <v>0.06021344657148646</v>
      </c>
      <c r="AW54" s="377">
        <f t="shared" si="103"/>
        <v>0.018505708993891392</v>
      </c>
      <c r="AX54" s="377">
        <f t="shared" si="104"/>
        <v>0.010791094760411575</v>
      </c>
      <c r="AY54" s="377">
        <f t="shared" si="105"/>
        <v>0.013682270881423656</v>
      </c>
      <c r="AZ54" s="377">
        <f t="shared" si="106"/>
        <v>0.01721445317280485</v>
      </c>
      <c r="BA54" s="377">
        <f t="shared" si="107"/>
        <v>0.012737331922048204</v>
      </c>
      <c r="BB54" s="377">
        <f t="shared" si="108"/>
        <v>0</v>
      </c>
      <c r="BC54" s="377">
        <f t="shared" si="109"/>
        <v>0.06116473168887592</v>
      </c>
      <c r="BD54" s="383">
        <f t="shared" si="110"/>
        <v>0.02419420764304544</v>
      </c>
      <c r="BE54" s="422">
        <f t="shared" si="111"/>
        <v>0.012145538703149904</v>
      </c>
      <c r="BF54" s="366">
        <f t="shared" si="112"/>
        <v>0.0046811324952976945</v>
      </c>
      <c r="BG54" s="366">
        <f t="shared" si="113"/>
        <v>0.0023374720536191215</v>
      </c>
      <c r="BH54" s="366">
        <f t="shared" si="114"/>
        <v>0.0034058993568869167</v>
      </c>
      <c r="BI54" s="366">
        <f t="shared" si="115"/>
        <v>0.0034889001362351487</v>
      </c>
      <c r="BJ54" s="366">
        <f t="shared" si="116"/>
        <v>0.004031515620362016</v>
      </c>
      <c r="BK54" s="366">
        <f t="shared" si="117"/>
        <v>0.017210832171932873</v>
      </c>
      <c r="BL54" s="366"/>
      <c r="BM54" s="366">
        <f t="shared" si="118"/>
        <v>0.02548556025804902</v>
      </c>
      <c r="BN54" s="368">
        <f t="shared" si="74"/>
        <v>0.003470996817085753</v>
      </c>
      <c r="BO54" s="422">
        <f t="shared" si="119"/>
        <v>0.019708030704917844</v>
      </c>
      <c r="BP54" s="366">
        <f t="shared" si="120"/>
        <v>0.04051095770010526</v>
      </c>
      <c r="BQ54" s="366">
        <f t="shared" si="121"/>
        <v>0.07762183309313438</v>
      </c>
      <c r="BR54" s="366">
        <f t="shared" si="122"/>
        <v>0.056374611103848164</v>
      </c>
      <c r="BS54" s="368">
        <f t="shared" si="123"/>
        <v>0.006774731190515419</v>
      </c>
    </row>
    <row r="55" ht="12.75">
      <c r="P55" s="402"/>
    </row>
    <row r="56" ht="12.75">
      <c r="P56" s="402"/>
    </row>
    <row r="57" ht="12.75">
      <c r="P57" s="402"/>
    </row>
    <row r="58" ht="12.75">
      <c r="P58" s="402"/>
    </row>
    <row r="59" ht="12.75">
      <c r="P59" s="402"/>
    </row>
    <row r="60" ht="12.75">
      <c r="P60" s="402"/>
    </row>
    <row r="61" ht="13.5" thickBot="1">
      <c r="P61" s="402"/>
    </row>
    <row r="62" spans="1:16" s="39" customFormat="1" ht="25.5" customHeight="1" thickBot="1">
      <c r="A62" s="886" t="s">
        <v>185</v>
      </c>
      <c r="B62" s="878">
        <v>2004</v>
      </c>
      <c r="C62" s="879"/>
      <c r="D62" s="879"/>
      <c r="E62" s="879"/>
      <c r="F62" s="879"/>
      <c r="G62" s="879"/>
      <c r="H62" s="879"/>
      <c r="I62" s="879"/>
      <c r="J62" s="879"/>
      <c r="K62" s="707"/>
      <c r="P62" s="403"/>
    </row>
    <row r="63" spans="1:16" ht="36.75" customHeight="1" thickBot="1">
      <c r="A63" s="887"/>
      <c r="B63" s="880" t="s">
        <v>170</v>
      </c>
      <c r="C63" s="883"/>
      <c r="D63" s="882" t="s">
        <v>7</v>
      </c>
      <c r="E63" s="883"/>
      <c r="F63" s="882" t="s">
        <v>6</v>
      </c>
      <c r="G63" s="883"/>
      <c r="H63" s="882" t="s">
        <v>5</v>
      </c>
      <c r="I63" s="884"/>
      <c r="J63" s="882" t="s">
        <v>171</v>
      </c>
      <c r="K63" s="885"/>
      <c r="P63" s="402"/>
    </row>
    <row r="64" spans="1:16" s="39" customFormat="1" ht="24" customHeight="1" thickBot="1">
      <c r="A64" s="92" t="s">
        <v>172</v>
      </c>
      <c r="B64" s="69">
        <f>+S23</f>
        <v>16462.471148963672</v>
      </c>
      <c r="C64" s="424" t="s">
        <v>173</v>
      </c>
      <c r="D64" s="51">
        <f>+AC23</f>
        <v>16207.09144939619</v>
      </c>
      <c r="E64" s="319" t="s">
        <v>173</v>
      </c>
      <c r="F64" s="51">
        <f>+AM23</f>
        <v>16833.607092251474</v>
      </c>
      <c r="G64" s="319" t="s">
        <v>173</v>
      </c>
      <c r="H64" s="51">
        <f>+AW23</f>
        <v>16294.338951050035</v>
      </c>
      <c r="I64" s="319" t="s">
        <v>173</v>
      </c>
      <c r="J64" s="51">
        <f>+BG23</f>
        <v>16569.115190606135</v>
      </c>
      <c r="K64" s="320" t="s">
        <v>173</v>
      </c>
      <c r="P64" s="403"/>
    </row>
    <row r="65" spans="1:16" ht="12.75">
      <c r="A65" s="331" t="s">
        <v>174</v>
      </c>
      <c r="B65" s="332">
        <f>+S24</f>
        <v>10934.605279354968</v>
      </c>
      <c r="C65" s="426">
        <f aca="true" t="shared" si="124" ref="C65:C72">+B65/$B$64</f>
        <v>0.6642140891492655</v>
      </c>
      <c r="D65" s="334">
        <f>+AC24</f>
        <v>10923.225361275327</v>
      </c>
      <c r="E65" s="333">
        <f aca="true" t="shared" si="125" ref="E65:E72">+D65/$D$64</f>
        <v>0.6739781407034808</v>
      </c>
      <c r="F65" s="334">
        <f>+AM24</f>
        <v>11341.712655679023</v>
      </c>
      <c r="G65" s="333">
        <f aca="true" t="shared" si="126" ref="G65:G72">+F65/$F$64</f>
        <v>0.6737541510577151</v>
      </c>
      <c r="H65" s="334">
        <f>+AW24</f>
        <v>11329.817037312163</v>
      </c>
      <c r="I65" s="333">
        <f aca="true" t="shared" si="127" ref="I65:I72">+H65/$H$64</f>
        <v>0.6953222877803245</v>
      </c>
      <c r="J65" s="334">
        <f>+BG24</f>
        <v>10734.644215661952</v>
      </c>
      <c r="K65" s="335">
        <f aca="true" t="shared" si="128" ref="K65:K72">+J65/$J$64</f>
        <v>0.6478706975100252</v>
      </c>
      <c r="P65" s="402"/>
    </row>
    <row r="66" spans="1:16" ht="12.75">
      <c r="A66" s="336" t="s">
        <v>175</v>
      </c>
      <c r="B66" s="337">
        <f>+S28</f>
        <v>452.96069334810505</v>
      </c>
      <c r="C66" s="426">
        <f t="shared" si="124"/>
        <v>0.027514744855095426</v>
      </c>
      <c r="D66" s="338">
        <f>+AC28</f>
        <v>693.8651091405185</v>
      </c>
      <c r="E66" s="333">
        <f t="shared" si="125"/>
        <v>0.042812438697405454</v>
      </c>
      <c r="F66" s="338">
        <f>+AM28</f>
        <v>718.9359758371243</v>
      </c>
      <c r="G66" s="333">
        <f t="shared" si="126"/>
        <v>0.04270837330925059</v>
      </c>
      <c r="H66" s="338">
        <f>+AW28</f>
        <v>282.5547069656592</v>
      </c>
      <c r="I66" s="333">
        <f t="shared" si="127"/>
        <v>0.017340667075509124</v>
      </c>
      <c r="J66" s="338">
        <f>+BG28</f>
        <v>58.017654841643925</v>
      </c>
      <c r="K66" s="335">
        <f t="shared" si="128"/>
        <v>0.003501554197325941</v>
      </c>
      <c r="P66" s="402"/>
    </row>
    <row r="67" spans="1:16" ht="12.75">
      <c r="A67" s="324" t="s">
        <v>176</v>
      </c>
      <c r="B67" s="337">
        <f>+S29</f>
        <v>159.4589084306575</v>
      </c>
      <c r="C67" s="426">
        <f t="shared" si="124"/>
        <v>0.009686207312848994</v>
      </c>
      <c r="D67" s="338">
        <f>+AC29</f>
        <v>184.195309736749</v>
      </c>
      <c r="E67" s="333">
        <f t="shared" si="125"/>
        <v>0.01136510584344308</v>
      </c>
      <c r="F67" s="338">
        <f>+AM29</f>
        <v>425.80853655505007</v>
      </c>
      <c r="G67" s="333">
        <f t="shared" si="126"/>
        <v>0.025295145254462435</v>
      </c>
      <c r="H67" s="338">
        <f>+AW29</f>
        <v>121.11557330114367</v>
      </c>
      <c r="I67" s="333">
        <f t="shared" si="127"/>
        <v>0.007432984772502156</v>
      </c>
      <c r="J67" s="338">
        <f>+BG29</f>
        <v>24.500744232200447</v>
      </c>
      <c r="K67" s="335">
        <f t="shared" si="128"/>
        <v>0.001478699613730198</v>
      </c>
      <c r="P67" s="402"/>
    </row>
    <row r="68" spans="1:16" ht="12.75">
      <c r="A68" s="336" t="s">
        <v>177</v>
      </c>
      <c r="B68" s="337">
        <f>+S35</f>
        <v>399.91383157149676</v>
      </c>
      <c r="C68" s="426">
        <f t="shared" si="124"/>
        <v>0.024292454513833526</v>
      </c>
      <c r="D68" s="338">
        <f>+AC35</f>
        <v>392.27110807943</v>
      </c>
      <c r="E68" s="333">
        <f t="shared" si="125"/>
        <v>0.02420367092418945</v>
      </c>
      <c r="F68" s="338">
        <f>+AM35</f>
        <v>394.4800755711338</v>
      </c>
      <c r="G68" s="333">
        <f t="shared" si="126"/>
        <v>0.023434078828696994</v>
      </c>
      <c r="H68" s="338">
        <f>+AW35</f>
        <v>397.45732547162515</v>
      </c>
      <c r="I68" s="333">
        <f t="shared" si="127"/>
        <v>0.024392356551906167</v>
      </c>
      <c r="J68" s="338">
        <f>+BG35</f>
        <v>427.8714959067229</v>
      </c>
      <c r="K68" s="335">
        <f t="shared" si="128"/>
        <v>0.025823436615933767</v>
      </c>
      <c r="P68" s="402"/>
    </row>
    <row r="69" spans="1:16" ht="12.75">
      <c r="A69" s="336" t="s">
        <v>178</v>
      </c>
      <c r="B69" s="337">
        <f>+S36</f>
        <v>1758.693971287449</v>
      </c>
      <c r="C69" s="426">
        <f t="shared" si="124"/>
        <v>0.10683049679319623</v>
      </c>
      <c r="D69" s="338">
        <f>+AC36</f>
        <v>1731.737437471578</v>
      </c>
      <c r="E69" s="333">
        <f t="shared" si="125"/>
        <v>0.10685059949705507</v>
      </c>
      <c r="F69" s="338">
        <f>+AM36</f>
        <v>1732.9101101250405</v>
      </c>
      <c r="G69" s="333">
        <f t="shared" si="126"/>
        <v>0.10294348089677707</v>
      </c>
      <c r="H69" s="338">
        <f>+AW36</f>
        <v>1771.5045963136636</v>
      </c>
      <c r="I69" s="333">
        <f t="shared" si="127"/>
        <v>0.10871902208708534</v>
      </c>
      <c r="J69" s="338">
        <f>+BG36</f>
        <v>1830.767386091127</v>
      </c>
      <c r="K69" s="335">
        <f t="shared" si="128"/>
        <v>0.11049276711704444</v>
      </c>
      <c r="P69" s="402"/>
    </row>
    <row r="70" spans="1:16" ht="12.75">
      <c r="A70" s="336" t="s">
        <v>179</v>
      </c>
      <c r="B70" s="337">
        <f>+S37</f>
        <v>37.61501946483251</v>
      </c>
      <c r="C70" s="426">
        <f t="shared" si="124"/>
        <v>0.002284895088013588</v>
      </c>
      <c r="D70" s="338">
        <f>+AC37</f>
        <v>7.31550957505937</v>
      </c>
      <c r="E70" s="333">
        <f t="shared" si="125"/>
        <v>0.000451377077614498</v>
      </c>
      <c r="F70" s="338">
        <f>+AM37</f>
        <v>0</v>
      </c>
      <c r="G70" s="333">
        <f t="shared" si="126"/>
        <v>0</v>
      </c>
      <c r="H70" s="338">
        <f>+AW37</f>
        <v>109.48105761641675</v>
      </c>
      <c r="I70" s="333">
        <f t="shared" si="127"/>
        <v>0.006718962821708186</v>
      </c>
      <c r="J70" s="338">
        <f>+BG37</f>
        <v>1137.3709997519225</v>
      </c>
      <c r="K70" s="335">
        <f t="shared" si="128"/>
        <v>0.06864403962842598</v>
      </c>
      <c r="P70" s="402"/>
    </row>
    <row r="71" spans="1:16" ht="12.75">
      <c r="A71" s="336" t="s">
        <v>180</v>
      </c>
      <c r="B71" s="337">
        <f>+S38</f>
        <v>255.1335610641801</v>
      </c>
      <c r="C71" s="426">
        <f t="shared" si="124"/>
        <v>0.015497889639748344</v>
      </c>
      <c r="D71" s="338">
        <f>+AC38</f>
        <v>149.4906144206963</v>
      </c>
      <c r="E71" s="333">
        <f t="shared" si="125"/>
        <v>0.009223778053419061</v>
      </c>
      <c r="F71" s="338">
        <f>+AM38</f>
        <v>457.8221716757402</v>
      </c>
      <c r="G71" s="333">
        <f t="shared" si="126"/>
        <v>0.02719691443234862</v>
      </c>
      <c r="H71" s="338">
        <f>+AW38</f>
        <v>301.53829487596147</v>
      </c>
      <c r="I71" s="333">
        <f t="shared" si="127"/>
        <v>0.018505708993891392</v>
      </c>
      <c r="J71" s="338">
        <f>+BG38</f>
        <v>38.729843711237905</v>
      </c>
      <c r="K71" s="335">
        <f t="shared" si="128"/>
        <v>0.0023374720536191215</v>
      </c>
      <c r="P71" s="402"/>
    </row>
    <row r="72" spans="1:16" ht="12.75">
      <c r="A72" s="336" t="s">
        <v>181</v>
      </c>
      <c r="B72" s="337">
        <f>+S26+S27+S30+S31+S32+S33+S25</f>
        <v>2464.0898844419826</v>
      </c>
      <c r="C72" s="426">
        <f t="shared" si="124"/>
        <v>0.14967922264799835</v>
      </c>
      <c r="D72" s="338">
        <f>+AC26+AC27+AC30+AC31+AC32+AC33+AC25</f>
        <v>2124.9909996968318</v>
      </c>
      <c r="E72" s="333">
        <f t="shared" si="125"/>
        <v>0.1311148892033925</v>
      </c>
      <c r="F72" s="338">
        <f>+AM26+AM27+AM30+AM31+AM32+AM33+AM25</f>
        <v>1761.9375668083626</v>
      </c>
      <c r="G72" s="333">
        <f t="shared" si="126"/>
        <v>0.10466785622074928</v>
      </c>
      <c r="H72" s="338">
        <f>+AW26+AW27+AW30+AW31+AW32+AW33+AW25</f>
        <v>1980.8703591934013</v>
      </c>
      <c r="I72" s="333">
        <f t="shared" si="127"/>
        <v>0.12156800991707312</v>
      </c>
      <c r="J72" s="338">
        <f>+BG26+BG27+BG30+BG31+BG32+BG33+BG25</f>
        <v>2317.2128504093275</v>
      </c>
      <c r="K72" s="335">
        <f t="shared" si="128"/>
        <v>0.13985133326389523</v>
      </c>
      <c r="P72" s="402"/>
    </row>
    <row r="73" spans="1:16" ht="13.5" thickBot="1">
      <c r="A73" s="339" t="s">
        <v>182</v>
      </c>
      <c r="B73" s="340"/>
      <c r="C73" s="427"/>
      <c r="D73" s="342"/>
      <c r="E73" s="341"/>
      <c r="F73" s="342"/>
      <c r="G73" s="341"/>
      <c r="H73" s="342"/>
      <c r="I73" s="341"/>
      <c r="J73" s="342"/>
      <c r="K73" s="343"/>
      <c r="P73" s="402"/>
    </row>
    <row r="74" spans="1:16" s="39" customFormat="1" ht="17.25" customHeight="1">
      <c r="A74" s="329"/>
      <c r="B74" s="329"/>
      <c r="C74" s="330"/>
      <c r="D74" s="329"/>
      <c r="E74" s="330"/>
      <c r="F74" s="329"/>
      <c r="G74" s="330"/>
      <c r="H74" s="329"/>
      <c r="I74" s="330"/>
      <c r="J74" s="329"/>
      <c r="K74" s="330"/>
      <c r="P74" s="403"/>
    </row>
    <row r="75" spans="1:16" s="39" customFormat="1" ht="17.25" customHeight="1">
      <c r="A75" s="329"/>
      <c r="B75" s="329"/>
      <c r="C75" s="330"/>
      <c r="D75" s="329"/>
      <c r="E75" s="330"/>
      <c r="F75" s="329"/>
      <c r="G75" s="330"/>
      <c r="H75" s="329"/>
      <c r="I75" s="330"/>
      <c r="J75" s="329"/>
      <c r="K75" s="330"/>
      <c r="P75" s="403"/>
    </row>
    <row r="76" spans="1:16" s="39" customFormat="1" ht="17.25" customHeight="1">
      <c r="A76" s="329"/>
      <c r="B76" s="329"/>
      <c r="C76" s="330"/>
      <c r="D76" s="329"/>
      <c r="E76" s="330"/>
      <c r="F76" s="329"/>
      <c r="G76" s="330"/>
      <c r="H76" s="329"/>
      <c r="I76" s="330"/>
      <c r="J76" s="329"/>
      <c r="K76" s="330"/>
      <c r="P76" s="403"/>
    </row>
    <row r="77" spans="1:16" s="39" customFormat="1" ht="17.25" customHeight="1">
      <c r="A77" s="329"/>
      <c r="B77" s="329"/>
      <c r="C77" s="330"/>
      <c r="D77" s="329"/>
      <c r="E77" s="330"/>
      <c r="F77" s="329"/>
      <c r="G77" s="330"/>
      <c r="H77" s="329"/>
      <c r="I77" s="330"/>
      <c r="J77" s="329"/>
      <c r="K77" s="330"/>
      <c r="P77" s="403"/>
    </row>
    <row r="78" spans="1:16" s="39" customFormat="1" ht="17.25" customHeight="1">
      <c r="A78" s="329"/>
      <c r="B78" s="329"/>
      <c r="C78" s="330"/>
      <c r="D78" s="329"/>
      <c r="E78" s="330"/>
      <c r="F78" s="329"/>
      <c r="G78" s="330"/>
      <c r="H78" s="329"/>
      <c r="I78" s="330"/>
      <c r="J78" s="329"/>
      <c r="K78" s="330"/>
      <c r="P78" s="403"/>
    </row>
    <row r="79" spans="1:16" s="39" customFormat="1" ht="17.25" customHeight="1">
      <c r="A79" s="329"/>
      <c r="B79" s="329"/>
      <c r="C79" s="330"/>
      <c r="D79" s="329"/>
      <c r="E79" s="330"/>
      <c r="F79" s="329"/>
      <c r="G79" s="330"/>
      <c r="H79" s="329"/>
      <c r="I79" s="330"/>
      <c r="J79" s="329"/>
      <c r="K79" s="330"/>
      <c r="P79" s="403"/>
    </row>
    <row r="80" spans="1:16" s="39" customFormat="1" ht="17.25" customHeight="1">
      <c r="A80" s="329"/>
      <c r="B80" s="329"/>
      <c r="C80" s="330"/>
      <c r="D80" s="329"/>
      <c r="E80" s="330"/>
      <c r="F80" s="329"/>
      <c r="G80" s="330"/>
      <c r="H80" s="329"/>
      <c r="I80" s="330"/>
      <c r="J80" s="329"/>
      <c r="K80" s="330"/>
      <c r="P80" s="403"/>
    </row>
    <row r="81" spans="1:16" s="39" customFormat="1" ht="17.25" customHeight="1">
      <c r="A81" s="329"/>
      <c r="B81" s="329"/>
      <c r="C81" s="330"/>
      <c r="D81" s="329"/>
      <c r="E81" s="330"/>
      <c r="F81" s="329"/>
      <c r="G81" s="330"/>
      <c r="H81" s="329"/>
      <c r="I81" s="330"/>
      <c r="J81" s="329"/>
      <c r="K81" s="330"/>
      <c r="P81" s="403"/>
    </row>
    <row r="82" spans="1:16" s="39" customFormat="1" ht="17.25" customHeight="1">
      <c r="A82" s="329"/>
      <c r="B82" s="329"/>
      <c r="C82" s="330"/>
      <c r="D82" s="329"/>
      <c r="E82" s="330"/>
      <c r="F82" s="329"/>
      <c r="G82" s="330"/>
      <c r="H82" s="329"/>
      <c r="I82" s="330"/>
      <c r="J82" s="329"/>
      <c r="K82" s="330"/>
      <c r="P82" s="403"/>
    </row>
    <row r="83" spans="1:16" s="39" customFormat="1" ht="17.25" customHeight="1">
      <c r="A83" s="329"/>
      <c r="B83" s="329"/>
      <c r="C83" s="330"/>
      <c r="D83" s="329"/>
      <c r="E83" s="330"/>
      <c r="F83" s="329"/>
      <c r="G83" s="330"/>
      <c r="H83" s="329"/>
      <c r="I83" s="330"/>
      <c r="J83" s="329"/>
      <c r="K83" s="330"/>
      <c r="P83" s="403"/>
    </row>
    <row r="84" spans="1:16" s="39" customFormat="1" ht="17.25" customHeight="1">
      <c r="A84" s="329"/>
      <c r="B84" s="329"/>
      <c r="C84" s="330"/>
      <c r="D84" s="329"/>
      <c r="E84" s="330"/>
      <c r="F84" s="329"/>
      <c r="G84" s="330"/>
      <c r="H84" s="329"/>
      <c r="I84" s="330"/>
      <c r="J84" s="329"/>
      <c r="K84" s="330"/>
      <c r="P84" s="403"/>
    </row>
    <row r="85" spans="1:16" s="39" customFormat="1" ht="17.25" customHeight="1">
      <c r="A85" s="329"/>
      <c r="B85" s="329"/>
      <c r="C85" s="330"/>
      <c r="D85" s="329"/>
      <c r="E85" s="330"/>
      <c r="F85" s="329"/>
      <c r="G85" s="330"/>
      <c r="H85" s="329"/>
      <c r="I85" s="330"/>
      <c r="J85" s="329"/>
      <c r="K85" s="330"/>
      <c r="P85" s="403"/>
    </row>
    <row r="86" spans="1:16" s="39" customFormat="1" ht="17.25" customHeight="1">
      <c r="A86" s="329"/>
      <c r="B86" s="329"/>
      <c r="C86" s="330"/>
      <c r="D86" s="329"/>
      <c r="E86" s="330"/>
      <c r="F86" s="329"/>
      <c r="G86" s="330"/>
      <c r="H86" s="329"/>
      <c r="I86" s="330"/>
      <c r="J86" s="329"/>
      <c r="K86" s="330"/>
      <c r="P86" s="403"/>
    </row>
    <row r="87" spans="1:16" s="39" customFormat="1" ht="17.25" customHeight="1">
      <c r="A87" s="329"/>
      <c r="B87" s="329"/>
      <c r="C87" s="330"/>
      <c r="D87" s="329"/>
      <c r="E87" s="330"/>
      <c r="F87" s="329"/>
      <c r="G87" s="330"/>
      <c r="H87" s="329"/>
      <c r="I87" s="330"/>
      <c r="J87" s="329"/>
      <c r="K87" s="330"/>
      <c r="P87" s="403"/>
    </row>
    <row r="88" spans="1:16" s="39" customFormat="1" ht="17.25" customHeight="1" thickBot="1">
      <c r="A88" s="329"/>
      <c r="B88" s="329"/>
      <c r="C88" s="330"/>
      <c r="D88" s="329"/>
      <c r="E88" s="330"/>
      <c r="F88" s="329"/>
      <c r="G88" s="330"/>
      <c r="H88" s="329"/>
      <c r="I88" s="330"/>
      <c r="J88" s="329"/>
      <c r="K88" s="330"/>
      <c r="P88" s="403"/>
    </row>
    <row r="89" spans="1:16" s="39" customFormat="1" ht="16.5" customHeight="1" thickBot="1">
      <c r="A89" s="886" t="s">
        <v>186</v>
      </c>
      <c r="B89" s="878">
        <v>2004</v>
      </c>
      <c r="C89" s="879"/>
      <c r="D89" s="879"/>
      <c r="E89" s="879"/>
      <c r="F89" s="879"/>
      <c r="G89" s="879"/>
      <c r="H89" s="879"/>
      <c r="I89" s="879"/>
      <c r="J89" s="879"/>
      <c r="K89" s="707"/>
      <c r="P89" s="403"/>
    </row>
    <row r="90" spans="1:16" ht="24" customHeight="1" thickBot="1">
      <c r="A90" s="887"/>
      <c r="B90" s="880" t="s">
        <v>170</v>
      </c>
      <c r="C90" s="883"/>
      <c r="D90" s="882" t="s">
        <v>7</v>
      </c>
      <c r="E90" s="883"/>
      <c r="F90" s="882" t="s">
        <v>6</v>
      </c>
      <c r="G90" s="883"/>
      <c r="H90" s="882" t="s">
        <v>5</v>
      </c>
      <c r="I90" s="884"/>
      <c r="J90" s="882" t="s">
        <v>171</v>
      </c>
      <c r="K90" s="885"/>
      <c r="P90" s="402"/>
    </row>
    <row r="91" spans="1:16" s="39" customFormat="1" ht="24" customHeight="1" thickBot="1">
      <c r="A91" s="92" t="s">
        <v>172</v>
      </c>
      <c r="B91" s="69">
        <f>+T23</f>
        <v>17885.485785420646</v>
      </c>
      <c r="C91" s="424" t="s">
        <v>173</v>
      </c>
      <c r="D91" s="51">
        <f>+AD23</f>
        <v>17356.516959064327</v>
      </c>
      <c r="E91" s="319" t="s">
        <v>173</v>
      </c>
      <c r="F91" s="51">
        <f>+AN23</f>
        <v>18764.024094926746</v>
      </c>
      <c r="G91" s="319" t="s">
        <v>173</v>
      </c>
      <c r="H91" s="51">
        <f>+AX23</f>
        <v>17518.936719618225</v>
      </c>
      <c r="I91" s="319" t="s">
        <v>173</v>
      </c>
      <c r="J91" s="51">
        <f>+BH23</f>
        <v>17584.592387341403</v>
      </c>
      <c r="K91" s="320" t="s">
        <v>173</v>
      </c>
      <c r="P91" s="403"/>
    </row>
    <row r="92" spans="1:16" ht="12.75">
      <c r="A92" s="331" t="s">
        <v>174</v>
      </c>
      <c r="B92" s="332">
        <f>+T24</f>
        <v>11384.804006716462</v>
      </c>
      <c r="C92" s="426">
        <f aca="true" t="shared" si="129" ref="C92:C99">+B92/$B$91</f>
        <v>0.6365387076037256</v>
      </c>
      <c r="D92" s="334">
        <f>+AD24</f>
        <v>11522.933333333334</v>
      </c>
      <c r="E92" s="333">
        <f aca="true" t="shared" si="130" ref="E92:E99">+D92/$D$91</f>
        <v>0.6638966424260345</v>
      </c>
      <c r="F92" s="334">
        <f>+AN24</f>
        <v>12186.687250272429</v>
      </c>
      <c r="G92" s="333">
        <f aca="true" t="shared" si="131" ref="G92:G99">+F92/$F$91</f>
        <v>0.649470880479596</v>
      </c>
      <c r="H92" s="334">
        <f>+AX24</f>
        <v>11457.704124991827</v>
      </c>
      <c r="I92" s="333">
        <f aca="true" t="shared" si="132" ref="I92:I99">+H92/$H$91</f>
        <v>0.6540182379996357</v>
      </c>
      <c r="J92" s="334">
        <f>+BH24</f>
        <v>10749.169947985029</v>
      </c>
      <c r="K92" s="335">
        <f aca="true" t="shared" si="133" ref="K92:K99">+J92/$J$91</f>
        <v>0.6112834299032726</v>
      </c>
      <c r="P92" s="402"/>
    </row>
    <row r="93" spans="1:16" ht="12.75">
      <c r="A93" s="336" t="s">
        <v>175</v>
      </c>
      <c r="B93" s="337">
        <f>+T28</f>
        <v>1866.0239708181343</v>
      </c>
      <c r="C93" s="426">
        <f t="shared" si="129"/>
        <v>0.10433174660199745</v>
      </c>
      <c r="D93" s="338">
        <f>+AD28</f>
        <v>2153.714619883041</v>
      </c>
      <c r="E93" s="333">
        <f t="shared" si="130"/>
        <v>0.12408679834569444</v>
      </c>
      <c r="F93" s="338">
        <f>+AN28</f>
        <v>1625.964099769948</v>
      </c>
      <c r="G93" s="333">
        <f t="shared" si="131"/>
        <v>0.08665327285577096</v>
      </c>
      <c r="H93" s="338">
        <f>+AX28</f>
        <v>1518.4317186376413</v>
      </c>
      <c r="I93" s="333">
        <f t="shared" si="132"/>
        <v>0.08667373727865896</v>
      </c>
      <c r="J93" s="338">
        <f>+BH28</f>
        <v>1686.0045695396432</v>
      </c>
      <c r="K93" s="335">
        <f t="shared" si="133"/>
        <v>0.09587965034397641</v>
      </c>
      <c r="P93" s="402"/>
    </row>
    <row r="94" spans="1:16" ht="12.75">
      <c r="A94" s="324" t="s">
        <v>176</v>
      </c>
      <c r="B94" s="337">
        <f>+T29</f>
        <v>703.3162526778993</v>
      </c>
      <c r="C94" s="426">
        <f t="shared" si="129"/>
        <v>0.039323296057812845</v>
      </c>
      <c r="D94" s="338">
        <f>+AD29</f>
        <v>559.8058479532164</v>
      </c>
      <c r="E94" s="333">
        <f t="shared" si="130"/>
        <v>0.032253351825918125</v>
      </c>
      <c r="F94" s="338">
        <f>+AN29</f>
        <v>868.7280542438551</v>
      </c>
      <c r="G94" s="333">
        <f t="shared" si="131"/>
        <v>0.04629753457195433</v>
      </c>
      <c r="H94" s="338">
        <f>+AX29</f>
        <v>715.7857749885598</v>
      </c>
      <c r="I94" s="333">
        <f t="shared" si="132"/>
        <v>0.040857832095882944</v>
      </c>
      <c r="J94" s="338">
        <f>+BH29</f>
        <v>715.1025715813524</v>
      </c>
      <c r="K94" s="335">
        <f t="shared" si="133"/>
        <v>0.04066642864557568</v>
      </c>
      <c r="P94" s="402"/>
    </row>
    <row r="95" spans="1:16" ht="12.75">
      <c r="A95" s="336" t="s">
        <v>177</v>
      </c>
      <c r="B95" s="337">
        <f>+T35</f>
        <v>409.50147646343584</v>
      </c>
      <c r="C95" s="426">
        <f t="shared" si="129"/>
        <v>0.022895742468300246</v>
      </c>
      <c r="D95" s="338">
        <f>+AD35</f>
        <v>414.9707602339181</v>
      </c>
      <c r="E95" s="333">
        <f t="shared" si="130"/>
        <v>0.023908642569971526</v>
      </c>
      <c r="F95" s="338">
        <f>+AN35</f>
        <v>434.67732170965</v>
      </c>
      <c r="G95" s="333">
        <f t="shared" si="131"/>
        <v>0.023165463842437416</v>
      </c>
      <c r="H95" s="338">
        <f>+AX35</f>
        <v>416.7483820356933</v>
      </c>
      <c r="I95" s="333">
        <f t="shared" si="132"/>
        <v>0.023788451816770712</v>
      </c>
      <c r="J95" s="338">
        <f>+BH35</f>
        <v>426.9359778328715</v>
      </c>
      <c r="K95" s="335">
        <f t="shared" si="133"/>
        <v>0.02427898062284397</v>
      </c>
      <c r="P95" s="402"/>
    </row>
    <row r="96" spans="1:16" ht="12.75">
      <c r="A96" s="336" t="s">
        <v>178</v>
      </c>
      <c r="B96" s="337">
        <f>+T36</f>
        <v>1964.3144577615656</v>
      </c>
      <c r="C96" s="426">
        <f t="shared" si="129"/>
        <v>0.10982729132036081</v>
      </c>
      <c r="D96" s="338">
        <f>+AD36</f>
        <v>1708.9309941520469</v>
      </c>
      <c r="E96" s="333">
        <f t="shared" si="130"/>
        <v>0.09846048018635264</v>
      </c>
      <c r="F96" s="338">
        <f>+AN36</f>
        <v>2009.0340840295432</v>
      </c>
      <c r="G96" s="333">
        <f t="shared" si="131"/>
        <v>0.10706840248477023</v>
      </c>
      <c r="H96" s="338">
        <f>+AX36</f>
        <v>1970.3373210433417</v>
      </c>
      <c r="I96" s="333">
        <f t="shared" si="132"/>
        <v>0.11246900154830171</v>
      </c>
      <c r="J96" s="338">
        <f>+BH36</f>
        <v>1927.3795634631279</v>
      </c>
      <c r="K96" s="335">
        <f t="shared" si="133"/>
        <v>0.10960615526411564</v>
      </c>
      <c r="P96" s="402"/>
    </row>
    <row r="97" spans="1:16" ht="12.75">
      <c r="A97" s="336" t="s">
        <v>179</v>
      </c>
      <c r="B97" s="337">
        <f>+T37</f>
        <v>206.93648312199642</v>
      </c>
      <c r="C97" s="426">
        <f t="shared" si="129"/>
        <v>0.011570078979385659</v>
      </c>
      <c r="D97" s="338">
        <f>+AD37</f>
        <v>46.10526315789474</v>
      </c>
      <c r="E97" s="333">
        <f t="shared" si="130"/>
        <v>0.0026563660938790238</v>
      </c>
      <c r="F97" s="338">
        <f>+AN37</f>
        <v>110.12834483593655</v>
      </c>
      <c r="G97" s="333">
        <f t="shared" si="131"/>
        <v>0.005869121904704444</v>
      </c>
      <c r="H97" s="338">
        <f>+AX37</f>
        <v>122.47989801921945</v>
      </c>
      <c r="I97" s="333">
        <f t="shared" si="132"/>
        <v>0.006991286056879401</v>
      </c>
      <c r="J97" s="338">
        <f>+BH37</f>
        <v>1285.6399786106656</v>
      </c>
      <c r="K97" s="335">
        <f t="shared" si="133"/>
        <v>0.07311173044512294</v>
      </c>
      <c r="P97" s="402"/>
    </row>
    <row r="98" spans="1:16" ht="12.75">
      <c r="A98" s="336" t="s">
        <v>180</v>
      </c>
      <c r="B98" s="337">
        <f>+T38</f>
        <v>209.21486885530658</v>
      </c>
      <c r="C98" s="426">
        <f t="shared" si="129"/>
        <v>0.011697466390644423</v>
      </c>
      <c r="D98" s="338">
        <f>+AD38</f>
        <v>100.39181286549707</v>
      </c>
      <c r="E98" s="333">
        <f t="shared" si="130"/>
        <v>0.005784099027602891</v>
      </c>
      <c r="F98" s="338">
        <f>+AN38</f>
        <v>838.0721031601888</v>
      </c>
      <c r="G98" s="333">
        <f t="shared" si="131"/>
        <v>0.04466377248933396</v>
      </c>
      <c r="H98" s="338">
        <f>+AX38</f>
        <v>189.04850624305416</v>
      </c>
      <c r="I98" s="333">
        <f t="shared" si="132"/>
        <v>0.010791094760411575</v>
      </c>
      <c r="J98" s="338">
        <f>+BH38</f>
        <v>59.891351903164654</v>
      </c>
      <c r="K98" s="335">
        <f t="shared" si="133"/>
        <v>0.0034058993568869167</v>
      </c>
      <c r="P98" s="402"/>
    </row>
    <row r="99" spans="1:16" ht="12.75">
      <c r="A99" s="336" t="s">
        <v>181</v>
      </c>
      <c r="B99" s="337">
        <f>+T26+T27+T30+T31+T32+T33+T25</f>
        <v>1141.374269005848</v>
      </c>
      <c r="C99" s="426">
        <f t="shared" si="129"/>
        <v>0.06381567057777314</v>
      </c>
      <c r="D99" s="338">
        <f>+AD26+AD27+AD30+AD31+AD32+AD33+AD25</f>
        <v>849.6643274853801</v>
      </c>
      <c r="E99" s="333">
        <f t="shared" si="130"/>
        <v>0.04895361952454686</v>
      </c>
      <c r="F99" s="338">
        <f>+AN26+AN27+AN30+AN31+AN32+AN33+AN25</f>
        <v>690.7328369051943</v>
      </c>
      <c r="G99" s="333">
        <f t="shared" si="131"/>
        <v>0.03681155137143256</v>
      </c>
      <c r="H99" s="338">
        <f>+AX26+AX27+AX30+AX31+AX32+AX33+AX25</f>
        <v>1128.4009936588873</v>
      </c>
      <c r="I99" s="333">
        <f t="shared" si="132"/>
        <v>0.06441035844345909</v>
      </c>
      <c r="J99" s="338">
        <f>+BH26+BH27+BH30+BH31+BH32+BH33+BH25</f>
        <v>734.4684264255505</v>
      </c>
      <c r="K99" s="335">
        <f t="shared" si="133"/>
        <v>0.04176772541820596</v>
      </c>
      <c r="P99" s="402"/>
    </row>
    <row r="100" spans="1:16" ht="13.5" thickBot="1">
      <c r="A100" s="339" t="s">
        <v>182</v>
      </c>
      <c r="B100" s="340"/>
      <c r="C100" s="341"/>
      <c r="D100" s="342"/>
      <c r="E100" s="341"/>
      <c r="F100" s="342"/>
      <c r="G100" s="341"/>
      <c r="H100" s="342"/>
      <c r="I100" s="341"/>
      <c r="J100" s="342"/>
      <c r="K100" s="343"/>
      <c r="P100" s="402"/>
    </row>
    <row r="101" spans="1:16" s="39" customFormat="1" ht="17.25" customHeight="1">
      <c r="A101" s="329"/>
      <c r="B101" s="329"/>
      <c r="C101" s="330"/>
      <c r="D101" s="329"/>
      <c r="E101" s="330"/>
      <c r="F101" s="329"/>
      <c r="G101" s="330"/>
      <c r="H101" s="329"/>
      <c r="I101" s="330"/>
      <c r="J101" s="329"/>
      <c r="K101" s="330"/>
      <c r="P101" s="403"/>
    </row>
    <row r="102" spans="1:16" s="39" customFormat="1" ht="17.25" customHeight="1">
      <c r="A102" s="329"/>
      <c r="B102" s="329"/>
      <c r="C102" s="330"/>
      <c r="D102" s="329"/>
      <c r="E102" s="330"/>
      <c r="F102" s="329"/>
      <c r="G102" s="330"/>
      <c r="H102" s="329"/>
      <c r="I102" s="330"/>
      <c r="J102" s="329"/>
      <c r="K102" s="330"/>
      <c r="P102" s="403"/>
    </row>
    <row r="103" spans="1:16" s="39" customFormat="1" ht="17.25" customHeight="1">
      <c r="A103" s="329"/>
      <c r="B103" s="329"/>
      <c r="C103" s="330"/>
      <c r="D103" s="329"/>
      <c r="E103" s="330"/>
      <c r="F103" s="329"/>
      <c r="G103" s="330"/>
      <c r="H103" s="329"/>
      <c r="I103" s="330"/>
      <c r="J103" s="329"/>
      <c r="K103" s="330"/>
      <c r="P103" s="403"/>
    </row>
    <row r="104" spans="1:16" s="39" customFormat="1" ht="17.25" customHeight="1">
      <c r="A104" s="329"/>
      <c r="B104" s="329"/>
      <c r="C104" s="330"/>
      <c r="D104" s="329"/>
      <c r="E104" s="330"/>
      <c r="F104" s="329"/>
      <c r="G104" s="330"/>
      <c r="H104" s="329"/>
      <c r="I104" s="330"/>
      <c r="J104" s="329"/>
      <c r="K104" s="330"/>
      <c r="P104" s="403"/>
    </row>
    <row r="105" spans="1:16" s="39" customFormat="1" ht="17.25" customHeight="1">
      <c r="A105" s="329"/>
      <c r="B105" s="329"/>
      <c r="C105" s="330"/>
      <c r="D105" s="329"/>
      <c r="E105" s="330"/>
      <c r="F105" s="329"/>
      <c r="G105" s="330"/>
      <c r="H105" s="329"/>
      <c r="I105" s="330"/>
      <c r="J105" s="329"/>
      <c r="K105" s="330"/>
      <c r="P105" s="403"/>
    </row>
    <row r="106" spans="1:16" s="39" customFormat="1" ht="17.25" customHeight="1">
      <c r="A106" s="329"/>
      <c r="B106" s="329"/>
      <c r="C106" s="330"/>
      <c r="D106" s="329"/>
      <c r="E106" s="330"/>
      <c r="F106" s="329"/>
      <c r="G106" s="330"/>
      <c r="H106" s="329"/>
      <c r="I106" s="330"/>
      <c r="J106" s="329"/>
      <c r="K106" s="330"/>
      <c r="P106" s="403"/>
    </row>
    <row r="107" spans="1:16" s="39" customFormat="1" ht="17.25" customHeight="1">
      <c r="A107" s="329"/>
      <c r="B107" s="329"/>
      <c r="C107" s="330"/>
      <c r="D107" s="329"/>
      <c r="E107" s="330"/>
      <c r="F107" s="329"/>
      <c r="G107" s="330"/>
      <c r="H107" s="329"/>
      <c r="I107" s="330"/>
      <c r="J107" s="329"/>
      <c r="K107" s="330"/>
      <c r="P107" s="403"/>
    </row>
    <row r="108" spans="1:16" s="39" customFormat="1" ht="17.25" customHeight="1">
      <c r="A108" s="329"/>
      <c r="B108" s="329"/>
      <c r="C108" s="330"/>
      <c r="D108" s="329"/>
      <c r="E108" s="330"/>
      <c r="F108" s="329"/>
      <c r="G108" s="330"/>
      <c r="H108" s="329"/>
      <c r="I108" s="330"/>
      <c r="J108" s="329"/>
      <c r="K108" s="330"/>
      <c r="P108" s="403"/>
    </row>
    <row r="109" spans="1:16" s="39" customFormat="1" ht="17.25" customHeight="1">
      <c r="A109" s="329"/>
      <c r="B109" s="329"/>
      <c r="C109" s="330"/>
      <c r="D109" s="329"/>
      <c r="E109" s="330"/>
      <c r="F109" s="329"/>
      <c r="G109" s="330"/>
      <c r="H109" s="329"/>
      <c r="I109" s="330"/>
      <c r="J109" s="329"/>
      <c r="K109" s="330"/>
      <c r="P109" s="403"/>
    </row>
    <row r="110" spans="1:16" s="39" customFormat="1" ht="17.25" customHeight="1">
      <c r="A110" s="329"/>
      <c r="B110" s="329"/>
      <c r="C110" s="330"/>
      <c r="D110" s="329"/>
      <c r="E110" s="330"/>
      <c r="F110" s="329"/>
      <c r="G110" s="330"/>
      <c r="H110" s="329"/>
      <c r="I110" s="330"/>
      <c r="J110" s="329"/>
      <c r="K110" s="330"/>
      <c r="P110" s="403"/>
    </row>
    <row r="111" spans="1:16" s="39" customFormat="1" ht="17.25" customHeight="1">
      <c r="A111" s="329"/>
      <c r="B111" s="329"/>
      <c r="C111" s="330"/>
      <c r="D111" s="329"/>
      <c r="E111" s="330"/>
      <c r="F111" s="329"/>
      <c r="G111" s="330"/>
      <c r="H111" s="329"/>
      <c r="I111" s="330"/>
      <c r="J111" s="329"/>
      <c r="K111" s="330"/>
      <c r="P111" s="403"/>
    </row>
    <row r="112" spans="1:11" s="39" customFormat="1" ht="17.25" customHeight="1">
      <c r="A112" s="329"/>
      <c r="B112" s="329"/>
      <c r="C112" s="330"/>
      <c r="D112" s="329"/>
      <c r="E112" s="330"/>
      <c r="F112" s="329"/>
      <c r="G112" s="330"/>
      <c r="H112" s="329"/>
      <c r="I112" s="330"/>
      <c r="J112" s="329"/>
      <c r="K112" s="330"/>
    </row>
    <row r="113" spans="1:11" s="39" customFormat="1" ht="17.25" customHeight="1">
      <c r="A113" s="329"/>
      <c r="B113" s="329"/>
      <c r="C113" s="330"/>
      <c r="D113" s="329"/>
      <c r="E113" s="330"/>
      <c r="F113" s="329"/>
      <c r="G113" s="330"/>
      <c r="H113" s="329"/>
      <c r="I113" s="330"/>
      <c r="J113" s="329"/>
      <c r="K113" s="330"/>
    </row>
    <row r="114" spans="1:11" s="39" customFormat="1" ht="17.25" customHeight="1">
      <c r="A114" s="329"/>
      <c r="B114" s="329"/>
      <c r="C114" s="330"/>
      <c r="D114" s="329"/>
      <c r="E114" s="330"/>
      <c r="F114" s="329"/>
      <c r="G114" s="330"/>
      <c r="H114" s="329"/>
      <c r="I114" s="330"/>
      <c r="J114" s="329"/>
      <c r="K114" s="330"/>
    </row>
    <row r="115" spans="1:11" s="39" customFormat="1" ht="17.25" customHeight="1" thickBot="1">
      <c r="A115" s="329"/>
      <c r="B115" s="329"/>
      <c r="C115" s="330"/>
      <c r="D115" s="329"/>
      <c r="E115" s="330"/>
      <c r="F115" s="329"/>
      <c r="G115" s="330"/>
      <c r="H115" s="329"/>
      <c r="I115" s="330"/>
      <c r="J115" s="329"/>
      <c r="K115" s="330"/>
    </row>
    <row r="116" spans="1:11" s="39" customFormat="1" ht="20.25" customHeight="1" thickBot="1">
      <c r="A116" s="886" t="s">
        <v>187</v>
      </c>
      <c r="B116" s="878">
        <v>2004</v>
      </c>
      <c r="C116" s="879"/>
      <c r="D116" s="879"/>
      <c r="E116" s="879"/>
      <c r="F116" s="879"/>
      <c r="G116" s="879"/>
      <c r="H116" s="879"/>
      <c r="I116" s="879"/>
      <c r="J116" s="879"/>
      <c r="K116" s="707"/>
    </row>
    <row r="117" spans="1:11" ht="18" customHeight="1" thickBot="1">
      <c r="A117" s="887"/>
      <c r="B117" s="880" t="s">
        <v>170</v>
      </c>
      <c r="C117" s="883"/>
      <c r="D117" s="882" t="s">
        <v>7</v>
      </c>
      <c r="E117" s="883"/>
      <c r="F117" s="882" t="s">
        <v>6</v>
      </c>
      <c r="G117" s="883"/>
      <c r="H117" s="882" t="s">
        <v>5</v>
      </c>
      <c r="I117" s="884"/>
      <c r="J117" s="882" t="s">
        <v>171</v>
      </c>
      <c r="K117" s="885"/>
    </row>
    <row r="118" spans="1:11" s="39" customFormat="1" ht="24" customHeight="1" thickBot="1">
      <c r="A118" s="92" t="s">
        <v>172</v>
      </c>
      <c r="B118" s="69">
        <f>+U23</f>
        <v>18924.101198402128</v>
      </c>
      <c r="C118" s="424" t="s">
        <v>173</v>
      </c>
      <c r="D118" s="51">
        <f>+AE23</f>
        <v>14073.382352941177</v>
      </c>
      <c r="E118" s="319" t="s">
        <v>173</v>
      </c>
      <c r="F118" s="51">
        <f>+AO23</f>
        <v>12755.411341853034</v>
      </c>
      <c r="G118" s="319" t="s">
        <v>173</v>
      </c>
      <c r="H118" s="51">
        <f>+AY23</f>
        <v>15027.163280662155</v>
      </c>
      <c r="I118" s="319" t="s">
        <v>173</v>
      </c>
      <c r="J118" s="51">
        <f>+BI23</f>
        <v>14393.889656761115</v>
      </c>
      <c r="K118" s="320" t="s">
        <v>173</v>
      </c>
    </row>
    <row r="119" spans="1:11" ht="12.75">
      <c r="A119" s="331" t="s">
        <v>174</v>
      </c>
      <c r="B119" s="332">
        <f>+U24</f>
        <v>13285.604379346056</v>
      </c>
      <c r="C119" s="426">
        <f aca="true" t="shared" si="134" ref="C119:C126">+B119/$B$118</f>
        <v>0.702046783625731</v>
      </c>
      <c r="D119" s="334">
        <f>+AE24</f>
        <v>11612.706582633053</v>
      </c>
      <c r="E119" s="333">
        <f aca="true" t="shared" si="135" ref="E119:E126">+D119/$D$118</f>
        <v>0.8251539176156988</v>
      </c>
      <c r="F119" s="334">
        <f>+AO24</f>
        <v>10573.402555910543</v>
      </c>
      <c r="G119" s="333">
        <f aca="true" t="shared" si="136" ref="G119:G126">+F119/$F$118</f>
        <v>0.828934659379985</v>
      </c>
      <c r="H119" s="334">
        <f>+AY24</f>
        <v>11791.773263105091</v>
      </c>
      <c r="I119" s="333">
        <f aca="true" t="shared" si="137" ref="I119:I126">+H119/$H$118</f>
        <v>0.7846972208174143</v>
      </c>
      <c r="J119" s="334">
        <f>+BI24</f>
        <v>10807.682561621745</v>
      </c>
      <c r="K119" s="335">
        <f aca="true" t="shared" si="138" ref="K119:K126">+J119/$J$118</f>
        <v>0.7508521198469204</v>
      </c>
    </row>
    <row r="120" spans="1:11" ht="12.75">
      <c r="A120" s="336" t="s">
        <v>175</v>
      </c>
      <c r="B120" s="337">
        <f>+U28</f>
        <v>577.1526853084775</v>
      </c>
      <c r="C120" s="426">
        <f t="shared" si="134"/>
        <v>0.030498287831879165</v>
      </c>
      <c r="D120" s="338">
        <f>+AE28</f>
        <v>115.89985994397757</v>
      </c>
      <c r="E120" s="333">
        <f t="shared" si="135"/>
        <v>0.008235394806832334</v>
      </c>
      <c r="F120" s="338">
        <f>+AO28</f>
        <v>79.71246006389777</v>
      </c>
      <c r="G120" s="333">
        <f t="shared" si="136"/>
        <v>0.006249305328346831</v>
      </c>
      <c r="H120" s="338">
        <f>+AY28</f>
        <v>53.98169049410584</v>
      </c>
      <c r="I120" s="333">
        <f t="shared" si="137"/>
        <v>0.003592274169508272</v>
      </c>
      <c r="J120" s="338">
        <f>+BI28</f>
        <v>0</v>
      </c>
      <c r="K120" s="335">
        <f t="shared" si="138"/>
        <v>0</v>
      </c>
    </row>
    <row r="121" spans="1:11" ht="12.75">
      <c r="A121" s="324" t="s">
        <v>176</v>
      </c>
      <c r="B121" s="337">
        <f>+U29</f>
        <v>0</v>
      </c>
      <c r="C121" s="426">
        <f t="shared" si="134"/>
        <v>0</v>
      </c>
      <c r="D121" s="338">
        <f>+AE29</f>
        <v>1.4285714285714286</v>
      </c>
      <c r="E121" s="333">
        <f t="shared" si="135"/>
        <v>0.00010150874841205984</v>
      </c>
      <c r="F121" s="338">
        <f>+AO29</f>
        <v>0</v>
      </c>
      <c r="G121" s="333">
        <f t="shared" si="136"/>
        <v>0</v>
      </c>
      <c r="H121" s="338">
        <f>+AY29</f>
        <v>0</v>
      </c>
      <c r="I121" s="333">
        <f t="shared" si="137"/>
        <v>0</v>
      </c>
      <c r="J121" s="338">
        <f>+BI29</f>
        <v>0</v>
      </c>
      <c r="K121" s="335">
        <f t="shared" si="138"/>
        <v>0</v>
      </c>
    </row>
    <row r="122" spans="1:11" ht="12.75">
      <c r="A122" s="336" t="s">
        <v>177</v>
      </c>
      <c r="B122" s="337">
        <f>+U35</f>
        <v>530.4039059032401</v>
      </c>
      <c r="C122" s="426">
        <f t="shared" si="134"/>
        <v>0.028027957594521067</v>
      </c>
      <c r="D122" s="338">
        <f>+AE35</f>
        <v>384.10364145658264</v>
      </c>
      <c r="E122" s="333">
        <f t="shared" si="135"/>
        <v>0.027292915933340597</v>
      </c>
      <c r="F122" s="338">
        <f>+AO35</f>
        <v>346.1128860489883</v>
      </c>
      <c r="G122" s="333">
        <f t="shared" si="136"/>
        <v>0.027134592274051034</v>
      </c>
      <c r="H122" s="338">
        <f>+AY35</f>
        <v>417.60722347629803</v>
      </c>
      <c r="I122" s="333">
        <f t="shared" si="137"/>
        <v>0.0277901567765421</v>
      </c>
      <c r="J122" s="338">
        <f>+BI35</f>
        <v>429.6245104814559</v>
      </c>
      <c r="K122" s="335">
        <f t="shared" si="138"/>
        <v>0.02984770070678235</v>
      </c>
    </row>
    <row r="123" spans="1:11" ht="12.75">
      <c r="A123" s="336" t="s">
        <v>178</v>
      </c>
      <c r="B123" s="337">
        <f>+U36</f>
        <v>2131.9980766385556</v>
      </c>
      <c r="C123" s="426">
        <f t="shared" si="134"/>
        <v>0.112660466898083</v>
      </c>
      <c r="D123" s="338">
        <f>+AE36</f>
        <v>1614.6953781512605</v>
      </c>
      <c r="E123" s="333">
        <f t="shared" si="135"/>
        <v>0.11473399483201048</v>
      </c>
      <c r="F123" s="338">
        <f>+AO36</f>
        <v>1532.4747071352504</v>
      </c>
      <c r="G123" s="333">
        <f t="shared" si="136"/>
        <v>0.1201431036651007</v>
      </c>
      <c r="H123" s="338">
        <f>+AY36</f>
        <v>1880.1793328317033</v>
      </c>
      <c r="I123" s="333">
        <f t="shared" si="137"/>
        <v>0.12511871320725113</v>
      </c>
      <c r="J123" s="338">
        <f>+BI36</f>
        <v>1663.055747523612</v>
      </c>
      <c r="K123" s="335">
        <f t="shared" si="138"/>
        <v>0.11553900906433859</v>
      </c>
    </row>
    <row r="124" spans="1:11" ht="12.75">
      <c r="A124" s="336" t="s">
        <v>179</v>
      </c>
      <c r="B124" s="337">
        <f>+U37</f>
        <v>1237.7089806184347</v>
      </c>
      <c r="C124" s="426">
        <f t="shared" si="134"/>
        <v>0.06540384495105858</v>
      </c>
      <c r="D124" s="338">
        <f>+AE37</f>
        <v>0</v>
      </c>
      <c r="E124" s="333">
        <f t="shared" si="135"/>
        <v>0</v>
      </c>
      <c r="F124" s="338">
        <f>+AO37</f>
        <v>0</v>
      </c>
      <c r="G124" s="333">
        <f t="shared" si="136"/>
        <v>0</v>
      </c>
      <c r="H124" s="338">
        <f>+AY37</f>
        <v>289.38424880862806</v>
      </c>
      <c r="I124" s="333">
        <f t="shared" si="137"/>
        <v>0.019257410291204122</v>
      </c>
      <c r="J124" s="338">
        <f>+BI37</f>
        <v>1072.7482146970744</v>
      </c>
      <c r="K124" s="335">
        <f t="shared" si="138"/>
        <v>0.07452802823128367</v>
      </c>
    </row>
    <row r="125" spans="1:11" ht="12.75">
      <c r="A125" s="336" t="s">
        <v>180</v>
      </c>
      <c r="B125" s="337">
        <f>+U38</f>
        <v>325.0295901760615</v>
      </c>
      <c r="C125" s="426">
        <f t="shared" si="134"/>
        <v>0.017175430778371956</v>
      </c>
      <c r="D125" s="338">
        <f>+AE38</f>
        <v>147.6890756302521</v>
      </c>
      <c r="E125" s="333">
        <f t="shared" si="135"/>
        <v>0.010494213254952657</v>
      </c>
      <c r="F125" s="338">
        <f>+AO38</f>
        <v>31.948881789137378</v>
      </c>
      <c r="G125" s="333">
        <f t="shared" si="136"/>
        <v>0.0025047315945277877</v>
      </c>
      <c r="H125" s="338">
        <f>+AY38</f>
        <v>205.60571858540257</v>
      </c>
      <c r="I125" s="333">
        <f t="shared" si="137"/>
        <v>0.013682270881423656</v>
      </c>
      <c r="J125" s="338">
        <f>+BI38</f>
        <v>50.21884358442755</v>
      </c>
      <c r="K125" s="335">
        <f t="shared" si="138"/>
        <v>0.0034889001362351487</v>
      </c>
    </row>
    <row r="126" spans="1:11" s="39" customFormat="1" ht="12.75">
      <c r="A126" s="336" t="s">
        <v>181</v>
      </c>
      <c r="B126" s="27">
        <f>+U26+U27+U30+U31+U32+U33+U25</f>
        <v>836.2035804113034</v>
      </c>
      <c r="C126" s="426">
        <f t="shared" si="134"/>
        <v>0.04418722832035526</v>
      </c>
      <c r="D126" s="4">
        <f>+AE26+AE27+AE30+AE31+AE32+AE33+AE25</f>
        <v>196.85924369747897</v>
      </c>
      <c r="E126" s="333">
        <f t="shared" si="135"/>
        <v>0.013988054808753038</v>
      </c>
      <c r="F126" s="4">
        <f>+AO26+AO27+AO30+AO31+AO32+AO33+AO25</f>
        <v>191.75985090521834</v>
      </c>
      <c r="G126" s="322">
        <f t="shared" si="136"/>
        <v>0.015033607757988662</v>
      </c>
      <c r="H126" s="4">
        <f>+AY26+AY27+AY30+AY31+AY32+AY33+AY25</f>
        <v>388.631803360923</v>
      </c>
      <c r="I126" s="322">
        <f t="shared" si="137"/>
        <v>0.025861953856656197</v>
      </c>
      <c r="J126" s="4">
        <f>+BI26+BI27+BI30+BI31+BI32+BI33+BI25</f>
        <v>370.55977885279884</v>
      </c>
      <c r="K126" s="323">
        <f t="shared" si="138"/>
        <v>0.02574424201443972</v>
      </c>
    </row>
    <row r="127" spans="1:11" ht="13.5" thickBot="1">
      <c r="A127" s="339" t="s">
        <v>182</v>
      </c>
      <c r="B127" s="340"/>
      <c r="C127" s="341"/>
      <c r="D127" s="342"/>
      <c r="E127" s="341"/>
      <c r="F127" s="342"/>
      <c r="G127" s="341"/>
      <c r="H127" s="342"/>
      <c r="I127" s="341"/>
      <c r="J127" s="342"/>
      <c r="K127" s="343"/>
    </row>
    <row r="128" spans="1:11" s="39" customFormat="1" ht="17.25" customHeight="1">
      <c r="A128" s="329"/>
      <c r="B128" s="329"/>
      <c r="C128" s="330"/>
      <c r="D128" s="329"/>
      <c r="E128" s="330"/>
      <c r="F128" s="329"/>
      <c r="G128" s="330"/>
      <c r="H128" s="329"/>
      <c r="I128" s="330"/>
      <c r="J128" s="329"/>
      <c r="K128" s="330"/>
    </row>
    <row r="129" spans="1:11" s="39" customFormat="1" ht="17.25" customHeight="1">
      <c r="A129" s="329"/>
      <c r="B129" s="329"/>
      <c r="C129" s="330"/>
      <c r="D129" s="329"/>
      <c r="E129" s="330"/>
      <c r="F129" s="329"/>
      <c r="G129" s="330"/>
      <c r="H129" s="329"/>
      <c r="I129" s="330"/>
      <c r="J129" s="329"/>
      <c r="K129" s="330"/>
    </row>
    <row r="130" spans="1:11" s="39" customFormat="1" ht="17.25" customHeight="1">
      <c r="A130" s="329"/>
      <c r="B130" s="329"/>
      <c r="C130" s="330"/>
      <c r="D130" s="329"/>
      <c r="E130" s="330"/>
      <c r="F130" s="329"/>
      <c r="G130" s="330"/>
      <c r="H130" s="329"/>
      <c r="I130" s="330"/>
      <c r="J130" s="329"/>
      <c r="K130" s="330"/>
    </row>
    <row r="131" spans="1:11" s="39" customFormat="1" ht="17.25" customHeight="1">
      <c r="A131" s="329"/>
      <c r="B131" s="329"/>
      <c r="C131" s="330"/>
      <c r="D131" s="329"/>
      <c r="E131" s="330"/>
      <c r="F131" s="329"/>
      <c r="G131" s="330"/>
      <c r="H131" s="329"/>
      <c r="I131" s="330"/>
      <c r="J131" s="329"/>
      <c r="K131" s="330"/>
    </row>
    <row r="132" spans="1:11" s="39" customFormat="1" ht="17.25" customHeight="1">
      <c r="A132" s="329"/>
      <c r="B132" s="329"/>
      <c r="C132" s="330"/>
      <c r="D132" s="329"/>
      <c r="E132" s="330"/>
      <c r="F132" s="329"/>
      <c r="G132" s="330"/>
      <c r="H132" s="329"/>
      <c r="I132" s="330"/>
      <c r="J132" s="329"/>
      <c r="K132" s="330"/>
    </row>
    <row r="133" spans="1:11" s="39" customFormat="1" ht="17.25" customHeight="1">
      <c r="A133" s="329"/>
      <c r="B133" s="329"/>
      <c r="C133" s="330"/>
      <c r="D133" s="329"/>
      <c r="E133" s="330"/>
      <c r="F133" s="329"/>
      <c r="G133" s="330"/>
      <c r="H133" s="329"/>
      <c r="I133" s="330"/>
      <c r="J133" s="329"/>
      <c r="K133" s="330"/>
    </row>
    <row r="134" spans="1:11" s="39" customFormat="1" ht="17.25" customHeight="1">
      <c r="A134" s="329"/>
      <c r="B134" s="329"/>
      <c r="C134" s="330"/>
      <c r="D134" s="329"/>
      <c r="E134" s="330"/>
      <c r="F134" s="329"/>
      <c r="G134" s="330"/>
      <c r="H134" s="329"/>
      <c r="I134" s="330"/>
      <c r="J134" s="329"/>
      <c r="K134" s="330"/>
    </row>
    <row r="135" spans="1:11" s="39" customFormat="1" ht="17.25" customHeight="1">
      <c r="A135" s="329"/>
      <c r="B135" s="329"/>
      <c r="C135" s="330"/>
      <c r="D135" s="329"/>
      <c r="E135" s="330"/>
      <c r="F135" s="329"/>
      <c r="G135" s="330"/>
      <c r="H135" s="329"/>
      <c r="I135" s="330"/>
      <c r="J135" s="329"/>
      <c r="K135" s="330"/>
    </row>
    <row r="136" spans="1:11" s="39" customFormat="1" ht="17.25" customHeight="1">
      <c r="A136" s="329"/>
      <c r="B136" s="329"/>
      <c r="C136" s="330"/>
      <c r="D136" s="329"/>
      <c r="E136" s="330"/>
      <c r="F136" s="329"/>
      <c r="G136" s="330"/>
      <c r="H136" s="329"/>
      <c r="I136" s="330"/>
      <c r="J136" s="329"/>
      <c r="K136" s="330"/>
    </row>
    <row r="137" spans="1:11" s="39" customFormat="1" ht="17.25" customHeight="1">
      <c r="A137" s="329"/>
      <c r="B137" s="329"/>
      <c r="C137" s="330"/>
      <c r="D137" s="329"/>
      <c r="E137" s="330"/>
      <c r="F137" s="329"/>
      <c r="G137" s="330"/>
      <c r="H137" s="329"/>
      <c r="I137" s="330"/>
      <c r="J137" s="329"/>
      <c r="K137" s="330"/>
    </row>
    <row r="138" spans="1:11" s="39" customFormat="1" ht="17.25" customHeight="1">
      <c r="A138" s="329"/>
      <c r="B138" s="329"/>
      <c r="C138" s="330"/>
      <c r="D138" s="329"/>
      <c r="E138" s="330"/>
      <c r="F138" s="329"/>
      <c r="G138" s="330"/>
      <c r="H138" s="329"/>
      <c r="I138" s="330"/>
      <c r="J138" s="329"/>
      <c r="K138" s="330"/>
    </row>
    <row r="139" spans="1:11" s="39" customFormat="1" ht="17.25" customHeight="1">
      <c r="A139" s="329"/>
      <c r="B139" s="329"/>
      <c r="C139" s="330"/>
      <c r="D139" s="329"/>
      <c r="E139" s="330"/>
      <c r="F139" s="329"/>
      <c r="G139" s="330"/>
      <c r="H139" s="329"/>
      <c r="I139" s="330"/>
      <c r="J139" s="329"/>
      <c r="K139" s="330"/>
    </row>
    <row r="140" spans="1:11" s="39" customFormat="1" ht="17.25" customHeight="1">
      <c r="A140" s="329"/>
      <c r="B140" s="329"/>
      <c r="C140" s="330"/>
      <c r="D140" s="329"/>
      <c r="E140" s="330"/>
      <c r="F140" s="329"/>
      <c r="G140" s="330"/>
      <c r="H140" s="329"/>
      <c r="I140" s="330"/>
      <c r="J140" s="329"/>
      <c r="K140" s="330"/>
    </row>
    <row r="141" spans="1:11" s="39" customFormat="1" ht="17.25" customHeight="1">
      <c r="A141" s="329"/>
      <c r="B141" s="329"/>
      <c r="C141" s="330"/>
      <c r="D141" s="329"/>
      <c r="E141" s="330"/>
      <c r="F141" s="329"/>
      <c r="G141" s="330"/>
      <c r="H141" s="329"/>
      <c r="I141" s="330"/>
      <c r="J141" s="329"/>
      <c r="K141" s="330"/>
    </row>
    <row r="142" spans="1:11" s="39" customFormat="1" ht="17.25" customHeight="1" thickBot="1">
      <c r="A142" s="329"/>
      <c r="B142" s="329"/>
      <c r="C142" s="330"/>
      <c r="D142" s="329"/>
      <c r="E142" s="330"/>
      <c r="F142" s="329"/>
      <c r="G142" s="330"/>
      <c r="H142" s="329"/>
      <c r="I142" s="330"/>
      <c r="J142" s="329"/>
      <c r="K142" s="330"/>
    </row>
    <row r="143" spans="1:11" s="39" customFormat="1" ht="21" customHeight="1" thickBot="1">
      <c r="A143" s="888" t="s">
        <v>188</v>
      </c>
      <c r="B143" s="878">
        <v>2004</v>
      </c>
      <c r="C143" s="879"/>
      <c r="D143" s="879"/>
      <c r="E143" s="879"/>
      <c r="F143" s="879"/>
      <c r="G143" s="879"/>
      <c r="H143" s="879"/>
      <c r="I143" s="879"/>
      <c r="J143" s="879"/>
      <c r="K143" s="707"/>
    </row>
    <row r="144" spans="1:11" ht="23.25" customHeight="1" thickBot="1">
      <c r="A144" s="889"/>
      <c r="B144" s="880" t="s">
        <v>170</v>
      </c>
      <c r="C144" s="881"/>
      <c r="D144" s="882" t="s">
        <v>7</v>
      </c>
      <c r="E144" s="883"/>
      <c r="F144" s="882" t="s">
        <v>6</v>
      </c>
      <c r="G144" s="883"/>
      <c r="H144" s="882" t="s">
        <v>5</v>
      </c>
      <c r="I144" s="884"/>
      <c r="J144" s="882" t="s">
        <v>171</v>
      </c>
      <c r="K144" s="885"/>
    </row>
    <row r="145" spans="1:11" s="39" customFormat="1" ht="24" customHeight="1" thickBot="1">
      <c r="A145" s="92" t="s">
        <v>172</v>
      </c>
      <c r="B145" s="69">
        <f>+V23</f>
        <v>12527.599618117507</v>
      </c>
      <c r="C145" s="424" t="s">
        <v>173</v>
      </c>
      <c r="D145" s="51">
        <f>+AF23</f>
        <v>10306.970071106844</v>
      </c>
      <c r="E145" s="319" t="s">
        <v>173</v>
      </c>
      <c r="F145" s="51">
        <f>+AP23</f>
        <v>13458.795393331477</v>
      </c>
      <c r="G145" s="319" t="s">
        <v>173</v>
      </c>
      <c r="H145" s="51">
        <f>+AZ23</f>
        <v>10173.859301312668</v>
      </c>
      <c r="I145" s="319" t="s">
        <v>173</v>
      </c>
      <c r="J145" s="51">
        <f>+BJ23</f>
        <v>10799.569563207764</v>
      </c>
      <c r="K145" s="320" t="s">
        <v>173</v>
      </c>
    </row>
    <row r="146" spans="1:11" ht="12.75">
      <c r="A146" s="331" t="s">
        <v>174</v>
      </c>
      <c r="B146" s="332">
        <f>+V24</f>
        <v>7827.777256080383</v>
      </c>
      <c r="C146" s="426">
        <f aca="true" t="shared" si="139" ref="C146:C153">+B146/$B$145</f>
        <v>0.6248425472314579</v>
      </c>
      <c r="D146" s="334">
        <f>+AF24</f>
        <v>7638.526876557607</v>
      </c>
      <c r="E146" s="333">
        <f aca="true" t="shared" si="140" ref="E146:E153">+D146/$D$145</f>
        <v>0.7411030422966312</v>
      </c>
      <c r="F146" s="334">
        <f>+AP24</f>
        <v>8676.32464939166</v>
      </c>
      <c r="G146" s="333">
        <f aca="true" t="shared" si="141" ref="G146:G153">+F146/$F$145</f>
        <v>0.6446583364875714</v>
      </c>
      <c r="H146" s="334">
        <f>+AZ24</f>
        <v>7460.043254933767</v>
      </c>
      <c r="I146" s="333">
        <f aca="true" t="shared" si="142" ref="I146:I153">+H146/$H$145</f>
        <v>0.7332559881156647</v>
      </c>
      <c r="J146" s="334">
        <f>+BJ24</f>
        <v>7275.668284415683</v>
      </c>
      <c r="K146" s="335">
        <f aca="true" t="shared" si="143" ref="K146:K153">+J146/$J$145</f>
        <v>0.6736998397790415</v>
      </c>
    </row>
    <row r="147" spans="1:11" ht="12.75">
      <c r="A147" s="336" t="s">
        <v>175</v>
      </c>
      <c r="B147" s="337">
        <f>+V28</f>
        <v>1099.0609446896422</v>
      </c>
      <c r="C147" s="426">
        <f t="shared" si="139"/>
        <v>0.08773116783682743</v>
      </c>
      <c r="D147" s="338">
        <f>+AF28</f>
        <v>297.2889087043007</v>
      </c>
      <c r="E147" s="333">
        <f t="shared" si="140"/>
        <v>0.028843482289492618</v>
      </c>
      <c r="F147" s="338">
        <f>+AP28</f>
        <v>894.0431410792236</v>
      </c>
      <c r="G147" s="333">
        <f t="shared" si="141"/>
        <v>0.06642816945729046</v>
      </c>
      <c r="H147" s="338">
        <f>+AZ28</f>
        <v>127.24309873539396</v>
      </c>
      <c r="I147" s="333">
        <f t="shared" si="142"/>
        <v>0.012506866368692221</v>
      </c>
      <c r="J147" s="338">
        <f>+BJ28</f>
        <v>227.94276249903703</v>
      </c>
      <c r="K147" s="335">
        <f t="shared" si="143"/>
        <v>0.021106652553597872</v>
      </c>
    </row>
    <row r="148" spans="1:11" ht="12.75">
      <c r="A148" s="324" t="s">
        <v>176</v>
      </c>
      <c r="B148" s="337">
        <f>+V29</f>
        <v>457.11256142986826</v>
      </c>
      <c r="C148" s="426">
        <f t="shared" si="139"/>
        <v>0.036488439554596616</v>
      </c>
      <c r="D148" s="338">
        <f>+AF29</f>
        <v>107.26215789834696</v>
      </c>
      <c r="E148" s="333">
        <f t="shared" si="140"/>
        <v>0.010406759421862598</v>
      </c>
      <c r="F148" s="338">
        <f>+AP29</f>
        <v>572.4923376985233</v>
      </c>
      <c r="G148" s="333">
        <f t="shared" si="141"/>
        <v>0.04253666995949579</v>
      </c>
      <c r="H148" s="338">
        <f>+AZ29</f>
        <v>38.03730738037307</v>
      </c>
      <c r="I148" s="333">
        <f t="shared" si="142"/>
        <v>0.0037387294490563044</v>
      </c>
      <c r="J148" s="338">
        <f>+BJ29</f>
        <v>49.58304444958015</v>
      </c>
      <c r="K148" s="335">
        <f t="shared" si="143"/>
        <v>0.004591205617907298</v>
      </c>
    </row>
    <row r="149" spans="1:11" ht="12.75">
      <c r="A149" s="336" t="s">
        <v>177</v>
      </c>
      <c r="B149" s="337">
        <f>+V35</f>
        <v>292.0462015212696</v>
      </c>
      <c r="C149" s="426">
        <f t="shared" si="139"/>
        <v>0.023312223444538427</v>
      </c>
      <c r="D149" s="338">
        <f>+AF35</f>
        <v>268.6512563733224</v>
      </c>
      <c r="E149" s="333">
        <f t="shared" si="140"/>
        <v>0.026065007904352292</v>
      </c>
      <c r="F149" s="338">
        <f>+AP35</f>
        <v>293.83765208507475</v>
      </c>
      <c r="G149" s="333">
        <f t="shared" si="141"/>
        <v>0.021832388672069755</v>
      </c>
      <c r="H149" s="338">
        <f>+AZ35</f>
        <v>263.65984800696884</v>
      </c>
      <c r="I149" s="333">
        <f t="shared" si="142"/>
        <v>0.025915421100127706</v>
      </c>
      <c r="J149" s="338">
        <f>+BJ35</f>
        <v>304.8686541868885</v>
      </c>
      <c r="K149" s="335">
        <f t="shared" si="143"/>
        <v>0.028229704193537715</v>
      </c>
    </row>
    <row r="150" spans="1:11" ht="12.75">
      <c r="A150" s="336" t="s">
        <v>178</v>
      </c>
      <c r="B150" s="337">
        <f>+V36</f>
        <v>1181.9795285942344</v>
      </c>
      <c r="C150" s="426">
        <f t="shared" si="139"/>
        <v>0.09435004028104849</v>
      </c>
      <c r="D150" s="338">
        <f>+AF36</f>
        <v>1048.1605962914696</v>
      </c>
      <c r="E150" s="333">
        <f t="shared" si="140"/>
        <v>0.10169434752020289</v>
      </c>
      <c r="F150" s="338">
        <f>+AP36</f>
        <v>1299.5774124640104</v>
      </c>
      <c r="G150" s="333">
        <f t="shared" si="141"/>
        <v>0.09655971240248745</v>
      </c>
      <c r="H150" s="338">
        <f>+AZ36</f>
        <v>1074.1168784356132</v>
      </c>
      <c r="I150" s="333">
        <f t="shared" si="142"/>
        <v>0.10557614830559203</v>
      </c>
      <c r="J150" s="338">
        <f>+BJ36</f>
        <v>1153.1603882597642</v>
      </c>
      <c r="K150" s="335">
        <f t="shared" si="143"/>
        <v>0.10677836570342387</v>
      </c>
    </row>
    <row r="151" spans="1:11" ht="12.75">
      <c r="A151" s="336" t="s">
        <v>179</v>
      </c>
      <c r="B151" s="337">
        <f>+V37</f>
        <v>167.07124299621248</v>
      </c>
      <c r="C151" s="426">
        <f t="shared" si="139"/>
        <v>0.01333625339962117</v>
      </c>
      <c r="D151" s="338">
        <f>+AF37</f>
        <v>2.959165009031255</v>
      </c>
      <c r="E151" s="333">
        <f t="shared" si="140"/>
        <v>0.00028710328919325916</v>
      </c>
      <c r="F151" s="338">
        <f>+AP37</f>
        <v>0.06849633138292932</v>
      </c>
      <c r="G151" s="333">
        <f t="shared" si="141"/>
        <v>5.089335960695835E-06</v>
      </c>
      <c r="H151" s="338">
        <f>+AZ37</f>
        <v>59.503319215403565</v>
      </c>
      <c r="I151" s="333">
        <f t="shared" si="142"/>
        <v>0.005848647740560578</v>
      </c>
      <c r="J151" s="338">
        <f>+BJ37</f>
        <v>736.2857252908096</v>
      </c>
      <c r="K151" s="335">
        <f t="shared" si="143"/>
        <v>0.0681773214183652</v>
      </c>
    </row>
    <row r="152" spans="1:11" ht="12.75">
      <c r="A152" s="336" t="s">
        <v>180</v>
      </c>
      <c r="B152" s="337">
        <f>+V38</f>
        <v>171.40028797696186</v>
      </c>
      <c r="C152" s="426">
        <f t="shared" si="139"/>
        <v>0.013681814010808703</v>
      </c>
      <c r="D152" s="338">
        <f>+AF38</f>
        <v>97.30148386949266</v>
      </c>
      <c r="E152" s="333">
        <f t="shared" si="140"/>
        <v>0.009440357660711015</v>
      </c>
      <c r="F152" s="338">
        <f>+AP38</f>
        <v>636.621157239714</v>
      </c>
      <c r="G152" s="333">
        <f t="shared" si="141"/>
        <v>0.04730149605774861</v>
      </c>
      <c r="H152" s="338">
        <f>+AZ38</f>
        <v>175.137424529152</v>
      </c>
      <c r="I152" s="333">
        <f t="shared" si="142"/>
        <v>0.01721445317280485</v>
      </c>
      <c r="J152" s="338">
        <f>+BJ38</f>
        <v>43.5386333872583</v>
      </c>
      <c r="K152" s="335">
        <f t="shared" si="143"/>
        <v>0.004031515620362016</v>
      </c>
    </row>
    <row r="153" spans="1:11" s="39" customFormat="1" ht="12.75">
      <c r="A153" s="336" t="s">
        <v>181</v>
      </c>
      <c r="B153" s="27">
        <f>+V26+V27+V30+V31+V32+V33+V25</f>
        <v>1331.1515948289357</v>
      </c>
      <c r="C153" s="423">
        <f t="shared" si="139"/>
        <v>0.10625751424110126</v>
      </c>
      <c r="D153" s="4">
        <f>+AF26+AF27+AF30+AF31+AF32+AF33+AF25</f>
        <v>846.8196264032742</v>
      </c>
      <c r="E153" s="322">
        <f t="shared" si="140"/>
        <v>0.08215989961755425</v>
      </c>
      <c r="F153" s="4">
        <f>+AP26+AP27+AP30+AP31+AP32+AP33+AP25</f>
        <v>1085.8305470418873</v>
      </c>
      <c r="G153" s="322">
        <f t="shared" si="141"/>
        <v>0.08067813762737572</v>
      </c>
      <c r="H153" s="4">
        <f>+AZ26+AZ27+AZ30+AZ31+AZ32+AZ33+AZ25</f>
        <v>976.1181700759965</v>
      </c>
      <c r="I153" s="322">
        <f t="shared" si="142"/>
        <v>0.09594374574750156</v>
      </c>
      <c r="J153" s="4">
        <f>+BJ26+BJ27+BJ30+BJ31+BJ32+BJ33+BJ25</f>
        <v>1008.5220707187426</v>
      </c>
      <c r="K153" s="323">
        <f t="shared" si="143"/>
        <v>0.09338539511376455</v>
      </c>
    </row>
    <row r="154" spans="1:11" ht="13.5" thickBot="1">
      <c r="A154" s="339" t="s">
        <v>182</v>
      </c>
      <c r="B154" s="340"/>
      <c r="C154" s="427"/>
      <c r="D154" s="342"/>
      <c r="E154" s="341"/>
      <c r="F154" s="342"/>
      <c r="G154" s="341"/>
      <c r="H154" s="342"/>
      <c r="I154" s="341"/>
      <c r="J154" s="342"/>
      <c r="K154" s="343"/>
    </row>
    <row r="155" spans="1:11" s="39" customFormat="1" ht="17.25" customHeight="1">
      <c r="A155" s="329"/>
      <c r="B155" s="329"/>
      <c r="C155" s="330"/>
      <c r="D155" s="329"/>
      <c r="E155" s="330"/>
      <c r="F155" s="329"/>
      <c r="G155" s="330"/>
      <c r="H155" s="329"/>
      <c r="I155" s="330"/>
      <c r="J155" s="329"/>
      <c r="K155" s="330"/>
    </row>
    <row r="156" spans="1:11" s="39" customFormat="1" ht="17.25" customHeight="1">
      <c r="A156" s="329"/>
      <c r="B156" s="329"/>
      <c r="C156" s="330"/>
      <c r="D156" s="329"/>
      <c r="E156" s="330"/>
      <c r="F156" s="329"/>
      <c r="G156" s="330"/>
      <c r="H156" s="329"/>
      <c r="I156" s="330"/>
      <c r="J156" s="329"/>
      <c r="K156" s="330"/>
    </row>
    <row r="157" spans="1:11" s="39" customFormat="1" ht="17.25" customHeight="1">
      <c r="A157" s="329"/>
      <c r="B157" s="329"/>
      <c r="C157" s="330"/>
      <c r="D157" s="329"/>
      <c r="E157" s="330"/>
      <c r="F157" s="329"/>
      <c r="G157" s="330"/>
      <c r="H157" s="329"/>
      <c r="I157" s="330"/>
      <c r="J157" s="329"/>
      <c r="K157" s="330"/>
    </row>
    <row r="158" spans="1:11" s="39" customFormat="1" ht="17.25" customHeight="1">
      <c r="A158" s="329"/>
      <c r="B158" s="329"/>
      <c r="C158" s="330"/>
      <c r="D158" s="329"/>
      <c r="E158" s="330"/>
      <c r="F158" s="329"/>
      <c r="G158" s="330"/>
      <c r="H158" s="329"/>
      <c r="I158" s="330"/>
      <c r="J158" s="329"/>
      <c r="K158" s="330"/>
    </row>
    <row r="159" spans="1:11" s="39" customFormat="1" ht="17.25" customHeight="1">
      <c r="A159" s="329"/>
      <c r="B159" s="329"/>
      <c r="C159" s="330"/>
      <c r="D159" s="329"/>
      <c r="E159" s="330"/>
      <c r="F159" s="329"/>
      <c r="G159" s="330"/>
      <c r="H159" s="329"/>
      <c r="I159" s="330"/>
      <c r="J159" s="329"/>
      <c r="K159" s="330"/>
    </row>
    <row r="160" spans="1:11" s="39" customFormat="1" ht="17.25" customHeight="1">
      <c r="A160" s="329"/>
      <c r="B160" s="329"/>
      <c r="C160" s="330"/>
      <c r="D160" s="329"/>
      <c r="E160" s="330"/>
      <c r="F160" s="329"/>
      <c r="G160" s="330"/>
      <c r="H160" s="329"/>
      <c r="I160" s="330"/>
      <c r="J160" s="329"/>
      <c r="K160" s="330"/>
    </row>
    <row r="161" spans="1:11" s="39" customFormat="1" ht="17.25" customHeight="1">
      <c r="A161" s="329"/>
      <c r="B161" s="329"/>
      <c r="C161" s="330"/>
      <c r="D161" s="329"/>
      <c r="E161" s="330"/>
      <c r="F161" s="329"/>
      <c r="G161" s="330"/>
      <c r="H161" s="329"/>
      <c r="I161" s="330"/>
      <c r="J161" s="329"/>
      <c r="K161" s="330"/>
    </row>
    <row r="162" spans="1:11" s="39" customFormat="1" ht="17.25" customHeight="1">
      <c r="A162" s="329"/>
      <c r="B162" s="329"/>
      <c r="C162" s="330"/>
      <c r="D162" s="329"/>
      <c r="E162" s="330"/>
      <c r="F162" s="329"/>
      <c r="G162" s="330"/>
      <c r="H162" s="329"/>
      <c r="I162" s="330"/>
      <c r="J162" s="329"/>
      <c r="K162" s="330"/>
    </row>
    <row r="163" spans="1:11" s="39" customFormat="1" ht="17.25" customHeight="1">
      <c r="A163" s="329"/>
      <c r="B163" s="329"/>
      <c r="C163" s="330"/>
      <c r="D163" s="329"/>
      <c r="E163" s="330"/>
      <c r="F163" s="329"/>
      <c r="G163" s="330"/>
      <c r="H163" s="329"/>
      <c r="I163" s="330"/>
      <c r="J163" s="329"/>
      <c r="K163" s="330"/>
    </row>
    <row r="164" spans="1:11" s="39" customFormat="1" ht="17.25" customHeight="1">
      <c r="A164" s="329"/>
      <c r="B164" s="329"/>
      <c r="C164" s="330"/>
      <c r="D164" s="329"/>
      <c r="E164" s="330"/>
      <c r="F164" s="329"/>
      <c r="G164" s="330"/>
      <c r="H164" s="329"/>
      <c r="I164" s="330"/>
      <c r="J164" s="329"/>
      <c r="K164" s="330"/>
    </row>
    <row r="165" spans="1:11" s="39" customFormat="1" ht="17.25" customHeight="1">
      <c r="A165" s="329"/>
      <c r="B165" s="329"/>
      <c r="C165" s="330"/>
      <c r="D165" s="329"/>
      <c r="E165" s="330"/>
      <c r="F165" s="329"/>
      <c r="G165" s="330"/>
      <c r="H165" s="329"/>
      <c r="I165" s="330"/>
      <c r="J165" s="329"/>
      <c r="K165" s="330"/>
    </row>
    <row r="166" spans="1:11" s="39" customFormat="1" ht="17.25" customHeight="1">
      <c r="A166" s="329"/>
      <c r="B166" s="329"/>
      <c r="C166" s="330"/>
      <c r="D166" s="329"/>
      <c r="E166" s="330"/>
      <c r="F166" s="329"/>
      <c r="G166" s="330"/>
      <c r="H166" s="329"/>
      <c r="I166" s="330"/>
      <c r="J166" s="329"/>
      <c r="K166" s="330"/>
    </row>
    <row r="167" spans="1:11" s="39" customFormat="1" ht="17.25" customHeight="1">
      <c r="A167" s="329"/>
      <c r="B167" s="329"/>
      <c r="C167" s="330"/>
      <c r="D167" s="329"/>
      <c r="E167" s="330"/>
      <c r="F167" s="329"/>
      <c r="G167" s="330"/>
      <c r="H167" s="329"/>
      <c r="I167" s="330"/>
      <c r="J167" s="329"/>
      <c r="K167" s="330"/>
    </row>
    <row r="168" spans="1:11" s="39" customFormat="1" ht="17.25" customHeight="1">
      <c r="A168" s="329"/>
      <c r="B168" s="329"/>
      <c r="C168" s="330"/>
      <c r="D168" s="329"/>
      <c r="E168" s="330"/>
      <c r="F168" s="329"/>
      <c r="G168" s="330"/>
      <c r="H168" s="329"/>
      <c r="I168" s="330"/>
      <c r="J168" s="329"/>
      <c r="K168" s="330"/>
    </row>
    <row r="169" spans="1:11" s="39" customFormat="1" ht="17.25" customHeight="1" thickBot="1">
      <c r="A169" s="329"/>
      <c r="B169" s="329"/>
      <c r="C169" s="330"/>
      <c r="D169" s="329"/>
      <c r="E169" s="330"/>
      <c r="F169" s="329"/>
      <c r="G169" s="330"/>
      <c r="H169" s="329"/>
      <c r="I169" s="330"/>
      <c r="J169" s="329"/>
      <c r="K169" s="330"/>
    </row>
    <row r="170" spans="1:11" s="39" customFormat="1" ht="25.5" customHeight="1" thickBot="1">
      <c r="A170" s="886" t="s">
        <v>79</v>
      </c>
      <c r="B170" s="878">
        <v>2004</v>
      </c>
      <c r="C170" s="879"/>
      <c r="D170" s="879"/>
      <c r="E170" s="879"/>
      <c r="F170" s="879"/>
      <c r="G170" s="879"/>
      <c r="H170" s="879"/>
      <c r="I170" s="879"/>
      <c r="J170" s="879"/>
      <c r="K170" s="707"/>
    </row>
    <row r="171" spans="1:11" ht="36.75" customHeight="1" thickBot="1">
      <c r="A171" s="887"/>
      <c r="B171" s="880" t="s">
        <v>170</v>
      </c>
      <c r="C171" s="881"/>
      <c r="D171" s="882" t="s">
        <v>7</v>
      </c>
      <c r="E171" s="883"/>
      <c r="F171" s="882" t="s">
        <v>6</v>
      </c>
      <c r="G171" s="883"/>
      <c r="H171" s="882" t="s">
        <v>5</v>
      </c>
      <c r="I171" s="884"/>
      <c r="J171" s="882" t="s">
        <v>171</v>
      </c>
      <c r="K171" s="885"/>
    </row>
    <row r="172" spans="1:11" s="39" customFormat="1" ht="24" customHeight="1" thickBot="1">
      <c r="A172" s="92" t="s">
        <v>172</v>
      </c>
      <c r="B172" s="69">
        <f>+Y23</f>
        <v>17227.65865925485</v>
      </c>
      <c r="C172" s="424" t="s">
        <v>173</v>
      </c>
      <c r="D172" s="51">
        <f>+AI23</f>
        <v>14688.00759013283</v>
      </c>
      <c r="E172" s="319" t="s">
        <v>173</v>
      </c>
      <c r="F172" s="51">
        <f>+AS23</f>
        <v>15345.740158397391</v>
      </c>
      <c r="G172" s="319" t="s">
        <v>173</v>
      </c>
      <c r="H172" s="51">
        <f>+BC23</f>
        <v>17149.668654738238</v>
      </c>
      <c r="I172" s="319" t="s">
        <v>173</v>
      </c>
      <c r="J172" s="51">
        <f>+BM23</f>
        <v>14287.221394681672</v>
      </c>
      <c r="K172" s="320" t="s">
        <v>173</v>
      </c>
    </row>
    <row r="173" spans="1:11" ht="12.75">
      <c r="A173" s="331" t="s">
        <v>174</v>
      </c>
      <c r="B173" s="332">
        <f>+Y24</f>
        <v>9980.89636688505</v>
      </c>
      <c r="C173" s="426">
        <f aca="true" t="shared" si="144" ref="C173:C180">+B173/$B$172</f>
        <v>0.5793530371303953</v>
      </c>
      <c r="D173" s="334">
        <f>+AI24</f>
        <v>10157.264389626818</v>
      </c>
      <c r="E173" s="333">
        <f aca="true" t="shared" si="145" ref="E173:E180">+D173/$D$172</f>
        <v>0.691534527559089</v>
      </c>
      <c r="F173" s="334">
        <f>+AS24</f>
        <v>10552.19980200326</v>
      </c>
      <c r="G173" s="333">
        <f aca="true" t="shared" si="146" ref="G173:G180">+F173/$F$172</f>
        <v>0.6876305536966203</v>
      </c>
      <c r="H173" s="334">
        <f>+BC24</f>
        <v>9838.835045283853</v>
      </c>
      <c r="I173" s="333">
        <f aca="true" t="shared" si="147" ref="I173:I180">+H173/$H$172</f>
        <v>0.5737040897618454</v>
      </c>
      <c r="J173" s="334">
        <f>+BM24</f>
        <v>9246.98499393137</v>
      </c>
      <c r="K173" s="335">
        <f aca="true" t="shared" si="148" ref="K173:K180">+J173/$J$172</f>
        <v>0.6472206693299721</v>
      </c>
    </row>
    <row r="174" spans="1:11" ht="12.75">
      <c r="A174" s="336" t="s">
        <v>175</v>
      </c>
      <c r="B174" s="337">
        <f>+Y28</f>
        <v>151.62133545099599</v>
      </c>
      <c r="C174" s="426">
        <f t="shared" si="144"/>
        <v>0.008801041305142396</v>
      </c>
      <c r="D174" s="338">
        <f>+AI28</f>
        <v>108.7550073792958</v>
      </c>
      <c r="E174" s="333">
        <f t="shared" si="145"/>
        <v>0.007404340358072506</v>
      </c>
      <c r="F174" s="338">
        <f>+AS28</f>
        <v>285.20993477754485</v>
      </c>
      <c r="G174" s="333">
        <f t="shared" si="146"/>
        <v>0.018585609545947786</v>
      </c>
      <c r="H174" s="338">
        <f>+BC28</f>
        <v>70.56963772918047</v>
      </c>
      <c r="I174" s="333">
        <f t="shared" si="147"/>
        <v>0.004114927183137324</v>
      </c>
      <c r="J174" s="338">
        <f>+BM28</f>
        <v>95.29819044466512</v>
      </c>
      <c r="K174" s="335">
        <f t="shared" si="148"/>
        <v>0.006670169644052641</v>
      </c>
    </row>
    <row r="175" spans="1:11" ht="12.75">
      <c r="A175" s="324" t="s">
        <v>176</v>
      </c>
      <c r="B175" s="337">
        <f>+Y29</f>
        <v>238.6175633644365</v>
      </c>
      <c r="C175" s="426">
        <f t="shared" si="144"/>
        <v>0.013850841143538043</v>
      </c>
      <c r="D175" s="338">
        <f>+AI29</f>
        <v>140.82437275985663</v>
      </c>
      <c r="E175" s="333">
        <f t="shared" si="145"/>
        <v>0.009587711055818095</v>
      </c>
      <c r="F175" s="338">
        <f>+AS29</f>
        <v>419.8317027719543</v>
      </c>
      <c r="G175" s="333">
        <f t="shared" si="146"/>
        <v>0.027358191813394994</v>
      </c>
      <c r="H175" s="338">
        <f>+BC29</f>
        <v>139.43975038656947</v>
      </c>
      <c r="I175" s="333">
        <f t="shared" si="147"/>
        <v>0.0081307547798041</v>
      </c>
      <c r="J175" s="338">
        <f>+BM29</f>
        <v>106.02587443451397</v>
      </c>
      <c r="K175" s="335">
        <f t="shared" si="148"/>
        <v>0.007421028309534101</v>
      </c>
    </row>
    <row r="176" spans="1:11" ht="12.75">
      <c r="A176" s="336" t="s">
        <v>177</v>
      </c>
      <c r="B176" s="337">
        <f>+Y35</f>
        <v>439.9113228773742</v>
      </c>
      <c r="C176" s="426">
        <f t="shared" si="144"/>
        <v>0.02553517756407659</v>
      </c>
      <c r="D176" s="338">
        <f>+AI35</f>
        <v>398.0602993885727</v>
      </c>
      <c r="E176" s="333">
        <f t="shared" si="145"/>
        <v>0.02710104123693286</v>
      </c>
      <c r="F176" s="338">
        <f>+AS35</f>
        <v>383.3275098998369</v>
      </c>
      <c r="G176" s="333">
        <f t="shared" si="146"/>
        <v>0.024979408353273534</v>
      </c>
      <c r="H176" s="338">
        <f>+BC35</f>
        <v>449.8011928429423</v>
      </c>
      <c r="I176" s="333">
        <f t="shared" si="147"/>
        <v>0.026227981537046658</v>
      </c>
      <c r="J176" s="338">
        <f>+BM35</f>
        <v>381.77204016330137</v>
      </c>
      <c r="K176" s="335">
        <f t="shared" si="148"/>
        <v>0.026721223785712008</v>
      </c>
    </row>
    <row r="177" spans="1:11" ht="12.75">
      <c r="A177" s="336" t="s">
        <v>178</v>
      </c>
      <c r="B177" s="337">
        <f>+Y36</f>
        <v>1683.6013500099268</v>
      </c>
      <c r="C177" s="426">
        <f t="shared" si="144"/>
        <v>0.09772664894921641</v>
      </c>
      <c r="D177" s="338">
        <f>+AI36</f>
        <v>1574.7765127556402</v>
      </c>
      <c r="E177" s="333">
        <f t="shared" si="145"/>
        <v>0.10721512111782609</v>
      </c>
      <c r="F177" s="338">
        <f>+AS36</f>
        <v>1476.6917074307012</v>
      </c>
      <c r="G177" s="333">
        <f t="shared" si="146"/>
        <v>0.09622811882570786</v>
      </c>
      <c r="H177" s="338">
        <f>+BC36</f>
        <v>1710.1681577203447</v>
      </c>
      <c r="I177" s="333">
        <f t="shared" si="147"/>
        <v>0.09972018656161305</v>
      </c>
      <c r="J177" s="338">
        <f>+BM36</f>
        <v>1474.1683217477657</v>
      </c>
      <c r="K177" s="335">
        <f t="shared" si="148"/>
        <v>0.10318089718246513</v>
      </c>
    </row>
    <row r="178" spans="1:11" ht="12.75">
      <c r="A178" s="336" t="s">
        <v>179</v>
      </c>
      <c r="B178" s="337">
        <f>+Y37</f>
        <v>3341.765932102442</v>
      </c>
      <c r="C178" s="426">
        <f t="shared" si="144"/>
        <v>0.19397679035782475</v>
      </c>
      <c r="D178" s="338">
        <f>+AI37</f>
        <v>691.5939278937382</v>
      </c>
      <c r="E178" s="333">
        <f t="shared" si="145"/>
        <v>0.04708561890711031</v>
      </c>
      <c r="F178" s="338">
        <f>+AS37</f>
        <v>566.8996040065223</v>
      </c>
      <c r="G178" s="333">
        <f t="shared" si="146"/>
        <v>0.036941822170519896</v>
      </c>
      <c r="H178" s="338">
        <f>+BC37</f>
        <v>3020.4108681245857</v>
      </c>
      <c r="I178" s="333">
        <f t="shared" si="147"/>
        <v>0.17612065451130943</v>
      </c>
      <c r="J178" s="338">
        <f>+BM37</f>
        <v>2109.0753613593733</v>
      </c>
      <c r="K178" s="335">
        <f t="shared" si="148"/>
        <v>0.14761970176681544</v>
      </c>
    </row>
    <row r="179" spans="1:11" ht="12.75">
      <c r="A179" s="336" t="s">
        <v>180</v>
      </c>
      <c r="B179" s="337">
        <f>+Y38</f>
        <v>377.51306994904377</v>
      </c>
      <c r="C179" s="426">
        <f t="shared" si="144"/>
        <v>0.021913196529827948</v>
      </c>
      <c r="D179" s="338">
        <f>+AI38</f>
        <v>1126.5159181952351</v>
      </c>
      <c r="E179" s="333">
        <f t="shared" si="145"/>
        <v>0.07669630555964654</v>
      </c>
      <c r="F179" s="338">
        <f>+AS38</f>
        <v>1350.71773817843</v>
      </c>
      <c r="G179" s="333">
        <f t="shared" si="146"/>
        <v>0.08801906745692546</v>
      </c>
      <c r="H179" s="338">
        <f>+BC38</f>
        <v>1048.95488182019</v>
      </c>
      <c r="I179" s="333">
        <f t="shared" si="147"/>
        <v>0.06116473168887592</v>
      </c>
      <c r="J179" s="338">
        <f>+BM38</f>
        <v>364.1178417742469</v>
      </c>
      <c r="K179" s="335">
        <f t="shared" si="148"/>
        <v>0.02548556025804902</v>
      </c>
    </row>
    <row r="180" spans="1:11" s="39" customFormat="1" ht="12.75">
      <c r="A180" s="336" t="s">
        <v>181</v>
      </c>
      <c r="B180" s="27">
        <f>+Y26+Y27+Y30+Y31+Y32+Y33+Y25</f>
        <v>1013.7317186155782</v>
      </c>
      <c r="C180" s="423">
        <f t="shared" si="144"/>
        <v>0.058843267019978523</v>
      </c>
      <c r="D180" s="4">
        <f>+AI26+AI27+AI30+AI31+AI32+AI33+AI25</f>
        <v>490.2171621336707</v>
      </c>
      <c r="E180" s="322">
        <f t="shared" si="145"/>
        <v>0.03337533420550455</v>
      </c>
      <c r="F180" s="4">
        <f>+AS26+AS27+AS30+AS31+AS32+AS33+AS25</f>
        <v>310.86215932914047</v>
      </c>
      <c r="G180" s="322">
        <f t="shared" si="146"/>
        <v>0.02025722813761007</v>
      </c>
      <c r="H180" s="4">
        <f>+BC26+BC27+BC30+BC31+BC32+BC33+BC25</f>
        <v>871.489120830572</v>
      </c>
      <c r="I180" s="322">
        <f t="shared" si="147"/>
        <v>0.05081667397636808</v>
      </c>
      <c r="J180" s="4">
        <f>+BM26+BM27+BM30+BM31+BM32+BM33+BM25</f>
        <v>509.77877082643715</v>
      </c>
      <c r="K180" s="323">
        <f t="shared" si="148"/>
        <v>0.035680749723399616</v>
      </c>
    </row>
    <row r="181" spans="1:11" ht="13.5" thickBot="1">
      <c r="A181" s="339" t="s">
        <v>182</v>
      </c>
      <c r="B181" s="340"/>
      <c r="C181" s="427"/>
      <c r="D181" s="342"/>
      <c r="E181" s="341"/>
      <c r="F181" s="342"/>
      <c r="G181" s="341"/>
      <c r="H181" s="342"/>
      <c r="I181" s="341"/>
      <c r="J181" s="342"/>
      <c r="K181" s="343"/>
    </row>
    <row r="182" spans="1:11" s="39" customFormat="1" ht="17.25" customHeight="1">
      <c r="A182" s="329"/>
      <c r="B182" s="329"/>
      <c r="C182" s="330"/>
      <c r="D182" s="329"/>
      <c r="E182" s="330"/>
      <c r="F182" s="329"/>
      <c r="G182" s="330"/>
      <c r="H182" s="329"/>
      <c r="I182" s="330"/>
      <c r="J182" s="329"/>
      <c r="K182" s="330"/>
    </row>
    <row r="183" spans="1:11" s="39" customFormat="1" ht="17.25" customHeight="1">
      <c r="A183" s="329"/>
      <c r="B183" s="329"/>
      <c r="C183" s="330"/>
      <c r="D183" s="329"/>
      <c r="E183" s="330"/>
      <c r="F183" s="329"/>
      <c r="G183" s="330"/>
      <c r="H183" s="329"/>
      <c r="I183" s="330"/>
      <c r="J183" s="329"/>
      <c r="K183" s="330"/>
    </row>
    <row r="184" spans="1:11" s="39" customFormat="1" ht="17.25" customHeight="1">
      <c r="A184" s="329"/>
      <c r="B184" s="329"/>
      <c r="C184" s="330"/>
      <c r="D184" s="329"/>
      <c r="E184" s="330"/>
      <c r="F184" s="329"/>
      <c r="G184" s="330"/>
      <c r="H184" s="329"/>
      <c r="I184" s="330"/>
      <c r="J184" s="329"/>
      <c r="K184" s="330"/>
    </row>
    <row r="185" spans="1:11" s="39" customFormat="1" ht="17.25" customHeight="1">
      <c r="A185" s="329"/>
      <c r="B185" s="329"/>
      <c r="C185" s="330"/>
      <c r="D185" s="329"/>
      <c r="E185" s="330"/>
      <c r="F185" s="329"/>
      <c r="G185" s="330"/>
      <c r="H185" s="329"/>
      <c r="I185" s="330"/>
      <c r="J185" s="329"/>
      <c r="K185" s="330"/>
    </row>
    <row r="186" spans="1:11" s="39" customFormat="1" ht="17.25" customHeight="1">
      <c r="A186" s="329"/>
      <c r="B186" s="329"/>
      <c r="C186" s="330"/>
      <c r="D186" s="329"/>
      <c r="E186" s="330"/>
      <c r="F186" s="329"/>
      <c r="G186" s="330"/>
      <c r="H186" s="329"/>
      <c r="I186" s="330"/>
      <c r="J186" s="329"/>
      <c r="K186" s="330"/>
    </row>
    <row r="187" spans="1:11" s="39" customFormat="1" ht="17.25" customHeight="1">
      <c r="A187" s="329"/>
      <c r="B187" s="329"/>
      <c r="C187" s="330"/>
      <c r="D187" s="329"/>
      <c r="E187" s="330"/>
      <c r="F187" s="329"/>
      <c r="G187" s="330"/>
      <c r="H187" s="329"/>
      <c r="I187" s="330"/>
      <c r="J187" s="329"/>
      <c r="K187" s="330"/>
    </row>
    <row r="188" spans="1:11" s="39" customFormat="1" ht="17.25" customHeight="1">
      <c r="A188" s="329"/>
      <c r="B188" s="329"/>
      <c r="C188" s="330"/>
      <c r="D188" s="329"/>
      <c r="E188" s="330"/>
      <c r="F188" s="329"/>
      <c r="G188" s="330"/>
      <c r="H188" s="329"/>
      <c r="I188" s="330"/>
      <c r="J188" s="329"/>
      <c r="K188" s="330"/>
    </row>
    <row r="189" spans="1:11" s="39" customFormat="1" ht="17.25" customHeight="1">
      <c r="A189" s="329"/>
      <c r="B189" s="329"/>
      <c r="C189" s="330"/>
      <c r="D189" s="329"/>
      <c r="E189" s="330"/>
      <c r="F189" s="329"/>
      <c r="G189" s="330"/>
      <c r="H189" s="329"/>
      <c r="I189" s="330"/>
      <c r="J189" s="329"/>
      <c r="K189" s="330"/>
    </row>
    <row r="190" spans="1:11" s="39" customFormat="1" ht="17.25" customHeight="1">
      <c r="A190" s="329"/>
      <c r="B190" s="329"/>
      <c r="C190" s="330"/>
      <c r="D190" s="329"/>
      <c r="E190" s="330"/>
      <c r="F190" s="329"/>
      <c r="G190" s="330"/>
      <c r="H190" s="329"/>
      <c r="I190" s="330"/>
      <c r="J190" s="329"/>
      <c r="K190" s="330"/>
    </row>
    <row r="191" spans="1:11" s="39" customFormat="1" ht="17.25" customHeight="1">
      <c r="A191" s="329"/>
      <c r="B191" s="329"/>
      <c r="C191" s="330"/>
      <c r="D191" s="329"/>
      <c r="E191" s="330"/>
      <c r="F191" s="329"/>
      <c r="G191" s="330"/>
      <c r="H191" s="329"/>
      <c r="I191" s="330"/>
      <c r="J191" s="329"/>
      <c r="K191" s="330"/>
    </row>
    <row r="192" spans="1:11" s="39" customFormat="1" ht="17.25" customHeight="1">
      <c r="A192" s="329"/>
      <c r="B192" s="329"/>
      <c r="C192" s="330"/>
      <c r="D192" s="329"/>
      <c r="E192" s="330"/>
      <c r="F192" s="329"/>
      <c r="G192" s="330"/>
      <c r="H192" s="329"/>
      <c r="I192" s="330"/>
      <c r="J192" s="329"/>
      <c r="K192" s="330"/>
    </row>
    <row r="193" spans="1:11" s="39" customFormat="1" ht="17.25" customHeight="1">
      <c r="A193" s="329"/>
      <c r="B193" s="329"/>
      <c r="C193" s="330"/>
      <c r="D193" s="329"/>
      <c r="E193" s="330"/>
      <c r="F193" s="329"/>
      <c r="G193" s="330"/>
      <c r="H193" s="329"/>
      <c r="I193" s="330"/>
      <c r="J193" s="329"/>
      <c r="K193" s="330"/>
    </row>
    <row r="194" spans="1:11" s="39" customFormat="1" ht="17.25" customHeight="1">
      <c r="A194" s="329"/>
      <c r="B194" s="329"/>
      <c r="C194" s="330"/>
      <c r="D194" s="329"/>
      <c r="E194" s="330"/>
      <c r="F194" s="329"/>
      <c r="G194" s="330"/>
      <c r="H194" s="329"/>
      <c r="I194" s="330"/>
      <c r="J194" s="329"/>
      <c r="K194" s="330"/>
    </row>
    <row r="195" spans="1:11" s="39" customFormat="1" ht="17.25" customHeight="1">
      <c r="A195" s="329"/>
      <c r="B195" s="329"/>
      <c r="C195" s="330"/>
      <c r="D195" s="329"/>
      <c r="E195" s="330"/>
      <c r="F195" s="329"/>
      <c r="G195" s="330"/>
      <c r="H195" s="329"/>
      <c r="I195" s="330"/>
      <c r="J195" s="329"/>
      <c r="K195" s="330"/>
    </row>
    <row r="196" spans="1:11" s="39" customFormat="1" ht="17.25" customHeight="1">
      <c r="A196" s="329"/>
      <c r="B196" s="329"/>
      <c r="C196" s="330"/>
      <c r="D196" s="329"/>
      <c r="E196" s="330"/>
      <c r="F196" s="329"/>
      <c r="G196" s="330"/>
      <c r="H196" s="329"/>
      <c r="I196" s="330"/>
      <c r="J196" s="329"/>
      <c r="K196" s="330"/>
    </row>
    <row r="197" spans="1:11" s="39" customFormat="1" ht="17.25" customHeight="1" thickBot="1">
      <c r="A197" s="329"/>
      <c r="B197" s="329"/>
      <c r="C197" s="330"/>
      <c r="D197" s="329"/>
      <c r="E197" s="330"/>
      <c r="F197" s="329"/>
      <c r="G197" s="330"/>
      <c r="H197" s="329"/>
      <c r="I197" s="330"/>
      <c r="J197" s="329"/>
      <c r="K197" s="330"/>
    </row>
    <row r="198" spans="1:11" s="39" customFormat="1" ht="25.5" customHeight="1" thickBot="1">
      <c r="A198" s="886" t="s">
        <v>115</v>
      </c>
      <c r="B198" s="878">
        <v>2004</v>
      </c>
      <c r="C198" s="879"/>
      <c r="D198" s="879"/>
      <c r="E198" s="879"/>
      <c r="F198" s="879"/>
      <c r="G198" s="879"/>
      <c r="H198" s="879"/>
      <c r="I198" s="879"/>
      <c r="J198" s="879"/>
      <c r="K198" s="707"/>
    </row>
    <row r="199" spans="1:11" ht="36.75" customHeight="1" thickBot="1">
      <c r="A199" s="887"/>
      <c r="B199" s="880" t="s">
        <v>170</v>
      </c>
      <c r="C199" s="881"/>
      <c r="D199" s="882" t="s">
        <v>7</v>
      </c>
      <c r="E199" s="883"/>
      <c r="F199" s="882" t="s">
        <v>6</v>
      </c>
      <c r="G199" s="883"/>
      <c r="H199" s="882" t="s">
        <v>5</v>
      </c>
      <c r="I199" s="884"/>
      <c r="J199" s="882" t="s">
        <v>171</v>
      </c>
      <c r="K199" s="885"/>
    </row>
    <row r="200" spans="1:11" s="39" customFormat="1" ht="24" customHeight="1" thickBot="1">
      <c r="A200" s="92" t="s">
        <v>172</v>
      </c>
      <c r="B200" s="69">
        <f>+Z23</f>
        <v>10162.708284325257</v>
      </c>
      <c r="C200" s="424" t="s">
        <v>173</v>
      </c>
      <c r="D200" s="51">
        <f>+AJ23</f>
        <v>9566.546898178547</v>
      </c>
      <c r="E200" s="319" t="s">
        <v>173</v>
      </c>
      <c r="F200" s="51">
        <f>+AT23</f>
        <v>11278.710703912524</v>
      </c>
      <c r="G200" s="319" t="s">
        <v>173</v>
      </c>
      <c r="H200" s="51">
        <f>+BD23</f>
        <v>10663.870653156368</v>
      </c>
      <c r="I200" s="319" t="s">
        <v>173</v>
      </c>
      <c r="J200" s="51">
        <f>+BN23</f>
        <v>9220.525838905205</v>
      </c>
      <c r="K200" s="320" t="s">
        <v>173</v>
      </c>
    </row>
    <row r="201" spans="1:11" ht="12.75">
      <c r="A201" s="331" t="s">
        <v>174</v>
      </c>
      <c r="B201" s="332">
        <f>+Z24</f>
        <v>6781.993942601741</v>
      </c>
      <c r="C201" s="426">
        <f aca="true" t="shared" si="149" ref="C201:C208">+B201/$B$200</f>
        <v>0.667341200087593</v>
      </c>
      <c r="D201" s="334">
        <f>+AJ24</f>
        <v>7098.981663870042</v>
      </c>
      <c r="E201" s="333">
        <f aca="true" t="shared" si="150" ref="E201:E208">+D201/$D$200</f>
        <v>0.7420631226113233</v>
      </c>
      <c r="F201" s="334">
        <f>+AT24</f>
        <v>7650.554202972834</v>
      </c>
      <c r="G201" s="333">
        <f aca="true" t="shared" si="151" ref="G201:G208">+F201/$F$200</f>
        <v>0.678318152119896</v>
      </c>
      <c r="H201" s="334">
        <f>+BD24</f>
        <v>7311.713286713287</v>
      </c>
      <c r="I201" s="333">
        <f aca="true" t="shared" si="152" ref="I201:I208">+H201/$H$200</f>
        <v>0.6856528482506598</v>
      </c>
      <c r="J201" s="334">
        <f>+BN24</f>
        <v>6188.7370076443995</v>
      </c>
      <c r="K201" s="335">
        <f aca="true" t="shared" si="153" ref="K201:K208">+J201/$J$200</f>
        <v>0.6711913307082296</v>
      </c>
    </row>
    <row r="202" spans="1:11" ht="12.75">
      <c r="A202" s="336" t="s">
        <v>175</v>
      </c>
      <c r="B202" s="337">
        <f>+Z28</f>
        <v>480.3649141378499</v>
      </c>
      <c r="C202" s="426">
        <f t="shared" si="149"/>
        <v>0.047267411471286096</v>
      </c>
      <c r="D202" s="338">
        <f>+AJ28</f>
        <v>202.77109019722283</v>
      </c>
      <c r="E202" s="333">
        <f t="shared" si="150"/>
        <v>0.021195849699522203</v>
      </c>
      <c r="F202" s="338">
        <f>+AT28</f>
        <v>978.457628566547</v>
      </c>
      <c r="G202" s="333">
        <f t="shared" si="151"/>
        <v>0.0867526133308061</v>
      </c>
      <c r="H202" s="338">
        <f>+BD28</f>
        <v>302.0824413681557</v>
      </c>
      <c r="I202" s="333">
        <f t="shared" si="152"/>
        <v>0.02832765430052766</v>
      </c>
      <c r="J202" s="338">
        <f>+BN28</f>
        <v>237.2544731196234</v>
      </c>
      <c r="K202" s="335">
        <f t="shared" si="153"/>
        <v>0.0257311217673236</v>
      </c>
    </row>
    <row r="203" spans="1:11" ht="12.75">
      <c r="A203" s="324" t="s">
        <v>176</v>
      </c>
      <c r="B203" s="337">
        <f>+Z29</f>
        <v>79.34456598447424</v>
      </c>
      <c r="C203" s="426">
        <f t="shared" si="149"/>
        <v>0.00780742335257754</v>
      </c>
      <c r="D203" s="338">
        <f>+AJ29</f>
        <v>170.48405923980448</v>
      </c>
      <c r="E203" s="333">
        <f t="shared" si="150"/>
        <v>0.017820856475628036</v>
      </c>
      <c r="F203" s="338">
        <f>+AT29</f>
        <v>368.9945327182641</v>
      </c>
      <c r="G203" s="333">
        <f t="shared" si="151"/>
        <v>0.03271602068756511</v>
      </c>
      <c r="H203" s="338">
        <f>+BD29</f>
        <v>28.466771323914184</v>
      </c>
      <c r="I203" s="333">
        <f t="shared" si="152"/>
        <v>0.002669459547081846</v>
      </c>
      <c r="J203" s="338">
        <f>+BN29</f>
        <v>127.62034201920473</v>
      </c>
      <c r="K203" s="335">
        <f t="shared" si="153"/>
        <v>0.013840896305579647</v>
      </c>
    </row>
    <row r="204" spans="1:11" ht="12.75">
      <c r="A204" s="336" t="s">
        <v>177</v>
      </c>
      <c r="B204" s="337">
        <f>+Z35</f>
        <v>270.671606680781</v>
      </c>
      <c r="C204" s="426">
        <f t="shared" si="149"/>
        <v>0.026633806570858582</v>
      </c>
      <c r="D204" s="338">
        <f>+AJ35</f>
        <v>243.85350550813453</v>
      </c>
      <c r="E204" s="333">
        <f t="shared" si="150"/>
        <v>0.025490232588998626</v>
      </c>
      <c r="F204" s="338">
        <f>+AT35</f>
        <v>255.63813429010762</v>
      </c>
      <c r="G204" s="333">
        <f t="shared" si="151"/>
        <v>0.022665545823551278</v>
      </c>
      <c r="H204" s="338">
        <f>+BD35</f>
        <v>268.30312544598263</v>
      </c>
      <c r="I204" s="333">
        <f t="shared" si="152"/>
        <v>0.025160013110864993</v>
      </c>
      <c r="J204" s="338">
        <f>+BN35</f>
        <v>249.84898664833676</v>
      </c>
      <c r="K204" s="335">
        <f t="shared" si="153"/>
        <v>0.027097043163646996</v>
      </c>
    </row>
    <row r="205" spans="1:11" ht="12.75">
      <c r="A205" s="336" t="s">
        <v>178</v>
      </c>
      <c r="B205" s="337">
        <f>+Z36</f>
        <v>1037.785717086176</v>
      </c>
      <c r="C205" s="426">
        <f t="shared" si="149"/>
        <v>0.10211704282477874</v>
      </c>
      <c r="D205" s="338">
        <f>+AJ36</f>
        <v>981.6991318304516</v>
      </c>
      <c r="E205" s="333">
        <f t="shared" si="150"/>
        <v>0.10261791869931305</v>
      </c>
      <c r="F205" s="338">
        <f>+AT36</f>
        <v>1015.1887920724415</v>
      </c>
      <c r="G205" s="333">
        <f t="shared" si="151"/>
        <v>0.0900092943886111</v>
      </c>
      <c r="H205" s="338">
        <f>+BD36</f>
        <v>1167.3314780457638</v>
      </c>
      <c r="I205" s="333">
        <f t="shared" si="152"/>
        <v>0.1094660199859278</v>
      </c>
      <c r="J205" s="338">
        <f>+BN36</f>
        <v>913.8385511050011</v>
      </c>
      <c r="K205" s="335">
        <f t="shared" si="153"/>
        <v>0.09910915788003533</v>
      </c>
    </row>
    <row r="206" spans="1:11" ht="12.75">
      <c r="A206" s="336" t="s">
        <v>179</v>
      </c>
      <c r="B206" s="337">
        <f>+Z37</f>
        <v>617.6997569199405</v>
      </c>
      <c r="C206" s="426">
        <f t="shared" si="149"/>
        <v>0.06078101817334138</v>
      </c>
      <c r="D206" s="338">
        <f>+AJ37</f>
        <v>0</v>
      </c>
      <c r="E206" s="333">
        <f t="shared" si="150"/>
        <v>0</v>
      </c>
      <c r="F206" s="338">
        <f>+AT37</f>
        <v>30.819665128993677</v>
      </c>
      <c r="G206" s="333">
        <f t="shared" si="151"/>
        <v>0.0027325521451935547</v>
      </c>
      <c r="H206" s="338">
        <f>+BD37</f>
        <v>535.3146853146853</v>
      </c>
      <c r="I206" s="333">
        <f t="shared" si="152"/>
        <v>0.0501989102011697</v>
      </c>
      <c r="J206" s="338">
        <f>+BN37</f>
        <v>772.4858880626549</v>
      </c>
      <c r="K206" s="335">
        <f t="shared" si="153"/>
        <v>0.08377894076314152</v>
      </c>
    </row>
    <row r="207" spans="1:11" ht="12.75">
      <c r="A207" s="336" t="s">
        <v>180</v>
      </c>
      <c r="B207" s="337">
        <f>+Z38</f>
        <v>80.1894652238689</v>
      </c>
      <c r="C207" s="426">
        <f t="shared" si="149"/>
        <v>0.007890560565194162</v>
      </c>
      <c r="D207" s="338">
        <f>+AJ38</f>
        <v>169.41283042727562</v>
      </c>
      <c r="E207" s="333">
        <f t="shared" si="150"/>
        <v>0.017708879936555948</v>
      </c>
      <c r="F207" s="338">
        <f>+AT38</f>
        <v>496.4975226379634</v>
      </c>
      <c r="G207" s="333">
        <f t="shared" si="151"/>
        <v>0.04402076936557395</v>
      </c>
      <c r="H207" s="338">
        <f>+BD38</f>
        <v>258.00390086104375</v>
      </c>
      <c r="I207" s="333">
        <f t="shared" si="152"/>
        <v>0.02419420764304544</v>
      </c>
      <c r="J207" s="338">
        <f>+BN38</f>
        <v>32.00441583869691</v>
      </c>
      <c r="K207" s="335">
        <f t="shared" si="153"/>
        <v>0.003470996817085753</v>
      </c>
    </row>
    <row r="208" spans="1:11" s="39" customFormat="1" ht="12.75">
      <c r="A208" s="336" t="s">
        <v>181</v>
      </c>
      <c r="B208" s="27">
        <f>+Z26+Z27+Z30+Z31+Z32+Z33+Z25</f>
        <v>814.6583156904259</v>
      </c>
      <c r="C208" s="423">
        <f t="shared" si="149"/>
        <v>0.08016153695437045</v>
      </c>
      <c r="D208" s="4">
        <f>+AJ26+AJ27+AJ30+AJ31+AJ32+AJ33+AJ25</f>
        <v>699.3446171056152</v>
      </c>
      <c r="E208" s="322">
        <f t="shared" si="150"/>
        <v>0.07310313998865872</v>
      </c>
      <c r="F208" s="4">
        <f>+AT26+AT27+AT30+AT31+AT32+AT33+AT25</f>
        <v>482.56022552537155</v>
      </c>
      <c r="G208" s="322">
        <f t="shared" si="151"/>
        <v>0.04278505213880289</v>
      </c>
      <c r="H208" s="4">
        <f>+BD26+BD27+BD30+BD31+BD32+BD33+BD25</f>
        <v>792.6549640835356</v>
      </c>
      <c r="I208" s="322">
        <f t="shared" si="152"/>
        <v>0.07433088696072283</v>
      </c>
      <c r="J208" s="4">
        <f>+BN26+BN27+BN30+BN31+BN32+BN33+BN25</f>
        <v>698.7361744672875</v>
      </c>
      <c r="K208" s="323">
        <f t="shared" si="153"/>
        <v>0.07578051259495755</v>
      </c>
    </row>
    <row r="209" spans="1:11" ht="13.5" thickBot="1">
      <c r="A209" s="339" t="s">
        <v>182</v>
      </c>
      <c r="B209" s="340"/>
      <c r="C209" s="341"/>
      <c r="D209" s="342"/>
      <c r="E209" s="341"/>
      <c r="F209" s="342"/>
      <c r="G209" s="341"/>
      <c r="H209" s="342"/>
      <c r="I209" s="341"/>
      <c r="J209" s="342"/>
      <c r="K209" s="343"/>
    </row>
    <row r="229" ht="13.5" thickBot="1"/>
    <row r="230" spans="1:11" s="39" customFormat="1" ht="25.5" customHeight="1" thickBot="1">
      <c r="A230" s="876" t="s">
        <v>183</v>
      </c>
      <c r="B230" s="878">
        <v>2004</v>
      </c>
      <c r="C230" s="879"/>
      <c r="D230" s="879"/>
      <c r="E230" s="879"/>
      <c r="F230" s="879"/>
      <c r="G230" s="879"/>
      <c r="H230" s="879"/>
      <c r="I230" s="879"/>
      <c r="J230" s="879"/>
      <c r="K230" s="707"/>
    </row>
    <row r="231" spans="1:11" ht="36.75" customHeight="1" thickBot="1">
      <c r="A231" s="877"/>
      <c r="B231" s="880" t="s">
        <v>170</v>
      </c>
      <c r="C231" s="881"/>
      <c r="D231" s="882" t="s">
        <v>7</v>
      </c>
      <c r="E231" s="883"/>
      <c r="F231" s="882" t="s">
        <v>6</v>
      </c>
      <c r="G231" s="883"/>
      <c r="H231" s="882" t="s">
        <v>5</v>
      </c>
      <c r="I231" s="884"/>
      <c r="J231" s="882" t="s">
        <v>171</v>
      </c>
      <c r="K231" s="885"/>
    </row>
    <row r="232" spans="1:11" s="39" customFormat="1" ht="24" customHeight="1" thickBot="1">
      <c r="A232" s="92" t="s">
        <v>172</v>
      </c>
      <c r="B232" s="69">
        <f>+BO23</f>
        <v>16918.54084243219</v>
      </c>
      <c r="C232" s="424" t="s">
        <v>173</v>
      </c>
      <c r="D232" s="51">
        <f>+BP23</f>
        <v>16716.596488587027</v>
      </c>
      <c r="E232" s="319" t="s">
        <v>173</v>
      </c>
      <c r="F232" s="51">
        <f>+BQ23</f>
        <v>18262.65347704667</v>
      </c>
      <c r="G232" s="319" t="s">
        <v>173</v>
      </c>
      <c r="H232" s="51">
        <f>+BR23</f>
        <v>18089.941510136472</v>
      </c>
      <c r="I232" s="319" t="s">
        <v>173</v>
      </c>
      <c r="J232" s="51">
        <f>+BS23</f>
        <v>17392.75475505668</v>
      </c>
      <c r="K232" s="320" t="s">
        <v>173</v>
      </c>
    </row>
    <row r="233" spans="1:11" ht="12.75">
      <c r="A233" s="331" t="s">
        <v>174</v>
      </c>
      <c r="B233" s="332">
        <f>+BO24</f>
        <v>10618.713006290867</v>
      </c>
      <c r="C233" s="426">
        <f aca="true" t="shared" si="154" ref="C233:C240">+B233/$B$232</f>
        <v>0.627637637618182</v>
      </c>
      <c r="D233" s="334">
        <f>+BP24</f>
        <v>10742.725684144038</v>
      </c>
      <c r="E233" s="333">
        <f aca="true" t="shared" si="155" ref="E233:E240">+D233/$D$232</f>
        <v>0.6426383320000846</v>
      </c>
      <c r="F233" s="334">
        <f>+BQ24</f>
        <v>11325.93358027439</v>
      </c>
      <c r="G233" s="333">
        <f aca="true" t="shared" si="156" ref="G233:G240">+F233/$F$232</f>
        <v>0.6201691114880614</v>
      </c>
      <c r="H233" s="334">
        <f>+BR24</f>
        <v>11175.277252211179</v>
      </c>
      <c r="I233" s="333">
        <f aca="true" t="shared" si="157" ref="I233:I240">+H233/$H$232</f>
        <v>0.6177619339426417</v>
      </c>
      <c r="J233" s="334">
        <f>+BS24</f>
        <v>10372.353972990344</v>
      </c>
      <c r="K233" s="335">
        <f aca="true" t="shared" si="158" ref="K233:K240">+J233/$J$232</f>
        <v>0.5963606179161894</v>
      </c>
    </row>
    <row r="234" spans="1:11" ht="12.75">
      <c r="A234" s="336" t="s">
        <v>175</v>
      </c>
      <c r="B234" s="332">
        <f>+BO28</f>
        <v>908.8858071558185</v>
      </c>
      <c r="C234" s="426">
        <f t="shared" si="154"/>
        <v>0.053721288119381226</v>
      </c>
      <c r="D234" s="334">
        <f>+BP28</f>
        <v>1093.0376113182265</v>
      </c>
      <c r="E234" s="333">
        <f t="shared" si="155"/>
        <v>0.06538637288185303</v>
      </c>
      <c r="F234" s="334">
        <f>+BQ28</f>
        <v>1150.6221218913777</v>
      </c>
      <c r="G234" s="333">
        <f t="shared" si="156"/>
        <v>0.06300410415920839</v>
      </c>
      <c r="H234" s="334">
        <f>+BR28</f>
        <v>915.2199021306345</v>
      </c>
      <c r="I234" s="333">
        <f t="shared" si="157"/>
        <v>0.05059275076250537</v>
      </c>
      <c r="J234" s="334">
        <f>+BS28</f>
        <v>582.8720111457021</v>
      </c>
      <c r="K234" s="335">
        <f t="shared" si="158"/>
        <v>0.033512345764332756</v>
      </c>
    </row>
    <row r="235" spans="1:11" ht="12.75">
      <c r="A235" s="324" t="s">
        <v>176</v>
      </c>
      <c r="B235" s="332">
        <f>+BO29</f>
        <v>269.973245736362</v>
      </c>
      <c r="C235" s="426">
        <f t="shared" si="154"/>
        <v>0.015957241717870923</v>
      </c>
      <c r="D235" s="334">
        <f>+BP29</f>
        <v>495.42100944267844</v>
      </c>
      <c r="E235" s="333">
        <f t="shared" si="155"/>
        <v>0.029636475928632885</v>
      </c>
      <c r="F235" s="334">
        <f>+BQ29</f>
        <v>798.899363570365</v>
      </c>
      <c r="G235" s="333">
        <f t="shared" si="156"/>
        <v>0.043744977397422447</v>
      </c>
      <c r="H235" s="334">
        <f>+BR29</f>
        <v>535.8640314884046</v>
      </c>
      <c r="I235" s="333">
        <f t="shared" si="157"/>
        <v>0.029622209181170648</v>
      </c>
      <c r="J235" s="334">
        <f>+BS29</f>
        <v>410.5245912823662</v>
      </c>
      <c r="K235" s="335">
        <f t="shared" si="158"/>
        <v>0.02360319552962203</v>
      </c>
    </row>
    <row r="236" spans="1:11" ht="12.75">
      <c r="A236" s="336" t="s">
        <v>177</v>
      </c>
      <c r="B236" s="332">
        <f>+BO35</f>
        <v>413.21908539671716</v>
      </c>
      <c r="C236" s="426">
        <f t="shared" si="154"/>
        <v>0.024424038056541596</v>
      </c>
      <c r="D236" s="334">
        <f>+BP35</f>
        <v>386.49599593837917</v>
      </c>
      <c r="E236" s="333">
        <f t="shared" si="155"/>
        <v>0.023120495622554076</v>
      </c>
      <c r="F236" s="334">
        <f>+BQ35</f>
        <v>392.7873074416165</v>
      </c>
      <c r="G236" s="333">
        <f t="shared" si="156"/>
        <v>0.021507680027729233</v>
      </c>
      <c r="H236" s="334">
        <f>+BR35</f>
        <v>403.70163520865634</v>
      </c>
      <c r="I236" s="333">
        <f t="shared" si="157"/>
        <v>0.022316359341595836</v>
      </c>
      <c r="J236" s="334">
        <f>+BS35</f>
        <v>418.5652781218918</v>
      </c>
      <c r="K236" s="335">
        <f t="shared" si="158"/>
        <v>0.024065496467728913</v>
      </c>
    </row>
    <row r="237" spans="1:11" ht="12.75">
      <c r="A237" s="336" t="s">
        <v>178</v>
      </c>
      <c r="B237" s="332">
        <f>+BO36</f>
        <v>1758.938747542361</v>
      </c>
      <c r="C237" s="426">
        <f t="shared" si="154"/>
        <v>0.10396515656544633</v>
      </c>
      <c r="D237" s="334">
        <f>+BP36</f>
        <v>1718.9164976784416</v>
      </c>
      <c r="E237" s="333">
        <f t="shared" si="155"/>
        <v>0.10282694200652644</v>
      </c>
      <c r="F237" s="334">
        <f>+BQ36</f>
        <v>1842.7103370798425</v>
      </c>
      <c r="G237" s="333">
        <f t="shared" si="156"/>
        <v>0.10090047097459545</v>
      </c>
      <c r="H237" s="334">
        <f>+BR36</f>
        <v>1886.4362025470352</v>
      </c>
      <c r="I237" s="333">
        <f t="shared" si="157"/>
        <v>0.10428094538006076</v>
      </c>
      <c r="J237" s="334">
        <f>+BS36</f>
        <v>1822.8802878348827</v>
      </c>
      <c r="K237" s="335">
        <f t="shared" si="158"/>
        <v>0.10480687582310144</v>
      </c>
    </row>
    <row r="238" spans="1:11" ht="12.75">
      <c r="A238" s="336" t="s">
        <v>179</v>
      </c>
      <c r="B238" s="332">
        <f>+BO37</f>
        <v>826.4476398056614</v>
      </c>
      <c r="C238" s="426">
        <f t="shared" si="154"/>
        <v>0.04884863579564183</v>
      </c>
      <c r="D238" s="334">
        <f>+BP37</f>
        <v>105.34666938228533</v>
      </c>
      <c r="E238" s="333">
        <f t="shared" si="155"/>
        <v>0.006301920935533078</v>
      </c>
      <c r="F238" s="334">
        <f>+BQ37</f>
        <v>90.86834756158954</v>
      </c>
      <c r="G238" s="333">
        <f t="shared" si="156"/>
        <v>0.00497563772295176</v>
      </c>
      <c r="H238" s="334">
        <f>+BR37</f>
        <v>516.0933558250509</v>
      </c>
      <c r="I238" s="333">
        <f t="shared" si="157"/>
        <v>0.028529299309003543</v>
      </c>
      <c r="J238" s="334">
        <f>+BS37</f>
        <v>2092.6413769825454</v>
      </c>
      <c r="K238" s="335">
        <f t="shared" si="158"/>
        <v>0.12031684494223903</v>
      </c>
    </row>
    <row r="239" spans="1:11" ht="12.75">
      <c r="A239" s="336" t="s">
        <v>180</v>
      </c>
      <c r="B239" s="332">
        <f>+BO38</f>
        <v>333.4311224050602</v>
      </c>
      <c r="C239" s="426">
        <f t="shared" si="154"/>
        <v>0.019708030704917844</v>
      </c>
      <c r="D239" s="334">
        <f>+BP38</f>
        <v>677.2053332388772</v>
      </c>
      <c r="E239" s="333">
        <f t="shared" si="155"/>
        <v>0.04051095770010526</v>
      </c>
      <c r="F239" s="334">
        <f>+BQ38</f>
        <v>1417.5806400330669</v>
      </c>
      <c r="G239" s="333">
        <f t="shared" si="156"/>
        <v>0.07762183309313438</v>
      </c>
      <c r="H239" s="334">
        <f>+BR38</f>
        <v>1019.8134175253034</v>
      </c>
      <c r="I239" s="333">
        <f t="shared" si="157"/>
        <v>0.056374611103848164</v>
      </c>
      <c r="J239" s="334">
        <f>+BS38</f>
        <v>117.83123812806787</v>
      </c>
      <c r="K239" s="335">
        <f t="shared" si="158"/>
        <v>0.006774731190515419</v>
      </c>
    </row>
    <row r="240" spans="1:11" s="39" customFormat="1" ht="12.75">
      <c r="A240" s="336" t="s">
        <v>181</v>
      </c>
      <c r="B240" s="332">
        <f>+BO26+BO27+BO30+BO31+BO32+BO33+BO25</f>
        <v>1788.9321880993452</v>
      </c>
      <c r="C240" s="426">
        <f t="shared" si="154"/>
        <v>0.10573797142201835</v>
      </c>
      <c r="D240" s="334">
        <f>+BP26+BP27+BP30+BP31+BP32+BP33+BP25</f>
        <v>1497.4476874441013</v>
      </c>
      <c r="E240" s="333">
        <f t="shared" si="155"/>
        <v>0.08957850292471069</v>
      </c>
      <c r="F240" s="334">
        <f>+BQ26+BQ27+BQ30+BQ31+BQ32+BQ33+BQ25</f>
        <v>1243.251779194421</v>
      </c>
      <c r="G240" s="333">
        <f t="shared" si="156"/>
        <v>0.06807618513689678</v>
      </c>
      <c r="H240" s="334">
        <f>+BR26+BR27+BR30+BR31+BR32+BR33+BR25</f>
        <v>1637.5357132002068</v>
      </c>
      <c r="I240" s="333">
        <f t="shared" si="157"/>
        <v>0.09052189097917393</v>
      </c>
      <c r="J240" s="334">
        <f>+BS26+BS27+BS30+BS31+BS32+BS33+BS25</f>
        <v>1575.0859985708796</v>
      </c>
      <c r="K240" s="335">
        <f t="shared" si="158"/>
        <v>0.0905598923662709</v>
      </c>
    </row>
    <row r="241" spans="1:11" ht="13.5" thickBot="1">
      <c r="A241" s="339" t="s">
        <v>182</v>
      </c>
      <c r="B241" s="340"/>
      <c r="C241" s="427"/>
      <c r="D241" s="342"/>
      <c r="E241" s="341"/>
      <c r="F241" s="342"/>
      <c r="G241" s="341"/>
      <c r="H241" s="342"/>
      <c r="I241" s="341"/>
      <c r="J241" s="342"/>
      <c r="K241" s="343"/>
    </row>
  </sheetData>
  <mergeCells count="71">
    <mergeCell ref="A2:K2"/>
    <mergeCell ref="A4:A5"/>
    <mergeCell ref="B5:C5"/>
    <mergeCell ref="D5:E5"/>
    <mergeCell ref="F5:G5"/>
    <mergeCell ref="H5:I5"/>
    <mergeCell ref="J5:K5"/>
    <mergeCell ref="B4:K4"/>
    <mergeCell ref="A31:A32"/>
    <mergeCell ref="B31:K31"/>
    <mergeCell ref="B32:C32"/>
    <mergeCell ref="D32:E32"/>
    <mergeCell ref="F32:G32"/>
    <mergeCell ref="H32:I32"/>
    <mergeCell ref="J32:K32"/>
    <mergeCell ref="A62:A63"/>
    <mergeCell ref="B62:K62"/>
    <mergeCell ref="B63:C63"/>
    <mergeCell ref="D63:E63"/>
    <mergeCell ref="F63:G63"/>
    <mergeCell ref="H63:I63"/>
    <mergeCell ref="J63:K63"/>
    <mergeCell ref="A89:A90"/>
    <mergeCell ref="B89:K89"/>
    <mergeCell ref="B90:C90"/>
    <mergeCell ref="D90:E90"/>
    <mergeCell ref="F90:G90"/>
    <mergeCell ref="H90:I90"/>
    <mergeCell ref="J90:K90"/>
    <mergeCell ref="A116:A117"/>
    <mergeCell ref="B116:K116"/>
    <mergeCell ref="B117:C117"/>
    <mergeCell ref="D117:E117"/>
    <mergeCell ref="F117:G117"/>
    <mergeCell ref="H117:I117"/>
    <mergeCell ref="J117:K117"/>
    <mergeCell ref="A143:A144"/>
    <mergeCell ref="B143:K143"/>
    <mergeCell ref="B144:C144"/>
    <mergeCell ref="D144:E144"/>
    <mergeCell ref="F144:G144"/>
    <mergeCell ref="H144:I144"/>
    <mergeCell ref="J144:K144"/>
    <mergeCell ref="A170:A171"/>
    <mergeCell ref="B170:K170"/>
    <mergeCell ref="B171:C171"/>
    <mergeCell ref="D171:E171"/>
    <mergeCell ref="F171:G171"/>
    <mergeCell ref="H171:I171"/>
    <mergeCell ref="J171:K171"/>
    <mergeCell ref="A198:A199"/>
    <mergeCell ref="B198:K198"/>
    <mergeCell ref="B199:C199"/>
    <mergeCell ref="D199:E199"/>
    <mergeCell ref="F199:G199"/>
    <mergeCell ref="H199:I199"/>
    <mergeCell ref="J199:K199"/>
    <mergeCell ref="P4:P5"/>
    <mergeCell ref="Q4:Z4"/>
    <mergeCell ref="AA4:AJ4"/>
    <mergeCell ref="A230:A231"/>
    <mergeCell ref="B230:K230"/>
    <mergeCell ref="B231:C231"/>
    <mergeCell ref="D231:E231"/>
    <mergeCell ref="F231:G231"/>
    <mergeCell ref="H231:I231"/>
    <mergeCell ref="J231:K231"/>
    <mergeCell ref="BO4:BS4"/>
    <mergeCell ref="AK4:AT4"/>
    <mergeCell ref="AU4:BD4"/>
    <mergeCell ref="BE4:BN4"/>
  </mergeCells>
  <printOptions horizontalCentered="1"/>
  <pageMargins left="0.17" right="0.17" top="0.31" bottom="0.23" header="0.28" footer="0.19"/>
  <pageSetup horizontalDpi="600" verticalDpi="600" orientation="portrait" paperSize="9" scale="85" r:id="rId2"/>
  <rowBreaks count="2" manualBreakCount="2">
    <brk id="115" max="255" man="1"/>
    <brk id="169" max="255" man="1"/>
  </rowBreaks>
  <colBreaks count="1" manualBreakCount="1">
    <brk id="46" max="65535" man="1"/>
  </colBreaks>
  <drawing r:id="rId1"/>
</worksheet>
</file>

<file path=xl/worksheets/sheet6.xml><?xml version="1.0" encoding="utf-8"?>
<worksheet xmlns="http://schemas.openxmlformats.org/spreadsheetml/2006/main" xmlns:r="http://schemas.openxmlformats.org/officeDocument/2006/relationships">
  <dimension ref="A2:L211"/>
  <sheetViews>
    <sheetView workbookViewId="0" topLeftCell="A1">
      <selection activeCell="A1" sqref="A1"/>
    </sheetView>
  </sheetViews>
  <sheetFormatPr defaultColWidth="9.00390625" defaultRowHeight="12.75"/>
  <cols>
    <col min="1" max="1" width="10.625" style="0" customWidth="1"/>
    <col min="2" max="11" width="10.75390625" style="0" customWidth="1"/>
    <col min="12" max="12" width="10.00390625" style="0" customWidth="1"/>
  </cols>
  <sheetData>
    <row r="2" spans="1:12" ht="18">
      <c r="A2" s="944" t="s">
        <v>64</v>
      </c>
      <c r="B2" s="945"/>
      <c r="C2" s="945"/>
      <c r="D2" s="945"/>
      <c r="E2" s="945"/>
      <c r="F2" s="945"/>
      <c r="G2" s="945"/>
      <c r="H2" s="945"/>
      <c r="I2" s="945"/>
      <c r="J2" s="945"/>
      <c r="K2" s="945"/>
      <c r="L2" s="946"/>
    </row>
    <row r="3" ht="15.75">
      <c r="A3" s="29"/>
    </row>
    <row r="4" ht="15.75">
      <c r="A4" s="29"/>
    </row>
    <row r="5" spans="1:10" ht="17.25" customHeight="1" thickBot="1">
      <c r="A5" s="95" t="s">
        <v>61</v>
      </c>
      <c r="J5" s="558" t="s">
        <v>274</v>
      </c>
    </row>
    <row r="6" spans="1:10" ht="12.75" customHeight="1" thickBot="1">
      <c r="A6" s="679" t="s">
        <v>39</v>
      </c>
      <c r="B6" s="920" t="s">
        <v>3</v>
      </c>
      <c r="C6" s="920"/>
      <c r="D6" s="936"/>
      <c r="E6" s="919" t="s">
        <v>4</v>
      </c>
      <c r="F6" s="706"/>
      <c r="G6" s="707"/>
      <c r="H6" s="919" t="s">
        <v>24</v>
      </c>
      <c r="I6" s="920"/>
      <c r="J6" s="921"/>
    </row>
    <row r="7" spans="1:10" ht="13.5" thickBot="1">
      <c r="A7" s="680"/>
      <c r="B7" s="86">
        <v>2003</v>
      </c>
      <c r="C7" s="10">
        <v>2004</v>
      </c>
      <c r="D7" s="94" t="s">
        <v>1</v>
      </c>
      <c r="E7" s="1">
        <v>2003</v>
      </c>
      <c r="F7" s="10">
        <v>2004</v>
      </c>
      <c r="G7" s="94" t="s">
        <v>1</v>
      </c>
      <c r="H7" s="1">
        <v>2003</v>
      </c>
      <c r="I7" s="10">
        <v>2004</v>
      </c>
      <c r="J7" s="94" t="s">
        <v>1</v>
      </c>
    </row>
    <row r="8" spans="1:10" ht="12.75">
      <c r="A8" s="53" t="s">
        <v>40</v>
      </c>
      <c r="B8" s="88">
        <v>47428</v>
      </c>
      <c r="C8" s="2">
        <v>41134</v>
      </c>
      <c r="D8" s="96">
        <f aca="true" t="shared" si="0" ref="D8:D19">+C8-B8</f>
        <v>-6294</v>
      </c>
      <c r="E8" s="2">
        <v>44590</v>
      </c>
      <c r="F8" s="2">
        <v>43548</v>
      </c>
      <c r="G8" s="96">
        <f aca="true" t="shared" si="1" ref="G8:G19">+F8-E8</f>
        <v>-1042</v>
      </c>
      <c r="H8" s="2">
        <f aca="true" t="shared" si="2" ref="H8:H19">+E8-B8</f>
        <v>-2838</v>
      </c>
      <c r="I8" s="11">
        <f aca="true" t="shared" si="3" ref="I8:I19">+F8-C8</f>
        <v>2414</v>
      </c>
      <c r="J8" s="96">
        <f aca="true" t="shared" si="4" ref="J8:J19">+I8-H8</f>
        <v>5252</v>
      </c>
    </row>
    <row r="9" spans="1:10" ht="12.75">
      <c r="A9" s="55" t="s">
        <v>41</v>
      </c>
      <c r="B9" s="46">
        <v>93409</v>
      </c>
      <c r="C9" s="4">
        <v>87280</v>
      </c>
      <c r="D9" s="16">
        <f t="shared" si="0"/>
        <v>-6129</v>
      </c>
      <c r="E9" s="4">
        <v>87899</v>
      </c>
      <c r="F9" s="4">
        <v>90146</v>
      </c>
      <c r="G9" s="16">
        <f t="shared" si="1"/>
        <v>2247</v>
      </c>
      <c r="H9" s="2">
        <f t="shared" si="2"/>
        <v>-5510</v>
      </c>
      <c r="I9" s="11">
        <f t="shared" si="3"/>
        <v>2866</v>
      </c>
      <c r="J9" s="16">
        <f t="shared" si="4"/>
        <v>8376</v>
      </c>
    </row>
    <row r="10" spans="1:10" ht="12.75">
      <c r="A10" s="55" t="s">
        <v>42</v>
      </c>
      <c r="B10" s="46">
        <v>140501</v>
      </c>
      <c r="C10" s="4">
        <v>134643</v>
      </c>
      <c r="D10" s="16">
        <f t="shared" si="0"/>
        <v>-5858</v>
      </c>
      <c r="E10" s="4">
        <v>132763</v>
      </c>
      <c r="F10" s="4">
        <v>136024</v>
      </c>
      <c r="G10" s="16">
        <f t="shared" si="1"/>
        <v>3261</v>
      </c>
      <c r="H10" s="2">
        <f t="shared" si="2"/>
        <v>-7738</v>
      </c>
      <c r="I10" s="11">
        <f t="shared" si="3"/>
        <v>1381</v>
      </c>
      <c r="J10" s="16">
        <f t="shared" si="4"/>
        <v>9119</v>
      </c>
    </row>
    <row r="11" spans="1:10" ht="12.75">
      <c r="A11" s="55" t="s">
        <v>43</v>
      </c>
      <c r="B11" s="46">
        <v>187980</v>
      </c>
      <c r="C11" s="4">
        <v>179311</v>
      </c>
      <c r="D11" s="16">
        <f t="shared" si="0"/>
        <v>-8669</v>
      </c>
      <c r="E11" s="4">
        <v>177729</v>
      </c>
      <c r="F11" s="4">
        <v>182890</v>
      </c>
      <c r="G11" s="16">
        <f t="shared" si="1"/>
        <v>5161</v>
      </c>
      <c r="H11" s="2">
        <f t="shared" si="2"/>
        <v>-10251</v>
      </c>
      <c r="I11" s="11">
        <f t="shared" si="3"/>
        <v>3579</v>
      </c>
      <c r="J11" s="16">
        <f t="shared" si="4"/>
        <v>13830</v>
      </c>
    </row>
    <row r="12" spans="1:10" ht="12.75">
      <c r="A12" s="55" t="s">
        <v>44</v>
      </c>
      <c r="B12" s="46">
        <v>238559</v>
      </c>
      <c r="C12" s="4">
        <v>225771</v>
      </c>
      <c r="D12" s="16">
        <f t="shared" si="0"/>
        <v>-12788</v>
      </c>
      <c r="E12" s="4">
        <v>221120</v>
      </c>
      <c r="F12" s="4">
        <v>230426</v>
      </c>
      <c r="G12" s="16">
        <f t="shared" si="1"/>
        <v>9306</v>
      </c>
      <c r="H12" s="2">
        <f t="shared" si="2"/>
        <v>-17439</v>
      </c>
      <c r="I12" s="11">
        <f t="shared" si="3"/>
        <v>4655</v>
      </c>
      <c r="J12" s="16">
        <f t="shared" si="4"/>
        <v>22094</v>
      </c>
    </row>
    <row r="13" spans="1:10" ht="12.75">
      <c r="A13" s="55" t="s">
        <v>45</v>
      </c>
      <c r="B13" s="47">
        <v>284063</v>
      </c>
      <c r="C13" s="9">
        <v>273103</v>
      </c>
      <c r="D13" s="16">
        <f t="shared" si="0"/>
        <v>-10960</v>
      </c>
      <c r="E13" s="9">
        <v>273203</v>
      </c>
      <c r="F13" s="9">
        <v>281114</v>
      </c>
      <c r="G13" s="16">
        <f t="shared" si="1"/>
        <v>7911</v>
      </c>
      <c r="H13" s="2">
        <f t="shared" si="2"/>
        <v>-10860</v>
      </c>
      <c r="I13" s="11">
        <f t="shared" si="3"/>
        <v>8011</v>
      </c>
      <c r="J13" s="16">
        <f t="shared" si="4"/>
        <v>18871</v>
      </c>
    </row>
    <row r="14" spans="1:10" ht="12.75">
      <c r="A14" s="55" t="s">
        <v>46</v>
      </c>
      <c r="B14" s="40">
        <v>330280</v>
      </c>
      <c r="C14" s="8">
        <v>318225</v>
      </c>
      <c r="D14" s="16">
        <f t="shared" si="0"/>
        <v>-12055</v>
      </c>
      <c r="E14" s="8">
        <v>307701</v>
      </c>
      <c r="F14" s="8">
        <v>323281</v>
      </c>
      <c r="G14" s="16">
        <f t="shared" si="1"/>
        <v>15580</v>
      </c>
      <c r="H14" s="2">
        <f t="shared" si="2"/>
        <v>-22579</v>
      </c>
      <c r="I14" s="11">
        <f t="shared" si="3"/>
        <v>5056</v>
      </c>
      <c r="J14" s="16">
        <f t="shared" si="4"/>
        <v>27635</v>
      </c>
    </row>
    <row r="15" spans="1:10" ht="12.75">
      <c r="A15" s="55" t="s">
        <v>47</v>
      </c>
      <c r="B15" s="40">
        <v>371959</v>
      </c>
      <c r="C15" s="8">
        <v>358519</v>
      </c>
      <c r="D15" s="16">
        <f t="shared" si="0"/>
        <v>-13440</v>
      </c>
      <c r="E15" s="8">
        <v>344955</v>
      </c>
      <c r="F15" s="8">
        <v>365867</v>
      </c>
      <c r="G15" s="16">
        <f t="shared" si="1"/>
        <v>20912</v>
      </c>
      <c r="H15" s="4">
        <f t="shared" si="2"/>
        <v>-27004</v>
      </c>
      <c r="I15" s="12">
        <f t="shared" si="3"/>
        <v>7348</v>
      </c>
      <c r="J15" s="16">
        <f t="shared" si="4"/>
        <v>34352</v>
      </c>
    </row>
    <row r="16" spans="1:10" ht="12.75">
      <c r="A16" s="55" t="s">
        <v>48</v>
      </c>
      <c r="B16" s="40">
        <v>423398</v>
      </c>
      <c r="C16" s="8">
        <v>401865</v>
      </c>
      <c r="D16" s="16">
        <f t="shared" si="0"/>
        <v>-21533</v>
      </c>
      <c r="E16" s="8">
        <v>386549</v>
      </c>
      <c r="F16" s="8">
        <v>410677</v>
      </c>
      <c r="G16" s="16">
        <f t="shared" si="1"/>
        <v>24128</v>
      </c>
      <c r="H16" s="2">
        <f t="shared" si="2"/>
        <v>-36849</v>
      </c>
      <c r="I16" s="11">
        <f t="shared" si="3"/>
        <v>8812</v>
      </c>
      <c r="J16" s="16">
        <f t="shared" si="4"/>
        <v>45661</v>
      </c>
    </row>
    <row r="17" spans="1:10" ht="12.75">
      <c r="A17" s="57" t="s">
        <v>49</v>
      </c>
      <c r="B17" s="40">
        <v>470421</v>
      </c>
      <c r="C17" s="8">
        <v>448070</v>
      </c>
      <c r="D17" s="16">
        <f t="shared" si="0"/>
        <v>-22351</v>
      </c>
      <c r="E17" s="8">
        <v>428424</v>
      </c>
      <c r="F17" s="8">
        <v>452664</v>
      </c>
      <c r="G17" s="16">
        <f t="shared" si="1"/>
        <v>24240</v>
      </c>
      <c r="H17" s="4">
        <f t="shared" si="2"/>
        <v>-41997</v>
      </c>
      <c r="I17" s="12">
        <f t="shared" si="3"/>
        <v>4594</v>
      </c>
      <c r="J17" s="16">
        <f t="shared" si="4"/>
        <v>46591</v>
      </c>
    </row>
    <row r="18" spans="1:10" ht="12.75">
      <c r="A18" s="55" t="s">
        <v>50</v>
      </c>
      <c r="B18" s="40">
        <v>518198</v>
      </c>
      <c r="C18" s="8">
        <v>499946</v>
      </c>
      <c r="D18" s="16">
        <f t="shared" si="0"/>
        <v>-18252</v>
      </c>
      <c r="E18" s="8">
        <v>469007</v>
      </c>
      <c r="F18" s="8">
        <v>495990</v>
      </c>
      <c r="G18" s="16">
        <f t="shared" si="1"/>
        <v>26983</v>
      </c>
      <c r="H18" s="4">
        <f t="shared" si="2"/>
        <v>-49191</v>
      </c>
      <c r="I18" s="12">
        <f t="shared" si="3"/>
        <v>-3956</v>
      </c>
      <c r="J18" s="16">
        <f t="shared" si="4"/>
        <v>45235</v>
      </c>
    </row>
    <row r="19" spans="1:10" ht="13.5" thickBot="1">
      <c r="A19" s="59" t="s">
        <v>51</v>
      </c>
      <c r="B19" s="41">
        <v>567589</v>
      </c>
      <c r="C19" s="6">
        <f>492158.17+55288.46+749.76</f>
        <v>548196.39</v>
      </c>
      <c r="D19" s="17">
        <f t="shared" si="0"/>
        <v>-19392.609999999986</v>
      </c>
      <c r="E19" s="6">
        <v>516805</v>
      </c>
      <c r="F19" s="6">
        <f>488322.64+59382.41</f>
        <v>547705.05</v>
      </c>
      <c r="G19" s="17">
        <f t="shared" si="1"/>
        <v>30900.050000000047</v>
      </c>
      <c r="H19" s="6">
        <f t="shared" si="2"/>
        <v>-50784</v>
      </c>
      <c r="I19" s="85">
        <f t="shared" si="3"/>
        <v>-491.3399999999674</v>
      </c>
      <c r="J19" s="17">
        <f t="shared" si="4"/>
        <v>50292.66000000003</v>
      </c>
    </row>
    <row r="20" spans="1:10" ht="12.75">
      <c r="A20" s="77"/>
      <c r="B20" s="329"/>
      <c r="C20" s="329"/>
      <c r="D20" s="584"/>
      <c r="E20" s="329"/>
      <c r="F20" s="329"/>
      <c r="G20" s="584"/>
      <c r="H20" s="329"/>
      <c r="I20" s="329"/>
      <c r="J20" s="584"/>
    </row>
    <row r="21" ht="13.5" thickBot="1"/>
    <row r="22" spans="1:12" ht="12.75" customHeight="1">
      <c r="A22" s="926" t="s">
        <v>251</v>
      </c>
      <c r="B22" s="927"/>
      <c r="C22" s="927"/>
      <c r="D22" s="927"/>
      <c r="E22" s="927"/>
      <c r="F22" s="927"/>
      <c r="G22" s="927"/>
      <c r="H22" s="927"/>
      <c r="I22" s="927"/>
      <c r="J22" s="927"/>
      <c r="K22" s="927"/>
      <c r="L22" s="928"/>
    </row>
    <row r="23" spans="1:12" ht="12.75">
      <c r="A23" s="929"/>
      <c r="B23" s="672"/>
      <c r="C23" s="672"/>
      <c r="D23" s="672"/>
      <c r="E23" s="672"/>
      <c r="F23" s="672"/>
      <c r="G23" s="672"/>
      <c r="H23" s="672"/>
      <c r="I23" s="672"/>
      <c r="J23" s="672"/>
      <c r="K23" s="672"/>
      <c r="L23" s="930"/>
    </row>
    <row r="24" spans="1:12" ht="12.75">
      <c r="A24" s="929"/>
      <c r="B24" s="672"/>
      <c r="C24" s="672"/>
      <c r="D24" s="672"/>
      <c r="E24" s="672"/>
      <c r="F24" s="672"/>
      <c r="G24" s="672"/>
      <c r="H24" s="672"/>
      <c r="I24" s="672"/>
      <c r="J24" s="672"/>
      <c r="K24" s="672"/>
      <c r="L24" s="930"/>
    </row>
    <row r="25" spans="1:12" ht="12.75">
      <c r="A25" s="929"/>
      <c r="B25" s="672"/>
      <c r="C25" s="672"/>
      <c r="D25" s="672"/>
      <c r="E25" s="672"/>
      <c r="F25" s="672"/>
      <c r="G25" s="672"/>
      <c r="H25" s="672"/>
      <c r="I25" s="672"/>
      <c r="J25" s="672"/>
      <c r="K25" s="672"/>
      <c r="L25" s="930"/>
    </row>
    <row r="26" spans="1:12" ht="12.75">
      <c r="A26" s="929"/>
      <c r="B26" s="672"/>
      <c r="C26" s="672"/>
      <c r="D26" s="672"/>
      <c r="E26" s="672"/>
      <c r="F26" s="672"/>
      <c r="G26" s="672"/>
      <c r="H26" s="672"/>
      <c r="I26" s="672"/>
      <c r="J26" s="672"/>
      <c r="K26" s="672"/>
      <c r="L26" s="930"/>
    </row>
    <row r="27" spans="1:12" ht="12.75">
      <c r="A27" s="929"/>
      <c r="B27" s="672"/>
      <c r="C27" s="672"/>
      <c r="D27" s="672"/>
      <c r="E27" s="672"/>
      <c r="F27" s="672"/>
      <c r="G27" s="672"/>
      <c r="H27" s="672"/>
      <c r="I27" s="672"/>
      <c r="J27" s="672"/>
      <c r="K27" s="672"/>
      <c r="L27" s="930"/>
    </row>
    <row r="28" spans="1:12" ht="13.5" thickBot="1">
      <c r="A28" s="931"/>
      <c r="B28" s="932"/>
      <c r="C28" s="932"/>
      <c r="D28" s="932"/>
      <c r="E28" s="932"/>
      <c r="F28" s="932"/>
      <c r="G28" s="932"/>
      <c r="H28" s="932"/>
      <c r="I28" s="932"/>
      <c r="J28" s="932"/>
      <c r="K28" s="932"/>
      <c r="L28" s="933"/>
    </row>
    <row r="29" spans="1:11" ht="12.75">
      <c r="A29" s="76"/>
      <c r="B29" s="76"/>
      <c r="C29" s="76"/>
      <c r="D29" s="76"/>
      <c r="E29" s="76"/>
      <c r="F29" s="76"/>
      <c r="G29" s="76"/>
      <c r="H29" s="76"/>
      <c r="I29" s="76"/>
      <c r="J29" s="76"/>
      <c r="K29" s="76"/>
    </row>
    <row r="30" ht="16.5" thickBot="1">
      <c r="A30" s="29" t="s">
        <v>62</v>
      </c>
    </row>
    <row r="31" spans="1:12" ht="12.75">
      <c r="A31" s="937" t="s">
        <v>35</v>
      </c>
      <c r="B31" s="939" t="s">
        <v>36</v>
      </c>
      <c r="C31" s="934" t="s">
        <v>37</v>
      </c>
      <c r="D31" s="934" t="s">
        <v>38</v>
      </c>
      <c r="E31" s="922" t="s">
        <v>11</v>
      </c>
      <c r="F31" s="942" t="s">
        <v>52</v>
      </c>
      <c r="G31" s="685"/>
      <c r="H31" s="685"/>
      <c r="I31" s="685"/>
      <c r="J31" s="685"/>
      <c r="K31" s="943"/>
      <c r="L31" s="924" t="s">
        <v>69</v>
      </c>
    </row>
    <row r="32" spans="1:12" s="39" customFormat="1" ht="18" customHeight="1" thickBot="1">
      <c r="A32" s="938"/>
      <c r="B32" s="940"/>
      <c r="C32" s="935" t="s">
        <v>37</v>
      </c>
      <c r="D32" s="935" t="s">
        <v>38</v>
      </c>
      <c r="E32" s="923" t="s">
        <v>11</v>
      </c>
      <c r="F32" s="74" t="s">
        <v>53</v>
      </c>
      <c r="G32" s="74" t="s">
        <v>54</v>
      </c>
      <c r="H32" s="74" t="s">
        <v>55</v>
      </c>
      <c r="I32" s="74" t="s">
        <v>56</v>
      </c>
      <c r="J32" s="74" t="s">
        <v>57</v>
      </c>
      <c r="K32" s="75" t="s">
        <v>11</v>
      </c>
      <c r="L32" s="925"/>
    </row>
    <row r="33" spans="1:12" ht="13.5" thickBot="1">
      <c r="A33" s="64">
        <v>37986</v>
      </c>
      <c r="B33" s="69">
        <v>109481</v>
      </c>
      <c r="C33" s="51">
        <v>380</v>
      </c>
      <c r="D33" s="51">
        <v>956</v>
      </c>
      <c r="E33" s="52">
        <f aca="true" t="shared" si="5" ref="E33:E45">SUM(B33:D33)</f>
        <v>110817</v>
      </c>
      <c r="F33" s="63">
        <v>18115</v>
      </c>
      <c r="G33" s="63">
        <v>31089</v>
      </c>
      <c r="H33" s="63">
        <v>21042</v>
      </c>
      <c r="I33" s="63">
        <v>6398</v>
      </c>
      <c r="J33" s="63">
        <v>51</v>
      </c>
      <c r="K33" s="108">
        <f aca="true" t="shared" si="6" ref="K33:K45">SUM(F33:J33)</f>
        <v>76695</v>
      </c>
      <c r="L33" s="139">
        <v>31567</v>
      </c>
    </row>
    <row r="34" spans="1:12" ht="12.75">
      <c r="A34" s="65">
        <v>38017</v>
      </c>
      <c r="B34" s="70">
        <v>115436</v>
      </c>
      <c r="C34" s="48">
        <v>381</v>
      </c>
      <c r="D34" s="48">
        <v>956</v>
      </c>
      <c r="E34" s="106">
        <f t="shared" si="5"/>
        <v>116773</v>
      </c>
      <c r="F34" s="54">
        <v>12992</v>
      </c>
      <c r="G34" s="48">
        <v>30885</v>
      </c>
      <c r="H34" s="48">
        <v>29451</v>
      </c>
      <c r="I34" s="48">
        <v>26340</v>
      </c>
      <c r="J34" s="48">
        <v>1097</v>
      </c>
      <c r="K34" s="109">
        <f t="shared" si="6"/>
        <v>100765</v>
      </c>
      <c r="L34" s="132"/>
    </row>
    <row r="35" spans="1:12" ht="12.75">
      <c r="A35" s="66">
        <v>38046</v>
      </c>
      <c r="B35" s="62">
        <v>107514</v>
      </c>
      <c r="C35" s="49">
        <v>213</v>
      </c>
      <c r="D35" s="49">
        <v>5410</v>
      </c>
      <c r="E35" s="106">
        <f t="shared" si="5"/>
        <v>113137</v>
      </c>
      <c r="F35" s="56">
        <v>17602</v>
      </c>
      <c r="G35" s="49">
        <v>23423</v>
      </c>
      <c r="H35" s="49">
        <v>35623</v>
      </c>
      <c r="I35" s="49">
        <v>14711</v>
      </c>
      <c r="J35" s="49">
        <v>180</v>
      </c>
      <c r="K35" s="110">
        <f t="shared" si="6"/>
        <v>91539</v>
      </c>
      <c r="L35" s="130"/>
    </row>
    <row r="36" spans="1:12" ht="12.75">
      <c r="A36" s="66">
        <v>38077</v>
      </c>
      <c r="B36" s="62">
        <v>103505</v>
      </c>
      <c r="C36" s="49">
        <v>379</v>
      </c>
      <c r="D36" s="49">
        <v>6624</v>
      </c>
      <c r="E36" s="106">
        <f t="shared" si="5"/>
        <v>110508</v>
      </c>
      <c r="F36" s="56">
        <v>20460</v>
      </c>
      <c r="G36" s="49">
        <v>26503</v>
      </c>
      <c r="H36" s="49">
        <v>34961</v>
      </c>
      <c r="I36" s="49">
        <v>8213</v>
      </c>
      <c r="J36" s="49">
        <v>180</v>
      </c>
      <c r="K36" s="110">
        <f t="shared" si="6"/>
        <v>90317</v>
      </c>
      <c r="L36" s="136">
        <v>11251</v>
      </c>
    </row>
    <row r="37" spans="1:12" ht="12.75">
      <c r="A37" s="66">
        <v>38107</v>
      </c>
      <c r="B37" s="62">
        <v>90038</v>
      </c>
      <c r="C37" s="49">
        <v>368</v>
      </c>
      <c r="D37" s="49">
        <v>8947</v>
      </c>
      <c r="E37" s="106">
        <f t="shared" si="5"/>
        <v>99353</v>
      </c>
      <c r="F37" s="56">
        <v>18293</v>
      </c>
      <c r="G37" s="49">
        <v>30831</v>
      </c>
      <c r="H37" s="49">
        <v>24392</v>
      </c>
      <c r="I37" s="49">
        <v>2737</v>
      </c>
      <c r="J37" s="49">
        <v>177</v>
      </c>
      <c r="K37" s="110">
        <f t="shared" si="6"/>
        <v>76430</v>
      </c>
      <c r="L37" s="130"/>
    </row>
    <row r="38" spans="1:12" ht="12.75">
      <c r="A38" s="66">
        <v>38138</v>
      </c>
      <c r="B38" s="62">
        <v>92323</v>
      </c>
      <c r="C38" s="49">
        <v>756</v>
      </c>
      <c r="D38" s="49">
        <v>11289</v>
      </c>
      <c r="E38" s="106">
        <f t="shared" si="5"/>
        <v>104368</v>
      </c>
      <c r="F38" s="56">
        <v>18280</v>
      </c>
      <c r="G38" s="49">
        <v>31950</v>
      </c>
      <c r="H38" s="49">
        <v>24470</v>
      </c>
      <c r="I38" s="49">
        <v>5253</v>
      </c>
      <c r="J38" s="49">
        <v>91</v>
      </c>
      <c r="K38" s="110">
        <f t="shared" si="6"/>
        <v>80044</v>
      </c>
      <c r="L38" s="130"/>
    </row>
    <row r="39" spans="1:12" ht="12.75">
      <c r="A39" s="66">
        <v>38168</v>
      </c>
      <c r="B39" s="62">
        <v>89428</v>
      </c>
      <c r="C39" s="49">
        <v>381</v>
      </c>
      <c r="D39" s="49">
        <v>2961</v>
      </c>
      <c r="E39" s="106">
        <f t="shared" si="5"/>
        <v>92770</v>
      </c>
      <c r="F39" s="56">
        <v>14599</v>
      </c>
      <c r="G39" s="49">
        <v>28031</v>
      </c>
      <c r="H39" s="49">
        <v>27540</v>
      </c>
      <c r="I39" s="49">
        <v>6186</v>
      </c>
      <c r="J39" s="49">
        <v>107</v>
      </c>
      <c r="K39" s="110">
        <f t="shared" si="6"/>
        <v>76463</v>
      </c>
      <c r="L39" s="130"/>
    </row>
    <row r="40" spans="1:12" ht="12.75">
      <c r="A40" s="66">
        <v>38199</v>
      </c>
      <c r="B40" s="62">
        <v>90262</v>
      </c>
      <c r="C40" s="49">
        <v>381</v>
      </c>
      <c r="D40" s="49">
        <v>5303</v>
      </c>
      <c r="E40" s="106">
        <f t="shared" si="5"/>
        <v>95946</v>
      </c>
      <c r="F40" s="56">
        <v>13421</v>
      </c>
      <c r="G40" s="49">
        <v>26041</v>
      </c>
      <c r="H40" s="49">
        <v>28445</v>
      </c>
      <c r="I40" s="49">
        <v>4187</v>
      </c>
      <c r="J40" s="49">
        <v>145</v>
      </c>
      <c r="K40" s="110">
        <f t="shared" si="6"/>
        <v>72239</v>
      </c>
      <c r="L40" s="130"/>
    </row>
    <row r="41" spans="1:12" ht="12.75">
      <c r="A41" s="66">
        <v>38230</v>
      </c>
      <c r="B41" s="62">
        <v>86827</v>
      </c>
      <c r="C41" s="49">
        <v>382</v>
      </c>
      <c r="D41" s="49">
        <v>6986</v>
      </c>
      <c r="E41" s="106">
        <f t="shared" si="5"/>
        <v>94195</v>
      </c>
      <c r="F41" s="56">
        <v>15279</v>
      </c>
      <c r="G41" s="49">
        <v>22355</v>
      </c>
      <c r="H41" s="49">
        <v>28769</v>
      </c>
      <c r="I41" s="49">
        <v>5564</v>
      </c>
      <c r="J41" s="49">
        <v>143</v>
      </c>
      <c r="K41" s="110">
        <f t="shared" si="6"/>
        <v>72110</v>
      </c>
      <c r="L41" s="130"/>
    </row>
    <row r="42" spans="1:12" ht="12.75">
      <c r="A42" s="66">
        <v>38260</v>
      </c>
      <c r="B42" s="62">
        <v>86636</v>
      </c>
      <c r="C42" s="49">
        <v>385</v>
      </c>
      <c r="D42" s="49">
        <v>8432</v>
      </c>
      <c r="E42" s="106">
        <f t="shared" si="5"/>
        <v>95453</v>
      </c>
      <c r="F42" s="56">
        <v>14699</v>
      </c>
      <c r="G42" s="49">
        <v>22321</v>
      </c>
      <c r="H42" s="49">
        <v>25296</v>
      </c>
      <c r="I42" s="49">
        <v>6303</v>
      </c>
      <c r="J42" s="49">
        <v>112</v>
      </c>
      <c r="K42" s="110">
        <f t="shared" si="6"/>
        <v>68731</v>
      </c>
      <c r="L42" s="130"/>
    </row>
    <row r="43" spans="1:12" ht="12.75">
      <c r="A43" s="67">
        <v>38291</v>
      </c>
      <c r="B43" s="72">
        <v>114164</v>
      </c>
      <c r="C43" s="50">
        <v>385</v>
      </c>
      <c r="D43" s="50">
        <v>9026</v>
      </c>
      <c r="E43" s="106">
        <f t="shared" si="5"/>
        <v>123575</v>
      </c>
      <c r="F43" s="58">
        <v>14893</v>
      </c>
      <c r="G43" s="50">
        <v>24223</v>
      </c>
      <c r="H43" s="50">
        <v>23925</v>
      </c>
      <c r="I43" s="50">
        <v>10015</v>
      </c>
      <c r="J43" s="50">
        <v>180</v>
      </c>
      <c r="K43" s="110">
        <f t="shared" si="6"/>
        <v>73236</v>
      </c>
      <c r="L43" s="130"/>
    </row>
    <row r="44" spans="1:12" ht="12.75">
      <c r="A44" s="66">
        <v>38321</v>
      </c>
      <c r="B44" s="62">
        <v>110301</v>
      </c>
      <c r="C44" s="49">
        <v>385</v>
      </c>
      <c r="D44" s="49">
        <v>9291</v>
      </c>
      <c r="E44" s="106">
        <f t="shared" si="5"/>
        <v>119977</v>
      </c>
      <c r="F44" s="62">
        <v>24360</v>
      </c>
      <c r="G44" s="49">
        <v>26668</v>
      </c>
      <c r="H44" s="49">
        <v>21481</v>
      </c>
      <c r="I44" s="49">
        <v>16940</v>
      </c>
      <c r="J44" s="49">
        <v>188</v>
      </c>
      <c r="K44" s="110">
        <f t="shared" si="6"/>
        <v>89637</v>
      </c>
      <c r="L44" s="130"/>
    </row>
    <row r="45" spans="1:12" ht="13.5" thickBot="1">
      <c r="A45" s="68">
        <v>38352</v>
      </c>
      <c r="B45" s="73">
        <v>117506</v>
      </c>
      <c r="C45" s="61">
        <v>385</v>
      </c>
      <c r="D45" s="61">
        <v>659</v>
      </c>
      <c r="E45" s="107">
        <f t="shared" si="5"/>
        <v>118550</v>
      </c>
      <c r="F45" s="60">
        <v>17539</v>
      </c>
      <c r="G45" s="61">
        <v>37226</v>
      </c>
      <c r="H45" s="61">
        <v>20212</v>
      </c>
      <c r="I45" s="61">
        <v>21647</v>
      </c>
      <c r="J45" s="61">
        <v>68</v>
      </c>
      <c r="K45" s="111">
        <f t="shared" si="6"/>
        <v>96692</v>
      </c>
      <c r="L45" s="140"/>
    </row>
    <row r="46" spans="1:12" ht="12.75">
      <c r="A46" s="137" t="s">
        <v>70</v>
      </c>
      <c r="B46" s="78"/>
      <c r="C46" s="78"/>
      <c r="D46" s="78"/>
      <c r="E46" s="79"/>
      <c r="F46" s="78"/>
      <c r="G46" s="78"/>
      <c r="H46" s="78"/>
      <c r="I46" s="78"/>
      <c r="J46" s="78"/>
      <c r="K46" s="78"/>
      <c r="L46" s="141"/>
    </row>
    <row r="47" spans="1:11" ht="12.75">
      <c r="A47" s="77"/>
      <c r="B47" s="78"/>
      <c r="C47" s="78"/>
      <c r="D47" s="78"/>
      <c r="E47" s="79"/>
      <c r="F47" s="78"/>
      <c r="G47" s="78"/>
      <c r="H47" s="78"/>
      <c r="I47" s="78"/>
      <c r="J47" s="78"/>
      <c r="K47" s="78"/>
    </row>
    <row r="48" ht="16.5" thickBot="1">
      <c r="A48" s="29" t="s">
        <v>63</v>
      </c>
    </row>
    <row r="49" spans="1:12" ht="20.25" customHeight="1">
      <c r="A49" s="937" t="s">
        <v>35</v>
      </c>
      <c r="B49" s="939" t="s">
        <v>58</v>
      </c>
      <c r="C49" s="934" t="s">
        <v>59</v>
      </c>
      <c r="D49" s="934" t="s">
        <v>60</v>
      </c>
      <c r="E49" s="922" t="s">
        <v>11</v>
      </c>
      <c r="F49" s="684" t="s">
        <v>52</v>
      </c>
      <c r="G49" s="685"/>
      <c r="H49" s="685"/>
      <c r="I49" s="685"/>
      <c r="J49" s="685"/>
      <c r="K49" s="685"/>
      <c r="L49" s="679" t="s">
        <v>270</v>
      </c>
    </row>
    <row r="50" spans="1:12" ht="38.25" customHeight="1" thickBot="1">
      <c r="A50" s="938"/>
      <c r="B50" s="940"/>
      <c r="C50" s="935" t="s">
        <v>37</v>
      </c>
      <c r="D50" s="935" t="s">
        <v>38</v>
      </c>
      <c r="E50" s="923" t="s">
        <v>11</v>
      </c>
      <c r="F50" s="89" t="s">
        <v>53</v>
      </c>
      <c r="G50" s="103" t="s">
        <v>54</v>
      </c>
      <c r="H50" s="103" t="s">
        <v>55</v>
      </c>
      <c r="I50" s="103" t="s">
        <v>56</v>
      </c>
      <c r="J50" s="103" t="s">
        <v>57</v>
      </c>
      <c r="K50" s="81" t="s">
        <v>11</v>
      </c>
      <c r="L50" s="941"/>
    </row>
    <row r="51" spans="1:12" ht="13.5" thickBot="1">
      <c r="A51" s="64">
        <v>37986</v>
      </c>
      <c r="B51" s="307">
        <v>63361</v>
      </c>
      <c r="C51" s="234">
        <v>495</v>
      </c>
      <c r="D51" s="234">
        <v>4389</v>
      </c>
      <c r="E51" s="52">
        <f aca="true" t="shared" si="7" ref="E51:E63">SUM(B51:D51)</f>
        <v>68245</v>
      </c>
      <c r="F51" s="235">
        <v>18261</v>
      </c>
      <c r="G51" s="236">
        <v>544</v>
      </c>
      <c r="H51" s="236">
        <v>465</v>
      </c>
      <c r="I51" s="236">
        <v>1367</v>
      </c>
      <c r="J51" s="236">
        <v>6571</v>
      </c>
      <c r="K51" s="542">
        <f aca="true" t="shared" si="8" ref="K51:K63">SUM(F51:J51)</f>
        <v>27208</v>
      </c>
      <c r="L51" s="587">
        <f>+E51-E33</f>
        <v>-42572</v>
      </c>
    </row>
    <row r="52" spans="1:12" ht="12.75">
      <c r="A52" s="65">
        <v>38017</v>
      </c>
      <c r="B52" s="70">
        <v>64256</v>
      </c>
      <c r="C52" s="48">
        <v>655</v>
      </c>
      <c r="D52" s="48">
        <v>4053</v>
      </c>
      <c r="E52" s="106">
        <f t="shared" si="7"/>
        <v>68964</v>
      </c>
      <c r="F52" s="70">
        <v>162238</v>
      </c>
      <c r="G52" s="48">
        <v>155</v>
      </c>
      <c r="H52" s="48">
        <v>316</v>
      </c>
      <c r="I52" s="48">
        <v>1538</v>
      </c>
      <c r="J52" s="48">
        <v>6566</v>
      </c>
      <c r="K52" s="127">
        <f t="shared" si="8"/>
        <v>170813</v>
      </c>
      <c r="L52" s="588">
        <f aca="true" t="shared" si="9" ref="L52:L63">+E52-E34</f>
        <v>-47809</v>
      </c>
    </row>
    <row r="53" spans="1:12" ht="12.75">
      <c r="A53" s="66">
        <v>38046</v>
      </c>
      <c r="B53" s="62">
        <v>67059</v>
      </c>
      <c r="C53" s="49">
        <v>582</v>
      </c>
      <c r="D53" s="49">
        <v>3728</v>
      </c>
      <c r="E53" s="106">
        <f t="shared" si="7"/>
        <v>71369</v>
      </c>
      <c r="F53" s="62">
        <v>180090</v>
      </c>
      <c r="G53" s="49">
        <v>58</v>
      </c>
      <c r="H53" s="49">
        <v>244</v>
      </c>
      <c r="I53" s="49">
        <v>1258</v>
      </c>
      <c r="J53" s="49">
        <v>6995</v>
      </c>
      <c r="K53" s="128">
        <f t="shared" si="8"/>
        <v>188645</v>
      </c>
      <c r="L53" s="589">
        <f t="shared" si="9"/>
        <v>-41768</v>
      </c>
    </row>
    <row r="54" spans="1:12" ht="12.75">
      <c r="A54" s="66">
        <v>38077</v>
      </c>
      <c r="B54" s="62">
        <v>65455</v>
      </c>
      <c r="C54" s="49">
        <v>825</v>
      </c>
      <c r="D54" s="49">
        <v>3759</v>
      </c>
      <c r="E54" s="106">
        <f t="shared" si="7"/>
        <v>70039</v>
      </c>
      <c r="F54" s="62">
        <v>16268</v>
      </c>
      <c r="G54" s="49">
        <v>157</v>
      </c>
      <c r="H54" s="49">
        <v>148</v>
      </c>
      <c r="I54" s="49">
        <v>756</v>
      </c>
      <c r="J54" s="49">
        <v>7407</v>
      </c>
      <c r="K54" s="128">
        <f t="shared" si="8"/>
        <v>24736</v>
      </c>
      <c r="L54" s="589">
        <f t="shared" si="9"/>
        <v>-40469</v>
      </c>
    </row>
    <row r="55" spans="1:12" ht="12.75">
      <c r="A55" s="66">
        <v>38107</v>
      </c>
      <c r="B55" s="62">
        <v>66201</v>
      </c>
      <c r="C55" s="49">
        <v>1178</v>
      </c>
      <c r="D55" s="49">
        <v>3383</v>
      </c>
      <c r="E55" s="106">
        <f t="shared" si="7"/>
        <v>70762</v>
      </c>
      <c r="F55" s="62">
        <v>18554</v>
      </c>
      <c r="G55" s="49">
        <v>412</v>
      </c>
      <c r="H55" s="49">
        <v>171</v>
      </c>
      <c r="I55" s="49">
        <v>605</v>
      </c>
      <c r="J55" s="49">
        <v>7190</v>
      </c>
      <c r="K55" s="128">
        <f t="shared" si="8"/>
        <v>26932</v>
      </c>
      <c r="L55" s="589">
        <f t="shared" si="9"/>
        <v>-28591</v>
      </c>
    </row>
    <row r="56" spans="1:12" ht="12.75">
      <c r="A56" s="66">
        <v>38138</v>
      </c>
      <c r="B56" s="62">
        <v>67587</v>
      </c>
      <c r="C56" s="49">
        <v>1214</v>
      </c>
      <c r="D56" s="49">
        <v>3335</v>
      </c>
      <c r="E56" s="106">
        <f t="shared" si="7"/>
        <v>72136</v>
      </c>
      <c r="F56" s="62">
        <v>18677</v>
      </c>
      <c r="G56" s="49">
        <v>401</v>
      </c>
      <c r="H56" s="49">
        <v>81</v>
      </c>
      <c r="I56" s="49">
        <v>649</v>
      </c>
      <c r="J56" s="49">
        <v>7092</v>
      </c>
      <c r="K56" s="128">
        <f t="shared" si="8"/>
        <v>26900</v>
      </c>
      <c r="L56" s="589">
        <f t="shared" si="9"/>
        <v>-32232</v>
      </c>
    </row>
    <row r="57" spans="1:12" ht="12.75">
      <c r="A57" s="66">
        <v>38168</v>
      </c>
      <c r="B57" s="62">
        <v>70583</v>
      </c>
      <c r="C57" s="49">
        <v>862.99</v>
      </c>
      <c r="D57" s="49">
        <v>3321.33</v>
      </c>
      <c r="E57" s="238">
        <f t="shared" si="7"/>
        <v>74767.32</v>
      </c>
      <c r="F57" s="62">
        <v>20584</v>
      </c>
      <c r="G57" s="49">
        <v>398</v>
      </c>
      <c r="H57" s="49">
        <v>405</v>
      </c>
      <c r="I57" s="49">
        <v>533</v>
      </c>
      <c r="J57" s="49">
        <v>7058</v>
      </c>
      <c r="K57" s="128">
        <f t="shared" si="8"/>
        <v>28978</v>
      </c>
      <c r="L57" s="589">
        <f t="shared" si="9"/>
        <v>-18002.679999999993</v>
      </c>
    </row>
    <row r="58" spans="1:12" ht="12.75">
      <c r="A58" s="66">
        <v>38199</v>
      </c>
      <c r="B58" s="70">
        <v>65060</v>
      </c>
      <c r="C58" s="48">
        <v>210</v>
      </c>
      <c r="D58" s="48">
        <v>3550</v>
      </c>
      <c r="E58" s="106">
        <f t="shared" si="7"/>
        <v>68820</v>
      </c>
      <c r="F58" s="70">
        <v>18065</v>
      </c>
      <c r="G58" s="48">
        <v>526</v>
      </c>
      <c r="H58" s="48">
        <v>476</v>
      </c>
      <c r="I58" s="48">
        <v>362</v>
      </c>
      <c r="J58" s="48">
        <v>7228</v>
      </c>
      <c r="K58" s="127">
        <f t="shared" si="8"/>
        <v>26657</v>
      </c>
      <c r="L58" s="589">
        <f t="shared" si="9"/>
        <v>-27126</v>
      </c>
    </row>
    <row r="59" spans="1:12" ht="12.75">
      <c r="A59" s="66">
        <v>38230</v>
      </c>
      <c r="B59" s="62">
        <v>64418</v>
      </c>
      <c r="C59" s="49">
        <v>799</v>
      </c>
      <c r="D59" s="49">
        <v>3571</v>
      </c>
      <c r="E59" s="106">
        <f t="shared" si="7"/>
        <v>68788</v>
      </c>
      <c r="F59" s="62">
        <v>18701</v>
      </c>
      <c r="G59" s="49">
        <v>488</v>
      </c>
      <c r="H59" s="49">
        <v>716</v>
      </c>
      <c r="I59" s="49">
        <v>276</v>
      </c>
      <c r="J59" s="49">
        <v>7230</v>
      </c>
      <c r="K59" s="128">
        <f t="shared" si="8"/>
        <v>27411</v>
      </c>
      <c r="L59" s="589">
        <f t="shared" si="9"/>
        <v>-25407</v>
      </c>
    </row>
    <row r="60" spans="1:12" ht="12.75">
      <c r="A60" s="66">
        <v>38260</v>
      </c>
      <c r="B60" s="62">
        <v>65895</v>
      </c>
      <c r="C60" s="49">
        <v>663</v>
      </c>
      <c r="D60" s="49">
        <v>3612</v>
      </c>
      <c r="E60" s="106">
        <f t="shared" si="7"/>
        <v>70170</v>
      </c>
      <c r="F60" s="62">
        <v>18678</v>
      </c>
      <c r="G60" s="49">
        <v>194</v>
      </c>
      <c r="H60" s="49">
        <v>443</v>
      </c>
      <c r="I60" s="49">
        <v>532</v>
      </c>
      <c r="J60" s="49">
        <v>7295</v>
      </c>
      <c r="K60" s="128">
        <f t="shared" si="8"/>
        <v>27142</v>
      </c>
      <c r="L60" s="589">
        <f t="shared" si="9"/>
        <v>-25283</v>
      </c>
    </row>
    <row r="61" spans="1:12" ht="12.75">
      <c r="A61" s="67">
        <v>38291</v>
      </c>
      <c r="B61" s="72">
        <v>67246</v>
      </c>
      <c r="C61" s="50">
        <v>775</v>
      </c>
      <c r="D61" s="50">
        <v>3664</v>
      </c>
      <c r="E61" s="106">
        <f t="shared" si="7"/>
        <v>71685</v>
      </c>
      <c r="F61" s="72">
        <v>19860</v>
      </c>
      <c r="G61" s="50">
        <v>164</v>
      </c>
      <c r="H61" s="50">
        <v>533</v>
      </c>
      <c r="I61" s="50">
        <v>606</v>
      </c>
      <c r="J61" s="50">
        <v>7295</v>
      </c>
      <c r="K61" s="128">
        <f t="shared" si="8"/>
        <v>28458</v>
      </c>
      <c r="L61" s="589">
        <f t="shared" si="9"/>
        <v>-51890</v>
      </c>
    </row>
    <row r="62" spans="1:12" ht="12.75">
      <c r="A62" s="66">
        <v>38321</v>
      </c>
      <c r="B62" s="62">
        <v>65002</v>
      </c>
      <c r="C62" s="49">
        <v>362</v>
      </c>
      <c r="D62" s="49">
        <v>3580</v>
      </c>
      <c r="E62" s="106">
        <f t="shared" si="7"/>
        <v>68944</v>
      </c>
      <c r="F62" s="62">
        <v>17878</v>
      </c>
      <c r="G62" s="49">
        <v>185</v>
      </c>
      <c r="H62" s="49">
        <v>227</v>
      </c>
      <c r="I62" s="49">
        <v>3574</v>
      </c>
      <c r="J62" s="49">
        <v>7156</v>
      </c>
      <c r="K62" s="128">
        <f t="shared" si="8"/>
        <v>29020</v>
      </c>
      <c r="L62" s="589">
        <f t="shared" si="9"/>
        <v>-51033</v>
      </c>
    </row>
    <row r="63" spans="1:12" ht="13.5" thickBot="1">
      <c r="A63" s="68">
        <v>38352</v>
      </c>
      <c r="B63" s="73">
        <v>66773</v>
      </c>
      <c r="C63" s="61">
        <v>336</v>
      </c>
      <c r="D63" s="61">
        <v>3581</v>
      </c>
      <c r="E63" s="107">
        <f t="shared" si="7"/>
        <v>70690</v>
      </c>
      <c r="F63" s="73">
        <v>17970</v>
      </c>
      <c r="G63" s="61">
        <v>1112</v>
      </c>
      <c r="H63" s="61">
        <v>293</v>
      </c>
      <c r="I63" s="61">
        <v>799</v>
      </c>
      <c r="J63" s="61">
        <v>6865</v>
      </c>
      <c r="K63" s="129">
        <f t="shared" si="8"/>
        <v>27039</v>
      </c>
      <c r="L63" s="590">
        <f t="shared" si="9"/>
        <v>-47860</v>
      </c>
    </row>
    <row r="64" ht="13.5" thickBot="1"/>
    <row r="65" spans="1:12" ht="12.75" customHeight="1">
      <c r="A65" s="926" t="s">
        <v>259</v>
      </c>
      <c r="B65" s="927"/>
      <c r="C65" s="927"/>
      <c r="D65" s="927"/>
      <c r="E65" s="927"/>
      <c r="F65" s="927"/>
      <c r="G65" s="927"/>
      <c r="H65" s="927"/>
      <c r="I65" s="927"/>
      <c r="J65" s="927"/>
      <c r="K65" s="927"/>
      <c r="L65" s="928"/>
    </row>
    <row r="66" spans="1:12" ht="12.75">
      <c r="A66" s="929"/>
      <c r="B66" s="672"/>
      <c r="C66" s="672"/>
      <c r="D66" s="672"/>
      <c r="E66" s="672"/>
      <c r="F66" s="672"/>
      <c r="G66" s="672"/>
      <c r="H66" s="672"/>
      <c r="I66" s="672"/>
      <c r="J66" s="672"/>
      <c r="K66" s="672"/>
      <c r="L66" s="930"/>
    </row>
    <row r="67" spans="1:12" ht="12.75">
      <c r="A67" s="929"/>
      <c r="B67" s="672"/>
      <c r="C67" s="672"/>
      <c r="D67" s="672"/>
      <c r="E67" s="672"/>
      <c r="F67" s="672"/>
      <c r="G67" s="672"/>
      <c r="H67" s="672"/>
      <c r="I67" s="672"/>
      <c r="J67" s="672"/>
      <c r="K67" s="672"/>
      <c r="L67" s="930"/>
    </row>
    <row r="68" spans="1:12" ht="12.75">
      <c r="A68" s="929"/>
      <c r="B68" s="672"/>
      <c r="C68" s="672"/>
      <c r="D68" s="672"/>
      <c r="E68" s="672"/>
      <c r="F68" s="672"/>
      <c r="G68" s="672"/>
      <c r="H68" s="672"/>
      <c r="I68" s="672"/>
      <c r="J68" s="672"/>
      <c r="K68" s="672"/>
      <c r="L68" s="930"/>
    </row>
    <row r="69" spans="1:12" ht="12.75">
      <c r="A69" s="929"/>
      <c r="B69" s="672"/>
      <c r="C69" s="672"/>
      <c r="D69" s="672"/>
      <c r="E69" s="672"/>
      <c r="F69" s="672"/>
      <c r="G69" s="672"/>
      <c r="H69" s="672"/>
      <c r="I69" s="672"/>
      <c r="J69" s="672"/>
      <c r="K69" s="672"/>
      <c r="L69" s="930"/>
    </row>
    <row r="70" spans="1:12" ht="12.75">
      <c r="A70" s="929"/>
      <c r="B70" s="672"/>
      <c r="C70" s="672"/>
      <c r="D70" s="672"/>
      <c r="E70" s="672"/>
      <c r="F70" s="672"/>
      <c r="G70" s="672"/>
      <c r="H70" s="672"/>
      <c r="I70" s="672"/>
      <c r="J70" s="672"/>
      <c r="K70" s="672"/>
      <c r="L70" s="930"/>
    </row>
    <row r="71" spans="1:12" ht="13.5" thickBot="1">
      <c r="A71" s="931"/>
      <c r="B71" s="932"/>
      <c r="C71" s="932"/>
      <c r="D71" s="932"/>
      <c r="E71" s="932"/>
      <c r="F71" s="932"/>
      <c r="G71" s="932"/>
      <c r="H71" s="932"/>
      <c r="I71" s="932"/>
      <c r="J71" s="932"/>
      <c r="K71" s="932"/>
      <c r="L71" s="933"/>
    </row>
    <row r="77" ht="16.5" thickBot="1">
      <c r="A77" s="29" t="s">
        <v>84</v>
      </c>
    </row>
    <row r="78" spans="1:12" ht="21.75" customHeight="1">
      <c r="A78" s="947" t="s">
        <v>71</v>
      </c>
      <c r="B78" s="948"/>
      <c r="C78" s="996" t="s">
        <v>25</v>
      </c>
      <c r="D78" s="997"/>
      <c r="E78" s="998"/>
      <c r="F78" s="947" t="s">
        <v>71</v>
      </c>
      <c r="G78" s="962"/>
      <c r="H78" s="963"/>
      <c r="I78" s="999" t="s">
        <v>28</v>
      </c>
      <c r="J78" s="997"/>
      <c r="K78" s="1000"/>
      <c r="L78" s="985" t="s">
        <v>166</v>
      </c>
    </row>
    <row r="79" spans="1:12" ht="27.75" thickBot="1">
      <c r="A79" s="949"/>
      <c r="B79" s="950"/>
      <c r="C79" s="154" t="s">
        <v>81</v>
      </c>
      <c r="D79" s="149" t="s">
        <v>82</v>
      </c>
      <c r="E79" s="151" t="s">
        <v>83</v>
      </c>
      <c r="F79" s="949"/>
      <c r="G79" s="964"/>
      <c r="H79" s="965"/>
      <c r="I79" s="156" t="s">
        <v>81</v>
      </c>
      <c r="J79" s="149" t="s">
        <v>82</v>
      </c>
      <c r="K79" s="150" t="s">
        <v>83</v>
      </c>
      <c r="L79" s="986"/>
    </row>
    <row r="80" spans="1:12" ht="20.25" customHeight="1">
      <c r="A80" s="951" t="s">
        <v>72</v>
      </c>
      <c r="B80" s="952"/>
      <c r="C80" s="152">
        <v>114.74</v>
      </c>
      <c r="D80" s="50">
        <v>48951153</v>
      </c>
      <c r="E80" s="153">
        <f aca="true" t="shared" si="10" ref="E80:E86">+IF(C80&gt;0,D80/C80/12,"")</f>
        <v>35552.22895241416</v>
      </c>
      <c r="F80" s="966" t="s">
        <v>72</v>
      </c>
      <c r="G80" s="967"/>
      <c r="H80" s="967"/>
      <c r="I80" s="231">
        <v>115.94</v>
      </c>
      <c r="J80" s="232">
        <v>43345761</v>
      </c>
      <c r="K80" s="155">
        <f aca="true" t="shared" si="11" ref="K80:K90">+IF(I80&gt;0,J80/I80/12,"")</f>
        <v>31155.310936691396</v>
      </c>
      <c r="L80" s="289">
        <f>+K80-E80</f>
        <v>-4396.918015722764</v>
      </c>
    </row>
    <row r="81" spans="1:12" ht="20.25" customHeight="1">
      <c r="A81" s="951" t="s">
        <v>73</v>
      </c>
      <c r="B81" s="952"/>
      <c r="C81" s="152">
        <v>6.33</v>
      </c>
      <c r="D81" s="50">
        <v>1733702</v>
      </c>
      <c r="E81" s="230">
        <f t="shared" si="10"/>
        <v>22823.880989994734</v>
      </c>
      <c r="F81" s="968" t="s">
        <v>73</v>
      </c>
      <c r="G81" s="969"/>
      <c r="H81" s="969"/>
      <c r="I81" s="158">
        <v>5</v>
      </c>
      <c r="J81" s="50">
        <v>1560438</v>
      </c>
      <c r="K81" s="71">
        <f t="shared" si="11"/>
        <v>26007.3</v>
      </c>
      <c r="L81" s="287"/>
    </row>
    <row r="82" spans="1:12" ht="20.25" customHeight="1">
      <c r="A82" s="951" t="s">
        <v>74</v>
      </c>
      <c r="B82" s="952"/>
      <c r="C82" s="152">
        <v>9.72</v>
      </c>
      <c r="D82" s="50">
        <v>3087463</v>
      </c>
      <c r="E82" s="230">
        <f t="shared" si="10"/>
        <v>26470.018861454042</v>
      </c>
      <c r="F82" s="968" t="s">
        <v>110</v>
      </c>
      <c r="G82" s="969"/>
      <c r="H82" s="969"/>
      <c r="I82" s="158">
        <v>433.26</v>
      </c>
      <c r="J82" s="50">
        <v>85590363</v>
      </c>
      <c r="K82" s="71">
        <f t="shared" si="11"/>
        <v>16462.471148963672</v>
      </c>
      <c r="L82" s="287"/>
    </row>
    <row r="83" spans="1:12" ht="20.25" customHeight="1">
      <c r="A83" s="951" t="s">
        <v>75</v>
      </c>
      <c r="B83" s="952"/>
      <c r="C83" s="152">
        <v>7.5</v>
      </c>
      <c r="D83" s="50">
        <v>1307816</v>
      </c>
      <c r="E83" s="230">
        <f t="shared" si="10"/>
        <v>14531.28888888889</v>
      </c>
      <c r="F83" s="968" t="s">
        <v>109</v>
      </c>
      <c r="G83" s="969"/>
      <c r="H83" s="969"/>
      <c r="I83" s="158">
        <v>57.57</v>
      </c>
      <c r="J83" s="50">
        <v>12356009</v>
      </c>
      <c r="K83" s="71">
        <f t="shared" si="11"/>
        <v>17885.485785420646</v>
      </c>
      <c r="L83" s="287"/>
    </row>
    <row r="84" spans="1:12" ht="20.25" customHeight="1">
      <c r="A84" s="951" t="s">
        <v>76</v>
      </c>
      <c r="B84" s="952"/>
      <c r="C84" s="152">
        <v>526.67</v>
      </c>
      <c r="D84" s="50">
        <v>114307401</v>
      </c>
      <c r="E84" s="230">
        <f t="shared" si="10"/>
        <v>18086.49961076196</v>
      </c>
      <c r="F84" s="968" t="s">
        <v>111</v>
      </c>
      <c r="G84" s="969"/>
      <c r="H84" s="969"/>
      <c r="I84" s="158">
        <v>22.53</v>
      </c>
      <c r="J84" s="50">
        <v>5116320</v>
      </c>
      <c r="K84" s="71">
        <f t="shared" si="11"/>
        <v>18924.101198402128</v>
      </c>
      <c r="L84" s="287"/>
    </row>
    <row r="85" spans="1:12" ht="20.25" customHeight="1">
      <c r="A85" s="951" t="s">
        <v>77</v>
      </c>
      <c r="B85" s="952"/>
      <c r="C85" s="152">
        <v>3.5</v>
      </c>
      <c r="D85" s="50">
        <v>608556</v>
      </c>
      <c r="E85" s="230">
        <f t="shared" si="10"/>
        <v>14489.428571428572</v>
      </c>
      <c r="F85" s="968" t="s">
        <v>112</v>
      </c>
      <c r="G85" s="969"/>
      <c r="H85" s="969"/>
      <c r="I85" s="158">
        <v>106.49</v>
      </c>
      <c r="J85" s="50">
        <v>16008769</v>
      </c>
      <c r="K85" s="71">
        <f t="shared" si="11"/>
        <v>12527.599618117507</v>
      </c>
      <c r="L85" s="287"/>
    </row>
    <row r="86" spans="1:12" ht="20.25" customHeight="1">
      <c r="A86" s="951" t="s">
        <v>78</v>
      </c>
      <c r="B86" s="952"/>
      <c r="C86" s="152">
        <v>114.97</v>
      </c>
      <c r="D86" s="50">
        <v>18942613</v>
      </c>
      <c r="E86" s="230">
        <f t="shared" si="10"/>
        <v>13730.112928010205</v>
      </c>
      <c r="F86" s="968" t="s">
        <v>113</v>
      </c>
      <c r="G86" s="969"/>
      <c r="H86" s="969"/>
      <c r="I86" s="158">
        <v>6.87</v>
      </c>
      <c r="J86" s="50">
        <v>1412433</v>
      </c>
      <c r="K86" s="71">
        <f t="shared" si="11"/>
        <v>17132.860262008733</v>
      </c>
      <c r="L86" s="287"/>
    </row>
    <row r="87" spans="1:12" ht="20.25" customHeight="1">
      <c r="A87" s="951"/>
      <c r="B87" s="952"/>
      <c r="C87" s="152"/>
      <c r="D87" s="50"/>
      <c r="E87" s="230"/>
      <c r="F87" s="968" t="s">
        <v>114</v>
      </c>
      <c r="G87" s="969"/>
      <c r="H87" s="969"/>
      <c r="I87" s="158">
        <v>0</v>
      </c>
      <c r="J87" s="50">
        <v>0</v>
      </c>
      <c r="K87" s="71">
        <f t="shared" si="11"/>
      </c>
      <c r="L87" s="287"/>
    </row>
    <row r="88" spans="1:12" ht="20.25" customHeight="1">
      <c r="A88" s="951" t="s">
        <v>79</v>
      </c>
      <c r="B88" s="952"/>
      <c r="C88" s="152">
        <v>53.64</v>
      </c>
      <c r="D88" s="50">
        <v>12047835</v>
      </c>
      <c r="E88" s="230">
        <f>+IF(C88&gt;0,D88/C88/12,"")</f>
        <v>18717.1187546607</v>
      </c>
      <c r="F88" s="968" t="s">
        <v>79</v>
      </c>
      <c r="G88" s="969"/>
      <c r="H88" s="969"/>
      <c r="I88" s="157">
        <v>50.37</v>
      </c>
      <c r="J88" s="49">
        <v>10413086</v>
      </c>
      <c r="K88" s="71">
        <f t="shared" si="11"/>
        <v>17227.65865925485</v>
      </c>
      <c r="L88" s="287">
        <f>+K88-E88</f>
        <v>-1489.4600954058515</v>
      </c>
    </row>
    <row r="89" spans="1:12" ht="20.25" customHeight="1" thickBot="1">
      <c r="A89" s="968" t="s">
        <v>80</v>
      </c>
      <c r="B89" s="982"/>
      <c r="C89" s="144">
        <v>193.38</v>
      </c>
      <c r="D89" s="49">
        <v>25385305</v>
      </c>
      <c r="E89" s="230">
        <f>+IF(C89&gt;0,D89/C89/12,"")</f>
        <v>10939.301289343952</v>
      </c>
      <c r="F89" s="983" t="s">
        <v>115</v>
      </c>
      <c r="G89" s="984"/>
      <c r="H89" s="984"/>
      <c r="I89" s="231">
        <v>170.04</v>
      </c>
      <c r="J89" s="232">
        <v>20736803</v>
      </c>
      <c r="K89" s="155">
        <f t="shared" si="11"/>
        <v>10162.708284325257</v>
      </c>
      <c r="L89" s="288">
        <f>+K89-E89</f>
        <v>-776.5930050186944</v>
      </c>
    </row>
    <row r="90" spans="1:12" s="39" customFormat="1" ht="22.5" customHeight="1" thickBot="1">
      <c r="A90" s="971" t="s">
        <v>11</v>
      </c>
      <c r="B90" s="973"/>
      <c r="C90" s="146">
        <f>SUM(C80:C89)</f>
        <v>1030.4499999999998</v>
      </c>
      <c r="D90" s="51">
        <f>SUM(D80:D89)</f>
        <v>226371844</v>
      </c>
      <c r="E90" s="63">
        <f>+IF(C90&gt;0,D90/C90/12,"")</f>
        <v>18306.875960340953</v>
      </c>
      <c r="F90" s="971" t="s">
        <v>11</v>
      </c>
      <c r="G90" s="972"/>
      <c r="H90" s="909"/>
      <c r="I90" s="159">
        <f>SUM(I80:I89)</f>
        <v>968.07</v>
      </c>
      <c r="J90" s="51">
        <f>SUM(J80:J89)</f>
        <v>196539982</v>
      </c>
      <c r="K90" s="148">
        <f t="shared" si="11"/>
        <v>16918.54084243219</v>
      </c>
      <c r="L90" s="139">
        <f>+K90-E90</f>
        <v>-1388.3351179087622</v>
      </c>
    </row>
    <row r="91" ht="13.5" thickBot="1"/>
    <row r="92" spans="1:12" ht="12.75" customHeight="1">
      <c r="A92" s="953" t="s">
        <v>260</v>
      </c>
      <c r="B92" s="954"/>
      <c r="C92" s="954"/>
      <c r="D92" s="954"/>
      <c r="E92" s="954"/>
      <c r="F92" s="954"/>
      <c r="G92" s="954"/>
      <c r="H92" s="954"/>
      <c r="I92" s="954"/>
      <c r="J92" s="954"/>
      <c r="K92" s="954"/>
      <c r="L92" s="955"/>
    </row>
    <row r="93" spans="1:12" ht="12.75">
      <c r="A93" s="956"/>
      <c r="B93" s="957"/>
      <c r="C93" s="957"/>
      <c r="D93" s="957"/>
      <c r="E93" s="957"/>
      <c r="F93" s="957"/>
      <c r="G93" s="957"/>
      <c r="H93" s="957"/>
      <c r="I93" s="957"/>
      <c r="J93" s="957"/>
      <c r="K93" s="957"/>
      <c r="L93" s="958"/>
    </row>
    <row r="94" spans="1:12" ht="12.75">
      <c r="A94" s="956"/>
      <c r="B94" s="957"/>
      <c r="C94" s="957"/>
      <c r="D94" s="957"/>
      <c r="E94" s="957"/>
      <c r="F94" s="957"/>
      <c r="G94" s="957"/>
      <c r="H94" s="957"/>
      <c r="I94" s="957"/>
      <c r="J94" s="957"/>
      <c r="K94" s="957"/>
      <c r="L94" s="958"/>
    </row>
    <row r="95" spans="1:12" ht="12.75">
      <c r="A95" s="956"/>
      <c r="B95" s="957"/>
      <c r="C95" s="957"/>
      <c r="D95" s="957"/>
      <c r="E95" s="957"/>
      <c r="F95" s="957"/>
      <c r="G95" s="957"/>
      <c r="H95" s="957"/>
      <c r="I95" s="957"/>
      <c r="J95" s="957"/>
      <c r="K95" s="957"/>
      <c r="L95" s="958"/>
    </row>
    <row r="96" spans="1:12" ht="12.75">
      <c r="A96" s="956"/>
      <c r="B96" s="957"/>
      <c r="C96" s="957"/>
      <c r="D96" s="957"/>
      <c r="E96" s="957"/>
      <c r="F96" s="957"/>
      <c r="G96" s="957"/>
      <c r="H96" s="957"/>
      <c r="I96" s="957"/>
      <c r="J96" s="957"/>
      <c r="K96" s="957"/>
      <c r="L96" s="958"/>
    </row>
    <row r="97" spans="1:12" ht="12.75">
      <c r="A97" s="956"/>
      <c r="B97" s="957"/>
      <c r="C97" s="957"/>
      <c r="D97" s="957"/>
      <c r="E97" s="957"/>
      <c r="F97" s="957"/>
      <c r="G97" s="957"/>
      <c r="H97" s="957"/>
      <c r="I97" s="957"/>
      <c r="J97" s="957"/>
      <c r="K97" s="957"/>
      <c r="L97" s="958"/>
    </row>
    <row r="98" spans="1:12" ht="13.5" thickBot="1">
      <c r="A98" s="959"/>
      <c r="B98" s="960"/>
      <c r="C98" s="960"/>
      <c r="D98" s="960"/>
      <c r="E98" s="960"/>
      <c r="F98" s="960"/>
      <c r="G98" s="960"/>
      <c r="H98" s="960"/>
      <c r="I98" s="960"/>
      <c r="J98" s="960"/>
      <c r="K98" s="960"/>
      <c r="L98" s="961"/>
    </row>
    <row r="99" ht="8.25" customHeight="1"/>
    <row r="100" ht="3.75" customHeight="1"/>
    <row r="101" spans="1:9" ht="16.5" thickBot="1">
      <c r="A101" s="29" t="s">
        <v>107</v>
      </c>
      <c r="B101" s="160"/>
      <c r="C101" s="160"/>
      <c r="D101" s="160"/>
      <c r="E101" s="160"/>
      <c r="F101" s="160"/>
      <c r="G101" s="160"/>
      <c r="H101" s="160"/>
      <c r="I101" s="160"/>
    </row>
    <row r="102" spans="1:12" ht="13.5" thickBot="1">
      <c r="A102" s="979" t="s">
        <v>85</v>
      </c>
      <c r="B102" s="980"/>
      <c r="C102" s="879" t="s">
        <v>86</v>
      </c>
      <c r="D102" s="974"/>
      <c r="E102" s="974"/>
      <c r="F102" s="974"/>
      <c r="G102" s="936"/>
      <c r="H102" s="878" t="s">
        <v>87</v>
      </c>
      <c r="I102" s="974"/>
      <c r="J102" s="974"/>
      <c r="K102" s="974"/>
      <c r="L102" s="936"/>
    </row>
    <row r="103" spans="1:12" ht="13.5" thickBot="1">
      <c r="A103" s="981"/>
      <c r="B103" s="696"/>
      <c r="C103" s="192">
        <v>2002</v>
      </c>
      <c r="D103" s="1">
        <v>2003</v>
      </c>
      <c r="E103" s="162" t="s">
        <v>88</v>
      </c>
      <c r="F103" s="10">
        <v>2004</v>
      </c>
      <c r="G103" s="162" t="s">
        <v>88</v>
      </c>
      <c r="H103" s="161">
        <v>2002</v>
      </c>
      <c r="I103" s="10">
        <v>2003</v>
      </c>
      <c r="J103" s="162" t="s">
        <v>88</v>
      </c>
      <c r="K103" s="102">
        <v>2004</v>
      </c>
      <c r="L103" s="540" t="s">
        <v>88</v>
      </c>
    </row>
    <row r="104" spans="1:12" ht="15" customHeight="1">
      <c r="A104" s="970" t="s">
        <v>89</v>
      </c>
      <c r="B104" s="696"/>
      <c r="C104" s="193">
        <v>114</v>
      </c>
      <c r="D104" s="163">
        <v>114</v>
      </c>
      <c r="E104" s="164">
        <f>+D104-C104</f>
        <v>0</v>
      </c>
      <c r="F104" s="165">
        <v>114</v>
      </c>
      <c r="G104" s="164">
        <f aca="true" t="shared" si="12" ref="G104:G121">+F104-D104</f>
        <v>0</v>
      </c>
      <c r="H104" s="166">
        <v>86.1</v>
      </c>
      <c r="I104" s="167">
        <v>85.2</v>
      </c>
      <c r="J104" s="167">
        <f>+I104-H104</f>
        <v>-0.8999999999999915</v>
      </c>
      <c r="K104" s="591">
        <v>77.5</v>
      </c>
      <c r="L104" s="188">
        <f aca="true" t="shared" si="13" ref="L104:L122">+K104-I104</f>
        <v>-7.700000000000003</v>
      </c>
    </row>
    <row r="105" spans="1:12" ht="15" customHeight="1">
      <c r="A105" s="970" t="s">
        <v>90</v>
      </c>
      <c r="B105" s="696"/>
      <c r="C105" s="194">
        <v>18</v>
      </c>
      <c r="D105" s="169">
        <v>18</v>
      </c>
      <c r="E105" s="170">
        <f>+D105-C105</f>
        <v>0</v>
      </c>
      <c r="F105" s="171">
        <v>24</v>
      </c>
      <c r="G105" s="164">
        <f t="shared" si="12"/>
        <v>6</v>
      </c>
      <c r="H105" s="172">
        <v>80.1</v>
      </c>
      <c r="I105" s="173">
        <v>78.7</v>
      </c>
      <c r="J105" s="173">
        <f>+I105-H105</f>
        <v>-1.3999999999999915</v>
      </c>
      <c r="K105" s="592">
        <v>78.7</v>
      </c>
      <c r="L105" s="188">
        <f t="shared" si="13"/>
        <v>0</v>
      </c>
    </row>
    <row r="106" spans="1:12" ht="15" customHeight="1">
      <c r="A106" s="970" t="s">
        <v>91</v>
      </c>
      <c r="B106" s="696"/>
      <c r="C106" s="194">
        <v>24</v>
      </c>
      <c r="D106" s="169">
        <v>24</v>
      </c>
      <c r="E106" s="170">
        <f>+D106-C106</f>
        <v>0</v>
      </c>
      <c r="F106" s="171">
        <v>24</v>
      </c>
      <c r="G106" s="164">
        <f t="shared" si="12"/>
        <v>0</v>
      </c>
      <c r="H106" s="172">
        <v>75.4</v>
      </c>
      <c r="I106" s="173">
        <v>77</v>
      </c>
      <c r="J106" s="173">
        <f>+I106-H106</f>
        <v>1.5999999999999943</v>
      </c>
      <c r="K106" s="592">
        <v>79</v>
      </c>
      <c r="L106" s="188">
        <f t="shared" si="13"/>
        <v>2</v>
      </c>
    </row>
    <row r="107" spans="1:12" ht="15" customHeight="1">
      <c r="A107" s="970" t="s">
        <v>92</v>
      </c>
      <c r="B107" s="696"/>
      <c r="C107" s="194">
        <v>24</v>
      </c>
      <c r="D107" s="169">
        <v>24</v>
      </c>
      <c r="E107" s="170">
        <f>+D107-C107</f>
        <v>0</v>
      </c>
      <c r="F107" s="171">
        <v>24</v>
      </c>
      <c r="G107" s="164">
        <f t="shared" si="12"/>
        <v>0</v>
      </c>
      <c r="H107" s="172">
        <v>81.8</v>
      </c>
      <c r="I107" s="173">
        <v>83.2</v>
      </c>
      <c r="J107" s="173">
        <f>+I107-H107</f>
        <v>1.4000000000000057</v>
      </c>
      <c r="K107" s="592">
        <v>89.2</v>
      </c>
      <c r="L107" s="188">
        <f t="shared" si="13"/>
        <v>6</v>
      </c>
    </row>
    <row r="108" spans="1:12" ht="15" customHeight="1">
      <c r="A108" s="970" t="s">
        <v>93</v>
      </c>
      <c r="B108" s="696"/>
      <c r="C108" s="194"/>
      <c r="D108" s="169"/>
      <c r="E108" s="170"/>
      <c r="F108" s="171"/>
      <c r="G108" s="164">
        <f t="shared" si="12"/>
        <v>0</v>
      </c>
      <c r="H108" s="172"/>
      <c r="I108" s="173"/>
      <c r="J108" s="173"/>
      <c r="K108" s="592"/>
      <c r="L108" s="188">
        <f t="shared" si="13"/>
        <v>0</v>
      </c>
    </row>
    <row r="109" spans="1:12" ht="15" customHeight="1">
      <c r="A109" s="970" t="s">
        <v>94</v>
      </c>
      <c r="B109" s="696"/>
      <c r="C109" s="194">
        <v>70</v>
      </c>
      <c r="D109" s="169">
        <v>70</v>
      </c>
      <c r="E109" s="170">
        <f aca="true" t="shared" si="14" ref="E109:E122">+D109-C109</f>
        <v>0</v>
      </c>
      <c r="F109" s="171">
        <v>70</v>
      </c>
      <c r="G109" s="164">
        <f t="shared" si="12"/>
        <v>0</v>
      </c>
      <c r="H109" s="172">
        <v>82.5</v>
      </c>
      <c r="I109" s="173">
        <v>78.4</v>
      </c>
      <c r="J109" s="173">
        <f aca="true" t="shared" si="15" ref="J109:J122">+I109-H109</f>
        <v>-4.099999999999994</v>
      </c>
      <c r="K109" s="592">
        <v>83.2</v>
      </c>
      <c r="L109" s="188">
        <f t="shared" si="13"/>
        <v>4.799999999999997</v>
      </c>
    </row>
    <row r="110" spans="1:12" ht="15" customHeight="1">
      <c r="A110" s="970" t="s">
        <v>95</v>
      </c>
      <c r="B110" s="696"/>
      <c r="C110" s="194">
        <v>53</v>
      </c>
      <c r="D110" s="169">
        <v>53</v>
      </c>
      <c r="E110" s="170">
        <f t="shared" si="14"/>
        <v>0</v>
      </c>
      <c r="F110" s="171">
        <v>53</v>
      </c>
      <c r="G110" s="164">
        <f t="shared" si="12"/>
        <v>0</v>
      </c>
      <c r="H110" s="172">
        <v>79.3</v>
      </c>
      <c r="I110" s="173">
        <v>76.6</v>
      </c>
      <c r="J110" s="173">
        <f t="shared" si="15"/>
        <v>-2.700000000000003</v>
      </c>
      <c r="K110" s="592">
        <v>71.2</v>
      </c>
      <c r="L110" s="188">
        <f t="shared" si="13"/>
        <v>-5.3999999999999915</v>
      </c>
    </row>
    <row r="111" spans="1:12" ht="15" customHeight="1">
      <c r="A111" s="970" t="s">
        <v>96</v>
      </c>
      <c r="B111" s="696"/>
      <c r="C111" s="194">
        <v>71</v>
      </c>
      <c r="D111" s="169">
        <v>71</v>
      </c>
      <c r="E111" s="170">
        <f t="shared" si="14"/>
        <v>0</v>
      </c>
      <c r="F111" s="171">
        <v>70</v>
      </c>
      <c r="G111" s="164">
        <f t="shared" si="12"/>
        <v>-1</v>
      </c>
      <c r="H111" s="172">
        <v>88.5</v>
      </c>
      <c r="I111" s="173">
        <v>88</v>
      </c>
      <c r="J111" s="173">
        <f t="shared" si="15"/>
        <v>-0.5</v>
      </c>
      <c r="K111" s="592">
        <v>82.4</v>
      </c>
      <c r="L111" s="188">
        <f t="shared" si="13"/>
        <v>-5.599999999999994</v>
      </c>
    </row>
    <row r="112" spans="1:12" ht="15" customHeight="1">
      <c r="A112" s="970" t="s">
        <v>97</v>
      </c>
      <c r="B112" s="696"/>
      <c r="C112" s="194">
        <v>5</v>
      </c>
      <c r="D112" s="169">
        <v>5</v>
      </c>
      <c r="E112" s="170">
        <f t="shared" si="14"/>
        <v>0</v>
      </c>
      <c r="F112" s="171">
        <v>6</v>
      </c>
      <c r="G112" s="164">
        <f t="shared" si="12"/>
        <v>1</v>
      </c>
      <c r="H112" s="172">
        <v>76.6</v>
      </c>
      <c r="I112" s="173">
        <v>77.7</v>
      </c>
      <c r="J112" s="173">
        <f t="shared" si="15"/>
        <v>1.1000000000000085</v>
      </c>
      <c r="K112" s="592">
        <v>77.4</v>
      </c>
      <c r="L112" s="188">
        <f t="shared" si="13"/>
        <v>-0.29999999999999716</v>
      </c>
    </row>
    <row r="113" spans="1:12" ht="15" customHeight="1">
      <c r="A113" s="970" t="s">
        <v>98</v>
      </c>
      <c r="B113" s="696"/>
      <c r="C113" s="194">
        <v>30</v>
      </c>
      <c r="D113" s="169">
        <v>30</v>
      </c>
      <c r="E113" s="170">
        <f t="shared" si="14"/>
        <v>0</v>
      </c>
      <c r="F113" s="171">
        <v>32</v>
      </c>
      <c r="G113" s="164">
        <f t="shared" si="12"/>
        <v>2</v>
      </c>
      <c r="H113" s="172">
        <v>83.7</v>
      </c>
      <c r="I113" s="173">
        <v>85.1</v>
      </c>
      <c r="J113" s="173">
        <f t="shared" si="15"/>
        <v>1.3999999999999915</v>
      </c>
      <c r="K113" s="592">
        <v>93.6</v>
      </c>
      <c r="L113" s="188">
        <f t="shared" si="13"/>
        <v>8.5</v>
      </c>
    </row>
    <row r="114" spans="1:12" ht="15" customHeight="1">
      <c r="A114" s="970" t="s">
        <v>99</v>
      </c>
      <c r="B114" s="696"/>
      <c r="C114" s="194">
        <v>22</v>
      </c>
      <c r="D114" s="169">
        <v>22</v>
      </c>
      <c r="E114" s="170">
        <f t="shared" si="14"/>
        <v>0</v>
      </c>
      <c r="F114" s="171">
        <v>20</v>
      </c>
      <c r="G114" s="164">
        <f t="shared" si="12"/>
        <v>-2</v>
      </c>
      <c r="H114" s="172">
        <v>60.6</v>
      </c>
      <c r="I114" s="173">
        <v>64.1</v>
      </c>
      <c r="J114" s="173">
        <f t="shared" si="15"/>
        <v>3.499999999999993</v>
      </c>
      <c r="K114" s="592">
        <v>75.6</v>
      </c>
      <c r="L114" s="188">
        <f t="shared" si="13"/>
        <v>11.5</v>
      </c>
    </row>
    <row r="115" spans="1:12" ht="15" customHeight="1">
      <c r="A115" s="970" t="s">
        <v>100</v>
      </c>
      <c r="B115" s="696"/>
      <c r="C115" s="194">
        <v>23</v>
      </c>
      <c r="D115" s="169">
        <v>23</v>
      </c>
      <c r="E115" s="170">
        <f t="shared" si="14"/>
        <v>0</v>
      </c>
      <c r="F115" s="171">
        <v>20</v>
      </c>
      <c r="G115" s="164">
        <f t="shared" si="12"/>
        <v>-3</v>
      </c>
      <c r="H115" s="172">
        <v>76.2</v>
      </c>
      <c r="I115" s="173">
        <v>79.3</v>
      </c>
      <c r="J115" s="173">
        <f t="shared" si="15"/>
        <v>3.0999999999999943</v>
      </c>
      <c r="K115" s="592">
        <v>79</v>
      </c>
      <c r="L115" s="188">
        <f t="shared" si="13"/>
        <v>-0.29999999999999716</v>
      </c>
    </row>
    <row r="116" spans="1:12" ht="15" customHeight="1">
      <c r="A116" s="970" t="s">
        <v>101</v>
      </c>
      <c r="B116" s="696"/>
      <c r="C116" s="194">
        <v>25</v>
      </c>
      <c r="D116" s="169">
        <v>25</v>
      </c>
      <c r="E116" s="170">
        <f t="shared" si="14"/>
        <v>0</v>
      </c>
      <c r="F116" s="171">
        <v>20</v>
      </c>
      <c r="G116" s="164">
        <f t="shared" si="12"/>
        <v>-5</v>
      </c>
      <c r="H116" s="172">
        <v>68.7</v>
      </c>
      <c r="I116" s="173">
        <v>66.7</v>
      </c>
      <c r="J116" s="173">
        <f t="shared" si="15"/>
        <v>-2</v>
      </c>
      <c r="K116" s="592">
        <v>77.9</v>
      </c>
      <c r="L116" s="188">
        <f t="shared" si="13"/>
        <v>11.200000000000003</v>
      </c>
    </row>
    <row r="117" spans="1:12" ht="15" customHeight="1">
      <c r="A117" s="970" t="s">
        <v>102</v>
      </c>
      <c r="B117" s="696"/>
      <c r="C117" s="194">
        <v>15</v>
      </c>
      <c r="D117" s="169">
        <v>15</v>
      </c>
      <c r="E117" s="170">
        <f t="shared" si="14"/>
        <v>0</v>
      </c>
      <c r="F117" s="171">
        <v>0</v>
      </c>
      <c r="G117" s="164">
        <f t="shared" si="12"/>
        <v>-15</v>
      </c>
      <c r="H117" s="172">
        <v>76.7</v>
      </c>
      <c r="I117" s="173">
        <v>74</v>
      </c>
      <c r="J117" s="173">
        <f t="shared" si="15"/>
        <v>-2.700000000000003</v>
      </c>
      <c r="K117" s="592"/>
      <c r="L117" s="188">
        <f t="shared" si="13"/>
        <v>-74</v>
      </c>
    </row>
    <row r="118" spans="1:12" ht="15" customHeight="1">
      <c r="A118" s="970" t="s">
        <v>103</v>
      </c>
      <c r="B118" s="696"/>
      <c r="C118" s="194">
        <v>20</v>
      </c>
      <c r="D118" s="169">
        <v>20</v>
      </c>
      <c r="E118" s="170">
        <f t="shared" si="14"/>
        <v>0</v>
      </c>
      <c r="F118" s="171">
        <v>20</v>
      </c>
      <c r="G118" s="164">
        <f t="shared" si="12"/>
        <v>0</v>
      </c>
      <c r="H118" s="172">
        <v>70.6</v>
      </c>
      <c r="I118" s="173">
        <v>73.7</v>
      </c>
      <c r="J118" s="173">
        <f t="shared" si="15"/>
        <v>3.1000000000000085</v>
      </c>
      <c r="K118" s="592">
        <v>89.7</v>
      </c>
      <c r="L118" s="188">
        <f t="shared" si="13"/>
        <v>16</v>
      </c>
    </row>
    <row r="119" spans="1:12" ht="15" customHeight="1">
      <c r="A119" s="970" t="s">
        <v>104</v>
      </c>
      <c r="B119" s="696"/>
      <c r="C119" s="194">
        <v>25</v>
      </c>
      <c r="D119" s="169">
        <v>25</v>
      </c>
      <c r="E119" s="170">
        <f t="shared" si="14"/>
        <v>0</v>
      </c>
      <c r="F119" s="171">
        <v>25</v>
      </c>
      <c r="G119" s="164">
        <f t="shared" si="12"/>
        <v>0</v>
      </c>
      <c r="H119" s="172">
        <v>70</v>
      </c>
      <c r="I119" s="173">
        <v>86.7</v>
      </c>
      <c r="J119" s="173">
        <f t="shared" si="15"/>
        <v>16.700000000000003</v>
      </c>
      <c r="K119" s="592">
        <v>84.3</v>
      </c>
      <c r="L119" s="188">
        <f t="shared" si="13"/>
        <v>-2.4000000000000057</v>
      </c>
    </row>
    <row r="120" spans="1:12" ht="15" customHeight="1">
      <c r="A120" s="970" t="s">
        <v>105</v>
      </c>
      <c r="B120" s="696"/>
      <c r="C120" s="194">
        <v>26</v>
      </c>
      <c r="D120" s="169">
        <v>26</v>
      </c>
      <c r="E120" s="170">
        <f t="shared" si="14"/>
        <v>0</v>
      </c>
      <c r="F120" s="171">
        <v>44</v>
      </c>
      <c r="G120" s="164">
        <f t="shared" si="12"/>
        <v>18</v>
      </c>
      <c r="H120" s="172">
        <v>97.9</v>
      </c>
      <c r="I120" s="173">
        <v>97.9</v>
      </c>
      <c r="J120" s="173">
        <f t="shared" si="15"/>
        <v>0</v>
      </c>
      <c r="K120" s="592">
        <v>91.7</v>
      </c>
      <c r="L120" s="188">
        <f t="shared" si="13"/>
        <v>-6.200000000000003</v>
      </c>
    </row>
    <row r="121" spans="1:12" ht="15" customHeight="1" thickBot="1">
      <c r="A121" s="975" t="s">
        <v>106</v>
      </c>
      <c r="B121" s="976"/>
      <c r="C121" s="195">
        <v>10</v>
      </c>
      <c r="D121" s="175">
        <v>10</v>
      </c>
      <c r="E121" s="176">
        <f t="shared" si="14"/>
        <v>0</v>
      </c>
      <c r="F121" s="177">
        <v>10</v>
      </c>
      <c r="G121" s="197">
        <f t="shared" si="12"/>
        <v>0</v>
      </c>
      <c r="H121" s="178">
        <v>73.8</v>
      </c>
      <c r="I121" s="179">
        <v>78.4</v>
      </c>
      <c r="J121" s="179">
        <f t="shared" si="15"/>
        <v>4.6000000000000085</v>
      </c>
      <c r="K121" s="593">
        <v>85.8</v>
      </c>
      <c r="L121" s="188">
        <f t="shared" si="13"/>
        <v>7.3999999999999915</v>
      </c>
    </row>
    <row r="122" spans="1:12" ht="17.25" customHeight="1" thickBot="1">
      <c r="A122" s="977" t="s">
        <v>11</v>
      </c>
      <c r="B122" s="978"/>
      <c r="C122" s="196">
        <f>SUM(C104:C121)</f>
        <v>575</v>
      </c>
      <c r="D122" s="181">
        <f>SUM(D104:D121)</f>
        <v>575</v>
      </c>
      <c r="E122" s="182">
        <f t="shared" si="14"/>
        <v>0</v>
      </c>
      <c r="F122" s="183">
        <f>SUM(F104:F121)</f>
        <v>576</v>
      </c>
      <c r="G122" s="182">
        <f>+F122-E122</f>
        <v>576</v>
      </c>
      <c r="H122" s="184">
        <v>81.7</v>
      </c>
      <c r="I122" s="185">
        <v>81.5</v>
      </c>
      <c r="J122" s="185">
        <f t="shared" si="15"/>
        <v>-0.20000000000000284</v>
      </c>
      <c r="K122" s="594">
        <v>81.3</v>
      </c>
      <c r="L122" s="191">
        <f t="shared" si="13"/>
        <v>-0.20000000000000284</v>
      </c>
    </row>
    <row r="123" ht="13.5" thickBot="1"/>
    <row r="124" spans="1:12" ht="12.75" customHeight="1">
      <c r="A124" s="953" t="s">
        <v>261</v>
      </c>
      <c r="B124" s="954"/>
      <c r="C124" s="954"/>
      <c r="D124" s="954"/>
      <c r="E124" s="954"/>
      <c r="F124" s="954"/>
      <c r="G124" s="954"/>
      <c r="H124" s="954"/>
      <c r="I124" s="954"/>
      <c r="J124" s="954"/>
      <c r="K124" s="954"/>
      <c r="L124" s="955"/>
    </row>
    <row r="125" spans="1:12" ht="12.75">
      <c r="A125" s="956"/>
      <c r="B125" s="957"/>
      <c r="C125" s="957"/>
      <c r="D125" s="957"/>
      <c r="E125" s="957"/>
      <c r="F125" s="957"/>
      <c r="G125" s="957"/>
      <c r="H125" s="957"/>
      <c r="I125" s="957"/>
      <c r="J125" s="957"/>
      <c r="K125" s="957"/>
      <c r="L125" s="958"/>
    </row>
    <row r="126" spans="1:12" ht="12.75">
      <c r="A126" s="956"/>
      <c r="B126" s="957"/>
      <c r="C126" s="957"/>
      <c r="D126" s="957"/>
      <c r="E126" s="957"/>
      <c r="F126" s="957"/>
      <c r="G126" s="957"/>
      <c r="H126" s="957"/>
      <c r="I126" s="957"/>
      <c r="J126" s="957"/>
      <c r="K126" s="957"/>
      <c r="L126" s="958"/>
    </row>
    <row r="127" spans="1:12" ht="12.75">
      <c r="A127" s="956"/>
      <c r="B127" s="957"/>
      <c r="C127" s="957"/>
      <c r="D127" s="957"/>
      <c r="E127" s="957"/>
      <c r="F127" s="957"/>
      <c r="G127" s="957"/>
      <c r="H127" s="957"/>
      <c r="I127" s="957"/>
      <c r="J127" s="957"/>
      <c r="K127" s="957"/>
      <c r="L127" s="958"/>
    </row>
    <row r="128" spans="1:12" ht="12.75">
      <c r="A128" s="956"/>
      <c r="B128" s="957"/>
      <c r="C128" s="957"/>
      <c r="D128" s="957"/>
      <c r="E128" s="957"/>
      <c r="F128" s="957"/>
      <c r="G128" s="957"/>
      <c r="H128" s="957"/>
      <c r="I128" s="957"/>
      <c r="J128" s="957"/>
      <c r="K128" s="957"/>
      <c r="L128" s="958"/>
    </row>
    <row r="129" spans="1:12" ht="13.5" thickBot="1">
      <c r="A129" s="959"/>
      <c r="B129" s="960"/>
      <c r="C129" s="960"/>
      <c r="D129" s="960"/>
      <c r="E129" s="960"/>
      <c r="F129" s="960"/>
      <c r="G129" s="960"/>
      <c r="H129" s="960"/>
      <c r="I129" s="960"/>
      <c r="J129" s="960"/>
      <c r="K129" s="960"/>
      <c r="L129" s="961"/>
    </row>
    <row r="130" spans="1:12" ht="8.25" customHeight="1">
      <c r="A130" s="76"/>
      <c r="B130" s="76"/>
      <c r="C130" s="76"/>
      <c r="D130" s="76"/>
      <c r="E130" s="76"/>
      <c r="F130" s="76"/>
      <c r="G130" s="76"/>
      <c r="H130" s="76"/>
      <c r="I130" s="76"/>
      <c r="J130" s="76"/>
      <c r="K130" s="76"/>
      <c r="L130" s="480"/>
    </row>
    <row r="131" ht="16.5" thickBot="1">
      <c r="A131" s="29" t="s">
        <v>233</v>
      </c>
    </row>
    <row r="132" spans="1:12" s="39" customFormat="1" ht="21.75" customHeight="1" thickBot="1">
      <c r="A132" s="795" t="s">
        <v>272</v>
      </c>
      <c r="B132" s="909"/>
      <c r="C132" s="909"/>
      <c r="D132" s="909"/>
      <c r="E132" s="901" t="s">
        <v>216</v>
      </c>
      <c r="F132" s="785"/>
      <c r="H132" s="795" t="s">
        <v>273</v>
      </c>
      <c r="I132" s="909"/>
      <c r="J132" s="909"/>
      <c r="K132" s="901" t="s">
        <v>216</v>
      </c>
      <c r="L132" s="785"/>
    </row>
    <row r="133" spans="1:12" s="478" customFormat="1" ht="21" customHeight="1">
      <c r="A133" s="800" t="s">
        <v>217</v>
      </c>
      <c r="B133" s="801"/>
      <c r="C133" s="801"/>
      <c r="D133" s="801"/>
      <c r="E133" s="902">
        <v>1627000</v>
      </c>
      <c r="F133" s="900"/>
      <c r="H133" s="800" t="s">
        <v>218</v>
      </c>
      <c r="I133" s="801"/>
      <c r="J133" s="801"/>
      <c r="K133" s="902">
        <v>14941000</v>
      </c>
      <c r="L133" s="900"/>
    </row>
    <row r="134" spans="1:12" s="478" customFormat="1" ht="15" customHeight="1">
      <c r="A134" s="807" t="s">
        <v>218</v>
      </c>
      <c r="B134" s="808"/>
      <c r="C134" s="808"/>
      <c r="D134" s="808"/>
      <c r="E134" s="903">
        <v>13159000</v>
      </c>
      <c r="F134" s="904"/>
      <c r="H134" s="807" t="s">
        <v>219</v>
      </c>
      <c r="I134" s="808"/>
      <c r="J134" s="808"/>
      <c r="K134" s="903">
        <v>244663.6</v>
      </c>
      <c r="L134" s="904"/>
    </row>
    <row r="135" spans="1:12" s="478" customFormat="1" ht="15" customHeight="1">
      <c r="A135" s="807" t="s">
        <v>219</v>
      </c>
      <c r="B135" s="808"/>
      <c r="C135" s="808"/>
      <c r="D135" s="808"/>
      <c r="E135" s="903">
        <v>201935.4</v>
      </c>
      <c r="F135" s="905"/>
      <c r="H135" s="807" t="s">
        <v>221</v>
      </c>
      <c r="I135" s="808"/>
      <c r="J135" s="808"/>
      <c r="K135" s="903">
        <v>18409999.99</v>
      </c>
      <c r="L135" s="905"/>
    </row>
    <row r="136" spans="1:12" s="478" customFormat="1" ht="15" customHeight="1">
      <c r="A136" s="807" t="s">
        <v>220</v>
      </c>
      <c r="B136" s="808"/>
      <c r="C136" s="808"/>
      <c r="D136" s="808"/>
      <c r="E136" s="903">
        <v>108545.5</v>
      </c>
      <c r="F136" s="905"/>
      <c r="H136" s="910"/>
      <c r="I136" s="911"/>
      <c r="J136" s="912"/>
      <c r="K136" s="895"/>
      <c r="L136" s="896"/>
    </row>
    <row r="137" spans="1:12" s="478" customFormat="1" ht="15" customHeight="1">
      <c r="A137" s="807" t="s">
        <v>221</v>
      </c>
      <c r="B137" s="808"/>
      <c r="C137" s="808"/>
      <c r="D137" s="808"/>
      <c r="E137" s="903">
        <v>1650000</v>
      </c>
      <c r="F137" s="904"/>
      <c r="H137" s="913"/>
      <c r="I137" s="914"/>
      <c r="J137" s="915"/>
      <c r="K137" s="897"/>
      <c r="L137" s="898"/>
    </row>
    <row r="138" spans="1:12" s="39" customFormat="1" ht="15" customHeight="1">
      <c r="A138" s="807" t="s">
        <v>222</v>
      </c>
      <c r="B138" s="808"/>
      <c r="C138" s="808"/>
      <c r="D138" s="808"/>
      <c r="E138" s="903">
        <v>23000</v>
      </c>
      <c r="F138" s="906"/>
      <c r="H138" s="916"/>
      <c r="I138" s="917"/>
      <c r="J138" s="918"/>
      <c r="K138" s="899"/>
      <c r="L138" s="900"/>
    </row>
    <row r="139" spans="1:12" s="39" customFormat="1" ht="15" customHeight="1" thickBot="1">
      <c r="A139" s="907" t="s">
        <v>223</v>
      </c>
      <c r="B139" s="908"/>
      <c r="C139" s="908"/>
      <c r="D139" s="908"/>
      <c r="E139" s="893">
        <f>SUM(E133:F138)</f>
        <v>16769480.9</v>
      </c>
      <c r="F139" s="894"/>
      <c r="H139" s="907" t="s">
        <v>225</v>
      </c>
      <c r="I139" s="908"/>
      <c r="J139" s="908"/>
      <c r="K139" s="893">
        <f>SUM(K133:L138)</f>
        <v>33595663.589999996</v>
      </c>
      <c r="L139" s="894"/>
    </row>
    <row r="141" ht="3.75" customHeight="1"/>
    <row r="142" ht="3.75" customHeight="1"/>
    <row r="143" ht="3.75" customHeight="1"/>
    <row r="145" ht="16.5" thickBot="1">
      <c r="A145" s="29" t="s">
        <v>227</v>
      </c>
    </row>
    <row r="146" spans="1:11" ht="12.75" customHeight="1">
      <c r="A146" s="1003" t="s">
        <v>116</v>
      </c>
      <c r="B146" s="963"/>
      <c r="C146" s="980"/>
      <c r="D146" s="294" t="s">
        <v>117</v>
      </c>
      <c r="E146" s="295"/>
      <c r="F146" s="257"/>
      <c r="G146" s="256" t="s">
        <v>161</v>
      </c>
      <c r="H146" s="295"/>
      <c r="I146" s="257"/>
      <c r="J146" s="1003" t="s">
        <v>162</v>
      </c>
      <c r="K146" s="1015"/>
    </row>
    <row r="147" spans="1:11" ht="12.75">
      <c r="A147" s="1004"/>
      <c r="B147" s="969"/>
      <c r="C147" s="696"/>
      <c r="D147" s="987" t="s">
        <v>118</v>
      </c>
      <c r="E147" s="990" t="s">
        <v>119</v>
      </c>
      <c r="F147" s="993" t="s">
        <v>11</v>
      </c>
      <c r="G147" s="987" t="s">
        <v>118</v>
      </c>
      <c r="H147" s="990" t="s">
        <v>119</v>
      </c>
      <c r="I147" s="993" t="s">
        <v>11</v>
      </c>
      <c r="J147" s="1016"/>
      <c r="K147" s="1017"/>
    </row>
    <row r="148" spans="1:11" ht="12.75">
      <c r="A148" s="1004"/>
      <c r="B148" s="969"/>
      <c r="C148" s="696"/>
      <c r="D148" s="988"/>
      <c r="E148" s="991" t="s">
        <v>120</v>
      </c>
      <c r="F148" s="994"/>
      <c r="G148" s="988"/>
      <c r="H148" s="991" t="s">
        <v>120</v>
      </c>
      <c r="I148" s="994"/>
      <c r="J148" s="1018"/>
      <c r="K148" s="696"/>
    </row>
    <row r="149" spans="1:11" ht="13.5" thickBot="1">
      <c r="A149" s="1005"/>
      <c r="B149" s="965"/>
      <c r="C149" s="702"/>
      <c r="D149" s="989"/>
      <c r="E149" s="992" t="s">
        <v>120</v>
      </c>
      <c r="F149" s="995"/>
      <c r="G149" s="989"/>
      <c r="H149" s="992" t="s">
        <v>120</v>
      </c>
      <c r="I149" s="995"/>
      <c r="J149" s="271" t="s">
        <v>88</v>
      </c>
      <c r="K149" s="272" t="s">
        <v>163</v>
      </c>
    </row>
    <row r="150" spans="1:11" ht="12.75">
      <c r="A150" s="1006" t="s">
        <v>122</v>
      </c>
      <c r="B150" s="967"/>
      <c r="C150" s="1007"/>
      <c r="D150" s="292">
        <v>456000</v>
      </c>
      <c r="E150" s="296">
        <v>800</v>
      </c>
      <c r="F150" s="249">
        <f>SUM(D150:E150)</f>
        <v>456800</v>
      </c>
      <c r="G150" s="292">
        <v>453712.05</v>
      </c>
      <c r="H150" s="296">
        <v>485.99</v>
      </c>
      <c r="I150" s="585">
        <f>SUM(G150:H150)</f>
        <v>454198.04</v>
      </c>
      <c r="J150" s="278">
        <f>+I150-F150</f>
        <v>-2601.960000000021</v>
      </c>
      <c r="K150" s="281">
        <f>+I150/F150</f>
        <v>0.9943039404553414</v>
      </c>
    </row>
    <row r="151" spans="1:11" ht="12.75">
      <c r="A151" s="1008" t="s">
        <v>123</v>
      </c>
      <c r="B151" s="969"/>
      <c r="C151" s="696"/>
      <c r="D151" s="290"/>
      <c r="E151" s="242"/>
      <c r="F151" s="258"/>
      <c r="G151" s="290">
        <v>440802</v>
      </c>
      <c r="H151" s="242">
        <v>0</v>
      </c>
      <c r="I151" s="258">
        <f>SUM(G151:H151)</f>
        <v>440802</v>
      </c>
      <c r="J151" s="278"/>
      <c r="K151" s="281"/>
    </row>
    <row r="152" spans="1:11" ht="12.75">
      <c r="A152" s="1008" t="s">
        <v>124</v>
      </c>
      <c r="B152" s="969"/>
      <c r="C152" s="696"/>
      <c r="D152" s="290"/>
      <c r="E152" s="242"/>
      <c r="F152" s="258"/>
      <c r="G152" s="290">
        <v>12910</v>
      </c>
      <c r="H152" s="242">
        <v>486</v>
      </c>
      <c r="I152" s="250">
        <f>SUM(G152:H152)</f>
        <v>13396</v>
      </c>
      <c r="J152" s="278"/>
      <c r="K152" s="281"/>
    </row>
    <row r="153" spans="1:11" ht="12.75">
      <c r="A153" s="1008" t="s">
        <v>125</v>
      </c>
      <c r="B153" s="969"/>
      <c r="C153" s="696"/>
      <c r="D153" s="290">
        <v>0</v>
      </c>
      <c r="E153" s="242">
        <v>55600</v>
      </c>
      <c r="F153" s="258">
        <f>SUM(D153:E153)</f>
        <v>55600</v>
      </c>
      <c r="G153" s="290">
        <v>0</v>
      </c>
      <c r="H153" s="242">
        <v>58834.4</v>
      </c>
      <c r="I153" s="258">
        <f>SUM(G153:H153)</f>
        <v>58834.4</v>
      </c>
      <c r="J153" s="278">
        <f>+I153-F153</f>
        <v>3234.4000000000015</v>
      </c>
      <c r="K153" s="281">
        <f>+I153/F153</f>
        <v>1.0581726618705036</v>
      </c>
    </row>
    <row r="154" spans="1:11" ht="12.75">
      <c r="A154" s="1008" t="s">
        <v>126</v>
      </c>
      <c r="B154" s="969"/>
      <c r="C154" s="696"/>
      <c r="D154" s="297"/>
      <c r="E154" s="244"/>
      <c r="F154" s="304"/>
      <c r="G154" s="297">
        <v>0</v>
      </c>
      <c r="H154" s="244">
        <v>52523</v>
      </c>
      <c r="I154" s="258">
        <f>SUM(G154:H154)</f>
        <v>52523</v>
      </c>
      <c r="J154" s="278"/>
      <c r="K154" s="281"/>
    </row>
    <row r="155" spans="1:11" ht="12.75">
      <c r="A155" s="1008" t="s">
        <v>127</v>
      </c>
      <c r="B155" s="969"/>
      <c r="C155" s="696"/>
      <c r="D155" s="290">
        <v>12200</v>
      </c>
      <c r="E155" s="242">
        <v>0</v>
      </c>
      <c r="F155" s="258">
        <f aca="true" t="shared" si="16" ref="F155:F160">SUM(D155:E155)</f>
        <v>12200</v>
      </c>
      <c r="G155" s="290">
        <v>10233.57</v>
      </c>
      <c r="H155" s="242"/>
      <c r="I155" s="258">
        <f aca="true" t="shared" si="17" ref="I155:I160">SUM(G155:H155)</f>
        <v>10233.57</v>
      </c>
      <c r="J155" s="278">
        <f aca="true" t="shared" si="18" ref="J155:J161">+I155-F155</f>
        <v>-1966.4300000000003</v>
      </c>
      <c r="K155" s="281">
        <f>+I155/F155</f>
        <v>0.8388172131147541</v>
      </c>
    </row>
    <row r="156" spans="1:11" ht="12.75">
      <c r="A156" s="1008" t="s">
        <v>128</v>
      </c>
      <c r="B156" s="969"/>
      <c r="C156" s="696"/>
      <c r="D156" s="290">
        <v>4934</v>
      </c>
      <c r="E156" s="242">
        <v>150</v>
      </c>
      <c r="F156" s="258">
        <f t="shared" si="16"/>
        <v>5084</v>
      </c>
      <c r="G156" s="290">
        <f>768.57+22.42+734.19+2557.37</f>
        <v>4082.55</v>
      </c>
      <c r="H156" s="242">
        <v>59.96</v>
      </c>
      <c r="I156" s="258">
        <f t="shared" si="17"/>
        <v>4142.51</v>
      </c>
      <c r="J156" s="278">
        <f t="shared" si="18"/>
        <v>-941.4899999999998</v>
      </c>
      <c r="K156" s="281">
        <f>+I156/F156</f>
        <v>0.8148131392604249</v>
      </c>
    </row>
    <row r="157" spans="1:11" ht="12.75">
      <c r="A157" s="1008" t="s">
        <v>129</v>
      </c>
      <c r="B157" s="969"/>
      <c r="C157" s="696"/>
      <c r="D157" s="290">
        <v>0</v>
      </c>
      <c r="E157" s="242">
        <v>0</v>
      </c>
      <c r="F157" s="258">
        <f t="shared" si="16"/>
        <v>0</v>
      </c>
      <c r="G157" s="290">
        <v>734.19</v>
      </c>
      <c r="H157" s="242"/>
      <c r="I157" s="258">
        <f t="shared" si="17"/>
        <v>734.19</v>
      </c>
      <c r="J157" s="278">
        <f t="shared" si="18"/>
        <v>734.19</v>
      </c>
      <c r="K157" s="281"/>
    </row>
    <row r="158" spans="1:11" ht="12.75">
      <c r="A158" s="1008" t="s">
        <v>130</v>
      </c>
      <c r="B158" s="969"/>
      <c r="C158" s="696"/>
      <c r="D158" s="290">
        <v>0</v>
      </c>
      <c r="E158" s="242">
        <v>0</v>
      </c>
      <c r="F158" s="258">
        <f t="shared" si="16"/>
        <v>0</v>
      </c>
      <c r="G158" s="290">
        <v>3524.99</v>
      </c>
      <c r="H158" s="242">
        <v>2.06</v>
      </c>
      <c r="I158" s="258">
        <f t="shared" si="17"/>
        <v>3527.0499999999997</v>
      </c>
      <c r="J158" s="278">
        <f t="shared" si="18"/>
        <v>3527.0499999999997</v>
      </c>
      <c r="K158" s="281"/>
    </row>
    <row r="159" spans="1:11" ht="12.75">
      <c r="A159" s="1008" t="s">
        <v>131</v>
      </c>
      <c r="B159" s="969"/>
      <c r="C159" s="696"/>
      <c r="D159" s="290">
        <v>0</v>
      </c>
      <c r="E159" s="242">
        <v>0</v>
      </c>
      <c r="F159" s="258">
        <f t="shared" si="16"/>
        <v>0</v>
      </c>
      <c r="G159" s="290"/>
      <c r="H159" s="242"/>
      <c r="I159" s="258">
        <f t="shared" si="17"/>
        <v>0</v>
      </c>
      <c r="J159" s="278">
        <f t="shared" si="18"/>
        <v>0</v>
      </c>
      <c r="K159" s="281"/>
    </row>
    <row r="160" spans="1:11" ht="13.5" thickBot="1">
      <c r="A160" s="1009" t="s">
        <v>132</v>
      </c>
      <c r="B160" s="1010"/>
      <c r="C160" s="976"/>
      <c r="D160" s="293">
        <v>16769</v>
      </c>
      <c r="E160" s="298">
        <v>0</v>
      </c>
      <c r="F160" s="305">
        <f t="shared" si="16"/>
        <v>16769</v>
      </c>
      <c r="G160" s="293">
        <v>16769.48</v>
      </c>
      <c r="H160" s="298"/>
      <c r="I160" s="305">
        <f t="shared" si="17"/>
        <v>16769.48</v>
      </c>
      <c r="J160" s="278">
        <f t="shared" si="18"/>
        <v>0.47999999999956344</v>
      </c>
      <c r="K160" s="281">
        <f>+I160/F160</f>
        <v>1.0000286242471226</v>
      </c>
    </row>
    <row r="161" spans="1:11" ht="13.5" thickBot="1">
      <c r="A161" s="1011" t="s">
        <v>4</v>
      </c>
      <c r="B161" s="1012"/>
      <c r="C161" s="1013"/>
      <c r="D161" s="299">
        <f aca="true" t="shared" si="19" ref="D161:I161">SUM(D150+D153+D155+D156+D158+D160)</f>
        <v>489903</v>
      </c>
      <c r="E161" s="246">
        <f t="shared" si="19"/>
        <v>56550</v>
      </c>
      <c r="F161" s="303">
        <f t="shared" si="19"/>
        <v>546453</v>
      </c>
      <c r="G161" s="299">
        <f t="shared" si="19"/>
        <v>488322.63999999996</v>
      </c>
      <c r="H161" s="246">
        <f t="shared" si="19"/>
        <v>59382.409999999996</v>
      </c>
      <c r="I161" s="303">
        <f t="shared" si="19"/>
        <v>547705.05</v>
      </c>
      <c r="J161" s="279">
        <f t="shared" si="18"/>
        <v>1252.0500000000466</v>
      </c>
      <c r="K161" s="282">
        <f>+I161/F161</f>
        <v>1.0022912309018344</v>
      </c>
    </row>
    <row r="162" ht="5.25" customHeight="1" thickBot="1"/>
    <row r="163" spans="1:11" ht="12.75">
      <c r="A163" s="1014" t="s">
        <v>133</v>
      </c>
      <c r="B163" s="963"/>
      <c r="C163" s="980"/>
      <c r="D163" s="292">
        <v>131300</v>
      </c>
      <c r="E163" s="296">
        <v>200</v>
      </c>
      <c r="F163" s="249">
        <f>SUM(D163:E163)</f>
        <v>131500</v>
      </c>
      <c r="G163" s="292">
        <v>134369.57</v>
      </c>
      <c r="H163" s="296">
        <v>188.27</v>
      </c>
      <c r="I163" s="249">
        <f>SUM(G163:H163)</f>
        <v>134557.84</v>
      </c>
      <c r="J163" s="283">
        <f aca="true" t="shared" si="20" ref="J163:J191">+I163-F163</f>
        <v>3057.8399999999965</v>
      </c>
      <c r="K163" s="284">
        <f>+I163/F163</f>
        <v>1.023253536121673</v>
      </c>
    </row>
    <row r="164" spans="1:11" ht="12.75">
      <c r="A164" s="1008" t="s">
        <v>167</v>
      </c>
      <c r="B164" s="969"/>
      <c r="C164" s="696"/>
      <c r="D164" s="291">
        <v>1300</v>
      </c>
      <c r="E164" s="276"/>
      <c r="F164" s="250">
        <f>SUM(D164:E164)</f>
        <v>1300</v>
      </c>
      <c r="G164" s="291">
        <v>3053</v>
      </c>
      <c r="H164" s="276">
        <v>0</v>
      </c>
      <c r="I164" s="250">
        <f>SUM(G164:H164)</f>
        <v>3053</v>
      </c>
      <c r="J164" s="278">
        <f t="shared" si="20"/>
        <v>1753</v>
      </c>
      <c r="K164" s="280">
        <f>+I164/F164</f>
        <v>2.3484615384615384</v>
      </c>
    </row>
    <row r="165" spans="1:11" ht="12.75">
      <c r="A165" s="1008" t="s">
        <v>135</v>
      </c>
      <c r="B165" s="969"/>
      <c r="C165" s="696"/>
      <c r="D165" s="300"/>
      <c r="E165" s="240"/>
      <c r="F165" s="251"/>
      <c r="G165" s="300">
        <v>40497</v>
      </c>
      <c r="H165" s="240"/>
      <c r="I165" s="250">
        <f aca="true" t="shared" si="21" ref="I165:I170">SUM(G165:H165)</f>
        <v>40497</v>
      </c>
      <c r="J165" s="278">
        <f t="shared" si="20"/>
        <v>40497</v>
      </c>
      <c r="K165" s="270"/>
    </row>
    <row r="166" spans="1:11" ht="12.75">
      <c r="A166" s="1008" t="s">
        <v>136</v>
      </c>
      <c r="B166" s="969"/>
      <c r="C166" s="696"/>
      <c r="D166" s="300"/>
      <c r="E166" s="240"/>
      <c r="F166" s="251"/>
      <c r="G166" s="300">
        <v>6368</v>
      </c>
      <c r="H166" s="240"/>
      <c r="I166" s="250">
        <f t="shared" si="21"/>
        <v>6368</v>
      </c>
      <c r="J166" s="278">
        <f t="shared" si="20"/>
        <v>6368</v>
      </c>
      <c r="K166" s="270"/>
    </row>
    <row r="167" spans="1:11" ht="12.75">
      <c r="A167" s="1008" t="s">
        <v>137</v>
      </c>
      <c r="B167" s="969"/>
      <c r="C167" s="696"/>
      <c r="D167" s="300"/>
      <c r="E167" s="240"/>
      <c r="F167" s="251"/>
      <c r="G167" s="300">
        <v>62511</v>
      </c>
      <c r="H167" s="240"/>
      <c r="I167" s="250">
        <f t="shared" si="21"/>
        <v>62511</v>
      </c>
      <c r="J167" s="278">
        <f t="shared" si="20"/>
        <v>62511</v>
      </c>
      <c r="K167" s="270"/>
    </row>
    <row r="168" spans="1:11" ht="12.75">
      <c r="A168" s="1008" t="s">
        <v>138</v>
      </c>
      <c r="B168" s="969"/>
      <c r="C168" s="696"/>
      <c r="D168" s="300"/>
      <c r="E168" s="240"/>
      <c r="F168" s="251"/>
      <c r="G168" s="300">
        <v>10341</v>
      </c>
      <c r="H168" s="240"/>
      <c r="I168" s="250">
        <f t="shared" si="21"/>
        <v>10341</v>
      </c>
      <c r="J168" s="278">
        <f t="shared" si="20"/>
        <v>10341</v>
      </c>
      <c r="K168" s="270"/>
    </row>
    <row r="169" spans="1:11" ht="12.75">
      <c r="A169" s="1008" t="s">
        <v>139</v>
      </c>
      <c r="B169" s="969"/>
      <c r="C169" s="696"/>
      <c r="D169" s="300"/>
      <c r="E169" s="240"/>
      <c r="F169" s="251"/>
      <c r="G169" s="300">
        <v>349</v>
      </c>
      <c r="H169" s="240"/>
      <c r="I169" s="250">
        <f t="shared" si="21"/>
        <v>349</v>
      </c>
      <c r="J169" s="278">
        <f t="shared" si="20"/>
        <v>349</v>
      </c>
      <c r="K169" s="270"/>
    </row>
    <row r="170" spans="1:11" ht="12.75">
      <c r="A170" s="1008" t="s">
        <v>140</v>
      </c>
      <c r="B170" s="969"/>
      <c r="C170" s="696"/>
      <c r="D170" s="291"/>
      <c r="E170" s="276"/>
      <c r="F170" s="250"/>
      <c r="G170" s="291">
        <v>7978</v>
      </c>
      <c r="H170" s="276"/>
      <c r="I170" s="250">
        <f t="shared" si="21"/>
        <v>7978</v>
      </c>
      <c r="J170" s="278">
        <f t="shared" si="20"/>
        <v>7978</v>
      </c>
      <c r="K170" s="316"/>
    </row>
    <row r="171" spans="1:11" ht="12.75">
      <c r="A171" s="1008" t="s">
        <v>141</v>
      </c>
      <c r="B171" s="969"/>
      <c r="C171" s="696"/>
      <c r="D171" s="290">
        <v>16300</v>
      </c>
      <c r="E171" s="242">
        <v>600</v>
      </c>
      <c r="F171" s="250">
        <f aca="true" t="shared" si="22" ref="F171:F176">SUM(D171:E171)</f>
        <v>16900</v>
      </c>
      <c r="G171" s="290">
        <v>16345.97</v>
      </c>
      <c r="H171" s="242">
        <v>272.8</v>
      </c>
      <c r="I171" s="250">
        <f aca="true" t="shared" si="23" ref="I171:I180">SUM(G171:H171)</f>
        <v>16618.77</v>
      </c>
      <c r="J171" s="278">
        <f t="shared" si="20"/>
        <v>-281.22999999999956</v>
      </c>
      <c r="K171" s="281">
        <f>+I171/F171</f>
        <v>0.9833591715976332</v>
      </c>
    </row>
    <row r="172" spans="1:11" ht="12.75">
      <c r="A172" s="1008" t="s">
        <v>142</v>
      </c>
      <c r="B172" s="969"/>
      <c r="C172" s="696"/>
      <c r="D172" s="290">
        <v>0</v>
      </c>
      <c r="E172" s="242">
        <v>0</v>
      </c>
      <c r="F172" s="250">
        <f t="shared" si="22"/>
        <v>0</v>
      </c>
      <c r="G172" s="290"/>
      <c r="H172" s="242"/>
      <c r="I172" s="250">
        <f t="shared" si="23"/>
        <v>0</v>
      </c>
      <c r="J172" s="278">
        <f t="shared" si="20"/>
        <v>0</v>
      </c>
      <c r="K172" s="317"/>
    </row>
    <row r="173" spans="1:11" ht="12.75">
      <c r="A173" s="1008" t="s">
        <v>143</v>
      </c>
      <c r="B173" s="969"/>
      <c r="C173" s="696"/>
      <c r="D173" s="290"/>
      <c r="E173" s="242">
        <v>46500</v>
      </c>
      <c r="F173" s="250">
        <f t="shared" si="22"/>
        <v>46500</v>
      </c>
      <c r="G173" s="290"/>
      <c r="H173" s="242">
        <v>49137.96</v>
      </c>
      <c r="I173" s="250">
        <f t="shared" si="23"/>
        <v>49137.96</v>
      </c>
      <c r="J173" s="278">
        <f t="shared" si="20"/>
        <v>2637.959999999999</v>
      </c>
      <c r="K173" s="281">
        <f>+I173/F173</f>
        <v>1.056730322580645</v>
      </c>
    </row>
    <row r="174" spans="1:11" ht="12.75">
      <c r="A174" s="1008" t="s">
        <v>144</v>
      </c>
      <c r="B174" s="969"/>
      <c r="C174" s="696"/>
      <c r="D174" s="290">
        <v>46212</v>
      </c>
      <c r="E174" s="242">
        <v>1000</v>
      </c>
      <c r="F174" s="250">
        <f t="shared" si="22"/>
        <v>47212</v>
      </c>
      <c r="G174" s="290">
        <f>11672.01+306.48+5.58+31229.83</f>
        <v>43213.9</v>
      </c>
      <c r="H174" s="242">
        <v>2865.77</v>
      </c>
      <c r="I174" s="250">
        <f t="shared" si="23"/>
        <v>46079.67</v>
      </c>
      <c r="J174" s="278">
        <f t="shared" si="20"/>
        <v>-1132.3300000000017</v>
      </c>
      <c r="K174" s="318">
        <f>+I174/F174</f>
        <v>0.9760160552401931</v>
      </c>
    </row>
    <row r="175" spans="1:11" ht="12.75">
      <c r="A175" s="1008" t="s">
        <v>145</v>
      </c>
      <c r="B175" s="969"/>
      <c r="C175" s="696"/>
      <c r="D175" s="290">
        <v>10100</v>
      </c>
      <c r="E175" s="242">
        <v>0</v>
      </c>
      <c r="F175" s="250">
        <f t="shared" si="22"/>
        <v>10100</v>
      </c>
      <c r="G175" s="290">
        <v>11672.01</v>
      </c>
      <c r="H175" s="242"/>
      <c r="I175" s="250">
        <f t="shared" si="23"/>
        <v>11672.01</v>
      </c>
      <c r="J175" s="278">
        <f t="shared" si="20"/>
        <v>1572.0100000000002</v>
      </c>
      <c r="K175" s="281">
        <f>+I175/F175</f>
        <v>1.1556445544554457</v>
      </c>
    </row>
    <row r="176" spans="1:11" ht="12.75">
      <c r="A176" s="1008" t="s">
        <v>146</v>
      </c>
      <c r="B176" s="969"/>
      <c r="C176" s="696"/>
      <c r="D176" s="290">
        <v>38400</v>
      </c>
      <c r="E176" s="242">
        <v>1000</v>
      </c>
      <c r="F176" s="250">
        <f t="shared" si="22"/>
        <v>39400</v>
      </c>
      <c r="G176" s="290">
        <v>31229.83</v>
      </c>
      <c r="H176" s="242"/>
      <c r="I176" s="250">
        <f t="shared" si="23"/>
        <v>31229.83</v>
      </c>
      <c r="J176" s="278">
        <f t="shared" si="20"/>
        <v>-8170.169999999998</v>
      </c>
      <c r="K176" s="280">
        <f>+I176/F176</f>
        <v>0.7926352791878173</v>
      </c>
    </row>
    <row r="177" spans="1:11" ht="12.75">
      <c r="A177" s="1008" t="s">
        <v>147</v>
      </c>
      <c r="B177" s="969"/>
      <c r="C177" s="696"/>
      <c r="D177" s="290"/>
      <c r="E177" s="242"/>
      <c r="F177" s="250"/>
      <c r="G177" s="290">
        <v>1413</v>
      </c>
      <c r="H177" s="242">
        <v>26</v>
      </c>
      <c r="I177" s="250">
        <f t="shared" si="23"/>
        <v>1439</v>
      </c>
      <c r="J177" s="278">
        <f t="shared" si="20"/>
        <v>1439</v>
      </c>
      <c r="K177" s="270"/>
    </row>
    <row r="178" spans="1:11" ht="12.75">
      <c r="A178" s="1008" t="s">
        <v>148</v>
      </c>
      <c r="B178" s="969"/>
      <c r="C178" s="696"/>
      <c r="D178" s="290"/>
      <c r="E178" s="242"/>
      <c r="F178" s="250"/>
      <c r="G178" s="290">
        <v>120</v>
      </c>
      <c r="H178" s="242"/>
      <c r="I178" s="250">
        <f t="shared" si="23"/>
        <v>120</v>
      </c>
      <c r="J178" s="278">
        <f t="shared" si="20"/>
        <v>120</v>
      </c>
      <c r="K178" s="270"/>
    </row>
    <row r="179" spans="1:11" ht="12.75">
      <c r="A179" s="1008" t="s">
        <v>149</v>
      </c>
      <c r="B179" s="969"/>
      <c r="C179" s="696"/>
      <c r="D179" s="290"/>
      <c r="E179" s="242"/>
      <c r="F179" s="250"/>
      <c r="G179" s="290">
        <v>28362</v>
      </c>
      <c r="H179" s="242"/>
      <c r="I179" s="250">
        <f t="shared" si="23"/>
        <v>28362</v>
      </c>
      <c r="J179" s="278">
        <f t="shared" si="20"/>
        <v>28362</v>
      </c>
      <c r="K179" s="270"/>
    </row>
    <row r="180" spans="1:11" ht="12.75">
      <c r="A180" s="1008" t="s">
        <v>150</v>
      </c>
      <c r="B180" s="969"/>
      <c r="C180" s="696"/>
      <c r="D180" s="290"/>
      <c r="E180" s="242"/>
      <c r="F180" s="250"/>
      <c r="G180" s="290">
        <v>1335</v>
      </c>
      <c r="H180" s="242">
        <v>2840</v>
      </c>
      <c r="I180" s="250">
        <f t="shared" si="23"/>
        <v>4175</v>
      </c>
      <c r="J180" s="278">
        <f t="shared" si="20"/>
        <v>4175</v>
      </c>
      <c r="K180" s="281"/>
    </row>
    <row r="181" spans="1:11" ht="12.75">
      <c r="A181" s="1008" t="s">
        <v>151</v>
      </c>
      <c r="B181" s="969"/>
      <c r="C181" s="696"/>
      <c r="D181" s="290">
        <v>294744</v>
      </c>
      <c r="E181" s="242">
        <v>2900</v>
      </c>
      <c r="F181" s="250">
        <f aca="true" t="shared" si="24" ref="F181:F190">SUM(D181:E181)</f>
        <v>297644</v>
      </c>
      <c r="G181" s="290">
        <f>207448.59+72092.82+3893.82+471.34</f>
        <v>283906.57000000007</v>
      </c>
      <c r="H181" s="242">
        <f>1947.73+673.33+35.78</f>
        <v>2656.84</v>
      </c>
      <c r="I181" s="250">
        <f aca="true" t="shared" si="25" ref="I181:I190">SUM(G181:H181)</f>
        <v>286563.4100000001</v>
      </c>
      <c r="J181" s="278">
        <f t="shared" si="20"/>
        <v>-11080.58999999991</v>
      </c>
      <c r="K181" s="280">
        <f aca="true" t="shared" si="26" ref="K181:K191">+I181/F181</f>
        <v>0.9627723387671181</v>
      </c>
    </row>
    <row r="182" spans="1:11" ht="12.75">
      <c r="A182" s="1008" t="s">
        <v>152</v>
      </c>
      <c r="B182" s="969"/>
      <c r="C182" s="696"/>
      <c r="D182" s="290">
        <v>215206</v>
      </c>
      <c r="E182" s="242">
        <v>2150</v>
      </c>
      <c r="F182" s="250">
        <f t="shared" si="24"/>
        <v>217356</v>
      </c>
      <c r="G182" s="290">
        <v>207448.59</v>
      </c>
      <c r="H182" s="242">
        <v>1947.73</v>
      </c>
      <c r="I182" s="250">
        <f t="shared" si="25"/>
        <v>209396.32</v>
      </c>
      <c r="J182" s="278">
        <f t="shared" si="20"/>
        <v>-7959.679999999993</v>
      </c>
      <c r="K182" s="280">
        <f t="shared" si="26"/>
        <v>0.9633795248348332</v>
      </c>
    </row>
    <row r="183" spans="1:11" ht="12.75">
      <c r="A183" s="1008" t="s">
        <v>153</v>
      </c>
      <c r="B183" s="969"/>
      <c r="C183" s="696"/>
      <c r="D183" s="290">
        <v>206006</v>
      </c>
      <c r="E183" s="242">
        <v>2150</v>
      </c>
      <c r="F183" s="250">
        <f t="shared" si="24"/>
        <v>208156</v>
      </c>
      <c r="G183" s="290"/>
      <c r="H183" s="242"/>
      <c r="I183" s="250">
        <f t="shared" si="25"/>
        <v>0</v>
      </c>
      <c r="J183" s="278">
        <f t="shared" si="20"/>
        <v>-208156</v>
      </c>
      <c r="K183" s="280">
        <f t="shared" si="26"/>
        <v>0</v>
      </c>
    </row>
    <row r="184" spans="1:11" ht="12.75">
      <c r="A184" s="1008" t="s">
        <v>154</v>
      </c>
      <c r="B184" s="969"/>
      <c r="C184" s="696"/>
      <c r="D184" s="290">
        <v>9200</v>
      </c>
      <c r="E184" s="242">
        <v>0</v>
      </c>
      <c r="F184" s="250">
        <f t="shared" si="24"/>
        <v>9200</v>
      </c>
      <c r="G184" s="290"/>
      <c r="H184" s="242"/>
      <c r="I184" s="250">
        <f t="shared" si="25"/>
        <v>0</v>
      </c>
      <c r="J184" s="278">
        <f t="shared" si="20"/>
        <v>-9200</v>
      </c>
      <c r="K184" s="280">
        <f t="shared" si="26"/>
        <v>0</v>
      </c>
    </row>
    <row r="185" spans="1:11" ht="12.75">
      <c r="A185" s="1008" t="s">
        <v>155</v>
      </c>
      <c r="B185" s="969"/>
      <c r="C185" s="696"/>
      <c r="D185" s="290">
        <v>79538</v>
      </c>
      <c r="E185" s="242">
        <v>750</v>
      </c>
      <c r="F185" s="250">
        <f t="shared" si="24"/>
        <v>80288</v>
      </c>
      <c r="G185" s="290">
        <f>72092.82+3893.82+471.34</f>
        <v>76457.98000000001</v>
      </c>
      <c r="H185" s="242">
        <f>673.33+35.78</f>
        <v>709.11</v>
      </c>
      <c r="I185" s="250">
        <f t="shared" si="25"/>
        <v>77167.09000000001</v>
      </c>
      <c r="J185" s="278">
        <f t="shared" si="20"/>
        <v>-3120.909999999989</v>
      </c>
      <c r="K185" s="280">
        <f t="shared" si="26"/>
        <v>0.9611285621761659</v>
      </c>
    </row>
    <row r="186" spans="1:11" ht="12.75">
      <c r="A186" s="1008" t="s">
        <v>156</v>
      </c>
      <c r="B186" s="969"/>
      <c r="C186" s="696"/>
      <c r="D186" s="290">
        <v>50</v>
      </c>
      <c r="E186" s="242">
        <v>0</v>
      </c>
      <c r="F186" s="250">
        <f t="shared" si="24"/>
        <v>50</v>
      </c>
      <c r="G186" s="290">
        <v>7.14</v>
      </c>
      <c r="H186" s="242"/>
      <c r="I186" s="250">
        <f t="shared" si="25"/>
        <v>7.14</v>
      </c>
      <c r="J186" s="278">
        <f t="shared" si="20"/>
        <v>-42.86</v>
      </c>
      <c r="K186" s="280">
        <f t="shared" si="26"/>
        <v>0.14279999999999998</v>
      </c>
    </row>
    <row r="187" spans="1:11" ht="12.75">
      <c r="A187" s="1008" t="s">
        <v>157</v>
      </c>
      <c r="B187" s="969"/>
      <c r="C187" s="696"/>
      <c r="D187" s="290">
        <v>1650</v>
      </c>
      <c r="E187" s="242">
        <v>1550</v>
      </c>
      <c r="F187" s="250">
        <f t="shared" si="24"/>
        <v>3200</v>
      </c>
      <c r="G187" s="290">
        <f>1488.54+32.92+1.76+1.25+2462.66+29.92</f>
        <v>4017.05</v>
      </c>
      <c r="H187" s="242">
        <f>155.18+3.32</f>
        <v>158.5</v>
      </c>
      <c r="I187" s="250">
        <f t="shared" si="25"/>
        <v>4175.55</v>
      </c>
      <c r="J187" s="278">
        <f t="shared" si="20"/>
        <v>975.5500000000002</v>
      </c>
      <c r="K187" s="280">
        <f t="shared" si="26"/>
        <v>1.3048593750000002</v>
      </c>
    </row>
    <row r="188" spans="1:11" ht="12.75">
      <c r="A188" s="1008" t="s">
        <v>158</v>
      </c>
      <c r="B188" s="969"/>
      <c r="C188" s="696"/>
      <c r="D188" s="290">
        <v>2597</v>
      </c>
      <c r="E188" s="242">
        <v>0</v>
      </c>
      <c r="F188" s="250">
        <f t="shared" si="24"/>
        <v>2597</v>
      </c>
      <c r="G188" s="290">
        <f>6712.75+3585.22</f>
        <v>10297.97</v>
      </c>
      <c r="H188" s="242">
        <v>8.32</v>
      </c>
      <c r="I188" s="250">
        <f t="shared" si="25"/>
        <v>10306.289999999999</v>
      </c>
      <c r="J188" s="278">
        <f t="shared" si="20"/>
        <v>7709.289999999999</v>
      </c>
      <c r="K188" s="280">
        <f t="shared" si="26"/>
        <v>3.9685367731998458</v>
      </c>
    </row>
    <row r="189" spans="1:11" ht="12.75">
      <c r="A189" s="1008" t="s">
        <v>159</v>
      </c>
      <c r="B189" s="969"/>
      <c r="C189" s="696"/>
      <c r="D189" s="290">
        <v>2597</v>
      </c>
      <c r="E189" s="242">
        <v>0</v>
      </c>
      <c r="F189" s="250">
        <f t="shared" si="24"/>
        <v>2597</v>
      </c>
      <c r="G189" s="290">
        <v>6712.75</v>
      </c>
      <c r="H189" s="242"/>
      <c r="I189" s="250">
        <f t="shared" si="25"/>
        <v>6712.75</v>
      </c>
      <c r="J189" s="278">
        <f t="shared" si="20"/>
        <v>4115.75</v>
      </c>
      <c r="K189" s="280">
        <f t="shared" si="26"/>
        <v>2.5848093954562956</v>
      </c>
    </row>
    <row r="190" spans="1:11" ht="13.5" thickBot="1">
      <c r="A190" s="1025" t="s">
        <v>160</v>
      </c>
      <c r="B190" s="1026"/>
      <c r="C190" s="1027"/>
      <c r="D190" s="293">
        <v>0</v>
      </c>
      <c r="E190" s="298">
        <v>850</v>
      </c>
      <c r="F190" s="250">
        <f t="shared" si="24"/>
        <v>850</v>
      </c>
      <c r="G190" s="293">
        <v>749.76</v>
      </c>
      <c r="H190" s="298"/>
      <c r="I190" s="250">
        <f t="shared" si="25"/>
        <v>749.76</v>
      </c>
      <c r="J190" s="306">
        <f t="shared" si="20"/>
        <v>-100.24000000000001</v>
      </c>
      <c r="K190" s="280">
        <f t="shared" si="26"/>
        <v>0.8820705882352942</v>
      </c>
    </row>
    <row r="191" spans="1:11" ht="13.5" thickBot="1">
      <c r="A191" s="1011" t="s">
        <v>3</v>
      </c>
      <c r="B191" s="1012"/>
      <c r="C191" s="1013"/>
      <c r="D191" s="302">
        <f aca="true" t="shared" si="27" ref="D191:I191">SUM(D163+D171+D172+D173+D174+D181+D186+D187+D188+D190)</f>
        <v>492853</v>
      </c>
      <c r="E191" s="253">
        <f t="shared" si="27"/>
        <v>53600</v>
      </c>
      <c r="F191" s="254">
        <f t="shared" si="27"/>
        <v>546453</v>
      </c>
      <c r="G191" s="302">
        <f t="shared" si="27"/>
        <v>492907.93000000005</v>
      </c>
      <c r="H191" s="253">
        <f t="shared" si="27"/>
        <v>55288.46</v>
      </c>
      <c r="I191" s="254">
        <f t="shared" si="27"/>
        <v>548196.3900000002</v>
      </c>
      <c r="J191" s="285">
        <f t="shared" si="20"/>
        <v>1743.3900000002468</v>
      </c>
      <c r="K191" s="286">
        <f t="shared" si="26"/>
        <v>1.0031903750185291</v>
      </c>
    </row>
    <row r="192" ht="9" customHeight="1" thickBot="1"/>
    <row r="193" spans="1:9" ht="13.5" thickBot="1">
      <c r="A193" s="1028" t="s">
        <v>24</v>
      </c>
      <c r="B193" s="974"/>
      <c r="C193" s="974"/>
      <c r="D193" s="1001">
        <f>+F161-F191</f>
        <v>0</v>
      </c>
      <c r="E193" s="1002"/>
      <c r="F193" s="921"/>
      <c r="G193" s="1001">
        <f>+I161-I191</f>
        <v>-491.34000000020023</v>
      </c>
      <c r="H193" s="1002"/>
      <c r="I193" s="921"/>
    </row>
    <row r="194" spans="1:9" ht="12.75">
      <c r="A194" s="1019" t="s">
        <v>164</v>
      </c>
      <c r="B194" s="1020"/>
      <c r="C194" s="1020"/>
      <c r="D194" s="1020"/>
      <c r="E194" s="1020"/>
      <c r="F194" s="1021"/>
      <c r="G194" s="1022">
        <v>-325173.09</v>
      </c>
      <c r="H194" s="1023"/>
      <c r="I194" s="1024"/>
    </row>
    <row r="195" spans="1:9" ht="13.5" thickBot="1">
      <c r="A195" s="1029" t="s">
        <v>165</v>
      </c>
      <c r="B195" s="1030"/>
      <c r="C195" s="1030"/>
      <c r="D195" s="1030"/>
      <c r="E195" s="1030"/>
      <c r="F195" s="1031"/>
      <c r="G195" s="1032">
        <f>SUM(G193:I194)</f>
        <v>-325664.4300000002</v>
      </c>
      <c r="H195" s="698"/>
      <c r="I195" s="995"/>
    </row>
    <row r="196" ht="13.5" thickBot="1"/>
    <row r="197" spans="1:12" ht="12.75" customHeight="1">
      <c r="A197" s="953" t="s">
        <v>262</v>
      </c>
      <c r="B197" s="954"/>
      <c r="C197" s="954"/>
      <c r="D197" s="954"/>
      <c r="E197" s="954"/>
      <c r="F197" s="954"/>
      <c r="G197" s="954"/>
      <c r="H197" s="954"/>
      <c r="I197" s="954"/>
      <c r="J197" s="954"/>
      <c r="K197" s="954"/>
      <c r="L197" s="955"/>
    </row>
    <row r="198" spans="1:12" ht="12.75">
      <c r="A198" s="956"/>
      <c r="B198" s="957"/>
      <c r="C198" s="957"/>
      <c r="D198" s="957"/>
      <c r="E198" s="957"/>
      <c r="F198" s="957"/>
      <c r="G198" s="957"/>
      <c r="H198" s="957"/>
      <c r="I198" s="957"/>
      <c r="J198" s="957"/>
      <c r="K198" s="957"/>
      <c r="L198" s="958"/>
    </row>
    <row r="199" spans="1:12" ht="12.75">
      <c r="A199" s="956"/>
      <c r="B199" s="957"/>
      <c r="C199" s="957"/>
      <c r="D199" s="957"/>
      <c r="E199" s="957"/>
      <c r="F199" s="957"/>
      <c r="G199" s="957"/>
      <c r="H199" s="957"/>
      <c r="I199" s="957"/>
      <c r="J199" s="957"/>
      <c r="K199" s="957"/>
      <c r="L199" s="958"/>
    </row>
    <row r="200" spans="1:12" ht="12.75">
      <c r="A200" s="956"/>
      <c r="B200" s="957"/>
      <c r="C200" s="957"/>
      <c r="D200" s="957"/>
      <c r="E200" s="957"/>
      <c r="F200" s="957"/>
      <c r="G200" s="957"/>
      <c r="H200" s="957"/>
      <c r="I200" s="957"/>
      <c r="J200" s="957"/>
      <c r="K200" s="957"/>
      <c r="L200" s="958"/>
    </row>
    <row r="201" spans="1:12" ht="12.75">
      <c r="A201" s="956"/>
      <c r="B201" s="957"/>
      <c r="C201" s="957"/>
      <c r="D201" s="957"/>
      <c r="E201" s="957"/>
      <c r="F201" s="957"/>
      <c r="G201" s="957"/>
      <c r="H201" s="957"/>
      <c r="I201" s="957"/>
      <c r="J201" s="957"/>
      <c r="K201" s="957"/>
      <c r="L201" s="958"/>
    </row>
    <row r="202" spans="1:12" ht="12.75">
      <c r="A202" s="956"/>
      <c r="B202" s="957"/>
      <c r="C202" s="957"/>
      <c r="D202" s="957"/>
      <c r="E202" s="957"/>
      <c r="F202" s="957"/>
      <c r="G202" s="957"/>
      <c r="H202" s="957"/>
      <c r="I202" s="957"/>
      <c r="J202" s="957"/>
      <c r="K202" s="957"/>
      <c r="L202" s="958"/>
    </row>
    <row r="203" spans="1:12" ht="13.5" thickBot="1">
      <c r="A203" s="959"/>
      <c r="B203" s="960"/>
      <c r="C203" s="960"/>
      <c r="D203" s="960"/>
      <c r="E203" s="960"/>
      <c r="F203" s="960"/>
      <c r="G203" s="960"/>
      <c r="H203" s="960"/>
      <c r="I203" s="960"/>
      <c r="J203" s="960"/>
      <c r="K203" s="960"/>
      <c r="L203" s="961"/>
    </row>
    <row r="206" ht="16.5" thickBot="1">
      <c r="A206" s="29" t="s">
        <v>293</v>
      </c>
    </row>
    <row r="207" spans="1:12" ht="12.75" customHeight="1">
      <c r="A207" s="953" t="s">
        <v>280</v>
      </c>
      <c r="B207" s="954"/>
      <c r="C207" s="954"/>
      <c r="D207" s="954"/>
      <c r="E207" s="954"/>
      <c r="F207" s="954"/>
      <c r="G207" s="954"/>
      <c r="H207" s="954"/>
      <c r="I207" s="954"/>
      <c r="J207" s="954"/>
      <c r="K207" s="954"/>
      <c r="L207" s="1033"/>
    </row>
    <row r="208" spans="1:12" ht="12.75">
      <c r="A208" s="956"/>
      <c r="B208" s="957"/>
      <c r="C208" s="957"/>
      <c r="D208" s="957"/>
      <c r="E208" s="957"/>
      <c r="F208" s="957"/>
      <c r="G208" s="957"/>
      <c r="H208" s="957"/>
      <c r="I208" s="957"/>
      <c r="J208" s="957"/>
      <c r="K208" s="957"/>
      <c r="L208" s="1034"/>
    </row>
    <row r="209" spans="1:12" ht="12.75" customHeight="1" thickBot="1">
      <c r="A209" s="959"/>
      <c r="B209" s="960"/>
      <c r="C209" s="960"/>
      <c r="D209" s="960"/>
      <c r="E209" s="960"/>
      <c r="F209" s="960"/>
      <c r="G209" s="960"/>
      <c r="H209" s="960"/>
      <c r="I209" s="960"/>
      <c r="J209" s="960"/>
      <c r="K209" s="960"/>
      <c r="L209" s="1035"/>
    </row>
    <row r="211" ht="15.75">
      <c r="A211" s="29" t="s">
        <v>229</v>
      </c>
    </row>
  </sheetData>
  <mergeCells count="158">
    <mergeCell ref="A195:F195"/>
    <mergeCell ref="G195:I195"/>
    <mergeCell ref="A197:L203"/>
    <mergeCell ref="A207:L209"/>
    <mergeCell ref="G193:I193"/>
    <mergeCell ref="J146:K148"/>
    <mergeCell ref="A194:F194"/>
    <mergeCell ref="G194:I194"/>
    <mergeCell ref="A189:C189"/>
    <mergeCell ref="A190:C190"/>
    <mergeCell ref="A191:C191"/>
    <mergeCell ref="A193:C193"/>
    <mergeCell ref="A185:C185"/>
    <mergeCell ref="A186:C186"/>
    <mergeCell ref="A188:C188"/>
    <mergeCell ref="A181:C181"/>
    <mergeCell ref="A182:C182"/>
    <mergeCell ref="A183:C183"/>
    <mergeCell ref="A184:C184"/>
    <mergeCell ref="A179:C179"/>
    <mergeCell ref="A180:C180"/>
    <mergeCell ref="A187:C187"/>
    <mergeCell ref="A175:C175"/>
    <mergeCell ref="A176:C176"/>
    <mergeCell ref="A177:C177"/>
    <mergeCell ref="A178:C178"/>
    <mergeCell ref="A171:C171"/>
    <mergeCell ref="A172:C172"/>
    <mergeCell ref="A173:C173"/>
    <mergeCell ref="A174:C174"/>
    <mergeCell ref="A167:C167"/>
    <mergeCell ref="A168:C168"/>
    <mergeCell ref="A169:C169"/>
    <mergeCell ref="A170:C170"/>
    <mergeCell ref="A163:C163"/>
    <mergeCell ref="A164:C164"/>
    <mergeCell ref="A165:C165"/>
    <mergeCell ref="A166:C166"/>
    <mergeCell ref="A158:C158"/>
    <mergeCell ref="A159:C159"/>
    <mergeCell ref="A160:C160"/>
    <mergeCell ref="A161:C161"/>
    <mergeCell ref="D193:F193"/>
    <mergeCell ref="A146:C149"/>
    <mergeCell ref="A150:C150"/>
    <mergeCell ref="A151:C151"/>
    <mergeCell ref="A152:C152"/>
    <mergeCell ref="A153:C153"/>
    <mergeCell ref="A154:C154"/>
    <mergeCell ref="A155:C155"/>
    <mergeCell ref="A156:C156"/>
    <mergeCell ref="A157:C157"/>
    <mergeCell ref="L78:L79"/>
    <mergeCell ref="D147:D149"/>
    <mergeCell ref="E147:E149"/>
    <mergeCell ref="F147:F149"/>
    <mergeCell ref="G147:G149"/>
    <mergeCell ref="H147:H149"/>
    <mergeCell ref="I147:I149"/>
    <mergeCell ref="C78:E78"/>
    <mergeCell ref="I78:K78"/>
    <mergeCell ref="A132:D132"/>
    <mergeCell ref="A89:B89"/>
    <mergeCell ref="F89:H89"/>
    <mergeCell ref="F85:H85"/>
    <mergeCell ref="F86:H86"/>
    <mergeCell ref="F87:H87"/>
    <mergeCell ref="F88:H88"/>
    <mergeCell ref="A87:B87"/>
    <mergeCell ref="A88:B88"/>
    <mergeCell ref="A85:B85"/>
    <mergeCell ref="A86:B86"/>
    <mergeCell ref="A121:B121"/>
    <mergeCell ref="A122:B122"/>
    <mergeCell ref="A102:B103"/>
    <mergeCell ref="A124:L129"/>
    <mergeCell ref="A117:B117"/>
    <mergeCell ref="A118:B118"/>
    <mergeCell ref="A119:B119"/>
    <mergeCell ref="A120:B120"/>
    <mergeCell ref="A113:B113"/>
    <mergeCell ref="A114:B114"/>
    <mergeCell ref="A115:B115"/>
    <mergeCell ref="A116:B116"/>
    <mergeCell ref="A109:B109"/>
    <mergeCell ref="A110:B110"/>
    <mergeCell ref="A111:B111"/>
    <mergeCell ref="A112:B112"/>
    <mergeCell ref="A106:B106"/>
    <mergeCell ref="A107:B107"/>
    <mergeCell ref="A108:B108"/>
    <mergeCell ref="F90:H90"/>
    <mergeCell ref="A90:B90"/>
    <mergeCell ref="C102:G102"/>
    <mergeCell ref="H102:L102"/>
    <mergeCell ref="A104:B104"/>
    <mergeCell ref="A105:B105"/>
    <mergeCell ref="A81:B81"/>
    <mergeCell ref="A82:B82"/>
    <mergeCell ref="A83:B83"/>
    <mergeCell ref="A84:B84"/>
    <mergeCell ref="A2:L2"/>
    <mergeCell ref="A78:B79"/>
    <mergeCell ref="A80:B80"/>
    <mergeCell ref="A92:L98"/>
    <mergeCell ref="F78:H79"/>
    <mergeCell ref="F80:H80"/>
    <mergeCell ref="F81:H81"/>
    <mergeCell ref="F82:H82"/>
    <mergeCell ref="F83:H83"/>
    <mergeCell ref="F84:H84"/>
    <mergeCell ref="L49:L50"/>
    <mergeCell ref="A65:L71"/>
    <mergeCell ref="F31:K31"/>
    <mergeCell ref="D49:D50"/>
    <mergeCell ref="E49:E50"/>
    <mergeCell ref="F49:K49"/>
    <mergeCell ref="A49:A50"/>
    <mergeCell ref="B49:B50"/>
    <mergeCell ref="C49:C50"/>
    <mergeCell ref="C31:C32"/>
    <mergeCell ref="H6:J6"/>
    <mergeCell ref="E31:E32"/>
    <mergeCell ref="L31:L32"/>
    <mergeCell ref="A22:L28"/>
    <mergeCell ref="D31:D32"/>
    <mergeCell ref="B6:D6"/>
    <mergeCell ref="E6:G6"/>
    <mergeCell ref="A6:A7"/>
    <mergeCell ref="A31:A32"/>
    <mergeCell ref="B31:B32"/>
    <mergeCell ref="A133:D133"/>
    <mergeCell ref="A134:D134"/>
    <mergeCell ref="A135:D135"/>
    <mergeCell ref="A136:D136"/>
    <mergeCell ref="A137:D137"/>
    <mergeCell ref="A138:D138"/>
    <mergeCell ref="A139:D139"/>
    <mergeCell ref="H132:J132"/>
    <mergeCell ref="H133:J133"/>
    <mergeCell ref="H134:J134"/>
    <mergeCell ref="H135:J135"/>
    <mergeCell ref="H139:J139"/>
    <mergeCell ref="H136:J138"/>
    <mergeCell ref="E133:F133"/>
    <mergeCell ref="E139:F139"/>
    <mergeCell ref="E132:F132"/>
    <mergeCell ref="E138:F138"/>
    <mergeCell ref="E135:F135"/>
    <mergeCell ref="E136:F136"/>
    <mergeCell ref="E137:F137"/>
    <mergeCell ref="E134:F134"/>
    <mergeCell ref="K139:L139"/>
    <mergeCell ref="K136:L138"/>
    <mergeCell ref="K132:L132"/>
    <mergeCell ref="K133:L133"/>
    <mergeCell ref="K134:L134"/>
    <mergeCell ref="K135:L135"/>
  </mergeCells>
  <printOptions horizontalCentered="1"/>
  <pageMargins left="0.2" right="0.1968503937007874" top="0.3937007874015748" bottom="0.3937007874015748" header="0.2362204724409449" footer="0.2362204724409449"/>
  <pageSetup horizontalDpi="600" verticalDpi="600" orientation="portrait" paperSize="9" scale="80" r:id="rId3"/>
  <rowBreaks count="1" manualBreakCount="1">
    <brk id="210" max="255" man="1"/>
  </rowBreaks>
  <legacyDrawing r:id="rId2"/>
  <oleObjects>
    <oleObject progId="Word.Document.8" shapeId="2888773" r:id="rId1"/>
  </oleObjects>
</worksheet>
</file>

<file path=xl/worksheets/sheet7.xml><?xml version="1.0" encoding="utf-8"?>
<worksheet xmlns="http://schemas.openxmlformats.org/spreadsheetml/2006/main" xmlns:r="http://schemas.openxmlformats.org/officeDocument/2006/relationships">
  <dimension ref="A2:L250"/>
  <sheetViews>
    <sheetView zoomScale="115" zoomScaleNormal="115" workbookViewId="0" topLeftCell="A1">
      <selection activeCell="A1" sqref="A1"/>
    </sheetView>
  </sheetViews>
  <sheetFormatPr defaultColWidth="9.00390625" defaultRowHeight="12.75"/>
  <cols>
    <col min="1" max="1" width="10.625" style="0" customWidth="1"/>
    <col min="2" max="11" width="10.75390625" style="0" customWidth="1"/>
    <col min="12" max="12" width="9.75390625" style="0" customWidth="1"/>
  </cols>
  <sheetData>
    <row r="2" spans="1:11" ht="18">
      <c r="A2" s="944" t="s">
        <v>65</v>
      </c>
      <c r="B2" s="945"/>
      <c r="C2" s="945"/>
      <c r="D2" s="945"/>
      <c r="E2" s="945"/>
      <c r="F2" s="945"/>
      <c r="G2" s="945"/>
      <c r="H2" s="945"/>
      <c r="I2" s="945"/>
      <c r="J2" s="945"/>
      <c r="K2" s="945"/>
    </row>
    <row r="3" ht="4.5" customHeight="1">
      <c r="A3" s="29"/>
    </row>
    <row r="4" ht="1.5" customHeight="1">
      <c r="A4" s="29"/>
    </row>
    <row r="5" spans="1:10" ht="17.25" customHeight="1" thickBot="1">
      <c r="A5" s="95" t="s">
        <v>61</v>
      </c>
      <c r="J5" s="558" t="s">
        <v>274</v>
      </c>
    </row>
    <row r="6" spans="1:10" ht="12.75" customHeight="1" thickBot="1">
      <c r="A6" s="679" t="s">
        <v>39</v>
      </c>
      <c r="B6" s="920" t="s">
        <v>3</v>
      </c>
      <c r="C6" s="920"/>
      <c r="D6" s="936"/>
      <c r="E6" s="919" t="s">
        <v>4</v>
      </c>
      <c r="F6" s="706"/>
      <c r="G6" s="707"/>
      <c r="H6" s="919" t="s">
        <v>24</v>
      </c>
      <c r="I6" s="920"/>
      <c r="J6" s="921"/>
    </row>
    <row r="7" spans="1:10" ht="13.5" thickBot="1">
      <c r="A7" s="680"/>
      <c r="B7" s="86">
        <v>2003</v>
      </c>
      <c r="C7" s="10">
        <v>2004</v>
      </c>
      <c r="D7" s="94" t="s">
        <v>1</v>
      </c>
      <c r="E7" s="539">
        <v>2003</v>
      </c>
      <c r="F7" s="10">
        <v>2004</v>
      </c>
      <c r="G7" s="94" t="s">
        <v>1</v>
      </c>
      <c r="H7" s="1">
        <v>2003</v>
      </c>
      <c r="I7" s="10">
        <v>2004</v>
      </c>
      <c r="J7" s="94" t="s">
        <v>1</v>
      </c>
    </row>
    <row r="8" spans="1:10" ht="12.75">
      <c r="A8" s="53" t="s">
        <v>40</v>
      </c>
      <c r="B8" s="13">
        <v>56582</v>
      </c>
      <c r="C8" s="82">
        <v>55522</v>
      </c>
      <c r="D8" s="96">
        <f aca="true" t="shared" si="0" ref="D8:D19">+C8-B8</f>
        <v>-1060</v>
      </c>
      <c r="E8" s="91">
        <v>49865</v>
      </c>
      <c r="F8" s="14">
        <v>49017</v>
      </c>
      <c r="G8" s="96">
        <f aca="true" t="shared" si="1" ref="G8:G19">+F8-E8</f>
        <v>-848</v>
      </c>
      <c r="H8" s="2">
        <f aca="true" t="shared" si="2" ref="H8:H19">+E8-B8</f>
        <v>-6717</v>
      </c>
      <c r="I8" s="11">
        <f aca="true" t="shared" si="3" ref="I8:I19">+F8-C8</f>
        <v>-6505</v>
      </c>
      <c r="J8" s="96">
        <f aca="true" t="shared" si="4" ref="J8:J19">+I8-H8</f>
        <v>212</v>
      </c>
    </row>
    <row r="9" spans="1:10" ht="12.75">
      <c r="A9" s="55" t="s">
        <v>41</v>
      </c>
      <c r="B9" s="4">
        <v>112059</v>
      </c>
      <c r="C9" s="12">
        <v>109531</v>
      </c>
      <c r="D9" s="16">
        <f t="shared" si="0"/>
        <v>-2528</v>
      </c>
      <c r="E9" s="27">
        <v>98638</v>
      </c>
      <c r="F9" s="5">
        <v>106535</v>
      </c>
      <c r="G9" s="16">
        <f t="shared" si="1"/>
        <v>7897</v>
      </c>
      <c r="H9" s="2">
        <f t="shared" si="2"/>
        <v>-13421</v>
      </c>
      <c r="I9" s="11">
        <f t="shared" si="3"/>
        <v>-2996</v>
      </c>
      <c r="J9" s="16">
        <f t="shared" si="4"/>
        <v>10425</v>
      </c>
    </row>
    <row r="10" spans="1:10" ht="12.75">
      <c r="A10" s="55" t="s">
        <v>42</v>
      </c>
      <c r="B10" s="4">
        <v>169918</v>
      </c>
      <c r="C10" s="12">
        <v>167335</v>
      </c>
      <c r="D10" s="16">
        <f t="shared" si="0"/>
        <v>-2583</v>
      </c>
      <c r="E10" s="27">
        <v>147502</v>
      </c>
      <c r="F10" s="5">
        <v>163803</v>
      </c>
      <c r="G10" s="16">
        <f t="shared" si="1"/>
        <v>16301</v>
      </c>
      <c r="H10" s="2">
        <f t="shared" si="2"/>
        <v>-22416</v>
      </c>
      <c r="I10" s="11">
        <f t="shared" si="3"/>
        <v>-3532</v>
      </c>
      <c r="J10" s="16">
        <f t="shared" si="4"/>
        <v>18884</v>
      </c>
    </row>
    <row r="11" spans="1:10" ht="12.75">
      <c r="A11" s="55" t="s">
        <v>43</v>
      </c>
      <c r="B11" s="4">
        <v>226081</v>
      </c>
      <c r="C11" s="12">
        <v>223622</v>
      </c>
      <c r="D11" s="16">
        <f t="shared" si="0"/>
        <v>-2459</v>
      </c>
      <c r="E11" s="27">
        <v>196366</v>
      </c>
      <c r="F11" s="5">
        <v>219969</v>
      </c>
      <c r="G11" s="16">
        <f t="shared" si="1"/>
        <v>23603</v>
      </c>
      <c r="H11" s="2">
        <f t="shared" si="2"/>
        <v>-29715</v>
      </c>
      <c r="I11" s="11">
        <f t="shared" si="3"/>
        <v>-3653</v>
      </c>
      <c r="J11" s="16">
        <f t="shared" si="4"/>
        <v>26062</v>
      </c>
    </row>
    <row r="12" spans="1:10" ht="12.75">
      <c r="A12" s="55" t="s">
        <v>44</v>
      </c>
      <c r="B12" s="4">
        <v>296216</v>
      </c>
      <c r="C12" s="12">
        <v>285049</v>
      </c>
      <c r="D12" s="16">
        <f t="shared" si="0"/>
        <v>-11167</v>
      </c>
      <c r="E12" s="27">
        <v>246698</v>
      </c>
      <c r="F12" s="5">
        <v>276252</v>
      </c>
      <c r="G12" s="16">
        <f t="shared" si="1"/>
        <v>29554</v>
      </c>
      <c r="H12" s="2">
        <f t="shared" si="2"/>
        <v>-49518</v>
      </c>
      <c r="I12" s="11">
        <f t="shared" si="3"/>
        <v>-8797</v>
      </c>
      <c r="J12" s="16">
        <f t="shared" si="4"/>
        <v>40721</v>
      </c>
    </row>
    <row r="13" spans="1:10" ht="12.75">
      <c r="A13" s="55" t="s">
        <v>45</v>
      </c>
      <c r="B13" s="9">
        <v>354105</v>
      </c>
      <c r="C13" s="83">
        <v>342881</v>
      </c>
      <c r="D13" s="16">
        <f t="shared" si="0"/>
        <v>-11224</v>
      </c>
      <c r="E13" s="44">
        <v>279910</v>
      </c>
      <c r="F13" s="45">
        <v>332464</v>
      </c>
      <c r="G13" s="16">
        <f t="shared" si="1"/>
        <v>52554</v>
      </c>
      <c r="H13" s="2">
        <f t="shared" si="2"/>
        <v>-74195</v>
      </c>
      <c r="I13" s="11">
        <f t="shared" si="3"/>
        <v>-10417</v>
      </c>
      <c r="J13" s="16">
        <f t="shared" si="4"/>
        <v>63778</v>
      </c>
    </row>
    <row r="14" spans="1:10" ht="12.75">
      <c r="A14" s="55" t="s">
        <v>46</v>
      </c>
      <c r="B14" s="8">
        <v>412177</v>
      </c>
      <c r="C14" s="84">
        <v>401189</v>
      </c>
      <c r="D14" s="16">
        <f t="shared" si="0"/>
        <v>-10988</v>
      </c>
      <c r="E14" s="42">
        <v>327600</v>
      </c>
      <c r="F14" s="43">
        <v>383066</v>
      </c>
      <c r="G14" s="16">
        <f t="shared" si="1"/>
        <v>55466</v>
      </c>
      <c r="H14" s="2">
        <f t="shared" si="2"/>
        <v>-84577</v>
      </c>
      <c r="I14" s="11">
        <f t="shared" si="3"/>
        <v>-18123</v>
      </c>
      <c r="J14" s="16">
        <f t="shared" si="4"/>
        <v>66454</v>
      </c>
    </row>
    <row r="15" spans="1:10" ht="12.75">
      <c r="A15" s="55" t="s">
        <v>47</v>
      </c>
      <c r="B15" s="4">
        <v>465848</v>
      </c>
      <c r="C15" s="12">
        <v>455752</v>
      </c>
      <c r="D15" s="16">
        <f t="shared" si="0"/>
        <v>-10096</v>
      </c>
      <c r="E15" s="27">
        <v>379575</v>
      </c>
      <c r="F15" s="5">
        <v>431591</v>
      </c>
      <c r="G15" s="16">
        <f t="shared" si="1"/>
        <v>52016</v>
      </c>
      <c r="H15" s="4">
        <f t="shared" si="2"/>
        <v>-86273</v>
      </c>
      <c r="I15" s="12">
        <f t="shared" si="3"/>
        <v>-24161</v>
      </c>
      <c r="J15" s="16">
        <f t="shared" si="4"/>
        <v>62112</v>
      </c>
    </row>
    <row r="16" spans="1:10" ht="12.75">
      <c r="A16" s="55" t="s">
        <v>48</v>
      </c>
      <c r="B16" s="2">
        <v>528045</v>
      </c>
      <c r="C16" s="11">
        <v>515578</v>
      </c>
      <c r="D16" s="16">
        <f t="shared" si="0"/>
        <v>-12467</v>
      </c>
      <c r="E16" s="30">
        <v>422485</v>
      </c>
      <c r="F16" s="3">
        <v>506983</v>
      </c>
      <c r="G16" s="16">
        <f t="shared" si="1"/>
        <v>84498</v>
      </c>
      <c r="H16" s="2">
        <f t="shared" si="2"/>
        <v>-105560</v>
      </c>
      <c r="I16" s="11">
        <f t="shared" si="3"/>
        <v>-8595</v>
      </c>
      <c r="J16" s="16">
        <f t="shared" si="4"/>
        <v>96965</v>
      </c>
    </row>
    <row r="17" spans="1:10" ht="12.75">
      <c r="A17" s="57" t="s">
        <v>49</v>
      </c>
      <c r="B17" s="8">
        <v>584702</v>
      </c>
      <c r="C17" s="84">
        <v>574702</v>
      </c>
      <c r="D17" s="16">
        <f t="shared" si="0"/>
        <v>-10000</v>
      </c>
      <c r="E17" s="42">
        <v>477606</v>
      </c>
      <c r="F17" s="43">
        <v>556726</v>
      </c>
      <c r="G17" s="16">
        <f t="shared" si="1"/>
        <v>79120</v>
      </c>
      <c r="H17" s="4">
        <f t="shared" si="2"/>
        <v>-107096</v>
      </c>
      <c r="I17" s="12">
        <f t="shared" si="3"/>
        <v>-17976</v>
      </c>
      <c r="J17" s="16">
        <f t="shared" si="4"/>
        <v>89120</v>
      </c>
    </row>
    <row r="18" spans="1:10" ht="12.75">
      <c r="A18" s="55" t="s">
        <v>50</v>
      </c>
      <c r="B18" s="8">
        <v>645215</v>
      </c>
      <c r="C18" s="84">
        <v>638781</v>
      </c>
      <c r="D18" s="16">
        <f t="shared" si="0"/>
        <v>-6434</v>
      </c>
      <c r="E18" s="42">
        <v>528555</v>
      </c>
      <c r="F18" s="43">
        <v>619388</v>
      </c>
      <c r="G18" s="16">
        <f t="shared" si="1"/>
        <v>90833</v>
      </c>
      <c r="H18" s="4">
        <f t="shared" si="2"/>
        <v>-116660</v>
      </c>
      <c r="I18" s="12">
        <f t="shared" si="3"/>
        <v>-19393</v>
      </c>
      <c r="J18" s="16">
        <f t="shared" si="4"/>
        <v>97267</v>
      </c>
    </row>
    <row r="19" spans="1:10" ht="13.5" thickBot="1">
      <c r="A19" s="59" t="s">
        <v>51</v>
      </c>
      <c r="B19" s="6">
        <v>730286</v>
      </c>
      <c r="C19" s="85">
        <f>699019.56+3283.37</f>
        <v>702302.93</v>
      </c>
      <c r="D19" s="17">
        <f t="shared" si="0"/>
        <v>-27983.06999999995</v>
      </c>
      <c r="E19" s="31">
        <v>587012</v>
      </c>
      <c r="F19" s="93">
        <v>697713</v>
      </c>
      <c r="G19" s="17">
        <f t="shared" si="1"/>
        <v>110701</v>
      </c>
      <c r="H19" s="6">
        <f t="shared" si="2"/>
        <v>-143274</v>
      </c>
      <c r="I19" s="85">
        <f t="shared" si="3"/>
        <v>-4589.930000000051</v>
      </c>
      <c r="J19" s="17">
        <f t="shared" si="4"/>
        <v>138684.06999999995</v>
      </c>
    </row>
    <row r="21" spans="1:12" ht="12.75" customHeight="1">
      <c r="A21" s="668" t="s">
        <v>332</v>
      </c>
      <c r="B21" s="1097"/>
      <c r="C21" s="1097"/>
      <c r="D21" s="1097"/>
      <c r="E21" s="1097"/>
      <c r="F21" s="1097"/>
      <c r="G21" s="1097"/>
      <c r="H21" s="1097"/>
      <c r="I21" s="1097"/>
      <c r="J21" s="1097"/>
      <c r="K21" s="1097"/>
      <c r="L21" s="1098"/>
    </row>
    <row r="22" spans="1:12" ht="12.75">
      <c r="A22" s="1099"/>
      <c r="B22" s="1100"/>
      <c r="C22" s="1100"/>
      <c r="D22" s="1100"/>
      <c r="E22" s="1100"/>
      <c r="F22" s="1100"/>
      <c r="G22" s="1100"/>
      <c r="H22" s="1100"/>
      <c r="I22" s="1100"/>
      <c r="J22" s="1100"/>
      <c r="K22" s="1100"/>
      <c r="L22" s="1101"/>
    </row>
    <row r="23" spans="1:12" ht="12.75">
      <c r="A23" s="1099"/>
      <c r="B23" s="1100"/>
      <c r="C23" s="1100"/>
      <c r="D23" s="1100"/>
      <c r="E23" s="1100"/>
      <c r="F23" s="1100"/>
      <c r="G23" s="1100"/>
      <c r="H23" s="1100"/>
      <c r="I23" s="1100"/>
      <c r="J23" s="1100"/>
      <c r="K23" s="1100"/>
      <c r="L23" s="1101"/>
    </row>
    <row r="24" spans="1:12" ht="12.75">
      <c r="A24" s="1099"/>
      <c r="B24" s="1100"/>
      <c r="C24" s="1100"/>
      <c r="D24" s="1100"/>
      <c r="E24" s="1100"/>
      <c r="F24" s="1100"/>
      <c r="G24" s="1100"/>
      <c r="H24" s="1100"/>
      <c r="I24" s="1100"/>
      <c r="J24" s="1100"/>
      <c r="K24" s="1100"/>
      <c r="L24" s="1101"/>
    </row>
    <row r="25" spans="1:12" ht="12.75">
      <c r="A25" s="1099"/>
      <c r="B25" s="1100"/>
      <c r="C25" s="1100"/>
      <c r="D25" s="1100"/>
      <c r="E25" s="1100"/>
      <c r="F25" s="1100"/>
      <c r="G25" s="1100"/>
      <c r="H25" s="1100"/>
      <c r="I25" s="1100"/>
      <c r="J25" s="1100"/>
      <c r="K25" s="1100"/>
      <c r="L25" s="1101"/>
    </row>
    <row r="26" spans="1:12" ht="12.75">
      <c r="A26" s="1099"/>
      <c r="B26" s="1100"/>
      <c r="C26" s="1100"/>
      <c r="D26" s="1100"/>
      <c r="E26" s="1100"/>
      <c r="F26" s="1100"/>
      <c r="G26" s="1100"/>
      <c r="H26" s="1100"/>
      <c r="I26" s="1100"/>
      <c r="J26" s="1100"/>
      <c r="K26" s="1100"/>
      <c r="L26" s="1101"/>
    </row>
    <row r="27" spans="1:12" ht="12.75">
      <c r="A27" s="1099"/>
      <c r="B27" s="1100"/>
      <c r="C27" s="1100"/>
      <c r="D27" s="1100"/>
      <c r="E27" s="1100"/>
      <c r="F27" s="1100"/>
      <c r="G27" s="1100"/>
      <c r="H27" s="1100"/>
      <c r="I27" s="1100"/>
      <c r="J27" s="1100"/>
      <c r="K27" s="1100"/>
      <c r="L27" s="1101"/>
    </row>
    <row r="28" spans="1:12" ht="12.75">
      <c r="A28" s="1099"/>
      <c r="B28" s="1100"/>
      <c r="C28" s="1100"/>
      <c r="D28" s="1100"/>
      <c r="E28" s="1100"/>
      <c r="F28" s="1100"/>
      <c r="G28" s="1100"/>
      <c r="H28" s="1100"/>
      <c r="I28" s="1100"/>
      <c r="J28" s="1100"/>
      <c r="K28" s="1100"/>
      <c r="L28" s="1101"/>
    </row>
    <row r="29" spans="1:12" ht="12.75">
      <c r="A29" s="1099"/>
      <c r="B29" s="1100"/>
      <c r="C29" s="1100"/>
      <c r="D29" s="1100"/>
      <c r="E29" s="1100"/>
      <c r="F29" s="1100"/>
      <c r="G29" s="1100"/>
      <c r="H29" s="1100"/>
      <c r="I29" s="1100"/>
      <c r="J29" s="1100"/>
      <c r="K29" s="1100"/>
      <c r="L29" s="1101"/>
    </row>
    <row r="30" spans="1:12" ht="12.75" customHeight="1">
      <c r="A30" s="671" t="s">
        <v>334</v>
      </c>
      <c r="B30" s="672"/>
      <c r="C30" s="672"/>
      <c r="D30" s="672"/>
      <c r="E30" s="672"/>
      <c r="F30" s="672"/>
      <c r="G30" s="672"/>
      <c r="H30" s="672"/>
      <c r="I30" s="672"/>
      <c r="J30" s="672"/>
      <c r="K30" s="672"/>
      <c r="L30" s="673"/>
    </row>
    <row r="31" spans="1:12" ht="12.75">
      <c r="A31" s="671"/>
      <c r="B31" s="672"/>
      <c r="C31" s="672"/>
      <c r="D31" s="672"/>
      <c r="E31" s="672"/>
      <c r="F31" s="672"/>
      <c r="G31" s="672"/>
      <c r="H31" s="672"/>
      <c r="I31" s="672"/>
      <c r="J31" s="672"/>
      <c r="K31" s="672"/>
      <c r="L31" s="673"/>
    </row>
    <row r="32" spans="1:12" ht="12.75">
      <c r="A32" s="671"/>
      <c r="B32" s="672"/>
      <c r="C32" s="672"/>
      <c r="D32" s="672"/>
      <c r="E32" s="672"/>
      <c r="F32" s="672"/>
      <c r="G32" s="672"/>
      <c r="H32" s="672"/>
      <c r="I32" s="672"/>
      <c r="J32" s="672"/>
      <c r="K32" s="672"/>
      <c r="L32" s="673"/>
    </row>
    <row r="33" spans="1:12" ht="12.75">
      <c r="A33" s="671"/>
      <c r="B33" s="672"/>
      <c r="C33" s="672"/>
      <c r="D33" s="672"/>
      <c r="E33" s="672"/>
      <c r="F33" s="672"/>
      <c r="G33" s="672"/>
      <c r="H33" s="672"/>
      <c r="I33" s="672"/>
      <c r="J33" s="672"/>
      <c r="K33" s="672"/>
      <c r="L33" s="673"/>
    </row>
    <row r="34" spans="1:12" ht="12.75">
      <c r="A34" s="674"/>
      <c r="B34" s="675"/>
      <c r="C34" s="675"/>
      <c r="D34" s="675"/>
      <c r="E34" s="675"/>
      <c r="F34" s="675"/>
      <c r="G34" s="675"/>
      <c r="H34" s="675"/>
      <c r="I34" s="675"/>
      <c r="J34" s="675"/>
      <c r="K34" s="675"/>
      <c r="L34" s="676"/>
    </row>
    <row r="35" spans="1:11" ht="12.75">
      <c r="A35" s="76"/>
      <c r="B35" s="76"/>
      <c r="C35" s="76"/>
      <c r="D35" s="76"/>
      <c r="E35" s="76"/>
      <c r="F35" s="76"/>
      <c r="G35" s="76"/>
      <c r="H35" s="76"/>
      <c r="I35" s="76"/>
      <c r="J35" s="76"/>
      <c r="K35" s="76"/>
    </row>
    <row r="36" ht="16.5" thickBot="1">
      <c r="A36" s="29" t="s">
        <v>62</v>
      </c>
    </row>
    <row r="37" spans="1:12" ht="12.75">
      <c r="A37" s="985" t="s">
        <v>35</v>
      </c>
      <c r="B37" s="1102" t="s">
        <v>36</v>
      </c>
      <c r="C37" s="934" t="s">
        <v>37</v>
      </c>
      <c r="D37" s="934" t="s">
        <v>38</v>
      </c>
      <c r="E37" s="922" t="s">
        <v>11</v>
      </c>
      <c r="F37" s="942" t="s">
        <v>52</v>
      </c>
      <c r="G37" s="685"/>
      <c r="H37" s="685"/>
      <c r="I37" s="685"/>
      <c r="J37" s="685"/>
      <c r="K37" s="943"/>
      <c r="L37" s="924" t="s">
        <v>69</v>
      </c>
    </row>
    <row r="38" spans="1:12" s="39" customFormat="1" ht="13.5" thickBot="1">
      <c r="A38" s="986"/>
      <c r="B38" s="1103"/>
      <c r="C38" s="1104" t="s">
        <v>37</v>
      </c>
      <c r="D38" s="1104" t="s">
        <v>38</v>
      </c>
      <c r="E38" s="1105" t="s">
        <v>11</v>
      </c>
      <c r="F38" s="103" t="s">
        <v>53</v>
      </c>
      <c r="G38" s="103" t="s">
        <v>54</v>
      </c>
      <c r="H38" s="103" t="s">
        <v>55</v>
      </c>
      <c r="I38" s="103" t="s">
        <v>56</v>
      </c>
      <c r="J38" s="103" t="s">
        <v>57</v>
      </c>
      <c r="K38" s="90" t="s">
        <v>11</v>
      </c>
      <c r="L38" s="925"/>
    </row>
    <row r="39" spans="1:12" ht="13.5" thickBot="1">
      <c r="A39" s="105">
        <v>37986</v>
      </c>
      <c r="B39" s="104">
        <v>190066</v>
      </c>
      <c r="C39" s="51">
        <v>33</v>
      </c>
      <c r="D39" s="51">
        <v>773</v>
      </c>
      <c r="E39" s="52">
        <f aca="true" t="shared" si="5" ref="E39:E51">SUM(B39:D39)</f>
        <v>190872</v>
      </c>
      <c r="F39" s="69">
        <v>17715</v>
      </c>
      <c r="G39" s="51">
        <v>27010</v>
      </c>
      <c r="H39" s="51">
        <v>39842</v>
      </c>
      <c r="I39" s="51">
        <v>61940</v>
      </c>
      <c r="J39" s="51">
        <v>20356</v>
      </c>
      <c r="K39" s="108">
        <f aca="true" t="shared" si="6" ref="K39:K51">SUM(F39:J39)</f>
        <v>166863</v>
      </c>
      <c r="L39" s="139">
        <v>44493</v>
      </c>
    </row>
    <row r="40" spans="1:12" ht="12.75">
      <c r="A40" s="53">
        <v>38017</v>
      </c>
      <c r="B40" s="54">
        <v>198115</v>
      </c>
      <c r="C40" s="48">
        <v>41</v>
      </c>
      <c r="D40" s="48">
        <v>1311</v>
      </c>
      <c r="E40" s="106">
        <f t="shared" si="5"/>
        <v>199467</v>
      </c>
      <c r="F40" s="70">
        <v>18922</v>
      </c>
      <c r="G40" s="48">
        <v>23801</v>
      </c>
      <c r="H40" s="48">
        <v>39378</v>
      </c>
      <c r="I40" s="48">
        <v>66428</v>
      </c>
      <c r="J40" s="48">
        <v>24516</v>
      </c>
      <c r="K40" s="109">
        <f t="shared" si="6"/>
        <v>173045</v>
      </c>
      <c r="L40" s="132"/>
    </row>
    <row r="41" spans="1:12" ht="12.75">
      <c r="A41" s="55">
        <v>38046</v>
      </c>
      <c r="B41" s="56">
        <v>191773</v>
      </c>
      <c r="C41" s="49">
        <v>45</v>
      </c>
      <c r="D41" s="49">
        <v>1877</v>
      </c>
      <c r="E41" s="106">
        <f t="shared" si="5"/>
        <v>193695</v>
      </c>
      <c r="F41" s="62">
        <v>17228</v>
      </c>
      <c r="G41" s="49">
        <v>27590</v>
      </c>
      <c r="H41" s="49">
        <v>36825</v>
      </c>
      <c r="I41" s="49">
        <v>63388</v>
      </c>
      <c r="J41" s="49">
        <v>21049</v>
      </c>
      <c r="K41" s="110">
        <f t="shared" si="6"/>
        <v>166080</v>
      </c>
      <c r="L41" s="130"/>
    </row>
    <row r="42" spans="1:12" ht="12.75">
      <c r="A42" s="55">
        <v>38077</v>
      </c>
      <c r="B42" s="56">
        <v>195731</v>
      </c>
      <c r="C42" s="49">
        <v>44</v>
      </c>
      <c r="D42" s="49">
        <v>1819</v>
      </c>
      <c r="E42" s="106">
        <f t="shared" si="5"/>
        <v>197594</v>
      </c>
      <c r="F42" s="62">
        <v>19262</v>
      </c>
      <c r="G42" s="49">
        <v>29713</v>
      </c>
      <c r="H42" s="49">
        <v>28116</v>
      </c>
      <c r="I42" s="49">
        <v>67286</v>
      </c>
      <c r="J42" s="49">
        <v>22284</v>
      </c>
      <c r="K42" s="110">
        <f t="shared" si="6"/>
        <v>166661</v>
      </c>
      <c r="L42" s="136">
        <v>8195</v>
      </c>
    </row>
    <row r="43" spans="1:12" ht="12.75">
      <c r="A43" s="55">
        <v>38107</v>
      </c>
      <c r="B43" s="56">
        <v>200309</v>
      </c>
      <c r="C43" s="49">
        <v>46</v>
      </c>
      <c r="D43" s="49">
        <v>1878</v>
      </c>
      <c r="E43" s="106">
        <f t="shared" si="5"/>
        <v>202233</v>
      </c>
      <c r="F43" s="62">
        <v>19100</v>
      </c>
      <c r="G43" s="49">
        <v>34474</v>
      </c>
      <c r="H43" s="49">
        <v>26153</v>
      </c>
      <c r="I43" s="49">
        <v>61780</v>
      </c>
      <c r="J43" s="49">
        <v>25629</v>
      </c>
      <c r="K43" s="110">
        <f t="shared" si="6"/>
        <v>167136</v>
      </c>
      <c r="L43" s="130"/>
    </row>
    <row r="44" spans="1:12" ht="12.75">
      <c r="A44" s="55">
        <v>38138</v>
      </c>
      <c r="B44" s="56">
        <v>200735</v>
      </c>
      <c r="C44" s="49">
        <v>43</v>
      </c>
      <c r="D44" s="49">
        <v>1728</v>
      </c>
      <c r="E44" s="106">
        <f t="shared" si="5"/>
        <v>202506</v>
      </c>
      <c r="F44" s="62">
        <v>21958</v>
      </c>
      <c r="G44" s="49">
        <v>35455</v>
      </c>
      <c r="H44" s="49">
        <v>27253</v>
      </c>
      <c r="I44" s="49">
        <v>54546</v>
      </c>
      <c r="J44" s="49">
        <v>26797</v>
      </c>
      <c r="K44" s="110">
        <f t="shared" si="6"/>
        <v>166009</v>
      </c>
      <c r="L44" s="130"/>
    </row>
    <row r="45" spans="1:12" ht="12.75">
      <c r="A45" s="55">
        <v>38168</v>
      </c>
      <c r="B45" s="56">
        <v>199049</v>
      </c>
      <c r="C45" s="49">
        <v>38</v>
      </c>
      <c r="D45" s="49">
        <v>884</v>
      </c>
      <c r="E45" s="106">
        <f t="shared" si="5"/>
        <v>199971</v>
      </c>
      <c r="F45" s="62">
        <v>22566</v>
      </c>
      <c r="G45" s="49">
        <v>38470</v>
      </c>
      <c r="H45" s="49">
        <v>27851</v>
      </c>
      <c r="I45" s="49">
        <v>51210</v>
      </c>
      <c r="J45" s="49">
        <v>24850</v>
      </c>
      <c r="K45" s="110">
        <f t="shared" si="6"/>
        <v>164947</v>
      </c>
      <c r="L45" s="130"/>
    </row>
    <row r="46" spans="1:12" ht="12.75">
      <c r="A46" s="55">
        <v>38199</v>
      </c>
      <c r="B46" s="56">
        <v>205375</v>
      </c>
      <c r="C46" s="49">
        <v>43</v>
      </c>
      <c r="D46" s="49">
        <v>742</v>
      </c>
      <c r="E46" s="106">
        <f t="shared" si="5"/>
        <v>206160</v>
      </c>
      <c r="F46" s="56">
        <v>25669</v>
      </c>
      <c r="G46" s="49">
        <v>42244</v>
      </c>
      <c r="H46" s="49">
        <v>27214</v>
      </c>
      <c r="I46" s="49">
        <v>49463</v>
      </c>
      <c r="J46" s="49">
        <v>28325</v>
      </c>
      <c r="K46" s="110">
        <f t="shared" si="6"/>
        <v>172915</v>
      </c>
      <c r="L46" s="130"/>
    </row>
    <row r="47" spans="1:12" ht="12.75">
      <c r="A47" s="55">
        <v>38230</v>
      </c>
      <c r="B47" s="56">
        <v>195960</v>
      </c>
      <c r="C47" s="49">
        <v>38</v>
      </c>
      <c r="D47" s="49">
        <v>738</v>
      </c>
      <c r="E47" s="106">
        <f t="shared" si="5"/>
        <v>196736</v>
      </c>
      <c r="F47" s="56">
        <v>20499</v>
      </c>
      <c r="G47" s="49">
        <v>46167</v>
      </c>
      <c r="H47" s="49">
        <v>30590</v>
      </c>
      <c r="I47" s="49">
        <v>46190</v>
      </c>
      <c r="J47" s="49">
        <v>21154</v>
      </c>
      <c r="K47" s="110">
        <f t="shared" si="6"/>
        <v>164600</v>
      </c>
      <c r="L47" s="130"/>
    </row>
    <row r="48" spans="1:12" ht="12.75">
      <c r="A48" s="55">
        <v>38260</v>
      </c>
      <c r="B48" s="56">
        <v>209909</v>
      </c>
      <c r="C48" s="49">
        <v>27</v>
      </c>
      <c r="D48" s="49">
        <v>738</v>
      </c>
      <c r="E48" s="106">
        <f t="shared" si="5"/>
        <v>210674</v>
      </c>
      <c r="F48" s="56">
        <v>19755</v>
      </c>
      <c r="G48" s="49">
        <v>43745</v>
      </c>
      <c r="H48" s="49">
        <v>41666</v>
      </c>
      <c r="I48" s="49">
        <v>39859</v>
      </c>
      <c r="J48" s="49">
        <v>28432</v>
      </c>
      <c r="K48" s="110">
        <f t="shared" si="6"/>
        <v>173457</v>
      </c>
      <c r="L48" s="130"/>
    </row>
    <row r="49" spans="1:12" ht="12.75">
      <c r="A49" s="57">
        <v>38291</v>
      </c>
      <c r="B49" s="58">
        <v>214637</v>
      </c>
      <c r="C49" s="50">
        <v>23</v>
      </c>
      <c r="D49" s="50">
        <v>784</v>
      </c>
      <c r="E49" s="106">
        <f t="shared" si="5"/>
        <v>215444</v>
      </c>
      <c r="F49" s="58">
        <v>20576</v>
      </c>
      <c r="G49" s="50">
        <v>38169</v>
      </c>
      <c r="H49" s="50">
        <v>41848</v>
      </c>
      <c r="I49" s="50">
        <v>37520</v>
      </c>
      <c r="J49" s="50">
        <v>33502</v>
      </c>
      <c r="K49" s="110">
        <f t="shared" si="6"/>
        <v>171615</v>
      </c>
      <c r="L49" s="130"/>
    </row>
    <row r="50" spans="1:12" ht="12.75">
      <c r="A50" s="55">
        <v>38321</v>
      </c>
      <c r="B50" s="56">
        <v>221333</v>
      </c>
      <c r="C50" s="49">
        <v>24</v>
      </c>
      <c r="D50" s="49">
        <v>785</v>
      </c>
      <c r="E50" s="106">
        <f t="shared" si="5"/>
        <v>222142</v>
      </c>
      <c r="F50" s="62">
        <v>21640</v>
      </c>
      <c r="G50" s="49">
        <v>39385</v>
      </c>
      <c r="H50" s="49">
        <v>44231</v>
      </c>
      <c r="I50" s="49">
        <v>40379</v>
      </c>
      <c r="J50" s="49">
        <v>35986</v>
      </c>
      <c r="K50" s="110">
        <f t="shared" si="6"/>
        <v>181621</v>
      </c>
      <c r="L50" s="130"/>
    </row>
    <row r="51" spans="1:12" ht="13.5" thickBot="1">
      <c r="A51" s="59">
        <v>38352</v>
      </c>
      <c r="B51" s="60">
        <v>196317</v>
      </c>
      <c r="C51" s="61">
        <v>18</v>
      </c>
      <c r="D51" s="61">
        <v>8330</v>
      </c>
      <c r="E51" s="107">
        <f t="shared" si="5"/>
        <v>204665</v>
      </c>
      <c r="F51" s="60">
        <v>23290</v>
      </c>
      <c r="G51" s="61">
        <v>36599</v>
      </c>
      <c r="H51" s="61">
        <v>41448</v>
      </c>
      <c r="I51" s="61">
        <v>39171</v>
      </c>
      <c r="J51" s="61">
        <v>15563</v>
      </c>
      <c r="K51" s="111">
        <f t="shared" si="6"/>
        <v>156071</v>
      </c>
      <c r="L51" s="140">
        <v>15207</v>
      </c>
    </row>
    <row r="52" spans="1:12" ht="12.75">
      <c r="A52" s="137" t="s">
        <v>70</v>
      </c>
      <c r="B52" s="78"/>
      <c r="C52" s="78"/>
      <c r="D52" s="78"/>
      <c r="E52" s="133"/>
      <c r="F52" s="78"/>
      <c r="G52" s="78"/>
      <c r="H52" s="78"/>
      <c r="I52" s="78"/>
      <c r="J52" s="78"/>
      <c r="K52" s="134"/>
      <c r="L52" s="141"/>
    </row>
    <row r="53" spans="1:11" ht="12.75">
      <c r="A53" s="77"/>
      <c r="B53" s="78"/>
      <c r="C53" s="78"/>
      <c r="D53" s="78"/>
      <c r="E53" s="79"/>
      <c r="F53" s="78"/>
      <c r="G53" s="78"/>
      <c r="H53" s="78"/>
      <c r="I53" s="78"/>
      <c r="J53" s="78"/>
      <c r="K53" s="78"/>
    </row>
    <row r="54" ht="16.5" thickBot="1">
      <c r="A54" s="29" t="s">
        <v>63</v>
      </c>
    </row>
    <row r="55" spans="1:12" ht="18" customHeight="1">
      <c r="A55" s="985" t="s">
        <v>35</v>
      </c>
      <c r="B55" s="1102" t="s">
        <v>58</v>
      </c>
      <c r="C55" s="934" t="s">
        <v>59</v>
      </c>
      <c r="D55" s="934" t="s">
        <v>60</v>
      </c>
      <c r="E55" s="922" t="s">
        <v>11</v>
      </c>
      <c r="F55" s="684" t="s">
        <v>52</v>
      </c>
      <c r="G55" s="685"/>
      <c r="H55" s="685"/>
      <c r="I55" s="685"/>
      <c r="J55" s="685"/>
      <c r="K55" s="685"/>
      <c r="L55" s="679" t="s">
        <v>270</v>
      </c>
    </row>
    <row r="56" spans="1:12" ht="39" customHeight="1" thickBot="1">
      <c r="A56" s="986"/>
      <c r="B56" s="1106"/>
      <c r="C56" s="935" t="s">
        <v>37</v>
      </c>
      <c r="D56" s="935" t="s">
        <v>38</v>
      </c>
      <c r="E56" s="923" t="s">
        <v>11</v>
      </c>
      <c r="F56" s="89" t="s">
        <v>53</v>
      </c>
      <c r="G56" s="103" t="s">
        <v>54</v>
      </c>
      <c r="H56" s="103" t="s">
        <v>55</v>
      </c>
      <c r="I56" s="103" t="s">
        <v>56</v>
      </c>
      <c r="J56" s="103" t="s">
        <v>57</v>
      </c>
      <c r="K56" s="541" t="s">
        <v>11</v>
      </c>
      <c r="L56" s="941"/>
    </row>
    <row r="57" spans="1:12" ht="13.5" thickBot="1">
      <c r="A57" s="105">
        <v>37986</v>
      </c>
      <c r="B57" s="233">
        <v>76185</v>
      </c>
      <c r="C57" s="234">
        <v>685</v>
      </c>
      <c r="D57" s="234">
        <v>4606</v>
      </c>
      <c r="E57" s="52">
        <f aca="true" t="shared" si="7" ref="E57:E69">SUM(B57:D57)</f>
        <v>81476</v>
      </c>
      <c r="F57" s="235">
        <v>27259</v>
      </c>
      <c r="G57" s="236">
        <v>637</v>
      </c>
      <c r="H57" s="236">
        <v>158</v>
      </c>
      <c r="I57" s="236">
        <v>632</v>
      </c>
      <c r="J57" s="236">
        <v>2693</v>
      </c>
      <c r="K57" s="126">
        <f aca="true" t="shared" si="8" ref="K57:K69">SUM(F57:J57)</f>
        <v>31379</v>
      </c>
      <c r="L57" s="139">
        <f>+E57-E39</f>
        <v>-109396</v>
      </c>
    </row>
    <row r="58" spans="1:12" ht="12.75">
      <c r="A58" s="53">
        <v>38017</v>
      </c>
      <c r="B58" s="54">
        <v>77509</v>
      </c>
      <c r="C58" s="48">
        <v>805</v>
      </c>
      <c r="D58" s="48">
        <v>4971</v>
      </c>
      <c r="E58" s="106">
        <f t="shared" si="7"/>
        <v>83285</v>
      </c>
      <c r="F58" s="70">
        <v>28718</v>
      </c>
      <c r="G58" s="48">
        <v>756</v>
      </c>
      <c r="H58" s="48">
        <v>266</v>
      </c>
      <c r="I58" s="48">
        <v>573</v>
      </c>
      <c r="J58" s="48">
        <v>2817</v>
      </c>
      <c r="K58" s="127">
        <f t="shared" si="8"/>
        <v>33130</v>
      </c>
      <c r="L58" s="545">
        <f aca="true" t="shared" si="9" ref="L58:L69">+E58-E40</f>
        <v>-116182</v>
      </c>
    </row>
    <row r="59" spans="1:12" ht="12.75">
      <c r="A59" s="55">
        <v>38046</v>
      </c>
      <c r="B59" s="56">
        <v>77509</v>
      </c>
      <c r="C59" s="49">
        <v>805</v>
      </c>
      <c r="D59" s="49">
        <v>4971</v>
      </c>
      <c r="E59" s="106">
        <f t="shared" si="7"/>
        <v>83285</v>
      </c>
      <c r="F59" s="62">
        <v>28718</v>
      </c>
      <c r="G59" s="49">
        <v>756</v>
      </c>
      <c r="H59" s="49">
        <v>266</v>
      </c>
      <c r="I59" s="49">
        <v>573</v>
      </c>
      <c r="J59" s="49">
        <v>2817</v>
      </c>
      <c r="K59" s="128">
        <f t="shared" si="8"/>
        <v>33130</v>
      </c>
      <c r="L59" s="136">
        <f t="shared" si="9"/>
        <v>-110410</v>
      </c>
    </row>
    <row r="60" spans="1:12" ht="12.75">
      <c r="A60" s="55">
        <v>38077</v>
      </c>
      <c r="B60" s="56">
        <v>90543</v>
      </c>
      <c r="C60" s="49">
        <v>923</v>
      </c>
      <c r="D60" s="49">
        <v>5548</v>
      </c>
      <c r="E60" s="106">
        <f t="shared" si="7"/>
        <v>97014</v>
      </c>
      <c r="F60" s="62">
        <v>33817</v>
      </c>
      <c r="G60" s="49">
        <v>1913</v>
      </c>
      <c r="H60" s="49">
        <v>272</v>
      </c>
      <c r="I60" s="49">
        <v>325</v>
      </c>
      <c r="J60" s="49">
        <v>2790</v>
      </c>
      <c r="K60" s="128">
        <f t="shared" si="8"/>
        <v>39117</v>
      </c>
      <c r="L60" s="136">
        <f t="shared" si="9"/>
        <v>-100580</v>
      </c>
    </row>
    <row r="61" spans="1:12" ht="12.75">
      <c r="A61" s="55">
        <v>38107</v>
      </c>
      <c r="B61" s="56">
        <v>96832</v>
      </c>
      <c r="C61" s="49">
        <v>869</v>
      </c>
      <c r="D61" s="49">
        <v>4186</v>
      </c>
      <c r="E61" s="106">
        <f t="shared" si="7"/>
        <v>101887</v>
      </c>
      <c r="F61" s="62">
        <v>13945</v>
      </c>
      <c r="G61" s="49">
        <v>1148</v>
      </c>
      <c r="H61" s="49">
        <v>1083</v>
      </c>
      <c r="I61" s="49">
        <v>282</v>
      </c>
      <c r="J61" s="49">
        <v>2660</v>
      </c>
      <c r="K61" s="128">
        <f t="shared" si="8"/>
        <v>19118</v>
      </c>
      <c r="L61" s="136">
        <f t="shared" si="9"/>
        <v>-100346</v>
      </c>
    </row>
    <row r="62" spans="1:12" ht="12.75">
      <c r="A62" s="55">
        <v>38138</v>
      </c>
      <c r="B62" s="56">
        <v>104965</v>
      </c>
      <c r="C62" s="49">
        <v>593</v>
      </c>
      <c r="D62" s="49">
        <v>4605</v>
      </c>
      <c r="E62" s="106">
        <f t="shared" si="7"/>
        <v>110163</v>
      </c>
      <c r="F62" s="62">
        <v>30622</v>
      </c>
      <c r="G62" s="49">
        <v>1132</v>
      </c>
      <c r="H62" s="49">
        <v>1239</v>
      </c>
      <c r="I62" s="49">
        <v>297</v>
      </c>
      <c r="J62" s="49">
        <v>2659</v>
      </c>
      <c r="K62" s="128">
        <f t="shared" si="8"/>
        <v>35949</v>
      </c>
      <c r="L62" s="136">
        <f t="shared" si="9"/>
        <v>-92343</v>
      </c>
    </row>
    <row r="63" spans="1:12" ht="12.75">
      <c r="A63" s="55">
        <v>38168</v>
      </c>
      <c r="B63" s="62">
        <v>87362</v>
      </c>
      <c r="C63" s="49">
        <v>458</v>
      </c>
      <c r="D63" s="49">
        <v>3595</v>
      </c>
      <c r="E63" s="238">
        <f t="shared" si="7"/>
        <v>91415</v>
      </c>
      <c r="F63" s="62">
        <v>13574</v>
      </c>
      <c r="G63" s="49">
        <v>566</v>
      </c>
      <c r="H63" s="49">
        <v>503</v>
      </c>
      <c r="I63" s="49">
        <v>132</v>
      </c>
      <c r="J63" s="49">
        <v>2801</v>
      </c>
      <c r="K63" s="128">
        <f t="shared" si="8"/>
        <v>17576</v>
      </c>
      <c r="L63" s="136">
        <f t="shared" si="9"/>
        <v>-108556</v>
      </c>
    </row>
    <row r="64" spans="1:12" ht="12.75">
      <c r="A64" s="55">
        <v>38199</v>
      </c>
      <c r="B64" s="54">
        <v>85714</v>
      </c>
      <c r="C64" s="48">
        <v>419</v>
      </c>
      <c r="D64" s="48">
        <v>2925</v>
      </c>
      <c r="E64" s="106">
        <f t="shared" si="7"/>
        <v>89058</v>
      </c>
      <c r="F64" s="70">
        <v>13089</v>
      </c>
      <c r="G64" s="48">
        <v>2625</v>
      </c>
      <c r="H64" s="48">
        <v>344</v>
      </c>
      <c r="I64" s="48">
        <v>230</v>
      </c>
      <c r="J64" s="48">
        <v>2862</v>
      </c>
      <c r="K64" s="128">
        <f t="shared" si="8"/>
        <v>19150</v>
      </c>
      <c r="L64" s="136">
        <f t="shared" si="9"/>
        <v>-117102</v>
      </c>
    </row>
    <row r="65" spans="1:12" ht="12.75">
      <c r="A65" s="55">
        <v>38230</v>
      </c>
      <c r="B65" s="56">
        <v>82435</v>
      </c>
      <c r="C65" s="49">
        <v>490</v>
      </c>
      <c r="D65" s="49">
        <v>3383</v>
      </c>
      <c r="E65" s="106">
        <f t="shared" si="7"/>
        <v>86308</v>
      </c>
      <c r="F65" s="62">
        <v>10705</v>
      </c>
      <c r="G65" s="49">
        <v>5050</v>
      </c>
      <c r="H65" s="49">
        <v>134</v>
      </c>
      <c r="I65" s="49">
        <v>159</v>
      </c>
      <c r="J65" s="49">
        <v>2866</v>
      </c>
      <c r="K65" s="128">
        <f t="shared" si="8"/>
        <v>18914</v>
      </c>
      <c r="L65" s="136">
        <f t="shared" si="9"/>
        <v>-110428</v>
      </c>
    </row>
    <row r="66" spans="1:12" ht="12.75">
      <c r="A66" s="55">
        <v>38260</v>
      </c>
      <c r="B66" s="56">
        <v>102711</v>
      </c>
      <c r="C66" s="49">
        <v>360</v>
      </c>
      <c r="D66" s="49">
        <v>3718</v>
      </c>
      <c r="E66" s="106">
        <f t="shared" si="7"/>
        <v>106789</v>
      </c>
      <c r="F66" s="62">
        <v>27928</v>
      </c>
      <c r="G66" s="49">
        <v>2514</v>
      </c>
      <c r="H66" s="49">
        <v>163</v>
      </c>
      <c r="I66" s="49">
        <v>164</v>
      </c>
      <c r="J66" s="49">
        <v>2847</v>
      </c>
      <c r="K66" s="128">
        <f t="shared" si="8"/>
        <v>33616</v>
      </c>
      <c r="L66" s="136">
        <f t="shared" si="9"/>
        <v>-103885</v>
      </c>
    </row>
    <row r="67" spans="1:12" ht="12.75">
      <c r="A67" s="57">
        <v>38291</v>
      </c>
      <c r="B67" s="58">
        <v>110153</v>
      </c>
      <c r="C67" s="50">
        <v>322</v>
      </c>
      <c r="D67" s="50">
        <v>4569</v>
      </c>
      <c r="E67" s="106">
        <f t="shared" si="7"/>
        <v>115044</v>
      </c>
      <c r="F67" s="72">
        <v>33444</v>
      </c>
      <c r="G67" s="50">
        <v>3449</v>
      </c>
      <c r="H67" s="50">
        <v>492</v>
      </c>
      <c r="I67" s="50">
        <v>226</v>
      </c>
      <c r="J67" s="50">
        <v>2852</v>
      </c>
      <c r="K67" s="128">
        <f t="shared" si="8"/>
        <v>40463</v>
      </c>
      <c r="L67" s="136">
        <f t="shared" si="9"/>
        <v>-100400</v>
      </c>
    </row>
    <row r="68" spans="1:12" ht="12.75">
      <c r="A68" s="55">
        <v>38321</v>
      </c>
      <c r="B68" s="56">
        <v>110716</v>
      </c>
      <c r="C68" s="49">
        <v>571</v>
      </c>
      <c r="D68" s="49">
        <v>5336</v>
      </c>
      <c r="E68" s="106">
        <f t="shared" si="7"/>
        <v>116623</v>
      </c>
      <c r="F68" s="62">
        <v>14153</v>
      </c>
      <c r="G68" s="49">
        <v>26264</v>
      </c>
      <c r="H68" s="49">
        <v>293</v>
      </c>
      <c r="I68" s="49">
        <v>152</v>
      </c>
      <c r="J68" s="49">
        <v>2868</v>
      </c>
      <c r="K68" s="128">
        <f t="shared" si="8"/>
        <v>43730</v>
      </c>
      <c r="L68" s="136">
        <f t="shared" si="9"/>
        <v>-105519</v>
      </c>
    </row>
    <row r="69" spans="1:12" ht="13.5" thickBot="1">
      <c r="A69" s="59">
        <v>38352</v>
      </c>
      <c r="B69" s="60">
        <v>111018</v>
      </c>
      <c r="C69" s="61">
        <v>431</v>
      </c>
      <c r="D69" s="61">
        <v>5079</v>
      </c>
      <c r="E69" s="107">
        <f t="shared" si="7"/>
        <v>116528</v>
      </c>
      <c r="F69" s="73">
        <v>12282</v>
      </c>
      <c r="G69" s="61">
        <v>29060</v>
      </c>
      <c r="H69" s="61">
        <v>205</v>
      </c>
      <c r="I69" s="61">
        <v>165</v>
      </c>
      <c r="J69" s="61">
        <v>2866</v>
      </c>
      <c r="K69" s="129">
        <f t="shared" si="8"/>
        <v>44578</v>
      </c>
      <c r="L69" s="544">
        <f t="shared" si="9"/>
        <v>-88137</v>
      </c>
    </row>
    <row r="70" ht="3.75" customHeight="1" thickBot="1"/>
    <row r="71" spans="1:12" ht="12.75" customHeight="1">
      <c r="A71" s="926" t="s">
        <v>374</v>
      </c>
      <c r="B71" s="1088"/>
      <c r="C71" s="1088"/>
      <c r="D71" s="1088"/>
      <c r="E71" s="1088"/>
      <c r="F71" s="1088"/>
      <c r="G71" s="1088"/>
      <c r="H71" s="1088"/>
      <c r="I71" s="1088"/>
      <c r="J71" s="1088"/>
      <c r="K71" s="1088"/>
      <c r="L71" s="1089"/>
    </row>
    <row r="72" spans="1:12" ht="12.75">
      <c r="A72" s="1090"/>
      <c r="B72" s="1080"/>
      <c r="C72" s="1080"/>
      <c r="D72" s="1080"/>
      <c r="E72" s="1080"/>
      <c r="F72" s="1080"/>
      <c r="G72" s="1080"/>
      <c r="H72" s="1080"/>
      <c r="I72" s="1080"/>
      <c r="J72" s="1080"/>
      <c r="K72" s="1080"/>
      <c r="L72" s="1091"/>
    </row>
    <row r="73" spans="1:12" ht="12.75">
      <c r="A73" s="1090"/>
      <c r="B73" s="1080"/>
      <c r="C73" s="1080"/>
      <c r="D73" s="1080"/>
      <c r="E73" s="1080"/>
      <c r="F73" s="1080"/>
      <c r="G73" s="1080"/>
      <c r="H73" s="1080"/>
      <c r="I73" s="1080"/>
      <c r="J73" s="1080"/>
      <c r="K73" s="1080"/>
      <c r="L73" s="1091"/>
    </row>
    <row r="74" spans="1:12" ht="12.75">
      <c r="A74" s="1090"/>
      <c r="B74" s="1080"/>
      <c r="C74" s="1080"/>
      <c r="D74" s="1080"/>
      <c r="E74" s="1080"/>
      <c r="F74" s="1080"/>
      <c r="G74" s="1080"/>
      <c r="H74" s="1080"/>
      <c r="I74" s="1080"/>
      <c r="J74" s="1080"/>
      <c r="K74" s="1080"/>
      <c r="L74" s="1091"/>
    </row>
    <row r="75" spans="1:12" ht="12.75">
      <c r="A75" s="1090"/>
      <c r="B75" s="1080"/>
      <c r="C75" s="1080"/>
      <c r="D75" s="1080"/>
      <c r="E75" s="1080"/>
      <c r="F75" s="1080"/>
      <c r="G75" s="1080"/>
      <c r="H75" s="1080"/>
      <c r="I75" s="1080"/>
      <c r="J75" s="1080"/>
      <c r="K75" s="1080"/>
      <c r="L75" s="1091"/>
    </row>
    <row r="76" spans="1:12" ht="12.75">
      <c r="A76" s="1090"/>
      <c r="B76" s="1080"/>
      <c r="C76" s="1080"/>
      <c r="D76" s="1080"/>
      <c r="E76" s="1080"/>
      <c r="F76" s="1080"/>
      <c r="G76" s="1080"/>
      <c r="H76" s="1080"/>
      <c r="I76" s="1080"/>
      <c r="J76" s="1080"/>
      <c r="K76" s="1080"/>
      <c r="L76" s="1091"/>
    </row>
    <row r="77" spans="1:12" ht="13.5" thickBot="1">
      <c r="A77" s="1092"/>
      <c r="B77" s="1093"/>
      <c r="C77" s="1093"/>
      <c r="D77" s="1093"/>
      <c r="E77" s="1093"/>
      <c r="F77" s="1093"/>
      <c r="G77" s="1093"/>
      <c r="H77" s="1093"/>
      <c r="I77" s="1093"/>
      <c r="J77" s="1093"/>
      <c r="K77" s="1093"/>
      <c r="L77" s="1094"/>
    </row>
    <row r="79" ht="0.75" customHeight="1"/>
    <row r="80" ht="0.75" customHeight="1"/>
    <row r="81" ht="0.75" customHeight="1"/>
    <row r="82" ht="0.75" customHeight="1"/>
    <row r="83" ht="16.5" thickBot="1">
      <c r="A83" s="29" t="s">
        <v>84</v>
      </c>
    </row>
    <row r="84" spans="1:12" ht="21.75" customHeight="1">
      <c r="A84" s="947" t="s">
        <v>71</v>
      </c>
      <c r="B84" s="948"/>
      <c r="C84" s="996" t="s">
        <v>25</v>
      </c>
      <c r="D84" s="997"/>
      <c r="E84" s="1000"/>
      <c r="F84" s="947" t="s">
        <v>71</v>
      </c>
      <c r="G84" s="962"/>
      <c r="H84" s="963"/>
      <c r="I84" s="999" t="s">
        <v>28</v>
      </c>
      <c r="J84" s="997"/>
      <c r="K84" s="1000"/>
      <c r="L84" s="985" t="s">
        <v>166</v>
      </c>
    </row>
    <row r="85" spans="1:12" ht="27.75" thickBot="1">
      <c r="A85" s="949"/>
      <c r="B85" s="950"/>
      <c r="C85" s="154" t="s">
        <v>81</v>
      </c>
      <c r="D85" s="149" t="s">
        <v>82</v>
      </c>
      <c r="E85" s="150" t="s">
        <v>83</v>
      </c>
      <c r="F85" s="949"/>
      <c r="G85" s="964"/>
      <c r="H85" s="965"/>
      <c r="I85" s="156" t="s">
        <v>81</v>
      </c>
      <c r="J85" s="149" t="s">
        <v>82</v>
      </c>
      <c r="K85" s="150" t="s">
        <v>83</v>
      </c>
      <c r="L85" s="986"/>
    </row>
    <row r="86" spans="1:12" ht="20.25" customHeight="1">
      <c r="A86" s="951" t="s">
        <v>72</v>
      </c>
      <c r="B86" s="952"/>
      <c r="C86" s="142">
        <v>140.36</v>
      </c>
      <c r="D86" s="143">
        <v>61680745</v>
      </c>
      <c r="E86" s="155">
        <f aca="true" t="shared" si="10" ref="E86:E92">+IF(C86&gt;0,D86/C86/12,"")</f>
        <v>36620.56200721952</v>
      </c>
      <c r="F86" s="966" t="s">
        <v>72</v>
      </c>
      <c r="G86" s="967"/>
      <c r="H86" s="967"/>
      <c r="I86" s="231">
        <v>137.71</v>
      </c>
      <c r="J86" s="232">
        <v>55432808</v>
      </c>
      <c r="K86" s="155">
        <f aca="true" t="shared" si="11" ref="K86:K96">+IF(I86&gt;0,J86/I86/12,"")</f>
        <v>33544.40974995764</v>
      </c>
      <c r="L86" s="289">
        <f>+K86-E86</f>
        <v>-3076.152257261885</v>
      </c>
    </row>
    <row r="87" spans="1:12" ht="20.25" customHeight="1">
      <c r="A87" s="951" t="s">
        <v>73</v>
      </c>
      <c r="B87" s="952"/>
      <c r="C87" s="144">
        <v>6.01</v>
      </c>
      <c r="D87" s="145">
        <v>1834810</v>
      </c>
      <c r="E87" s="71">
        <f t="shared" si="10"/>
        <v>25441.070438158626</v>
      </c>
      <c r="F87" s="968" t="s">
        <v>73</v>
      </c>
      <c r="G87" s="969"/>
      <c r="H87" s="969"/>
      <c r="I87" s="158">
        <v>5.84</v>
      </c>
      <c r="J87" s="50">
        <v>1655725</v>
      </c>
      <c r="K87" s="71">
        <f t="shared" si="11"/>
        <v>23626.212899543378</v>
      </c>
      <c r="L87" s="287"/>
    </row>
    <row r="88" spans="1:12" ht="20.25" customHeight="1">
      <c r="A88" s="951" t="s">
        <v>74</v>
      </c>
      <c r="B88" s="952"/>
      <c r="C88" s="144">
        <v>6</v>
      </c>
      <c r="D88" s="145">
        <v>1817647</v>
      </c>
      <c r="E88" s="71">
        <f t="shared" si="10"/>
        <v>25245.097222222223</v>
      </c>
      <c r="F88" s="968" t="s">
        <v>110</v>
      </c>
      <c r="G88" s="969"/>
      <c r="H88" s="969"/>
      <c r="I88" s="158">
        <v>527.76</v>
      </c>
      <c r="J88" s="50">
        <v>102641455</v>
      </c>
      <c r="K88" s="71">
        <f t="shared" si="11"/>
        <v>16207.09144939619</v>
      </c>
      <c r="L88" s="287"/>
    </row>
    <row r="89" spans="1:12" ht="20.25" customHeight="1">
      <c r="A89" s="951" t="s">
        <v>75</v>
      </c>
      <c r="B89" s="952"/>
      <c r="C89" s="144">
        <v>8.6</v>
      </c>
      <c r="D89" s="145">
        <v>1390265</v>
      </c>
      <c r="E89" s="71">
        <f t="shared" si="10"/>
        <v>13471.560077519382</v>
      </c>
      <c r="F89" s="968" t="s">
        <v>109</v>
      </c>
      <c r="G89" s="969"/>
      <c r="H89" s="969"/>
      <c r="I89" s="158">
        <v>71.25</v>
      </c>
      <c r="J89" s="50">
        <v>14839822</v>
      </c>
      <c r="K89" s="71">
        <f t="shared" si="11"/>
        <v>17356.516959064327</v>
      </c>
      <c r="L89" s="287"/>
    </row>
    <row r="90" spans="1:12" ht="20.25" customHeight="1">
      <c r="A90" s="951" t="s">
        <v>76</v>
      </c>
      <c r="B90" s="952"/>
      <c r="C90" s="144">
        <v>634.12</v>
      </c>
      <c r="D90" s="145">
        <v>127318193</v>
      </c>
      <c r="E90" s="71">
        <f t="shared" si="10"/>
        <v>16731.61139321685</v>
      </c>
      <c r="F90" s="968" t="s">
        <v>111</v>
      </c>
      <c r="G90" s="969"/>
      <c r="H90" s="969"/>
      <c r="I90" s="158">
        <v>23.8</v>
      </c>
      <c r="J90" s="50">
        <v>4019358</v>
      </c>
      <c r="K90" s="71">
        <f t="shared" si="11"/>
        <v>14073.382352941177</v>
      </c>
      <c r="L90" s="287"/>
    </row>
    <row r="91" spans="1:12" ht="20.25" customHeight="1">
      <c r="A91" s="951" t="s">
        <v>77</v>
      </c>
      <c r="B91" s="952"/>
      <c r="C91" s="144">
        <v>27.02</v>
      </c>
      <c r="D91" s="145">
        <v>3588667</v>
      </c>
      <c r="E91" s="71">
        <f t="shared" si="10"/>
        <v>11067.934246237355</v>
      </c>
      <c r="F91" s="968" t="s">
        <v>112</v>
      </c>
      <c r="G91" s="969"/>
      <c r="H91" s="969"/>
      <c r="I91" s="158">
        <v>145.79</v>
      </c>
      <c r="J91" s="50">
        <v>18031838</v>
      </c>
      <c r="K91" s="71">
        <f t="shared" si="11"/>
        <v>10306.970071106844</v>
      </c>
      <c r="L91" s="287"/>
    </row>
    <row r="92" spans="1:12" ht="20.25" customHeight="1">
      <c r="A92" s="951" t="s">
        <v>78</v>
      </c>
      <c r="B92" s="952"/>
      <c r="C92" s="144">
        <v>131.25</v>
      </c>
      <c r="D92" s="145">
        <v>16160101</v>
      </c>
      <c r="E92" s="71">
        <f t="shared" si="10"/>
        <v>10260.381587301586</v>
      </c>
      <c r="F92" s="968" t="s">
        <v>113</v>
      </c>
      <c r="G92" s="969"/>
      <c r="H92" s="969"/>
      <c r="I92" s="158">
        <v>1</v>
      </c>
      <c r="J92" s="50">
        <v>241122</v>
      </c>
      <c r="K92" s="71">
        <f t="shared" si="11"/>
        <v>20093.5</v>
      </c>
      <c r="L92" s="287"/>
    </row>
    <row r="93" spans="1:12" ht="20.25" customHeight="1">
      <c r="A93" s="951"/>
      <c r="B93" s="952"/>
      <c r="C93" s="144"/>
      <c r="D93" s="145"/>
      <c r="E93" s="71"/>
      <c r="F93" s="968" t="s">
        <v>114</v>
      </c>
      <c r="G93" s="969"/>
      <c r="H93" s="969"/>
      <c r="I93" s="158">
        <v>0</v>
      </c>
      <c r="J93" s="50">
        <v>0</v>
      </c>
      <c r="K93" s="71">
        <f t="shared" si="11"/>
      </c>
      <c r="L93" s="287"/>
    </row>
    <row r="94" spans="1:12" ht="20.25" customHeight="1">
      <c r="A94" s="951" t="s">
        <v>79</v>
      </c>
      <c r="B94" s="952"/>
      <c r="C94" s="144">
        <v>81.02</v>
      </c>
      <c r="D94" s="145">
        <v>14477581</v>
      </c>
      <c r="E94" s="71">
        <f>+IF(C94&gt;0,D94/C94/12,"")</f>
        <v>14890.953879700486</v>
      </c>
      <c r="F94" s="968" t="s">
        <v>79</v>
      </c>
      <c r="G94" s="969"/>
      <c r="H94" s="969"/>
      <c r="I94" s="157">
        <v>79.05</v>
      </c>
      <c r="J94" s="49">
        <v>13933044</v>
      </c>
      <c r="K94" s="71">
        <f t="shared" si="11"/>
        <v>14688.00759013283</v>
      </c>
      <c r="L94" s="287">
        <f>+K94-E94</f>
        <v>-202.946289567657</v>
      </c>
    </row>
    <row r="95" spans="1:12" ht="20.25" customHeight="1" thickBot="1">
      <c r="A95" s="951" t="s">
        <v>80</v>
      </c>
      <c r="B95" s="952"/>
      <c r="C95" s="144">
        <v>249.14</v>
      </c>
      <c r="D95" s="145">
        <v>27808173</v>
      </c>
      <c r="E95" s="71">
        <f>+IF(C95&gt;0,D95/C95/12,"")</f>
        <v>9301.387773942362</v>
      </c>
      <c r="F95" s="983" t="s">
        <v>115</v>
      </c>
      <c r="G95" s="984"/>
      <c r="H95" s="984"/>
      <c r="I95" s="231">
        <v>137.07</v>
      </c>
      <c r="J95" s="232">
        <v>15735439</v>
      </c>
      <c r="K95" s="155">
        <f t="shared" si="11"/>
        <v>9566.546898178547</v>
      </c>
      <c r="L95" s="288">
        <f>+K95-E95</f>
        <v>265.15912423618465</v>
      </c>
    </row>
    <row r="96" spans="1:12" s="39" customFormat="1" ht="22.5" customHeight="1" thickBot="1">
      <c r="A96" s="971" t="s">
        <v>11</v>
      </c>
      <c r="B96" s="973"/>
      <c r="C96" s="146">
        <f>SUM(C86:C95)</f>
        <v>1283.52</v>
      </c>
      <c r="D96" s="147">
        <f>SUM(D86:D95)</f>
        <v>256076182</v>
      </c>
      <c r="E96" s="148">
        <f>+IF(C96&gt;0,D96/C96/12,"")</f>
        <v>16625.905193010887</v>
      </c>
      <c r="F96" s="971" t="s">
        <v>11</v>
      </c>
      <c r="G96" s="972"/>
      <c r="H96" s="909"/>
      <c r="I96" s="159">
        <f>SUM(I86:I95)</f>
        <v>1129.2699999999998</v>
      </c>
      <c r="J96" s="51">
        <f>SUM(J86:J95)</f>
        <v>226530611</v>
      </c>
      <c r="K96" s="148">
        <f t="shared" si="11"/>
        <v>16716.596488587027</v>
      </c>
      <c r="L96" s="139">
        <f>+K96-E96</f>
        <v>90.69129557613996</v>
      </c>
    </row>
    <row r="97" ht="13.5" thickBot="1"/>
    <row r="98" spans="1:12" ht="12.75" customHeight="1">
      <c r="A98" s="926" t="s">
        <v>297</v>
      </c>
      <c r="B98" s="927"/>
      <c r="C98" s="927"/>
      <c r="D98" s="927"/>
      <c r="E98" s="927"/>
      <c r="F98" s="927"/>
      <c r="G98" s="927"/>
      <c r="H98" s="927"/>
      <c r="I98" s="927"/>
      <c r="J98" s="927"/>
      <c r="K98" s="927"/>
      <c r="L98" s="928"/>
    </row>
    <row r="99" spans="1:12" ht="12.75">
      <c r="A99" s="929"/>
      <c r="B99" s="672"/>
      <c r="C99" s="672"/>
      <c r="D99" s="672"/>
      <c r="E99" s="672"/>
      <c r="F99" s="672"/>
      <c r="G99" s="672"/>
      <c r="H99" s="672"/>
      <c r="I99" s="672"/>
      <c r="J99" s="672"/>
      <c r="K99" s="672"/>
      <c r="L99" s="930"/>
    </row>
    <row r="100" spans="1:12" ht="12.75">
      <c r="A100" s="929"/>
      <c r="B100" s="672"/>
      <c r="C100" s="672"/>
      <c r="D100" s="672"/>
      <c r="E100" s="672"/>
      <c r="F100" s="672"/>
      <c r="G100" s="672"/>
      <c r="H100" s="672"/>
      <c r="I100" s="672"/>
      <c r="J100" s="672"/>
      <c r="K100" s="672"/>
      <c r="L100" s="930"/>
    </row>
    <row r="101" spans="1:12" ht="12.75">
      <c r="A101" s="929"/>
      <c r="B101" s="672"/>
      <c r="C101" s="672"/>
      <c r="D101" s="672"/>
      <c r="E101" s="672"/>
      <c r="F101" s="672"/>
      <c r="G101" s="672"/>
      <c r="H101" s="672"/>
      <c r="I101" s="672"/>
      <c r="J101" s="672"/>
      <c r="K101" s="672"/>
      <c r="L101" s="930"/>
    </row>
    <row r="102" spans="1:12" ht="12.75">
      <c r="A102" s="929"/>
      <c r="B102" s="672"/>
      <c r="C102" s="672"/>
      <c r="D102" s="672"/>
      <c r="E102" s="672"/>
      <c r="F102" s="672"/>
      <c r="G102" s="672"/>
      <c r="H102" s="672"/>
      <c r="I102" s="672"/>
      <c r="J102" s="672"/>
      <c r="K102" s="672"/>
      <c r="L102" s="930"/>
    </row>
    <row r="103" spans="1:12" ht="12.75">
      <c r="A103" s="929"/>
      <c r="B103" s="672"/>
      <c r="C103" s="672"/>
      <c r="D103" s="672"/>
      <c r="E103" s="672"/>
      <c r="F103" s="672"/>
      <c r="G103" s="672"/>
      <c r="H103" s="672"/>
      <c r="I103" s="672"/>
      <c r="J103" s="672"/>
      <c r="K103" s="672"/>
      <c r="L103" s="930"/>
    </row>
    <row r="104" spans="1:12" ht="13.5" thickBot="1">
      <c r="A104" s="931"/>
      <c r="B104" s="932"/>
      <c r="C104" s="932"/>
      <c r="D104" s="932"/>
      <c r="E104" s="932"/>
      <c r="F104" s="932"/>
      <c r="G104" s="932"/>
      <c r="H104" s="932"/>
      <c r="I104" s="932"/>
      <c r="J104" s="932"/>
      <c r="K104" s="932"/>
      <c r="L104" s="933"/>
    </row>
    <row r="107" spans="1:9" ht="16.5" thickBot="1">
      <c r="A107" s="29" t="s">
        <v>107</v>
      </c>
      <c r="B107" s="160"/>
      <c r="C107" s="160"/>
      <c r="D107" s="160"/>
      <c r="E107" s="160"/>
      <c r="F107" s="160"/>
      <c r="G107" s="160"/>
      <c r="H107" s="160"/>
      <c r="I107" s="160"/>
    </row>
    <row r="108" spans="1:12" ht="13.5" thickBot="1">
      <c r="A108" s="979" t="s">
        <v>85</v>
      </c>
      <c r="B108" s="980"/>
      <c r="C108" s="879" t="s">
        <v>86</v>
      </c>
      <c r="D108" s="974"/>
      <c r="E108" s="974"/>
      <c r="F108" s="974"/>
      <c r="G108" s="936"/>
      <c r="H108" s="878" t="s">
        <v>87</v>
      </c>
      <c r="I108" s="974"/>
      <c r="J108" s="974"/>
      <c r="K108" s="974"/>
      <c r="L108" s="936"/>
    </row>
    <row r="109" spans="1:12" ht="13.5" thickBot="1">
      <c r="A109" s="1096"/>
      <c r="B109" s="702"/>
      <c r="C109" s="192">
        <v>2002</v>
      </c>
      <c r="D109" s="1">
        <v>2003</v>
      </c>
      <c r="E109" s="162" t="s">
        <v>88</v>
      </c>
      <c r="F109" s="10">
        <v>2004</v>
      </c>
      <c r="G109" s="162" t="s">
        <v>88</v>
      </c>
      <c r="H109" s="161">
        <v>2002</v>
      </c>
      <c r="I109" s="10">
        <v>2003</v>
      </c>
      <c r="J109" s="162" t="s">
        <v>88</v>
      </c>
      <c r="K109" s="10">
        <v>2004</v>
      </c>
      <c r="L109" s="540" t="s">
        <v>88</v>
      </c>
    </row>
    <row r="110" spans="1:12" ht="12.75">
      <c r="A110" s="1095" t="s">
        <v>89</v>
      </c>
      <c r="B110" s="1007"/>
      <c r="C110" s="210">
        <v>124</v>
      </c>
      <c r="D110" s="163">
        <v>124</v>
      </c>
      <c r="E110" s="164">
        <f>+D110-C110</f>
        <v>0</v>
      </c>
      <c r="F110" s="165">
        <v>124</v>
      </c>
      <c r="G110" s="164">
        <f aca="true" t="shared" si="12" ref="G110:G128">+F110-D110</f>
        <v>0</v>
      </c>
      <c r="H110" s="166">
        <f>36179/43422*100</f>
        <v>83.31951545299617</v>
      </c>
      <c r="I110" s="167">
        <v>79.9</v>
      </c>
      <c r="J110" s="167">
        <f>+I110-H110</f>
        <v>-3.4195154529961655</v>
      </c>
      <c r="K110" s="167">
        <v>82.34</v>
      </c>
      <c r="L110" s="188">
        <f aca="true" t="shared" si="13" ref="L110:L128">+K110-I110</f>
        <v>2.4399999999999977</v>
      </c>
    </row>
    <row r="111" spans="1:12" ht="12.75">
      <c r="A111" s="970" t="s">
        <v>90</v>
      </c>
      <c r="B111" s="696"/>
      <c r="C111" s="211">
        <v>40</v>
      </c>
      <c r="D111" s="169">
        <v>40</v>
      </c>
      <c r="E111" s="170">
        <f>+D111-C111</f>
        <v>0</v>
      </c>
      <c r="F111" s="171">
        <v>40</v>
      </c>
      <c r="G111" s="164">
        <f t="shared" si="12"/>
        <v>0</v>
      </c>
      <c r="H111" s="172">
        <f>0.822415940224159*100</f>
        <v>82.24159402241594</v>
      </c>
      <c r="I111" s="173">
        <v>79.1</v>
      </c>
      <c r="J111" s="173">
        <f>+I111-H111</f>
        <v>-3.141594022415944</v>
      </c>
      <c r="K111" s="167">
        <v>70.56</v>
      </c>
      <c r="L111" s="189">
        <f t="shared" si="13"/>
        <v>-8.539999999999992</v>
      </c>
    </row>
    <row r="112" spans="1:12" ht="12.75">
      <c r="A112" s="970" t="s">
        <v>91</v>
      </c>
      <c r="B112" s="696"/>
      <c r="C112" s="211">
        <v>30</v>
      </c>
      <c r="D112" s="169">
        <v>30</v>
      </c>
      <c r="E112" s="170">
        <f>+D112-C112</f>
        <v>0</v>
      </c>
      <c r="F112" s="171">
        <v>30</v>
      </c>
      <c r="G112" s="164">
        <f t="shared" si="12"/>
        <v>0</v>
      </c>
      <c r="H112" s="172">
        <f>0.786232431615536*100</f>
        <v>78.62324316155357</v>
      </c>
      <c r="I112" s="173">
        <v>77.4</v>
      </c>
      <c r="J112" s="173">
        <f>+I112-H112</f>
        <v>-1.2232431615535688</v>
      </c>
      <c r="K112" s="167">
        <v>85.97</v>
      </c>
      <c r="L112" s="189">
        <f t="shared" si="13"/>
        <v>8.569999999999993</v>
      </c>
    </row>
    <row r="113" spans="1:12" ht="12.75">
      <c r="A113" s="970" t="s">
        <v>92</v>
      </c>
      <c r="B113" s="696"/>
      <c r="C113" s="211">
        <v>47</v>
      </c>
      <c r="D113" s="169">
        <v>47</v>
      </c>
      <c r="E113" s="170">
        <f>+D113-C113</f>
        <v>0</v>
      </c>
      <c r="F113" s="171">
        <v>50</v>
      </c>
      <c r="G113" s="164">
        <f t="shared" si="12"/>
        <v>3</v>
      </c>
      <c r="H113" s="172">
        <f>0.83634703196347*100</f>
        <v>83.63470319634703</v>
      </c>
      <c r="I113" s="173">
        <v>85.7</v>
      </c>
      <c r="J113" s="173">
        <f>+I113-H113</f>
        <v>2.06529680365297</v>
      </c>
      <c r="K113" s="167">
        <v>99.45</v>
      </c>
      <c r="L113" s="189">
        <f t="shared" si="13"/>
        <v>13.75</v>
      </c>
    </row>
    <row r="114" spans="1:12" ht="12.75">
      <c r="A114" s="970" t="s">
        <v>93</v>
      </c>
      <c r="B114" s="696"/>
      <c r="C114" s="211"/>
      <c r="D114" s="212"/>
      <c r="E114" s="170"/>
      <c r="F114" s="171"/>
      <c r="G114" s="164">
        <f t="shared" si="12"/>
        <v>0</v>
      </c>
      <c r="H114" s="172"/>
      <c r="I114" s="173"/>
      <c r="J114" s="173"/>
      <c r="K114" s="167"/>
      <c r="L114" s="189">
        <f t="shared" si="13"/>
        <v>0</v>
      </c>
    </row>
    <row r="115" spans="1:12" ht="12.75">
      <c r="A115" s="970" t="s">
        <v>94</v>
      </c>
      <c r="B115" s="696"/>
      <c r="C115" s="211">
        <v>66</v>
      </c>
      <c r="D115" s="169">
        <v>66</v>
      </c>
      <c r="E115" s="170">
        <f aca="true" t="shared" si="14" ref="E115:E128">+D115-C115</f>
        <v>0</v>
      </c>
      <c r="F115" s="171">
        <v>66</v>
      </c>
      <c r="G115" s="164">
        <f t="shared" si="12"/>
        <v>0</v>
      </c>
      <c r="H115" s="172">
        <f>0.823440144749898*100</f>
        <v>82.34401447498979</v>
      </c>
      <c r="I115" s="173">
        <v>86.5</v>
      </c>
      <c r="J115" s="173">
        <f aca="true" t="shared" si="15" ref="J115:J128">+I115-H115</f>
        <v>4.155985525010209</v>
      </c>
      <c r="K115" s="167">
        <v>94</v>
      </c>
      <c r="L115" s="189">
        <f t="shared" si="13"/>
        <v>7.5</v>
      </c>
    </row>
    <row r="116" spans="1:12" ht="12.75">
      <c r="A116" s="970" t="s">
        <v>95</v>
      </c>
      <c r="B116" s="696"/>
      <c r="C116" s="211">
        <v>65</v>
      </c>
      <c r="D116" s="169">
        <v>54</v>
      </c>
      <c r="E116" s="170">
        <f t="shared" si="14"/>
        <v>-11</v>
      </c>
      <c r="F116" s="171">
        <v>60</v>
      </c>
      <c r="G116" s="164">
        <f t="shared" si="12"/>
        <v>6</v>
      </c>
      <c r="H116" s="172">
        <f>0.752303860523039*100</f>
        <v>75.23038605230387</v>
      </c>
      <c r="I116" s="173">
        <v>66.1</v>
      </c>
      <c r="J116" s="173">
        <f t="shared" si="15"/>
        <v>-9.130386052303876</v>
      </c>
      <c r="K116" s="167">
        <v>71.43</v>
      </c>
      <c r="L116" s="189">
        <f t="shared" si="13"/>
        <v>5.3300000000000125</v>
      </c>
    </row>
    <row r="117" spans="1:12" ht="12.75">
      <c r="A117" s="970" t="s">
        <v>96</v>
      </c>
      <c r="B117" s="696"/>
      <c r="C117" s="211">
        <v>100</v>
      </c>
      <c r="D117" s="169">
        <v>107</v>
      </c>
      <c r="E117" s="170">
        <f t="shared" si="14"/>
        <v>7</v>
      </c>
      <c r="F117" s="171">
        <v>107</v>
      </c>
      <c r="G117" s="164">
        <f t="shared" si="12"/>
        <v>0</v>
      </c>
      <c r="H117" s="172">
        <f>0.56527077395308*100</f>
        <v>56.52707739530805</v>
      </c>
      <c r="I117" s="173">
        <v>84.8</v>
      </c>
      <c r="J117" s="173">
        <f t="shared" si="15"/>
        <v>28.27292260469195</v>
      </c>
      <c r="K117" s="167">
        <v>86.17</v>
      </c>
      <c r="L117" s="189">
        <f t="shared" si="13"/>
        <v>1.3700000000000045</v>
      </c>
    </row>
    <row r="118" spans="1:12" ht="12.75">
      <c r="A118" s="970" t="s">
        <v>97</v>
      </c>
      <c r="B118" s="696"/>
      <c r="C118" s="211">
        <v>4</v>
      </c>
      <c r="D118" s="169">
        <v>5</v>
      </c>
      <c r="E118" s="170">
        <f t="shared" si="14"/>
        <v>1</v>
      </c>
      <c r="F118" s="171">
        <v>5</v>
      </c>
      <c r="G118" s="164">
        <f t="shared" si="12"/>
        <v>0</v>
      </c>
      <c r="H118" s="172">
        <f>32168/35300*100</f>
        <v>91.12747875354108</v>
      </c>
      <c r="I118" s="173">
        <v>83.3</v>
      </c>
      <c r="J118" s="173">
        <f t="shared" si="15"/>
        <v>-7.827478753541087</v>
      </c>
      <c r="K118" s="167">
        <v>88.03</v>
      </c>
      <c r="L118" s="189">
        <f t="shared" si="13"/>
        <v>4.730000000000004</v>
      </c>
    </row>
    <row r="119" spans="1:12" ht="12.75">
      <c r="A119" s="970" t="s">
        <v>98</v>
      </c>
      <c r="B119" s="696"/>
      <c r="C119" s="211">
        <v>20</v>
      </c>
      <c r="D119" s="169">
        <v>20</v>
      </c>
      <c r="E119" s="170">
        <f t="shared" si="14"/>
        <v>0</v>
      </c>
      <c r="F119" s="171">
        <v>26</v>
      </c>
      <c r="G119" s="164">
        <f t="shared" si="12"/>
        <v>6</v>
      </c>
      <c r="H119" s="172">
        <f>0.778767123287671*100</f>
        <v>77.87671232876713</v>
      </c>
      <c r="I119" s="173">
        <v>100</v>
      </c>
      <c r="J119" s="173">
        <f t="shared" si="15"/>
        <v>22.123287671232873</v>
      </c>
      <c r="K119" s="167">
        <v>106.73</v>
      </c>
      <c r="L119" s="189">
        <f t="shared" si="13"/>
        <v>6.730000000000004</v>
      </c>
    </row>
    <row r="120" spans="1:12" ht="12.75">
      <c r="A120" s="970" t="s">
        <v>99</v>
      </c>
      <c r="B120" s="696"/>
      <c r="C120" s="211">
        <v>20</v>
      </c>
      <c r="D120" s="169">
        <v>17</v>
      </c>
      <c r="E120" s="170">
        <f t="shared" si="14"/>
        <v>-3</v>
      </c>
      <c r="F120" s="171">
        <v>20</v>
      </c>
      <c r="G120" s="164">
        <f t="shared" si="12"/>
        <v>3</v>
      </c>
      <c r="H120" s="172">
        <f>0.976923076923077*100</f>
        <v>97.6923076923077</v>
      </c>
      <c r="I120" s="173">
        <v>76.7</v>
      </c>
      <c r="J120" s="173">
        <f t="shared" si="15"/>
        <v>-20.99230769230769</v>
      </c>
      <c r="K120" s="167">
        <v>74.24</v>
      </c>
      <c r="L120" s="189">
        <f t="shared" si="13"/>
        <v>-2.460000000000008</v>
      </c>
    </row>
    <row r="121" spans="1:12" ht="12.75">
      <c r="A121" s="970" t="s">
        <v>100</v>
      </c>
      <c r="B121" s="696"/>
      <c r="C121" s="211">
        <v>30</v>
      </c>
      <c r="D121" s="169">
        <v>30</v>
      </c>
      <c r="E121" s="170">
        <f t="shared" si="14"/>
        <v>0</v>
      </c>
      <c r="F121" s="171">
        <v>30</v>
      </c>
      <c r="G121" s="164">
        <f t="shared" si="12"/>
        <v>0</v>
      </c>
      <c r="H121" s="172">
        <f>0.765890410958904*100</f>
        <v>76.58904109589041</v>
      </c>
      <c r="I121" s="173">
        <v>86.6</v>
      </c>
      <c r="J121" s="173">
        <f t="shared" si="15"/>
        <v>10.010958904109586</v>
      </c>
      <c r="K121" s="167">
        <v>79.36</v>
      </c>
      <c r="L121" s="189">
        <f t="shared" si="13"/>
        <v>-7.239999999999995</v>
      </c>
    </row>
    <row r="122" spans="1:12" ht="12.75">
      <c r="A122" s="970" t="s">
        <v>101</v>
      </c>
      <c r="B122" s="696"/>
      <c r="C122" s="211">
        <v>20</v>
      </c>
      <c r="D122" s="169">
        <v>20</v>
      </c>
      <c r="E122" s="170">
        <f t="shared" si="14"/>
        <v>0</v>
      </c>
      <c r="F122" s="171">
        <v>20</v>
      </c>
      <c r="G122" s="164">
        <f t="shared" si="12"/>
        <v>0</v>
      </c>
      <c r="H122" s="172">
        <f>0.883470319634703*100</f>
        <v>88.34703196347033</v>
      </c>
      <c r="I122" s="173">
        <v>76.5</v>
      </c>
      <c r="J122" s="173">
        <f t="shared" si="15"/>
        <v>-11.847031963470329</v>
      </c>
      <c r="K122" s="167">
        <v>82.21</v>
      </c>
      <c r="L122" s="189">
        <f t="shared" si="13"/>
        <v>5.709999999999994</v>
      </c>
    </row>
    <row r="123" spans="1:12" ht="12.75">
      <c r="A123" s="970" t="s">
        <v>102</v>
      </c>
      <c r="B123" s="696"/>
      <c r="C123" s="211">
        <v>20</v>
      </c>
      <c r="D123" s="169">
        <v>20</v>
      </c>
      <c r="E123" s="170">
        <f t="shared" si="14"/>
        <v>0</v>
      </c>
      <c r="F123" s="171">
        <v>20</v>
      </c>
      <c r="G123" s="164">
        <f t="shared" si="12"/>
        <v>0</v>
      </c>
      <c r="H123" s="172">
        <f>0.817178770949721*100</f>
        <v>81.71787709497207</v>
      </c>
      <c r="I123" s="173">
        <v>77.6</v>
      </c>
      <c r="J123" s="173">
        <f t="shared" si="15"/>
        <v>-4.117877094972073</v>
      </c>
      <c r="K123" s="167">
        <v>77.98</v>
      </c>
      <c r="L123" s="189">
        <f t="shared" si="13"/>
        <v>0.38000000000000966</v>
      </c>
    </row>
    <row r="124" spans="1:12" ht="12.75">
      <c r="A124" s="970" t="s">
        <v>103</v>
      </c>
      <c r="B124" s="696"/>
      <c r="C124" s="211">
        <v>52</v>
      </c>
      <c r="D124" s="169">
        <v>52</v>
      </c>
      <c r="E124" s="170">
        <f t="shared" si="14"/>
        <v>0</v>
      </c>
      <c r="F124" s="171">
        <v>52</v>
      </c>
      <c r="G124" s="164">
        <f t="shared" si="12"/>
        <v>0</v>
      </c>
      <c r="H124" s="172">
        <f>0.841501416430595*100</f>
        <v>84.1501416430595</v>
      </c>
      <c r="I124" s="173">
        <v>73.8</v>
      </c>
      <c r="J124" s="173">
        <f t="shared" si="15"/>
        <v>-10.350141643059501</v>
      </c>
      <c r="K124" s="167">
        <v>83.05</v>
      </c>
      <c r="L124" s="189">
        <f t="shared" si="13"/>
        <v>9.25</v>
      </c>
    </row>
    <row r="125" spans="1:12" ht="12.75">
      <c r="A125" s="970" t="s">
        <v>104</v>
      </c>
      <c r="B125" s="696"/>
      <c r="C125" s="211">
        <v>20</v>
      </c>
      <c r="D125" s="169">
        <v>20</v>
      </c>
      <c r="E125" s="170">
        <f t="shared" si="14"/>
        <v>0</v>
      </c>
      <c r="F125" s="171">
        <v>20</v>
      </c>
      <c r="G125" s="164">
        <f t="shared" si="12"/>
        <v>0</v>
      </c>
      <c r="H125" s="172">
        <f>0.836407506702413*100</f>
        <v>83.64075067024129</v>
      </c>
      <c r="I125" s="173">
        <v>85</v>
      </c>
      <c r="J125" s="173">
        <f t="shared" si="15"/>
        <v>1.3592493297587112</v>
      </c>
      <c r="K125" s="167">
        <v>88.48</v>
      </c>
      <c r="L125" s="189">
        <f t="shared" si="13"/>
        <v>3.480000000000004</v>
      </c>
    </row>
    <row r="126" spans="1:12" ht="12.75">
      <c r="A126" s="970" t="s">
        <v>105</v>
      </c>
      <c r="B126" s="696"/>
      <c r="C126" s="211">
        <v>88</v>
      </c>
      <c r="D126" s="169">
        <v>88</v>
      </c>
      <c r="E126" s="170">
        <f t="shared" si="14"/>
        <v>0</v>
      </c>
      <c r="F126" s="171">
        <v>88</v>
      </c>
      <c r="G126" s="164">
        <f t="shared" si="12"/>
        <v>0</v>
      </c>
      <c r="H126" s="172">
        <f>0.908456973293769*100</f>
        <v>90.84569732937685</v>
      </c>
      <c r="I126" s="173">
        <v>84.3</v>
      </c>
      <c r="J126" s="173">
        <f t="shared" si="15"/>
        <v>-6.54569732937685</v>
      </c>
      <c r="K126" s="167">
        <v>85.64</v>
      </c>
      <c r="L126" s="189">
        <f t="shared" si="13"/>
        <v>1.3400000000000034</v>
      </c>
    </row>
    <row r="127" spans="1:12" ht="13.5" thickBot="1">
      <c r="A127" s="975" t="s">
        <v>106</v>
      </c>
      <c r="B127" s="976"/>
      <c r="C127" s="213"/>
      <c r="D127" s="214"/>
      <c r="E127" s="176">
        <f t="shared" si="14"/>
        <v>0</v>
      </c>
      <c r="F127" s="177"/>
      <c r="G127" s="197">
        <f t="shared" si="12"/>
        <v>0</v>
      </c>
      <c r="H127" s="178"/>
      <c r="I127" s="179"/>
      <c r="J127" s="179">
        <f t="shared" si="15"/>
        <v>0</v>
      </c>
      <c r="K127" s="596"/>
      <c r="L127" s="190">
        <f t="shared" si="13"/>
        <v>0</v>
      </c>
    </row>
    <row r="128" spans="1:12" ht="13.5" thickBot="1">
      <c r="A128" s="977" t="s">
        <v>11</v>
      </c>
      <c r="B128" s="978"/>
      <c r="C128" s="215">
        <f>SUM(C110:C127)</f>
        <v>746</v>
      </c>
      <c r="D128" s="216">
        <f>SUM(D110:D127)</f>
        <v>740</v>
      </c>
      <c r="E128" s="182">
        <f t="shared" si="14"/>
        <v>-6</v>
      </c>
      <c r="F128" s="183">
        <f>SUM(F110:F127)</f>
        <v>758</v>
      </c>
      <c r="G128" s="182">
        <f t="shared" si="12"/>
        <v>18</v>
      </c>
      <c r="H128" s="184">
        <f>216222/265394*100</f>
        <v>81.4720754802294</v>
      </c>
      <c r="I128" s="185">
        <v>81.3</v>
      </c>
      <c r="J128" s="185">
        <f t="shared" si="15"/>
        <v>-0.17207548022940955</v>
      </c>
      <c r="K128" s="597">
        <v>84.57</v>
      </c>
      <c r="L128" s="191">
        <f t="shared" si="13"/>
        <v>3.269999999999996</v>
      </c>
    </row>
    <row r="129" ht="13.5" thickBot="1"/>
    <row r="130" spans="1:12" ht="12.75">
      <c r="A130" s="1087" t="s">
        <v>294</v>
      </c>
      <c r="B130" s="1088"/>
      <c r="C130" s="1088"/>
      <c r="D130" s="1088"/>
      <c r="E130" s="1088"/>
      <c r="F130" s="1088"/>
      <c r="G130" s="1088"/>
      <c r="H130" s="1088"/>
      <c r="I130" s="1088"/>
      <c r="J130" s="1088"/>
      <c r="K130" s="1088"/>
      <c r="L130" s="1089"/>
    </row>
    <row r="131" spans="1:12" ht="12.75">
      <c r="A131" s="1090"/>
      <c r="B131" s="1080"/>
      <c r="C131" s="1080"/>
      <c r="D131" s="1080"/>
      <c r="E131" s="1080"/>
      <c r="F131" s="1080"/>
      <c r="G131" s="1080"/>
      <c r="H131" s="1080"/>
      <c r="I131" s="1080"/>
      <c r="J131" s="1080"/>
      <c r="K131" s="1080"/>
      <c r="L131" s="1091"/>
    </row>
    <row r="132" spans="1:12" ht="12.75">
      <c r="A132" s="1090"/>
      <c r="B132" s="1080"/>
      <c r="C132" s="1080"/>
      <c r="D132" s="1080"/>
      <c r="E132" s="1080"/>
      <c r="F132" s="1080"/>
      <c r="G132" s="1080"/>
      <c r="H132" s="1080"/>
      <c r="I132" s="1080"/>
      <c r="J132" s="1080"/>
      <c r="K132" s="1080"/>
      <c r="L132" s="1091"/>
    </row>
    <row r="133" spans="1:12" ht="12.75">
      <c r="A133" s="1090"/>
      <c r="B133" s="1080"/>
      <c r="C133" s="1080"/>
      <c r="D133" s="1080"/>
      <c r="E133" s="1080"/>
      <c r="F133" s="1080"/>
      <c r="G133" s="1080"/>
      <c r="H133" s="1080"/>
      <c r="I133" s="1080"/>
      <c r="J133" s="1080"/>
      <c r="K133" s="1080"/>
      <c r="L133" s="1091"/>
    </row>
    <row r="134" spans="1:12" ht="12.75">
      <c r="A134" s="1090"/>
      <c r="B134" s="1080"/>
      <c r="C134" s="1080"/>
      <c r="D134" s="1080"/>
      <c r="E134" s="1080"/>
      <c r="F134" s="1080"/>
      <c r="G134" s="1080"/>
      <c r="H134" s="1080"/>
      <c r="I134" s="1080"/>
      <c r="J134" s="1080"/>
      <c r="K134" s="1080"/>
      <c r="L134" s="1091"/>
    </row>
    <row r="135" spans="1:12" ht="12.75">
      <c r="A135" s="1090"/>
      <c r="B135" s="1080"/>
      <c r="C135" s="1080"/>
      <c r="D135" s="1080"/>
      <c r="E135" s="1080"/>
      <c r="F135" s="1080"/>
      <c r="G135" s="1080"/>
      <c r="H135" s="1080"/>
      <c r="I135" s="1080"/>
      <c r="J135" s="1080"/>
      <c r="K135" s="1080"/>
      <c r="L135" s="1091"/>
    </row>
    <row r="136" spans="1:12" ht="13.5" thickBot="1">
      <c r="A136" s="1092"/>
      <c r="B136" s="1093"/>
      <c r="C136" s="1093"/>
      <c r="D136" s="1093"/>
      <c r="E136" s="1093"/>
      <c r="F136" s="1093"/>
      <c r="G136" s="1093"/>
      <c r="H136" s="1093"/>
      <c r="I136" s="1093"/>
      <c r="J136" s="1093"/>
      <c r="K136" s="1093"/>
      <c r="L136" s="1094"/>
    </row>
    <row r="137" spans="1:12" ht="12.75">
      <c r="A137" s="76"/>
      <c r="B137" s="76"/>
      <c r="C137" s="76"/>
      <c r="D137" s="76"/>
      <c r="E137" s="76"/>
      <c r="F137" s="76"/>
      <c r="G137" s="76"/>
      <c r="H137" s="76"/>
      <c r="I137" s="76"/>
      <c r="J137" s="76"/>
      <c r="K137" s="76"/>
      <c r="L137" s="480"/>
    </row>
    <row r="138" spans="1:12" ht="16.5" thickBot="1">
      <c r="A138" s="29" t="s">
        <v>233</v>
      </c>
      <c r="B138" s="76"/>
      <c r="C138" s="76"/>
      <c r="D138" s="76"/>
      <c r="E138" s="76"/>
      <c r="F138" s="76"/>
      <c r="G138" s="76"/>
      <c r="H138" s="76"/>
      <c r="I138" s="76"/>
      <c r="J138" s="76"/>
      <c r="K138" s="76"/>
      <c r="L138" s="480"/>
    </row>
    <row r="139" spans="1:12" ht="24.75" customHeight="1" thickBot="1">
      <c r="A139" s="795" t="s">
        <v>276</v>
      </c>
      <c r="B139" s="909"/>
      <c r="C139" s="909"/>
      <c r="D139" s="1065"/>
      <c r="E139" s="1066" t="s">
        <v>216</v>
      </c>
      <c r="F139" s="1067"/>
      <c r="G139" s="795" t="s">
        <v>273</v>
      </c>
      <c r="H139" s="909"/>
      <c r="I139" s="909"/>
      <c r="J139" s="909"/>
      <c r="K139" s="1060" t="s">
        <v>216</v>
      </c>
      <c r="L139" s="853"/>
    </row>
    <row r="140" spans="1:12" s="478" customFormat="1" ht="21" customHeight="1">
      <c r="A140" s="800" t="s">
        <v>217</v>
      </c>
      <c r="B140" s="801"/>
      <c r="C140" s="801"/>
      <c r="D140" s="1071"/>
      <c r="E140" s="1068">
        <f>1374000+522000</f>
        <v>1896000</v>
      </c>
      <c r="F140" s="802"/>
      <c r="G140" s="800" t="s">
        <v>218</v>
      </c>
      <c r="H140" s="801"/>
      <c r="I140" s="801"/>
      <c r="J140" s="801"/>
      <c r="K140" s="1061">
        <v>20055000</v>
      </c>
      <c r="L140" s="802"/>
    </row>
    <row r="141" spans="1:12" s="478" customFormat="1" ht="18.75" customHeight="1">
      <c r="A141" s="807" t="s">
        <v>218</v>
      </c>
      <c r="B141" s="808"/>
      <c r="C141" s="808"/>
      <c r="D141" s="1063"/>
      <c r="E141" s="1069">
        <v>14845000</v>
      </c>
      <c r="F141" s="809"/>
      <c r="G141" s="807" t="s">
        <v>219</v>
      </c>
      <c r="H141" s="808"/>
      <c r="I141" s="808"/>
      <c r="J141" s="808"/>
      <c r="K141" s="1062">
        <v>710000</v>
      </c>
      <c r="L141" s="809"/>
    </row>
    <row r="142" spans="1:12" s="478" customFormat="1" ht="18.75" customHeight="1">
      <c r="A142" s="807" t="s">
        <v>219</v>
      </c>
      <c r="B142" s="808"/>
      <c r="C142" s="808"/>
      <c r="D142" s="1063"/>
      <c r="E142" s="1069">
        <v>1525570</v>
      </c>
      <c r="F142" s="809"/>
      <c r="G142" s="807" t="s">
        <v>221</v>
      </c>
      <c r="H142" s="808"/>
      <c r="I142" s="808"/>
      <c r="J142" s="808"/>
      <c r="K142" s="1062">
        <v>8921000</v>
      </c>
      <c r="L142" s="809"/>
    </row>
    <row r="143" spans="1:12" s="478" customFormat="1" ht="18" customHeight="1">
      <c r="A143" s="807" t="s">
        <v>220</v>
      </c>
      <c r="B143" s="808"/>
      <c r="C143" s="808"/>
      <c r="D143" s="1063"/>
      <c r="E143" s="1069">
        <v>311233</v>
      </c>
      <c r="F143" s="809"/>
      <c r="G143" s="1058"/>
      <c r="H143" s="808"/>
      <c r="I143" s="808"/>
      <c r="J143" s="808"/>
      <c r="K143" s="808"/>
      <c r="L143" s="809"/>
    </row>
    <row r="144" spans="1:12" s="478" customFormat="1" ht="16.5" customHeight="1">
      <c r="A144" s="833" t="s">
        <v>221</v>
      </c>
      <c r="B144" s="834"/>
      <c r="C144" s="834"/>
      <c r="D144" s="1064"/>
      <c r="E144" s="1070">
        <v>10750000</v>
      </c>
      <c r="F144" s="835"/>
      <c r="G144" s="1059"/>
      <c r="H144" s="834"/>
      <c r="I144" s="834"/>
      <c r="J144" s="834"/>
      <c r="K144" s="834"/>
      <c r="L144" s="835"/>
    </row>
    <row r="145" spans="1:12" s="478" customFormat="1" ht="18" customHeight="1" thickBot="1">
      <c r="A145" s="807" t="s">
        <v>269</v>
      </c>
      <c r="B145" s="808"/>
      <c r="C145" s="808"/>
      <c r="D145" s="1063"/>
      <c r="E145" s="1069">
        <v>522000</v>
      </c>
      <c r="F145" s="809"/>
      <c r="G145" s="807"/>
      <c r="H145" s="808"/>
      <c r="I145" s="808"/>
      <c r="J145" s="808"/>
      <c r="K145" s="1062"/>
      <c r="L145" s="809"/>
    </row>
    <row r="146" spans="1:12" s="39" customFormat="1" ht="21.75" customHeight="1" thickBot="1">
      <c r="A146" s="795" t="s">
        <v>223</v>
      </c>
      <c r="B146" s="909"/>
      <c r="C146" s="909"/>
      <c r="D146" s="1065"/>
      <c r="E146" s="817">
        <f>SUM(E140:F145)</f>
        <v>29849803</v>
      </c>
      <c r="F146" s="853"/>
      <c r="G146" s="851" t="s">
        <v>225</v>
      </c>
      <c r="H146" s="852"/>
      <c r="I146" s="852"/>
      <c r="J146" s="852"/>
      <c r="K146" s="817">
        <f>SUM(K140:L144)</f>
        <v>29686000</v>
      </c>
      <c r="L146" s="853"/>
    </row>
    <row r="147" spans="1:12" ht="12.75">
      <c r="A147" s="76"/>
      <c r="B147" s="76"/>
      <c r="C147" s="76"/>
      <c r="D147" s="76"/>
      <c r="E147" s="76"/>
      <c r="F147" s="76"/>
      <c r="G147" s="76"/>
      <c r="H147" s="76"/>
      <c r="I147" s="76"/>
      <c r="J147" s="76"/>
      <c r="K147" s="76"/>
      <c r="L147" s="480"/>
    </row>
    <row r="149" ht="16.5" thickBot="1">
      <c r="A149" s="29" t="s">
        <v>227</v>
      </c>
    </row>
    <row r="150" spans="1:11" ht="12.75" customHeight="1">
      <c r="A150" s="1003" t="s">
        <v>116</v>
      </c>
      <c r="B150" s="963"/>
      <c r="C150" s="980"/>
      <c r="D150" s="294" t="s">
        <v>117</v>
      </c>
      <c r="E150" s="295"/>
      <c r="F150" s="257"/>
      <c r="G150" s="256" t="s">
        <v>161</v>
      </c>
      <c r="H150" s="295"/>
      <c r="I150" s="257"/>
      <c r="J150" s="1003" t="s">
        <v>162</v>
      </c>
      <c r="K150" s="1015"/>
    </row>
    <row r="151" spans="1:11" ht="12.75">
      <c r="A151" s="1004"/>
      <c r="B151" s="969"/>
      <c r="C151" s="696"/>
      <c r="D151" s="987" t="s">
        <v>118</v>
      </c>
      <c r="E151" s="990" t="s">
        <v>119</v>
      </c>
      <c r="F151" s="993" t="s">
        <v>11</v>
      </c>
      <c r="G151" s="987" t="s">
        <v>118</v>
      </c>
      <c r="H151" s="990" t="s">
        <v>119</v>
      </c>
      <c r="I151" s="993" t="s">
        <v>11</v>
      </c>
      <c r="J151" s="1016"/>
      <c r="K151" s="1017"/>
    </row>
    <row r="152" spans="1:11" ht="12.75">
      <c r="A152" s="1004"/>
      <c r="B152" s="969"/>
      <c r="C152" s="696"/>
      <c r="D152" s="1081"/>
      <c r="E152" s="1083" t="s">
        <v>120</v>
      </c>
      <c r="F152" s="1085"/>
      <c r="G152" s="988"/>
      <c r="H152" s="991" t="s">
        <v>120</v>
      </c>
      <c r="I152" s="994"/>
      <c r="J152" s="1018"/>
      <c r="K152" s="696"/>
    </row>
    <row r="153" spans="1:11" ht="13.5" thickBot="1">
      <c r="A153" s="1005"/>
      <c r="B153" s="965"/>
      <c r="C153" s="702"/>
      <c r="D153" s="1082"/>
      <c r="E153" s="1084" t="s">
        <v>120</v>
      </c>
      <c r="F153" s="1086"/>
      <c r="G153" s="989"/>
      <c r="H153" s="992" t="s">
        <v>120</v>
      </c>
      <c r="I153" s="995"/>
      <c r="J153" s="271" t="s">
        <v>88</v>
      </c>
      <c r="K153" s="272" t="s">
        <v>163</v>
      </c>
    </row>
    <row r="154" spans="1:11" ht="12.75">
      <c r="A154" s="1006" t="s">
        <v>122</v>
      </c>
      <c r="B154" s="967"/>
      <c r="C154" s="1007"/>
      <c r="D154" s="297">
        <v>553750</v>
      </c>
      <c r="E154" s="244">
        <v>2500</v>
      </c>
      <c r="F154" s="258">
        <f>SUM(D154:E154)</f>
        <v>556250</v>
      </c>
      <c r="G154" s="297">
        <v>538284.82</v>
      </c>
      <c r="H154" s="244">
        <v>1907.66</v>
      </c>
      <c r="I154" s="258">
        <f aca="true" t="shared" si="16" ref="I154:I164">SUM(G154:H154)</f>
        <v>540192.48</v>
      </c>
      <c r="J154" s="278">
        <f>+I154-F154</f>
        <v>-16057.520000000019</v>
      </c>
      <c r="K154" s="281">
        <f>+I154/F154</f>
        <v>0.9711325483146067</v>
      </c>
    </row>
    <row r="155" spans="1:11" ht="12.75">
      <c r="A155" s="1008" t="s">
        <v>123</v>
      </c>
      <c r="B155" s="969"/>
      <c r="C155" s="696"/>
      <c r="D155" s="290"/>
      <c r="E155" s="242"/>
      <c r="F155" s="258"/>
      <c r="G155" s="290">
        <v>523166</v>
      </c>
      <c r="H155" s="242"/>
      <c r="I155" s="258">
        <f t="shared" si="16"/>
        <v>523166</v>
      </c>
      <c r="J155" s="278"/>
      <c r="K155" s="281"/>
    </row>
    <row r="156" spans="1:11" ht="12.75">
      <c r="A156" s="1008" t="s">
        <v>124</v>
      </c>
      <c r="B156" s="969"/>
      <c r="C156" s="696"/>
      <c r="D156" s="290"/>
      <c r="E156" s="242"/>
      <c r="F156" s="258"/>
      <c r="G156" s="290">
        <v>15119</v>
      </c>
      <c r="H156" s="242">
        <v>1908</v>
      </c>
      <c r="I156" s="258">
        <f t="shared" si="16"/>
        <v>17027</v>
      </c>
      <c r="J156" s="278"/>
      <c r="K156" s="281"/>
    </row>
    <row r="157" spans="1:11" ht="12.75">
      <c r="A157" s="1008" t="s">
        <v>125</v>
      </c>
      <c r="B157" s="969"/>
      <c r="C157" s="696"/>
      <c r="D157" s="297">
        <v>76460</v>
      </c>
      <c r="E157" s="244">
        <v>1500</v>
      </c>
      <c r="F157" s="258">
        <f>SUM(D157:E157)</f>
        <v>77960</v>
      </c>
      <c r="G157" s="297">
        <v>84864.36</v>
      </c>
      <c r="H157" s="244">
        <v>1643.74</v>
      </c>
      <c r="I157" s="258">
        <f t="shared" si="16"/>
        <v>86508.1</v>
      </c>
      <c r="J157" s="278">
        <f>+I157-F157</f>
        <v>8548.100000000006</v>
      </c>
      <c r="K157" s="281">
        <f>+I157/F157</f>
        <v>1.1096472550025656</v>
      </c>
    </row>
    <row r="158" spans="1:11" ht="12.75">
      <c r="A158" s="1008" t="s">
        <v>126</v>
      </c>
      <c r="B158" s="969"/>
      <c r="C158" s="696"/>
      <c r="D158" s="290"/>
      <c r="E158" s="242"/>
      <c r="F158" s="258"/>
      <c r="G158" s="297">
        <v>84864.36</v>
      </c>
      <c r="H158" s="244">
        <v>1643.74</v>
      </c>
      <c r="I158" s="258">
        <f t="shared" si="16"/>
        <v>86508.1</v>
      </c>
      <c r="J158" s="278"/>
      <c r="K158" s="281"/>
    </row>
    <row r="159" spans="1:11" ht="12.75">
      <c r="A159" s="1008" t="s">
        <v>127</v>
      </c>
      <c r="B159" s="969"/>
      <c r="C159" s="696"/>
      <c r="D159" s="290">
        <v>4000</v>
      </c>
      <c r="E159" s="242"/>
      <c r="F159" s="258">
        <f aca="true" t="shared" si="17" ref="F159:F164">SUM(D159:E159)</f>
        <v>4000</v>
      </c>
      <c r="G159" s="290">
        <v>8095.41</v>
      </c>
      <c r="H159" s="242"/>
      <c r="I159" s="258">
        <f t="shared" si="16"/>
        <v>8095.41</v>
      </c>
      <c r="J159" s="278">
        <f aca="true" t="shared" si="18" ref="J159:J165">+I159-F159</f>
        <v>4095.41</v>
      </c>
      <c r="K159" s="281">
        <f>+I159/F159</f>
        <v>2.0238525</v>
      </c>
    </row>
    <row r="160" spans="1:11" ht="12.75">
      <c r="A160" s="1008" t="s">
        <v>128</v>
      </c>
      <c r="B160" s="969"/>
      <c r="C160" s="696"/>
      <c r="D160" s="290">
        <v>3721</v>
      </c>
      <c r="E160" s="242"/>
      <c r="F160" s="258">
        <f t="shared" si="17"/>
        <v>3721</v>
      </c>
      <c r="G160" s="290">
        <f>1387.82+18.89+24.17+1665.61+20441.85</f>
        <v>23538.339999999997</v>
      </c>
      <c r="H160" s="242"/>
      <c r="I160" s="258">
        <f t="shared" si="16"/>
        <v>23538.339999999997</v>
      </c>
      <c r="J160" s="278">
        <f t="shared" si="18"/>
        <v>19817.339999999997</v>
      </c>
      <c r="K160" s="281">
        <f>+I160/F160</f>
        <v>6.325810266057511</v>
      </c>
    </row>
    <row r="161" spans="1:11" ht="12.75">
      <c r="A161" s="1008" t="s">
        <v>129</v>
      </c>
      <c r="B161" s="969"/>
      <c r="C161" s="696"/>
      <c r="D161" s="290">
        <v>142</v>
      </c>
      <c r="E161" s="242"/>
      <c r="F161" s="258">
        <f t="shared" si="17"/>
        <v>142</v>
      </c>
      <c r="G161" s="290">
        <v>1665.61</v>
      </c>
      <c r="H161" s="242"/>
      <c r="I161" s="258">
        <f t="shared" si="16"/>
        <v>1665.61</v>
      </c>
      <c r="J161" s="278">
        <f t="shared" si="18"/>
        <v>1523.61</v>
      </c>
      <c r="K161" s="281"/>
    </row>
    <row r="162" spans="1:11" ht="12.75">
      <c r="A162" s="1008" t="s">
        <v>130</v>
      </c>
      <c r="B162" s="969"/>
      <c r="C162" s="696"/>
      <c r="D162" s="290">
        <v>5500</v>
      </c>
      <c r="E162" s="242"/>
      <c r="F162" s="258">
        <f t="shared" si="17"/>
        <v>5500</v>
      </c>
      <c r="G162" s="290">
        <v>10050.76</v>
      </c>
      <c r="H162" s="242"/>
      <c r="I162" s="258">
        <f t="shared" si="16"/>
        <v>10050.76</v>
      </c>
      <c r="J162" s="278">
        <f t="shared" si="18"/>
        <v>4550.76</v>
      </c>
      <c r="K162" s="281"/>
    </row>
    <row r="163" spans="1:11" ht="12.75">
      <c r="A163" s="1008" t="s">
        <v>131</v>
      </c>
      <c r="B163" s="969"/>
      <c r="C163" s="696"/>
      <c r="D163" s="290">
        <v>0</v>
      </c>
      <c r="E163" s="242"/>
      <c r="F163" s="258">
        <f t="shared" si="17"/>
        <v>0</v>
      </c>
      <c r="G163" s="290">
        <v>0</v>
      </c>
      <c r="H163" s="242"/>
      <c r="I163" s="258">
        <f t="shared" si="16"/>
        <v>0</v>
      </c>
      <c r="J163" s="278">
        <f t="shared" si="18"/>
        <v>0</v>
      </c>
      <c r="K163" s="281"/>
    </row>
    <row r="164" spans="1:11" ht="13.5" thickBot="1">
      <c r="A164" s="1009" t="s">
        <v>132</v>
      </c>
      <c r="B164" s="1010"/>
      <c r="C164" s="976"/>
      <c r="D164" s="293">
        <v>28806</v>
      </c>
      <c r="E164" s="298"/>
      <c r="F164" s="258">
        <f t="shared" si="17"/>
        <v>28806</v>
      </c>
      <c r="G164" s="293">
        <v>29327.8</v>
      </c>
      <c r="H164" s="245"/>
      <c r="I164" s="258">
        <f t="shared" si="16"/>
        <v>29327.8</v>
      </c>
      <c r="J164" s="278">
        <f t="shared" si="18"/>
        <v>521.7999999999993</v>
      </c>
      <c r="K164" s="281">
        <f>+I164/F164</f>
        <v>1.0181142817468583</v>
      </c>
    </row>
    <row r="165" spans="1:11" ht="13.5" thickBot="1">
      <c r="A165" s="1011" t="s">
        <v>4</v>
      </c>
      <c r="B165" s="1012"/>
      <c r="C165" s="1013"/>
      <c r="D165" s="299">
        <f aca="true" t="shared" si="19" ref="D165:I165">SUM(D154+D157+D159+D160+D162+D164)</f>
        <v>672237</v>
      </c>
      <c r="E165" s="246">
        <f t="shared" si="19"/>
        <v>4000</v>
      </c>
      <c r="F165" s="303">
        <f t="shared" si="19"/>
        <v>676237</v>
      </c>
      <c r="G165" s="299">
        <f t="shared" si="19"/>
        <v>694161.49</v>
      </c>
      <c r="H165" s="246">
        <f t="shared" si="19"/>
        <v>3551.4</v>
      </c>
      <c r="I165" s="303">
        <f t="shared" si="19"/>
        <v>697712.89</v>
      </c>
      <c r="J165" s="279">
        <f t="shared" si="18"/>
        <v>21475.890000000014</v>
      </c>
      <c r="K165" s="282">
        <f>+I165/F165</f>
        <v>1.031757933978768</v>
      </c>
    </row>
    <row r="166" spans="4:5" ht="6" customHeight="1" thickBot="1">
      <c r="D166" s="313"/>
      <c r="E166" s="313"/>
    </row>
    <row r="167" spans="1:11" ht="12.75">
      <c r="A167" s="1014" t="s">
        <v>133</v>
      </c>
      <c r="B167" s="963"/>
      <c r="C167" s="980"/>
      <c r="D167" s="314">
        <v>152626</v>
      </c>
      <c r="E167" s="248">
        <v>420</v>
      </c>
      <c r="F167" s="273">
        <f>SUM(D167:E167)</f>
        <v>153046</v>
      </c>
      <c r="G167" s="314">
        <v>170807.45</v>
      </c>
      <c r="H167" s="248">
        <v>343.35</v>
      </c>
      <c r="I167" s="249">
        <f aca="true" t="shared" si="20" ref="I167:I174">SUM(G167:H167)</f>
        <v>171150.80000000002</v>
      </c>
      <c r="J167" s="283">
        <f aca="true" t="shared" si="21" ref="J167:J195">+I167-F167</f>
        <v>18104.800000000017</v>
      </c>
      <c r="K167" s="284">
        <f>+I167/F167</f>
        <v>1.118296459887877</v>
      </c>
    </row>
    <row r="168" spans="1:11" ht="12.75">
      <c r="A168" s="1008" t="s">
        <v>167</v>
      </c>
      <c r="B168" s="969"/>
      <c r="C168" s="696"/>
      <c r="D168" s="300">
        <v>4424</v>
      </c>
      <c r="E168" s="240">
        <v>50</v>
      </c>
      <c r="F168" s="241">
        <f>SUM(D168:E168)</f>
        <v>4474</v>
      </c>
      <c r="G168" s="300">
        <v>-1048</v>
      </c>
      <c r="H168" s="240">
        <v>2</v>
      </c>
      <c r="I168" s="250">
        <f t="shared" si="20"/>
        <v>-1046</v>
      </c>
      <c r="J168" s="278">
        <f t="shared" si="21"/>
        <v>-5520</v>
      </c>
      <c r="K168" s="281">
        <f>+I168/F168</f>
        <v>-0.23379526151095217</v>
      </c>
    </row>
    <row r="169" spans="1:11" ht="12.75">
      <c r="A169" s="1008" t="s">
        <v>135</v>
      </c>
      <c r="B169" s="969"/>
      <c r="C169" s="696"/>
      <c r="D169" s="300"/>
      <c r="E169" s="240"/>
      <c r="F169" s="274"/>
      <c r="G169" s="300">
        <v>49430</v>
      </c>
      <c r="H169" s="240">
        <v>10</v>
      </c>
      <c r="I169" s="250">
        <f t="shared" si="20"/>
        <v>49440</v>
      </c>
      <c r="J169" s="278">
        <f t="shared" si="21"/>
        <v>49440</v>
      </c>
      <c r="K169" s="270"/>
    </row>
    <row r="170" spans="1:11" ht="12.75">
      <c r="A170" s="1008" t="s">
        <v>136</v>
      </c>
      <c r="B170" s="969"/>
      <c r="C170" s="696"/>
      <c r="D170" s="300"/>
      <c r="E170" s="240"/>
      <c r="F170" s="274"/>
      <c r="G170" s="300">
        <v>8887</v>
      </c>
      <c r="H170" s="240">
        <v>0</v>
      </c>
      <c r="I170" s="250">
        <f t="shared" si="20"/>
        <v>8887</v>
      </c>
      <c r="J170" s="278">
        <f t="shared" si="21"/>
        <v>8887</v>
      </c>
      <c r="K170" s="270"/>
    </row>
    <row r="171" spans="1:11" ht="12.75">
      <c r="A171" s="1008" t="s">
        <v>137</v>
      </c>
      <c r="B171" s="969"/>
      <c r="C171" s="696"/>
      <c r="D171" s="300"/>
      <c r="E171" s="240"/>
      <c r="F171" s="274"/>
      <c r="G171" s="300">
        <v>84550</v>
      </c>
      <c r="H171" s="240">
        <v>22</v>
      </c>
      <c r="I171" s="250">
        <f t="shared" si="20"/>
        <v>84572</v>
      </c>
      <c r="J171" s="278">
        <f t="shared" si="21"/>
        <v>84572</v>
      </c>
      <c r="K171" s="270"/>
    </row>
    <row r="172" spans="1:11" ht="12.75">
      <c r="A172" s="1008" t="s">
        <v>138</v>
      </c>
      <c r="B172" s="969"/>
      <c r="C172" s="696"/>
      <c r="D172" s="300"/>
      <c r="E172" s="240"/>
      <c r="F172" s="274"/>
      <c r="G172" s="300">
        <v>17305</v>
      </c>
      <c r="H172" s="240">
        <v>275</v>
      </c>
      <c r="I172" s="250">
        <f t="shared" si="20"/>
        <v>17580</v>
      </c>
      <c r="J172" s="278">
        <f t="shared" si="21"/>
        <v>17580</v>
      </c>
      <c r="K172" s="270"/>
    </row>
    <row r="173" spans="1:11" ht="12.75">
      <c r="A173" s="1008" t="s">
        <v>139</v>
      </c>
      <c r="B173" s="969"/>
      <c r="C173" s="696"/>
      <c r="D173" s="300"/>
      <c r="E173" s="240"/>
      <c r="F173" s="274"/>
      <c r="G173" s="300">
        <v>362</v>
      </c>
      <c r="H173" s="240"/>
      <c r="I173" s="250">
        <f t="shared" si="20"/>
        <v>362</v>
      </c>
      <c r="J173" s="278">
        <f t="shared" si="21"/>
        <v>362</v>
      </c>
      <c r="K173" s="270"/>
    </row>
    <row r="174" spans="1:11" ht="12.75">
      <c r="A174" s="1008" t="s">
        <v>140</v>
      </c>
      <c r="B174" s="969"/>
      <c r="C174" s="696"/>
      <c r="D174" s="300"/>
      <c r="E174" s="240"/>
      <c r="F174" s="274"/>
      <c r="G174" s="300">
        <v>4608</v>
      </c>
      <c r="H174" s="240">
        <v>23</v>
      </c>
      <c r="I174" s="250">
        <f t="shared" si="20"/>
        <v>4631</v>
      </c>
      <c r="J174" s="278">
        <f t="shared" si="21"/>
        <v>4631</v>
      </c>
      <c r="K174" s="270"/>
    </row>
    <row r="175" spans="1:11" ht="12.75">
      <c r="A175" s="1008" t="s">
        <v>141</v>
      </c>
      <c r="B175" s="969"/>
      <c r="C175" s="696"/>
      <c r="D175" s="309">
        <v>28980</v>
      </c>
      <c r="E175" s="244">
        <v>620</v>
      </c>
      <c r="F175" s="241">
        <f aca="true" t="shared" si="22" ref="F175:F180">SUM(D175:E175)</f>
        <v>29600</v>
      </c>
      <c r="G175" s="309">
        <v>26536.39</v>
      </c>
      <c r="H175" s="244">
        <v>555.69</v>
      </c>
      <c r="I175" s="250">
        <f aca="true" t="shared" si="23" ref="I175:I184">SUM(G175:H175)</f>
        <v>27092.079999999998</v>
      </c>
      <c r="J175" s="278">
        <f t="shared" si="21"/>
        <v>-2507.920000000002</v>
      </c>
      <c r="K175" s="281">
        <f>+I175/F175</f>
        <v>0.9152729729729729</v>
      </c>
    </row>
    <row r="176" spans="1:11" ht="12.75">
      <c r="A176" s="1008" t="s">
        <v>142</v>
      </c>
      <c r="B176" s="969"/>
      <c r="C176" s="696"/>
      <c r="D176" s="290">
        <v>400</v>
      </c>
      <c r="E176" s="242">
        <v>0</v>
      </c>
      <c r="F176" s="241">
        <f t="shared" si="22"/>
        <v>400</v>
      </c>
      <c r="G176" s="290">
        <v>361.91</v>
      </c>
      <c r="H176" s="242"/>
      <c r="I176" s="250">
        <f t="shared" si="23"/>
        <v>361.91</v>
      </c>
      <c r="J176" s="278">
        <f t="shared" si="21"/>
        <v>-38.089999999999975</v>
      </c>
      <c r="K176" s="281"/>
    </row>
    <row r="177" spans="1:11" ht="12.75">
      <c r="A177" s="1008" t="s">
        <v>143</v>
      </c>
      <c r="B177" s="969"/>
      <c r="C177" s="696"/>
      <c r="D177" s="290">
        <v>60800</v>
      </c>
      <c r="E177" s="242">
        <v>1100</v>
      </c>
      <c r="F177" s="241">
        <f t="shared" si="22"/>
        <v>61900</v>
      </c>
      <c r="G177" s="290">
        <v>69803.48</v>
      </c>
      <c r="H177" s="242">
        <v>1372.58</v>
      </c>
      <c r="I177" s="250">
        <f t="shared" si="23"/>
        <v>71176.06</v>
      </c>
      <c r="J177" s="278">
        <f t="shared" si="21"/>
        <v>9276.059999999998</v>
      </c>
      <c r="K177" s="281">
        <f>+I177/F177</f>
        <v>1.1498555735056541</v>
      </c>
    </row>
    <row r="178" spans="1:11" ht="12.75">
      <c r="A178" s="1008" t="s">
        <v>144</v>
      </c>
      <c r="B178" s="969"/>
      <c r="C178" s="696"/>
      <c r="D178" s="290">
        <v>83676</v>
      </c>
      <c r="E178" s="242">
        <v>655</v>
      </c>
      <c r="F178" s="241">
        <f t="shared" si="22"/>
        <v>84331</v>
      </c>
      <c r="G178" s="290">
        <f>15033.96+657.92+30.49+79040.47</f>
        <v>94762.84</v>
      </c>
      <c r="H178" s="242">
        <f>16.74+0.19+0.19+362.81</f>
        <v>379.93</v>
      </c>
      <c r="I178" s="250">
        <f t="shared" si="23"/>
        <v>95142.76999999999</v>
      </c>
      <c r="J178" s="278">
        <f t="shared" si="21"/>
        <v>10811.76999999999</v>
      </c>
      <c r="K178" s="281">
        <f>+I178/F178</f>
        <v>1.1282063535354732</v>
      </c>
    </row>
    <row r="179" spans="1:11" ht="12.75">
      <c r="A179" s="1008" t="s">
        <v>145</v>
      </c>
      <c r="B179" s="969"/>
      <c r="C179" s="696"/>
      <c r="D179" s="290">
        <v>7988</v>
      </c>
      <c r="E179" s="242">
        <v>12</v>
      </c>
      <c r="F179" s="241">
        <f t="shared" si="22"/>
        <v>8000</v>
      </c>
      <c r="G179" s="290">
        <v>15033.96</v>
      </c>
      <c r="H179" s="242">
        <v>16.74</v>
      </c>
      <c r="I179" s="250">
        <f t="shared" si="23"/>
        <v>15050.699999999999</v>
      </c>
      <c r="J179" s="278">
        <f t="shared" si="21"/>
        <v>7050.699999999999</v>
      </c>
      <c r="K179" s="281">
        <f>+I179/F179</f>
        <v>1.8813374999999999</v>
      </c>
    </row>
    <row r="180" spans="1:11" ht="12.75">
      <c r="A180" s="1008" t="s">
        <v>146</v>
      </c>
      <c r="B180" s="969"/>
      <c r="C180" s="696"/>
      <c r="D180" s="290">
        <v>75891</v>
      </c>
      <c r="E180" s="242">
        <v>440</v>
      </c>
      <c r="F180" s="241">
        <f t="shared" si="22"/>
        <v>76331</v>
      </c>
      <c r="G180" s="290">
        <v>79040.47</v>
      </c>
      <c r="H180" s="242">
        <v>362.81</v>
      </c>
      <c r="I180" s="250">
        <f t="shared" si="23"/>
        <v>79403.28</v>
      </c>
      <c r="J180" s="278">
        <f t="shared" si="21"/>
        <v>3072.279999999999</v>
      </c>
      <c r="K180" s="281">
        <f>+I180/F180</f>
        <v>1.0402494399392122</v>
      </c>
    </row>
    <row r="181" spans="1:11" ht="12.75">
      <c r="A181" s="1008" t="s">
        <v>147</v>
      </c>
      <c r="B181" s="969"/>
      <c r="C181" s="696"/>
      <c r="D181" s="290"/>
      <c r="E181" s="242"/>
      <c r="F181" s="241"/>
      <c r="G181" s="290">
        <v>3425</v>
      </c>
      <c r="H181" s="242">
        <v>341</v>
      </c>
      <c r="I181" s="250">
        <f t="shared" si="23"/>
        <v>3766</v>
      </c>
      <c r="J181" s="278">
        <f t="shared" si="21"/>
        <v>3766</v>
      </c>
      <c r="K181" s="270"/>
    </row>
    <row r="182" spans="1:11" ht="12.75">
      <c r="A182" s="1008" t="s">
        <v>148</v>
      </c>
      <c r="B182" s="969"/>
      <c r="C182" s="696"/>
      <c r="D182" s="290"/>
      <c r="E182" s="242"/>
      <c r="F182" s="241"/>
      <c r="G182" s="290">
        <v>63</v>
      </c>
      <c r="H182" s="242"/>
      <c r="I182" s="250">
        <f t="shared" si="23"/>
        <v>63</v>
      </c>
      <c r="J182" s="278">
        <f t="shared" si="21"/>
        <v>63</v>
      </c>
      <c r="K182" s="270"/>
    </row>
    <row r="183" spans="1:11" ht="12.75">
      <c r="A183" s="1008" t="s">
        <v>149</v>
      </c>
      <c r="B183" s="969"/>
      <c r="C183" s="696"/>
      <c r="D183" s="290"/>
      <c r="E183" s="242"/>
      <c r="F183" s="241"/>
      <c r="G183" s="290">
        <v>40938</v>
      </c>
      <c r="H183" s="242"/>
      <c r="I183" s="250">
        <f t="shared" si="23"/>
        <v>40938</v>
      </c>
      <c r="J183" s="278">
        <f t="shared" si="21"/>
        <v>40938</v>
      </c>
      <c r="K183" s="270"/>
    </row>
    <row r="184" spans="1:11" ht="12.75">
      <c r="A184" s="1008" t="s">
        <v>150</v>
      </c>
      <c r="B184" s="969"/>
      <c r="C184" s="696"/>
      <c r="D184" s="290"/>
      <c r="E184" s="242"/>
      <c r="F184" s="241"/>
      <c r="G184" s="290">
        <v>1588</v>
      </c>
      <c r="H184" s="242">
        <v>2</v>
      </c>
      <c r="I184" s="250">
        <f t="shared" si="23"/>
        <v>1590</v>
      </c>
      <c r="J184" s="278">
        <f t="shared" si="21"/>
        <v>1590</v>
      </c>
      <c r="K184" s="281"/>
    </row>
    <row r="185" spans="1:11" ht="12.75">
      <c r="A185" s="1008" t="s">
        <v>151</v>
      </c>
      <c r="B185" s="969"/>
      <c r="C185" s="696"/>
      <c r="D185" s="301">
        <v>306070</v>
      </c>
      <c r="E185" s="242">
        <v>620</v>
      </c>
      <c r="F185" s="241">
        <f aca="true" t="shared" si="24" ref="F185:F194">SUM(D185:E185)</f>
        <v>306690</v>
      </c>
      <c r="G185" s="301">
        <f>230366.12+80512.34+4654.72</f>
        <v>315533.17999999993</v>
      </c>
      <c r="H185" s="242">
        <f>463.66+157.32+8.62</f>
        <v>629.6</v>
      </c>
      <c r="I185" s="250">
        <f aca="true" t="shared" si="25" ref="I185:I194">SUM(G185:H185)</f>
        <v>316162.7799999999</v>
      </c>
      <c r="J185" s="278">
        <f t="shared" si="21"/>
        <v>9472.779999999912</v>
      </c>
      <c r="K185" s="281">
        <f>+I185/F185</f>
        <v>1.0308871498907688</v>
      </c>
    </row>
    <row r="186" spans="1:11" ht="12.75">
      <c r="A186" s="1008" t="s">
        <v>152</v>
      </c>
      <c r="B186" s="969"/>
      <c r="C186" s="696"/>
      <c r="D186" s="301">
        <v>223170</v>
      </c>
      <c r="E186" s="242">
        <v>430</v>
      </c>
      <c r="F186" s="241">
        <f t="shared" si="24"/>
        <v>223600</v>
      </c>
      <c r="G186" s="301">
        <v>230366.12</v>
      </c>
      <c r="H186" s="242">
        <v>463.66</v>
      </c>
      <c r="I186" s="250">
        <f t="shared" si="25"/>
        <v>230829.78</v>
      </c>
      <c r="J186" s="278">
        <f t="shared" si="21"/>
        <v>7229.779999999999</v>
      </c>
      <c r="K186" s="281">
        <f>+I186/F186</f>
        <v>1.032333542039356</v>
      </c>
    </row>
    <row r="187" spans="1:11" ht="12.75">
      <c r="A187" s="1008" t="s">
        <v>153</v>
      </c>
      <c r="B187" s="969"/>
      <c r="C187" s="696"/>
      <c r="D187" s="301">
        <v>218700</v>
      </c>
      <c r="E187" s="242">
        <v>420</v>
      </c>
      <c r="F187" s="241">
        <f t="shared" si="24"/>
        <v>219120</v>
      </c>
      <c r="G187" s="301"/>
      <c r="H187" s="242"/>
      <c r="I187" s="250">
        <f t="shared" si="25"/>
        <v>0</v>
      </c>
      <c r="J187" s="278">
        <f t="shared" si="21"/>
        <v>-219120</v>
      </c>
      <c r="K187" s="281">
        <f>+I187/F187</f>
        <v>0</v>
      </c>
    </row>
    <row r="188" spans="1:11" ht="12.75">
      <c r="A188" s="1008" t="s">
        <v>154</v>
      </c>
      <c r="B188" s="969"/>
      <c r="C188" s="696"/>
      <c r="D188" s="301">
        <v>4476</v>
      </c>
      <c r="E188" s="242">
        <v>4</v>
      </c>
      <c r="F188" s="241">
        <f t="shared" si="24"/>
        <v>4480</v>
      </c>
      <c r="G188" s="301"/>
      <c r="H188" s="242"/>
      <c r="I188" s="250">
        <f t="shared" si="25"/>
        <v>0</v>
      </c>
      <c r="J188" s="278">
        <f t="shared" si="21"/>
        <v>-4480</v>
      </c>
      <c r="K188" s="281">
        <f>+I188/F188</f>
        <v>0</v>
      </c>
    </row>
    <row r="189" spans="1:11" ht="12.75">
      <c r="A189" s="1008" t="s">
        <v>155</v>
      </c>
      <c r="B189" s="969"/>
      <c r="C189" s="696"/>
      <c r="D189" s="301">
        <v>82925</v>
      </c>
      <c r="E189" s="242">
        <v>165</v>
      </c>
      <c r="F189" s="241">
        <f t="shared" si="24"/>
        <v>83090</v>
      </c>
      <c r="G189" s="301">
        <f>80512.34+4654.72</f>
        <v>85167.06</v>
      </c>
      <c r="H189" s="242">
        <f>157.32+8.62</f>
        <v>165.94</v>
      </c>
      <c r="I189" s="250">
        <f t="shared" si="25"/>
        <v>85333</v>
      </c>
      <c r="J189" s="278">
        <f t="shared" si="21"/>
        <v>2243</v>
      </c>
      <c r="K189" s="281">
        <f>+I189/F189</f>
        <v>1.0269948248886749</v>
      </c>
    </row>
    <row r="190" spans="1:11" ht="12.75">
      <c r="A190" s="1008" t="s">
        <v>156</v>
      </c>
      <c r="B190" s="969"/>
      <c r="C190" s="696"/>
      <c r="D190" s="290">
        <v>0</v>
      </c>
      <c r="E190" s="242">
        <v>0</v>
      </c>
      <c r="F190" s="241">
        <f t="shared" si="24"/>
        <v>0</v>
      </c>
      <c r="G190" s="290">
        <v>0</v>
      </c>
      <c r="H190" s="242"/>
      <c r="I190" s="250">
        <f t="shared" si="25"/>
        <v>0</v>
      </c>
      <c r="J190" s="278">
        <f t="shared" si="21"/>
        <v>0</v>
      </c>
      <c r="K190" s="281"/>
    </row>
    <row r="191" spans="1:11" ht="12.75">
      <c r="A191" s="1008" t="s">
        <v>157</v>
      </c>
      <c r="B191" s="969"/>
      <c r="C191" s="696"/>
      <c r="D191" s="290">
        <v>6829</v>
      </c>
      <c r="E191" s="242">
        <v>1</v>
      </c>
      <c r="F191" s="241">
        <f t="shared" si="24"/>
        <v>6830</v>
      </c>
      <c r="G191" s="290">
        <f>8.82+5155.45+478.54+320.4+3132.21</f>
        <v>9095.419999999998</v>
      </c>
      <c r="H191" s="242">
        <v>0.98</v>
      </c>
      <c r="I191" s="250">
        <f t="shared" si="25"/>
        <v>9096.399999999998</v>
      </c>
      <c r="J191" s="278">
        <f t="shared" si="21"/>
        <v>2266.399999999998</v>
      </c>
      <c r="K191" s="281">
        <f>+I191/F191</f>
        <v>1.3318301610541725</v>
      </c>
    </row>
    <row r="192" spans="1:11" ht="12.75">
      <c r="A192" s="1008" t="s">
        <v>158</v>
      </c>
      <c r="B192" s="969"/>
      <c r="C192" s="696"/>
      <c r="D192" s="290">
        <v>5908</v>
      </c>
      <c r="E192" s="242">
        <v>0</v>
      </c>
      <c r="F192" s="241">
        <f t="shared" si="24"/>
        <v>5908</v>
      </c>
      <c r="G192" s="290">
        <f>2135.3+9983.59</f>
        <v>12118.89</v>
      </c>
      <c r="H192" s="242">
        <v>1.24</v>
      </c>
      <c r="I192" s="250">
        <f t="shared" si="25"/>
        <v>12120.13</v>
      </c>
      <c r="J192" s="278">
        <f t="shared" si="21"/>
        <v>6212.129999999999</v>
      </c>
      <c r="K192" s="281">
        <f>+I192/F192</f>
        <v>2.051477657413676</v>
      </c>
    </row>
    <row r="193" spans="1:11" ht="12.75">
      <c r="A193" s="1008" t="s">
        <v>159</v>
      </c>
      <c r="B193" s="969"/>
      <c r="C193" s="696"/>
      <c r="D193" s="290">
        <v>2032</v>
      </c>
      <c r="E193" s="244">
        <v>0</v>
      </c>
      <c r="F193" s="241">
        <f t="shared" si="24"/>
        <v>2032</v>
      </c>
      <c r="G193" s="290">
        <v>2135.3</v>
      </c>
      <c r="H193" s="244"/>
      <c r="I193" s="250">
        <f t="shared" si="25"/>
        <v>2135.3</v>
      </c>
      <c r="J193" s="278">
        <f t="shared" si="21"/>
        <v>103.30000000000018</v>
      </c>
      <c r="K193" s="281">
        <f>+I193/F193</f>
        <v>1.0508366141732284</v>
      </c>
    </row>
    <row r="194" spans="1:11" ht="13.5" thickBot="1">
      <c r="A194" s="1025" t="s">
        <v>160</v>
      </c>
      <c r="B194" s="1026"/>
      <c r="C194" s="1027"/>
      <c r="D194" s="310">
        <v>0</v>
      </c>
      <c r="E194" s="245">
        <v>0</v>
      </c>
      <c r="F194" s="311">
        <f t="shared" si="24"/>
        <v>0</v>
      </c>
      <c r="G194" s="310">
        <v>0</v>
      </c>
      <c r="H194" s="245"/>
      <c r="I194" s="315">
        <f t="shared" si="25"/>
        <v>0</v>
      </c>
      <c r="J194" s="306">
        <f t="shared" si="21"/>
        <v>0</v>
      </c>
      <c r="K194" s="281"/>
    </row>
    <row r="195" spans="1:11" ht="13.5" thickBot="1">
      <c r="A195" s="1011" t="s">
        <v>3</v>
      </c>
      <c r="B195" s="1012"/>
      <c r="C195" s="1013"/>
      <c r="D195" s="299">
        <f aca="true" t="shared" si="26" ref="D195:I195">SUM(D167+D175+D176+D177+D178+D185+D190+D191+D192+D194)</f>
        <v>645289</v>
      </c>
      <c r="E195" s="246">
        <f t="shared" si="26"/>
        <v>3416</v>
      </c>
      <c r="F195" s="312">
        <f t="shared" si="26"/>
        <v>648705</v>
      </c>
      <c r="G195" s="299">
        <f t="shared" si="26"/>
        <v>699019.56</v>
      </c>
      <c r="H195" s="246">
        <f t="shared" si="26"/>
        <v>3283.3699999999994</v>
      </c>
      <c r="I195" s="312">
        <f t="shared" si="26"/>
        <v>702302.9299999999</v>
      </c>
      <c r="J195" s="285">
        <f t="shared" si="21"/>
        <v>53597.929999999935</v>
      </c>
      <c r="K195" s="286">
        <f>+I195/F195</f>
        <v>1.0826229642133172</v>
      </c>
    </row>
    <row r="196" ht="2.25" customHeight="1" thickBot="1"/>
    <row r="197" spans="1:9" ht="13.5" thickBot="1">
      <c r="A197" s="1011" t="s">
        <v>24</v>
      </c>
      <c r="B197" s="1012"/>
      <c r="C197" s="1013"/>
      <c r="D197" s="1001">
        <f>+F165-F195</f>
        <v>27532</v>
      </c>
      <c r="E197" s="1002"/>
      <c r="F197" s="921"/>
      <c r="G197" s="1001">
        <f>+I165-I195</f>
        <v>-4590.039999999921</v>
      </c>
      <c r="H197" s="1002"/>
      <c r="I197" s="921"/>
    </row>
    <row r="198" spans="1:9" ht="13.5" thickBot="1">
      <c r="A198" s="1019" t="s">
        <v>295</v>
      </c>
      <c r="B198" s="1020"/>
      <c r="C198" s="1020"/>
      <c r="D198" s="1020"/>
      <c r="E198" s="1020"/>
      <c r="F198" s="1021"/>
      <c r="G198" s="1032">
        <v>-224394.72</v>
      </c>
      <c r="H198" s="698"/>
      <c r="I198" s="995"/>
    </row>
    <row r="199" spans="1:9" ht="13.5" thickBot="1">
      <c r="A199" s="1029" t="s">
        <v>165</v>
      </c>
      <c r="B199" s="1030"/>
      <c r="C199" s="1030"/>
      <c r="D199" s="1030"/>
      <c r="E199" s="1030"/>
      <c r="F199" s="1031"/>
      <c r="G199" s="1032">
        <f>SUM(G197:I198)</f>
        <v>-228984.75999999992</v>
      </c>
      <c r="H199" s="698"/>
      <c r="I199" s="995"/>
    </row>
    <row r="200" ht="13.5" thickBot="1"/>
    <row r="201" spans="1:12" ht="12.75">
      <c r="A201" s="1072" t="s">
        <v>296</v>
      </c>
      <c r="B201" s="1073"/>
      <c r="C201" s="1073"/>
      <c r="D201" s="1073"/>
      <c r="E201" s="1073"/>
      <c r="F201" s="1073"/>
      <c r="G201" s="1073"/>
      <c r="H201" s="1073"/>
      <c r="I201" s="1073"/>
      <c r="J201" s="1073"/>
      <c r="K201" s="1073"/>
      <c r="L201" s="1074"/>
    </row>
    <row r="202" spans="1:12" ht="12.75">
      <c r="A202" s="1075"/>
      <c r="B202" s="1076"/>
      <c r="C202" s="1076"/>
      <c r="D202" s="1076"/>
      <c r="E202" s="1076"/>
      <c r="F202" s="1076"/>
      <c r="G202" s="1076"/>
      <c r="H202" s="1076"/>
      <c r="I202" s="1076"/>
      <c r="J202" s="1076"/>
      <c r="K202" s="1076"/>
      <c r="L202" s="1077"/>
    </row>
    <row r="203" spans="1:12" ht="12.75">
      <c r="A203" s="1075"/>
      <c r="B203" s="1076"/>
      <c r="C203" s="1076"/>
      <c r="D203" s="1076"/>
      <c r="E203" s="1076"/>
      <c r="F203" s="1076"/>
      <c r="G203" s="1076"/>
      <c r="H203" s="1076"/>
      <c r="I203" s="1076"/>
      <c r="J203" s="1076"/>
      <c r="K203" s="1076"/>
      <c r="L203" s="1077"/>
    </row>
    <row r="204" spans="1:12" ht="12.75">
      <c r="A204" s="1075"/>
      <c r="B204" s="1076"/>
      <c r="C204" s="1076"/>
      <c r="D204" s="1076"/>
      <c r="E204" s="1076"/>
      <c r="F204" s="1076"/>
      <c r="G204" s="1076"/>
      <c r="H204" s="1076"/>
      <c r="I204" s="1076"/>
      <c r="J204" s="1076"/>
      <c r="K204" s="1076"/>
      <c r="L204" s="1077"/>
    </row>
    <row r="205" spans="1:12" ht="12.75">
      <c r="A205" s="1075"/>
      <c r="B205" s="1076"/>
      <c r="C205" s="1076"/>
      <c r="D205" s="1076"/>
      <c r="E205" s="1076"/>
      <c r="F205" s="1076"/>
      <c r="G205" s="1076"/>
      <c r="H205" s="1076"/>
      <c r="I205" s="1076"/>
      <c r="J205" s="1076"/>
      <c r="K205" s="1076"/>
      <c r="L205" s="1077"/>
    </row>
    <row r="206" spans="1:12" ht="12.75">
      <c r="A206" s="1075"/>
      <c r="B206" s="1076"/>
      <c r="C206" s="1076"/>
      <c r="D206" s="1076"/>
      <c r="E206" s="1076"/>
      <c r="F206" s="1076"/>
      <c r="G206" s="1076"/>
      <c r="H206" s="1076"/>
      <c r="I206" s="1076"/>
      <c r="J206" s="1076"/>
      <c r="K206" s="1076"/>
      <c r="L206" s="1077"/>
    </row>
    <row r="207" spans="1:12" ht="13.5" thickBot="1">
      <c r="A207" s="1078"/>
      <c r="B207" s="1079"/>
      <c r="C207" s="1079"/>
      <c r="D207" s="1079"/>
      <c r="E207" s="1079"/>
      <c r="F207" s="1079"/>
      <c r="G207" s="1079"/>
      <c r="H207" s="1079"/>
      <c r="I207" s="1079"/>
      <c r="J207" s="1079"/>
      <c r="K207" s="1079"/>
      <c r="L207" s="1031"/>
    </row>
    <row r="210" ht="15.75">
      <c r="A210" s="29" t="s">
        <v>228</v>
      </c>
    </row>
    <row r="211" spans="1:12" ht="12.75" customHeight="1">
      <c r="A211" s="672" t="s">
        <v>366</v>
      </c>
      <c r="B211" s="1080"/>
      <c r="C211" s="1080"/>
      <c r="D211" s="1080"/>
      <c r="E211" s="1080"/>
      <c r="F211" s="1080"/>
      <c r="G211" s="1080"/>
      <c r="H211" s="1080"/>
      <c r="I211" s="1080"/>
      <c r="J211" s="1080"/>
      <c r="K211" s="1080"/>
      <c r="L211" s="1080"/>
    </row>
    <row r="212" spans="1:12" ht="12.75">
      <c r="A212" s="1080"/>
      <c r="B212" s="1080"/>
      <c r="C212" s="1080"/>
      <c r="D212" s="1080"/>
      <c r="E212" s="1080"/>
      <c r="F212" s="1080"/>
      <c r="G212" s="1080"/>
      <c r="H212" s="1080"/>
      <c r="I212" s="1080"/>
      <c r="J212" s="1080"/>
      <c r="K212" s="1080"/>
      <c r="L212" s="1080"/>
    </row>
    <row r="213" spans="1:12" ht="12.75">
      <c r="A213" s="1080"/>
      <c r="B213" s="1080"/>
      <c r="C213" s="1080"/>
      <c r="D213" s="1080"/>
      <c r="E213" s="1080"/>
      <c r="F213" s="1080"/>
      <c r="G213" s="1080"/>
      <c r="H213" s="1080"/>
      <c r="I213" s="1080"/>
      <c r="J213" s="1080"/>
      <c r="K213" s="1080"/>
      <c r="L213" s="1080"/>
    </row>
    <row r="214" spans="1:12" ht="12.75">
      <c r="A214" s="1080"/>
      <c r="B214" s="1080"/>
      <c r="C214" s="1080"/>
      <c r="D214" s="1080"/>
      <c r="E214" s="1080"/>
      <c r="F214" s="1080"/>
      <c r="G214" s="1080"/>
      <c r="H214" s="1080"/>
      <c r="I214" s="1080"/>
      <c r="J214" s="1080"/>
      <c r="K214" s="1080"/>
      <c r="L214" s="1080"/>
    </row>
    <row r="215" spans="1:12" ht="12.75">
      <c r="A215" s="1080"/>
      <c r="B215" s="1080"/>
      <c r="C215" s="1080"/>
      <c r="D215" s="1080"/>
      <c r="E215" s="1080"/>
      <c r="F215" s="1080"/>
      <c r="G215" s="1080"/>
      <c r="H215" s="1080"/>
      <c r="I215" s="1080"/>
      <c r="J215" s="1080"/>
      <c r="K215" s="1080"/>
      <c r="L215" s="1080"/>
    </row>
    <row r="216" spans="1:12" ht="12.75">
      <c r="A216" s="1080"/>
      <c r="B216" s="1080"/>
      <c r="C216" s="1080"/>
      <c r="D216" s="1080"/>
      <c r="E216" s="1080"/>
      <c r="F216" s="1080"/>
      <c r="G216" s="1080"/>
      <c r="H216" s="1080"/>
      <c r="I216" s="1080"/>
      <c r="J216" s="1080"/>
      <c r="K216" s="1080"/>
      <c r="L216" s="1080"/>
    </row>
    <row r="217" spans="1:12" ht="12.75">
      <c r="A217" s="1080"/>
      <c r="B217" s="1080"/>
      <c r="C217" s="1080"/>
      <c r="D217" s="1080"/>
      <c r="E217" s="1080"/>
      <c r="F217" s="1080"/>
      <c r="G217" s="1080"/>
      <c r="H217" s="1080"/>
      <c r="I217" s="1080"/>
      <c r="J217" s="1080"/>
      <c r="K217" s="1080"/>
      <c r="L217" s="1080"/>
    </row>
    <row r="218" spans="1:12" ht="12.75">
      <c r="A218" s="1080"/>
      <c r="B218" s="1080"/>
      <c r="C218" s="1080"/>
      <c r="D218" s="1080"/>
      <c r="E218" s="1080"/>
      <c r="F218" s="1080"/>
      <c r="G218" s="1080"/>
      <c r="H218" s="1080"/>
      <c r="I218" s="1080"/>
      <c r="J218" s="1080"/>
      <c r="K218" s="1080"/>
      <c r="L218" s="1080"/>
    </row>
    <row r="219" ht="3.75" customHeight="1" thickBot="1"/>
    <row r="220" spans="1:9" s="514" customFormat="1" ht="11.25">
      <c r="A220" s="528" t="s">
        <v>335</v>
      </c>
      <c r="B220" s="1054" t="s">
        <v>336</v>
      </c>
      <c r="C220" s="1055"/>
      <c r="D220" s="1055"/>
      <c r="E220" s="1055"/>
      <c r="F220" s="1055"/>
      <c r="G220" s="529" t="s">
        <v>337</v>
      </c>
      <c r="H220" s="529" t="s">
        <v>338</v>
      </c>
      <c r="I220" s="530" t="s">
        <v>339</v>
      </c>
    </row>
    <row r="221" spans="1:9" s="514" customFormat="1" ht="11.25">
      <c r="A221" s="1056" t="s">
        <v>340</v>
      </c>
      <c r="B221" s="1053" t="s">
        <v>341</v>
      </c>
      <c r="C221" s="808"/>
      <c r="D221" s="808"/>
      <c r="E221" s="808"/>
      <c r="F221" s="808"/>
      <c r="G221" s="524">
        <v>38351</v>
      </c>
      <c r="H221" s="517" t="s">
        <v>344</v>
      </c>
      <c r="I221" s="531" t="s">
        <v>345</v>
      </c>
    </row>
    <row r="222" spans="1:9" s="514" customFormat="1" ht="15" customHeight="1">
      <c r="A222" s="1057"/>
      <c r="B222" s="1053" t="s">
        <v>342</v>
      </c>
      <c r="C222" s="808"/>
      <c r="D222" s="808"/>
      <c r="E222" s="808"/>
      <c r="F222" s="808"/>
      <c r="G222" s="524">
        <v>38351</v>
      </c>
      <c r="H222" s="517" t="s">
        <v>344</v>
      </c>
      <c r="I222" s="531" t="s">
        <v>346</v>
      </c>
    </row>
    <row r="223" spans="1:9" s="514" customFormat="1" ht="11.25">
      <c r="A223" s="1057"/>
      <c r="B223" s="1053" t="s">
        <v>343</v>
      </c>
      <c r="C223" s="808"/>
      <c r="D223" s="808"/>
      <c r="E223" s="808"/>
      <c r="F223" s="808"/>
      <c r="G223" s="524">
        <v>38351</v>
      </c>
      <c r="H223" s="517" t="s">
        <v>344</v>
      </c>
      <c r="I223" s="531" t="s">
        <v>345</v>
      </c>
    </row>
    <row r="224" spans="1:9" s="514" customFormat="1" ht="11.25">
      <c r="A224" s="1044" t="s">
        <v>347</v>
      </c>
      <c r="B224" s="1042" t="s">
        <v>348</v>
      </c>
      <c r="C224" s="1043"/>
      <c r="D224" s="1043"/>
      <c r="E224" s="1043"/>
      <c r="F224" s="1043"/>
      <c r="G224" s="525">
        <v>38352</v>
      </c>
      <c r="H224" s="519" t="s">
        <v>344</v>
      </c>
      <c r="I224" s="532" t="s">
        <v>352</v>
      </c>
    </row>
    <row r="225" spans="1:9" s="514" customFormat="1" ht="11.25">
      <c r="A225" s="1045"/>
      <c r="B225" s="1042" t="s">
        <v>349</v>
      </c>
      <c r="C225" s="1043"/>
      <c r="D225" s="1043"/>
      <c r="E225" s="1043"/>
      <c r="F225" s="1043"/>
      <c r="G225" s="526">
        <v>38351</v>
      </c>
      <c r="H225" s="519" t="s">
        <v>344</v>
      </c>
      <c r="I225" s="532" t="s">
        <v>353</v>
      </c>
    </row>
    <row r="226" spans="1:9" s="478" customFormat="1" ht="21.75" customHeight="1">
      <c r="A226" s="1045"/>
      <c r="B226" s="1042" t="s">
        <v>350</v>
      </c>
      <c r="C226" s="1043"/>
      <c r="D226" s="1043"/>
      <c r="E226" s="1043"/>
      <c r="F226" s="1043"/>
      <c r="G226" s="526">
        <v>38351</v>
      </c>
      <c r="H226" s="519" t="s">
        <v>344</v>
      </c>
      <c r="I226" s="532" t="s">
        <v>354</v>
      </c>
    </row>
    <row r="227" spans="1:9" s="514" customFormat="1" ht="24.75" customHeight="1">
      <c r="A227" s="1045"/>
      <c r="B227" s="1042" t="s">
        <v>351</v>
      </c>
      <c r="C227" s="1043"/>
      <c r="D227" s="1043"/>
      <c r="E227" s="1043"/>
      <c r="F227" s="1043"/>
      <c r="G227" s="526">
        <v>38351</v>
      </c>
      <c r="H227" s="519" t="s">
        <v>344</v>
      </c>
      <c r="I227" s="533" t="s">
        <v>353</v>
      </c>
    </row>
    <row r="228" spans="1:9" s="478" customFormat="1" ht="15.75" customHeight="1">
      <c r="A228" s="1039" t="s">
        <v>355</v>
      </c>
      <c r="B228" s="1037" t="s">
        <v>356</v>
      </c>
      <c r="C228" s="1038"/>
      <c r="D228" s="1038"/>
      <c r="E228" s="1038"/>
      <c r="F228" s="1038"/>
      <c r="G228" s="521">
        <v>38260</v>
      </c>
      <c r="H228" s="520" t="s">
        <v>344</v>
      </c>
      <c r="I228" s="534" t="s">
        <v>360</v>
      </c>
    </row>
    <row r="229" spans="1:9" s="478" customFormat="1" ht="11.25">
      <c r="A229" s="1040"/>
      <c r="B229" s="1037" t="s">
        <v>357</v>
      </c>
      <c r="C229" s="1038"/>
      <c r="D229" s="1038"/>
      <c r="E229" s="1038"/>
      <c r="F229" s="1038"/>
      <c r="G229" s="521">
        <v>38321</v>
      </c>
      <c r="H229" s="520" t="s">
        <v>344</v>
      </c>
      <c r="I229" s="534" t="s">
        <v>360</v>
      </c>
    </row>
    <row r="230" spans="1:9" s="478" customFormat="1" ht="25.5" customHeight="1">
      <c r="A230" s="1040"/>
      <c r="B230" s="1037" t="s">
        <v>367</v>
      </c>
      <c r="C230" s="1038"/>
      <c r="D230" s="1038"/>
      <c r="E230" s="1038"/>
      <c r="F230" s="1038"/>
      <c r="G230" s="523">
        <v>38352</v>
      </c>
      <c r="H230" s="520" t="s">
        <v>359</v>
      </c>
      <c r="I230" s="534" t="s">
        <v>361</v>
      </c>
    </row>
    <row r="231" spans="1:9" s="478" customFormat="1" ht="24.75" customHeight="1">
      <c r="A231" s="1041"/>
      <c r="B231" s="1037" t="s">
        <v>358</v>
      </c>
      <c r="C231" s="1038"/>
      <c r="D231" s="1038"/>
      <c r="E231" s="1038"/>
      <c r="F231" s="1038"/>
      <c r="G231" s="523">
        <v>38352</v>
      </c>
      <c r="H231" s="520" t="s">
        <v>344</v>
      </c>
      <c r="I231" s="534" t="s">
        <v>361</v>
      </c>
    </row>
    <row r="232" spans="1:9" s="514" customFormat="1" ht="18" customHeight="1">
      <c r="A232" s="1046" t="s">
        <v>362</v>
      </c>
      <c r="B232" s="1049" t="s">
        <v>368</v>
      </c>
      <c r="C232" s="1050"/>
      <c r="D232" s="1050"/>
      <c r="E232" s="1050"/>
      <c r="F232" s="1050"/>
      <c r="G232" s="527">
        <v>38352</v>
      </c>
      <c r="H232" s="522" t="s">
        <v>359</v>
      </c>
      <c r="I232" s="535" t="s">
        <v>363</v>
      </c>
    </row>
    <row r="233" spans="1:9" s="514" customFormat="1" ht="15.75" customHeight="1">
      <c r="A233" s="1047"/>
      <c r="B233" s="1049" t="s">
        <v>369</v>
      </c>
      <c r="C233" s="1050"/>
      <c r="D233" s="1050"/>
      <c r="E233" s="1050"/>
      <c r="F233" s="1050"/>
      <c r="G233" s="527">
        <v>38321</v>
      </c>
      <c r="H233" s="522" t="s">
        <v>344</v>
      </c>
      <c r="I233" s="535" t="s">
        <v>364</v>
      </c>
    </row>
    <row r="234" spans="1:9" s="514" customFormat="1" ht="21" customHeight="1" thickBot="1">
      <c r="A234" s="1048"/>
      <c r="B234" s="1051" t="s">
        <v>370</v>
      </c>
      <c r="C234" s="1052"/>
      <c r="D234" s="1052"/>
      <c r="E234" s="1052"/>
      <c r="F234" s="1052"/>
      <c r="G234" s="536">
        <v>38321</v>
      </c>
      <c r="H234" s="537" t="s">
        <v>344</v>
      </c>
      <c r="I234" s="538" t="s">
        <v>365</v>
      </c>
    </row>
    <row r="235" ht="5.25" customHeight="1">
      <c r="B235" s="518"/>
    </row>
    <row r="236" spans="1:12" ht="12.75" customHeight="1">
      <c r="A236" s="1036" t="s">
        <v>371</v>
      </c>
      <c r="B236" s="1036"/>
      <c r="C236" s="1036"/>
      <c r="D236" s="1036"/>
      <c r="E236" s="1036"/>
      <c r="F236" s="1036"/>
      <c r="G236" s="1036"/>
      <c r="H236" s="1036"/>
      <c r="I236" s="1036"/>
      <c r="J236" s="1036"/>
      <c r="K236" s="1036"/>
      <c r="L236" s="1036"/>
    </row>
    <row r="237" spans="1:12" ht="12.75">
      <c r="A237" s="1036"/>
      <c r="B237" s="1036"/>
      <c r="C237" s="1036"/>
      <c r="D237" s="1036"/>
      <c r="E237" s="1036"/>
      <c r="F237" s="1036"/>
      <c r="G237" s="1036"/>
      <c r="H237" s="1036"/>
      <c r="I237" s="1036"/>
      <c r="J237" s="1036"/>
      <c r="K237" s="1036"/>
      <c r="L237" s="1036"/>
    </row>
    <row r="238" spans="1:12" ht="12.75">
      <c r="A238" s="1036"/>
      <c r="B238" s="1036"/>
      <c r="C238" s="1036"/>
      <c r="D238" s="1036"/>
      <c r="E238" s="1036"/>
      <c r="F238" s="1036"/>
      <c r="G238" s="1036"/>
      <c r="H238" s="1036"/>
      <c r="I238" s="1036"/>
      <c r="J238" s="1036"/>
      <c r="K238" s="1036"/>
      <c r="L238" s="1036"/>
    </row>
    <row r="239" spans="1:12" ht="8.25" customHeight="1">
      <c r="A239" s="1036"/>
      <c r="B239" s="1036"/>
      <c r="C239" s="1036"/>
      <c r="D239" s="1036"/>
      <c r="E239" s="1036"/>
      <c r="F239" s="1036"/>
      <c r="G239" s="1036"/>
      <c r="H239" s="1036"/>
      <c r="I239" s="1036"/>
      <c r="J239" s="1036"/>
      <c r="K239" s="1036"/>
      <c r="L239" s="1036"/>
    </row>
    <row r="240" ht="12.75">
      <c r="B240" s="518"/>
    </row>
    <row r="241" spans="1:2" ht="15.75">
      <c r="A241" s="29" t="s">
        <v>229</v>
      </c>
      <c r="B241" s="516"/>
    </row>
    <row r="242" spans="1:3" ht="12.75">
      <c r="A242" s="583"/>
      <c r="B242" s="583"/>
      <c r="C242" s="583"/>
    </row>
    <row r="243" spans="1:12" ht="12.75" customHeight="1">
      <c r="A243" s="547"/>
      <c r="B243" s="548"/>
      <c r="C243" s="548"/>
      <c r="D243" s="548"/>
      <c r="E243" s="548"/>
      <c r="F243" s="548"/>
      <c r="G243" s="548"/>
      <c r="H243" s="548"/>
      <c r="I243" s="548"/>
      <c r="J243" s="548"/>
      <c r="K243" s="548"/>
      <c r="L243" s="548"/>
    </row>
    <row r="244" spans="1:12" ht="12.75">
      <c r="A244" s="548"/>
      <c r="B244" s="548"/>
      <c r="C244" s="548"/>
      <c r="D244" s="548"/>
      <c r="E244" s="548"/>
      <c r="F244" s="548"/>
      <c r="G244" s="548"/>
      <c r="H244" s="548"/>
      <c r="I244" s="548"/>
      <c r="J244" s="548"/>
      <c r="K244" s="548"/>
      <c r="L244" s="548"/>
    </row>
    <row r="245" spans="1:12" ht="12.75">
      <c r="A245" s="548"/>
      <c r="B245" s="548"/>
      <c r="C245" s="548"/>
      <c r="D245" s="548"/>
      <c r="E245" s="548"/>
      <c r="F245" s="548"/>
      <c r="G245" s="548"/>
      <c r="H245" s="548"/>
      <c r="I245" s="548"/>
      <c r="J245" s="548"/>
      <c r="K245" s="548"/>
      <c r="L245" s="548"/>
    </row>
    <row r="246" spans="1:12" ht="12.75">
      <c r="A246" s="548"/>
      <c r="B246" s="548"/>
      <c r="C246" s="548"/>
      <c r="D246" s="548"/>
      <c r="E246" s="548"/>
      <c r="F246" s="548"/>
      <c r="G246" s="548"/>
      <c r="H246" s="548"/>
      <c r="I246" s="548"/>
      <c r="J246" s="548"/>
      <c r="K246" s="548"/>
      <c r="L246" s="548"/>
    </row>
    <row r="247" spans="1:12" ht="12.75">
      <c r="A247" s="548"/>
      <c r="B247" s="548"/>
      <c r="C247" s="548"/>
      <c r="D247" s="548"/>
      <c r="E247" s="548"/>
      <c r="F247" s="548"/>
      <c r="G247" s="548"/>
      <c r="H247" s="548"/>
      <c r="I247" s="548"/>
      <c r="J247" s="548"/>
      <c r="K247" s="548"/>
      <c r="L247" s="548"/>
    </row>
    <row r="248" spans="1:12" ht="12.75">
      <c r="A248" s="548"/>
      <c r="B248" s="548"/>
      <c r="C248" s="548"/>
      <c r="D248" s="548"/>
      <c r="E248" s="548"/>
      <c r="F248" s="548"/>
      <c r="G248" s="548"/>
      <c r="H248" s="548"/>
      <c r="I248" s="548"/>
      <c r="J248" s="548"/>
      <c r="K248" s="548"/>
      <c r="L248" s="548"/>
    </row>
    <row r="249" spans="1:12" ht="12.75">
      <c r="A249" s="548"/>
      <c r="B249" s="548"/>
      <c r="C249" s="548"/>
      <c r="D249" s="548"/>
      <c r="E249" s="548"/>
      <c r="F249" s="548"/>
      <c r="G249" s="548"/>
      <c r="H249" s="548"/>
      <c r="I249" s="548"/>
      <c r="J249" s="548"/>
      <c r="K249" s="548"/>
      <c r="L249" s="548"/>
    </row>
    <row r="250" spans="1:12" ht="12.75">
      <c r="A250" s="548"/>
      <c r="B250" s="548"/>
      <c r="C250" s="548"/>
      <c r="D250" s="548"/>
      <c r="E250" s="548"/>
      <c r="F250" s="548"/>
      <c r="G250" s="548"/>
      <c r="H250" s="548"/>
      <c r="I250" s="548"/>
      <c r="J250" s="548"/>
      <c r="K250" s="548"/>
      <c r="L250" s="548"/>
    </row>
  </sheetData>
  <mergeCells count="181">
    <mergeCell ref="A145:D145"/>
    <mergeCell ref="E145:F145"/>
    <mergeCell ref="G145:J145"/>
    <mergeCell ref="K145:L145"/>
    <mergeCell ref="E55:E56"/>
    <mergeCell ref="F55:K55"/>
    <mergeCell ref="A55:A56"/>
    <mergeCell ref="B55:B56"/>
    <mergeCell ref="C55:C56"/>
    <mergeCell ref="D55:D56"/>
    <mergeCell ref="B6:D6"/>
    <mergeCell ref="E6:G6"/>
    <mergeCell ref="A2:K2"/>
    <mergeCell ref="H6:J6"/>
    <mergeCell ref="A6:A7"/>
    <mergeCell ref="L37:L38"/>
    <mergeCell ref="L55:L56"/>
    <mergeCell ref="A71:L77"/>
    <mergeCell ref="A21:L29"/>
    <mergeCell ref="A37:A38"/>
    <mergeCell ref="B37:B38"/>
    <mergeCell ref="C37:C38"/>
    <mergeCell ref="D37:D38"/>
    <mergeCell ref="E37:E38"/>
    <mergeCell ref="F37:K37"/>
    <mergeCell ref="A84:B85"/>
    <mergeCell ref="C84:E84"/>
    <mergeCell ref="F84:H85"/>
    <mergeCell ref="I84:K84"/>
    <mergeCell ref="A86:B86"/>
    <mergeCell ref="A87:B87"/>
    <mergeCell ref="F86:H86"/>
    <mergeCell ref="F87:H87"/>
    <mergeCell ref="A88:B88"/>
    <mergeCell ref="A89:B89"/>
    <mergeCell ref="F88:H88"/>
    <mergeCell ref="F89:H89"/>
    <mergeCell ref="A90:B90"/>
    <mergeCell ref="A91:B91"/>
    <mergeCell ref="F90:H90"/>
    <mergeCell ref="F91:H91"/>
    <mergeCell ref="A92:B92"/>
    <mergeCell ref="A93:B93"/>
    <mergeCell ref="F92:H92"/>
    <mergeCell ref="F93:H93"/>
    <mergeCell ref="A94:B94"/>
    <mergeCell ref="A96:B96"/>
    <mergeCell ref="A95:B95"/>
    <mergeCell ref="F94:H94"/>
    <mergeCell ref="F95:H95"/>
    <mergeCell ref="F96:H96"/>
    <mergeCell ref="A98:L104"/>
    <mergeCell ref="A108:B109"/>
    <mergeCell ref="C108:G108"/>
    <mergeCell ref="H108:L108"/>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8:B128"/>
    <mergeCell ref="A130:L136"/>
    <mergeCell ref="A122:B122"/>
    <mergeCell ref="A123:B123"/>
    <mergeCell ref="A124:B124"/>
    <mergeCell ref="A125:B125"/>
    <mergeCell ref="A161:C161"/>
    <mergeCell ref="L84:L85"/>
    <mergeCell ref="D151:D153"/>
    <mergeCell ref="E151:E153"/>
    <mergeCell ref="F151:F153"/>
    <mergeCell ref="G151:G153"/>
    <mergeCell ref="H151:H153"/>
    <mergeCell ref="I151:I153"/>
    <mergeCell ref="A126:B126"/>
    <mergeCell ref="A127:B127"/>
    <mergeCell ref="A157:C157"/>
    <mergeCell ref="A158:C158"/>
    <mergeCell ref="A159:C159"/>
    <mergeCell ref="A160:C160"/>
    <mergeCell ref="A150:C153"/>
    <mergeCell ref="A154:C154"/>
    <mergeCell ref="A155:C155"/>
    <mergeCell ref="A156:C156"/>
    <mergeCell ref="A162:C162"/>
    <mergeCell ref="A163:C163"/>
    <mergeCell ref="A164:C164"/>
    <mergeCell ref="A165:C165"/>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83:C183"/>
    <mergeCell ref="A184:C184"/>
    <mergeCell ref="A185:C185"/>
    <mergeCell ref="A179:C179"/>
    <mergeCell ref="A180:C180"/>
    <mergeCell ref="A181:C181"/>
    <mergeCell ref="A182:C182"/>
    <mergeCell ref="A186:C186"/>
    <mergeCell ref="A187:C187"/>
    <mergeCell ref="A188:C188"/>
    <mergeCell ref="A189:C189"/>
    <mergeCell ref="J150:K152"/>
    <mergeCell ref="A198:F198"/>
    <mergeCell ref="G198:I198"/>
    <mergeCell ref="A194:C194"/>
    <mergeCell ref="A195:C195"/>
    <mergeCell ref="A197:C197"/>
    <mergeCell ref="A190:C190"/>
    <mergeCell ref="A191:C191"/>
    <mergeCell ref="A192:C192"/>
    <mergeCell ref="A193:C193"/>
    <mergeCell ref="G199:I199"/>
    <mergeCell ref="A201:L207"/>
    <mergeCell ref="A211:L218"/>
    <mergeCell ref="G197:I197"/>
    <mergeCell ref="A199:F199"/>
    <mergeCell ref="D197:F197"/>
    <mergeCell ref="A139:D139"/>
    <mergeCell ref="A140:D140"/>
    <mergeCell ref="A141:D141"/>
    <mergeCell ref="A142:D142"/>
    <mergeCell ref="A143:D143"/>
    <mergeCell ref="A144:D144"/>
    <mergeCell ref="A146:D146"/>
    <mergeCell ref="E139:F139"/>
    <mergeCell ref="E140:F140"/>
    <mergeCell ref="E141:F141"/>
    <mergeCell ref="E142:F142"/>
    <mergeCell ref="E143:F143"/>
    <mergeCell ref="E144:F144"/>
    <mergeCell ref="E146:F146"/>
    <mergeCell ref="K146:L146"/>
    <mergeCell ref="K143:L144"/>
    <mergeCell ref="G139:J139"/>
    <mergeCell ref="G140:J140"/>
    <mergeCell ref="G141:J141"/>
    <mergeCell ref="G142:J142"/>
    <mergeCell ref="A30:L34"/>
    <mergeCell ref="B220:F220"/>
    <mergeCell ref="B221:F221"/>
    <mergeCell ref="A221:A223"/>
    <mergeCell ref="G146:J146"/>
    <mergeCell ref="G143:J144"/>
    <mergeCell ref="K139:L139"/>
    <mergeCell ref="K140:L140"/>
    <mergeCell ref="K141:L141"/>
    <mergeCell ref="K142:L142"/>
    <mergeCell ref="B222:F222"/>
    <mergeCell ref="B223:F223"/>
    <mergeCell ref="B226:F226"/>
    <mergeCell ref="B224:F224"/>
    <mergeCell ref="B225:F225"/>
    <mergeCell ref="B227:F227"/>
    <mergeCell ref="A224:A227"/>
    <mergeCell ref="B228:F228"/>
    <mergeCell ref="A232:A234"/>
    <mergeCell ref="B232:F232"/>
    <mergeCell ref="B233:F233"/>
    <mergeCell ref="B234:F234"/>
    <mergeCell ref="A236:L239"/>
    <mergeCell ref="B230:F230"/>
    <mergeCell ref="B229:F229"/>
    <mergeCell ref="B231:F231"/>
    <mergeCell ref="A228:A231"/>
  </mergeCells>
  <printOptions horizontalCentered="1"/>
  <pageMargins left="0.2" right="0.2" top="0.3937007874015748" bottom="0.3937007874015748" header="0.2362204724409449" footer="0.2362204724409449"/>
  <pageSetup horizontalDpi="600" verticalDpi="600" orientation="portrait" paperSize="9" scale="80" r:id="rId2"/>
  <rowBreaks count="1" manualBreakCount="1">
    <brk id="209" max="255" man="1"/>
  </rowBreaks>
  <drawing r:id="rId1"/>
</worksheet>
</file>

<file path=xl/worksheets/sheet8.xml><?xml version="1.0" encoding="utf-8"?>
<worksheet xmlns="http://schemas.openxmlformats.org/spreadsheetml/2006/main" xmlns:r="http://schemas.openxmlformats.org/officeDocument/2006/relationships">
  <dimension ref="A2:L293"/>
  <sheetViews>
    <sheetView workbookViewId="0" topLeftCell="A1">
      <selection activeCell="A1" sqref="A1"/>
    </sheetView>
  </sheetViews>
  <sheetFormatPr defaultColWidth="9.00390625" defaultRowHeight="12.75"/>
  <cols>
    <col min="1" max="1" width="10.625" style="0" customWidth="1"/>
    <col min="2" max="11" width="10.75390625" style="0" customWidth="1"/>
    <col min="12" max="12" width="10.00390625" style="0" customWidth="1"/>
  </cols>
  <sheetData>
    <row r="2" spans="1:11" ht="18">
      <c r="A2" s="944" t="s">
        <v>66</v>
      </c>
      <c r="B2" s="945"/>
      <c r="C2" s="945"/>
      <c r="D2" s="945"/>
      <c r="E2" s="945"/>
      <c r="F2" s="945"/>
      <c r="G2" s="945"/>
      <c r="H2" s="945"/>
      <c r="I2" s="945"/>
      <c r="J2" s="945"/>
      <c r="K2" s="945"/>
    </row>
    <row r="3" ht="15.75">
      <c r="A3" s="29"/>
    </row>
    <row r="4" ht="15.75">
      <c r="A4" s="29"/>
    </row>
    <row r="5" spans="1:10" ht="17.25" customHeight="1" thickBot="1">
      <c r="A5" s="95" t="s">
        <v>61</v>
      </c>
      <c r="J5" s="558" t="s">
        <v>274</v>
      </c>
    </row>
    <row r="6" spans="1:10" ht="12.75" customHeight="1" thickBot="1">
      <c r="A6" s="679" t="s">
        <v>39</v>
      </c>
      <c r="B6" s="920" t="s">
        <v>3</v>
      </c>
      <c r="C6" s="920"/>
      <c r="D6" s="936"/>
      <c r="E6" s="919" t="s">
        <v>4</v>
      </c>
      <c r="F6" s="706"/>
      <c r="G6" s="707"/>
      <c r="H6" s="919" t="s">
        <v>24</v>
      </c>
      <c r="I6" s="920"/>
      <c r="J6" s="921"/>
    </row>
    <row r="7" spans="1:10" ht="13.5" thickBot="1">
      <c r="A7" s="680"/>
      <c r="B7" s="86">
        <v>2003</v>
      </c>
      <c r="C7" s="10">
        <v>2004</v>
      </c>
      <c r="D7" s="94" t="s">
        <v>1</v>
      </c>
      <c r="E7" s="1">
        <v>2003</v>
      </c>
      <c r="F7" s="10">
        <v>2004</v>
      </c>
      <c r="G7" s="94" t="s">
        <v>1</v>
      </c>
      <c r="H7" s="1">
        <v>2003</v>
      </c>
      <c r="I7" s="10">
        <v>2004</v>
      </c>
      <c r="J7" s="94" t="s">
        <v>1</v>
      </c>
    </row>
    <row r="8" spans="1:10" ht="12.75">
      <c r="A8" s="53" t="s">
        <v>40</v>
      </c>
      <c r="B8" s="13">
        <v>36875</v>
      </c>
      <c r="C8" s="82">
        <v>36335</v>
      </c>
      <c r="D8" s="96">
        <f aca="true" t="shared" si="0" ref="D8:D19">+C8-B8</f>
        <v>-540</v>
      </c>
      <c r="E8" s="91">
        <v>30351</v>
      </c>
      <c r="F8" s="14">
        <v>30338</v>
      </c>
      <c r="G8" s="96">
        <f aca="true" t="shared" si="1" ref="G8:G19">+F8-E8</f>
        <v>-13</v>
      </c>
      <c r="H8" s="2">
        <f aca="true" t="shared" si="2" ref="H8:H19">+E8-B8</f>
        <v>-6524</v>
      </c>
      <c r="I8" s="11">
        <f aca="true" t="shared" si="3" ref="I8:I19">+F8-C8</f>
        <v>-5997</v>
      </c>
      <c r="J8" s="96">
        <f aca="true" t="shared" si="4" ref="J8:J19">+I8-H8</f>
        <v>527</v>
      </c>
    </row>
    <row r="9" spans="1:10" ht="12.75">
      <c r="A9" s="55" t="s">
        <v>41</v>
      </c>
      <c r="B9" s="4">
        <v>67009</v>
      </c>
      <c r="C9" s="12">
        <v>68293</v>
      </c>
      <c r="D9" s="16">
        <f t="shared" si="0"/>
        <v>1284</v>
      </c>
      <c r="E9" s="27">
        <v>62564</v>
      </c>
      <c r="F9" s="5">
        <v>62719</v>
      </c>
      <c r="G9" s="16">
        <f t="shared" si="1"/>
        <v>155</v>
      </c>
      <c r="H9" s="2">
        <f t="shared" si="2"/>
        <v>-4445</v>
      </c>
      <c r="I9" s="11">
        <f t="shared" si="3"/>
        <v>-5574</v>
      </c>
      <c r="J9" s="16">
        <f t="shared" si="4"/>
        <v>-1129</v>
      </c>
    </row>
    <row r="10" spans="1:10" ht="12.75">
      <c r="A10" s="55" t="s">
        <v>42</v>
      </c>
      <c r="B10" s="4">
        <v>99151</v>
      </c>
      <c r="C10" s="12">
        <v>101120</v>
      </c>
      <c r="D10" s="16">
        <f t="shared" si="0"/>
        <v>1969</v>
      </c>
      <c r="E10" s="27">
        <v>94805</v>
      </c>
      <c r="F10" s="5">
        <v>99867</v>
      </c>
      <c r="G10" s="16">
        <f t="shared" si="1"/>
        <v>5062</v>
      </c>
      <c r="H10" s="2">
        <f t="shared" si="2"/>
        <v>-4346</v>
      </c>
      <c r="I10" s="11">
        <f t="shared" si="3"/>
        <v>-1253</v>
      </c>
      <c r="J10" s="16">
        <f t="shared" si="4"/>
        <v>3093</v>
      </c>
    </row>
    <row r="11" spans="1:10" ht="12.75">
      <c r="A11" s="55" t="s">
        <v>43</v>
      </c>
      <c r="B11" s="4">
        <v>131362</v>
      </c>
      <c r="C11" s="12">
        <v>135283</v>
      </c>
      <c r="D11" s="16">
        <f t="shared" si="0"/>
        <v>3921</v>
      </c>
      <c r="E11" s="27">
        <v>124775</v>
      </c>
      <c r="F11" s="5">
        <v>134936</v>
      </c>
      <c r="G11" s="16">
        <f t="shared" si="1"/>
        <v>10161</v>
      </c>
      <c r="H11" s="2">
        <f t="shared" si="2"/>
        <v>-6587</v>
      </c>
      <c r="I11" s="11">
        <f t="shared" si="3"/>
        <v>-347</v>
      </c>
      <c r="J11" s="16">
        <f t="shared" si="4"/>
        <v>6240</v>
      </c>
    </row>
    <row r="12" spans="1:10" ht="12.75">
      <c r="A12" s="55" t="s">
        <v>44</v>
      </c>
      <c r="B12" s="4">
        <v>169542</v>
      </c>
      <c r="C12" s="12">
        <v>167812</v>
      </c>
      <c r="D12" s="16">
        <f t="shared" si="0"/>
        <v>-1730</v>
      </c>
      <c r="E12" s="27">
        <v>157858</v>
      </c>
      <c r="F12" s="5">
        <v>169510</v>
      </c>
      <c r="G12" s="16">
        <f t="shared" si="1"/>
        <v>11652</v>
      </c>
      <c r="H12" s="2">
        <f t="shared" si="2"/>
        <v>-11684</v>
      </c>
      <c r="I12" s="11">
        <f t="shared" si="3"/>
        <v>1698</v>
      </c>
      <c r="J12" s="16">
        <f t="shared" si="4"/>
        <v>13382</v>
      </c>
    </row>
    <row r="13" spans="1:10" ht="12.75">
      <c r="A13" s="55" t="s">
        <v>45</v>
      </c>
      <c r="B13" s="9">
        <v>200786</v>
      </c>
      <c r="C13" s="83">
        <v>200842</v>
      </c>
      <c r="D13" s="16">
        <f t="shared" si="0"/>
        <v>56</v>
      </c>
      <c r="E13" s="44">
        <v>191550</v>
      </c>
      <c r="F13" s="45">
        <v>210749</v>
      </c>
      <c r="G13" s="16">
        <f t="shared" si="1"/>
        <v>19199</v>
      </c>
      <c r="H13" s="2">
        <f t="shared" si="2"/>
        <v>-9236</v>
      </c>
      <c r="I13" s="11">
        <f t="shared" si="3"/>
        <v>9907</v>
      </c>
      <c r="J13" s="16">
        <f t="shared" si="4"/>
        <v>19143</v>
      </c>
    </row>
    <row r="14" spans="1:10" ht="12.75">
      <c r="A14" s="55" t="s">
        <v>46</v>
      </c>
      <c r="B14" s="8">
        <v>230948</v>
      </c>
      <c r="C14" s="84">
        <v>232448</v>
      </c>
      <c r="D14" s="16">
        <f t="shared" si="0"/>
        <v>1500</v>
      </c>
      <c r="E14" s="42">
        <v>221507</v>
      </c>
      <c r="F14" s="43">
        <v>238381</v>
      </c>
      <c r="G14" s="16">
        <f t="shared" si="1"/>
        <v>16874</v>
      </c>
      <c r="H14" s="2">
        <f t="shared" si="2"/>
        <v>-9441</v>
      </c>
      <c r="I14" s="11">
        <f t="shared" si="3"/>
        <v>5933</v>
      </c>
      <c r="J14" s="16">
        <f t="shared" si="4"/>
        <v>15374</v>
      </c>
    </row>
    <row r="15" spans="1:10" ht="12.75">
      <c r="A15" s="55" t="s">
        <v>47</v>
      </c>
      <c r="B15" s="8">
        <v>258229</v>
      </c>
      <c r="C15" s="84">
        <v>261948</v>
      </c>
      <c r="D15" s="16">
        <f t="shared" si="0"/>
        <v>3719</v>
      </c>
      <c r="E15" s="42">
        <v>247782</v>
      </c>
      <c r="F15" s="43">
        <v>265712</v>
      </c>
      <c r="G15" s="16">
        <f t="shared" si="1"/>
        <v>17930</v>
      </c>
      <c r="H15" s="4">
        <f t="shared" si="2"/>
        <v>-10447</v>
      </c>
      <c r="I15" s="12">
        <f t="shared" si="3"/>
        <v>3764</v>
      </c>
      <c r="J15" s="16">
        <f t="shared" si="4"/>
        <v>14211</v>
      </c>
    </row>
    <row r="16" spans="1:10" ht="12.75">
      <c r="A16" s="55" t="s">
        <v>48</v>
      </c>
      <c r="B16" s="4">
        <v>288576</v>
      </c>
      <c r="C16" s="12">
        <v>293234</v>
      </c>
      <c r="D16" s="16">
        <f t="shared" si="0"/>
        <v>4658</v>
      </c>
      <c r="E16" s="27">
        <v>278409</v>
      </c>
      <c r="F16" s="5">
        <v>295292</v>
      </c>
      <c r="G16" s="16">
        <f t="shared" si="1"/>
        <v>16883</v>
      </c>
      <c r="H16" s="2">
        <f t="shared" si="2"/>
        <v>-10167</v>
      </c>
      <c r="I16" s="11">
        <f t="shared" si="3"/>
        <v>2058</v>
      </c>
      <c r="J16" s="16">
        <f t="shared" si="4"/>
        <v>12225</v>
      </c>
    </row>
    <row r="17" spans="1:10" ht="12.75">
      <c r="A17" s="57" t="s">
        <v>49</v>
      </c>
      <c r="B17" s="8">
        <v>318925</v>
      </c>
      <c r="C17" s="84">
        <v>327243</v>
      </c>
      <c r="D17" s="16">
        <f t="shared" si="0"/>
        <v>8318</v>
      </c>
      <c r="E17" s="42">
        <v>311285</v>
      </c>
      <c r="F17" s="43">
        <v>323544</v>
      </c>
      <c r="G17" s="16">
        <f t="shared" si="1"/>
        <v>12259</v>
      </c>
      <c r="H17" s="4">
        <f t="shared" si="2"/>
        <v>-7640</v>
      </c>
      <c r="I17" s="12">
        <f t="shared" si="3"/>
        <v>-3699</v>
      </c>
      <c r="J17" s="16">
        <f t="shared" si="4"/>
        <v>3941</v>
      </c>
    </row>
    <row r="18" spans="1:10" ht="12.75">
      <c r="A18" s="55" t="s">
        <v>50</v>
      </c>
      <c r="B18" s="8">
        <v>352774</v>
      </c>
      <c r="C18" s="84">
        <v>362794</v>
      </c>
      <c r="D18" s="16">
        <f t="shared" si="0"/>
        <v>10020</v>
      </c>
      <c r="E18" s="42">
        <v>339922</v>
      </c>
      <c r="F18" s="43">
        <v>356646</v>
      </c>
      <c r="G18" s="16">
        <f t="shared" si="1"/>
        <v>16724</v>
      </c>
      <c r="H18" s="4">
        <f t="shared" si="2"/>
        <v>-12852</v>
      </c>
      <c r="I18" s="12">
        <f t="shared" si="3"/>
        <v>-6148</v>
      </c>
      <c r="J18" s="16">
        <f t="shared" si="4"/>
        <v>6704</v>
      </c>
    </row>
    <row r="19" spans="1:10" ht="13.5" thickBot="1">
      <c r="A19" s="59" t="s">
        <v>51</v>
      </c>
      <c r="B19" s="6">
        <f>383925+6040.01+46.28-1493.35</f>
        <v>388517.94000000006</v>
      </c>
      <c r="C19" s="85">
        <f>388000.91+1881.02+88.84</f>
        <v>389970.77</v>
      </c>
      <c r="D19" s="17">
        <f t="shared" si="0"/>
        <v>1452.829999999958</v>
      </c>
      <c r="E19" s="31">
        <f>387589.48+1330.58</f>
        <v>388920.06</v>
      </c>
      <c r="F19" s="7">
        <f>389069.53+972.23</f>
        <v>390041.76</v>
      </c>
      <c r="G19" s="17">
        <f t="shared" si="1"/>
        <v>1121.7000000000116</v>
      </c>
      <c r="H19" s="6">
        <f t="shared" si="2"/>
        <v>402.11999999993714</v>
      </c>
      <c r="I19" s="85">
        <f t="shared" si="3"/>
        <v>70.98999999999069</v>
      </c>
      <c r="J19" s="17">
        <f t="shared" si="4"/>
        <v>-331.12999999994645</v>
      </c>
    </row>
    <row r="21" spans="1:12" ht="12.75" customHeight="1">
      <c r="A21" s="668" t="s">
        <v>290</v>
      </c>
      <c r="B21" s="1097"/>
      <c r="C21" s="1097"/>
      <c r="D21" s="1097"/>
      <c r="E21" s="1097"/>
      <c r="F21" s="1097"/>
      <c r="G21" s="1097"/>
      <c r="H21" s="1097"/>
      <c r="I21" s="1097"/>
      <c r="J21" s="1097"/>
      <c r="K21" s="1097"/>
      <c r="L21" s="1098"/>
    </row>
    <row r="22" spans="1:12" ht="12.75">
      <c r="A22" s="1099"/>
      <c r="B22" s="1100"/>
      <c r="C22" s="1100"/>
      <c r="D22" s="1100"/>
      <c r="E22" s="1100"/>
      <c r="F22" s="1100"/>
      <c r="G22" s="1100"/>
      <c r="H22" s="1100"/>
      <c r="I22" s="1100"/>
      <c r="J22" s="1100"/>
      <c r="K22" s="1100"/>
      <c r="L22" s="1101"/>
    </row>
    <row r="23" spans="1:12" ht="12.75">
      <c r="A23" s="1099"/>
      <c r="B23" s="1100"/>
      <c r="C23" s="1100"/>
      <c r="D23" s="1100"/>
      <c r="E23" s="1100"/>
      <c r="F23" s="1100"/>
      <c r="G23" s="1100"/>
      <c r="H23" s="1100"/>
      <c r="I23" s="1100"/>
      <c r="J23" s="1100"/>
      <c r="K23" s="1100"/>
      <c r="L23" s="1101"/>
    </row>
    <row r="24" spans="1:12" ht="12.75">
      <c r="A24" s="1117"/>
      <c r="B24" s="1118"/>
      <c r="C24" s="1118"/>
      <c r="D24" s="1118"/>
      <c r="E24" s="1118"/>
      <c r="F24" s="1118"/>
      <c r="G24" s="1118"/>
      <c r="H24" s="1118"/>
      <c r="I24" s="1118"/>
      <c r="J24" s="1118"/>
      <c r="K24" s="1118"/>
      <c r="L24" s="1119"/>
    </row>
    <row r="25" spans="1:11" ht="12.75">
      <c r="A25" s="76"/>
      <c r="B25" s="76"/>
      <c r="C25" s="76"/>
      <c r="D25" s="76"/>
      <c r="E25" s="76"/>
      <c r="F25" s="76"/>
      <c r="G25" s="76"/>
      <c r="H25" s="76"/>
      <c r="I25" s="76"/>
      <c r="J25" s="76"/>
      <c r="K25" s="76"/>
    </row>
    <row r="26" ht="16.5" thickBot="1">
      <c r="A26" s="29" t="s">
        <v>62</v>
      </c>
    </row>
    <row r="27" spans="1:12" ht="12.75">
      <c r="A27" s="985" t="s">
        <v>35</v>
      </c>
      <c r="B27" s="1102" t="s">
        <v>36</v>
      </c>
      <c r="C27" s="934" t="s">
        <v>37</v>
      </c>
      <c r="D27" s="934" t="s">
        <v>38</v>
      </c>
      <c r="E27" s="922" t="s">
        <v>11</v>
      </c>
      <c r="F27" s="942" t="s">
        <v>52</v>
      </c>
      <c r="G27" s="685"/>
      <c r="H27" s="685"/>
      <c r="I27" s="685"/>
      <c r="J27" s="685"/>
      <c r="K27" s="943"/>
      <c r="L27" s="924" t="s">
        <v>69</v>
      </c>
    </row>
    <row r="28" spans="1:12" s="39" customFormat="1" ht="13.5" thickBot="1">
      <c r="A28" s="986"/>
      <c r="B28" s="1103"/>
      <c r="C28" s="1104" t="s">
        <v>37</v>
      </c>
      <c r="D28" s="1104" t="s">
        <v>38</v>
      </c>
      <c r="E28" s="1105" t="s">
        <v>11</v>
      </c>
      <c r="F28" s="103" t="s">
        <v>53</v>
      </c>
      <c r="G28" s="103" t="s">
        <v>54</v>
      </c>
      <c r="H28" s="103" t="s">
        <v>55</v>
      </c>
      <c r="I28" s="103" t="s">
        <v>56</v>
      </c>
      <c r="J28" s="103" t="s">
        <v>57</v>
      </c>
      <c r="K28" s="90" t="s">
        <v>11</v>
      </c>
      <c r="L28" s="925"/>
    </row>
    <row r="29" spans="1:12" ht="13.5" thickBot="1">
      <c r="A29" s="105">
        <v>37986</v>
      </c>
      <c r="B29" s="99">
        <v>18973.85</v>
      </c>
      <c r="C29" s="99">
        <v>0</v>
      </c>
      <c r="D29" s="99">
        <v>119.18</v>
      </c>
      <c r="E29" s="52">
        <f aca="true" t="shared" si="5" ref="E29:E41">SUM(B29:D29)</f>
        <v>19093.03</v>
      </c>
      <c r="F29" s="98">
        <v>9123.7</v>
      </c>
      <c r="G29" s="99">
        <v>150.79</v>
      </c>
      <c r="H29" s="99">
        <v>152.55</v>
      </c>
      <c r="I29" s="99"/>
      <c r="J29" s="99"/>
      <c r="K29" s="108">
        <f aca="true" t="shared" si="6" ref="K29:K41">SUM(F29:J29)</f>
        <v>9427.04</v>
      </c>
      <c r="L29" s="139">
        <v>7532</v>
      </c>
    </row>
    <row r="30" spans="1:12" ht="12.75">
      <c r="A30" s="53">
        <v>38017</v>
      </c>
      <c r="B30" s="54">
        <v>18596</v>
      </c>
      <c r="C30" s="48">
        <v>0</v>
      </c>
      <c r="D30" s="48">
        <v>127</v>
      </c>
      <c r="E30" s="106">
        <f t="shared" si="5"/>
        <v>18723</v>
      </c>
      <c r="F30" s="62">
        <v>8223</v>
      </c>
      <c r="G30" s="49">
        <v>1156</v>
      </c>
      <c r="H30" s="49"/>
      <c r="I30" s="49"/>
      <c r="J30" s="49"/>
      <c r="K30" s="109">
        <f t="shared" si="6"/>
        <v>9379</v>
      </c>
      <c r="L30" s="132"/>
    </row>
    <row r="31" spans="1:12" ht="12.75">
      <c r="A31" s="55">
        <v>38046</v>
      </c>
      <c r="B31" s="56">
        <v>18625</v>
      </c>
      <c r="C31" s="49">
        <v>0</v>
      </c>
      <c r="D31" s="49">
        <v>186</v>
      </c>
      <c r="E31" s="106">
        <f t="shared" si="5"/>
        <v>18811</v>
      </c>
      <c r="F31" s="62">
        <v>8628</v>
      </c>
      <c r="G31" s="49">
        <v>318</v>
      </c>
      <c r="H31" s="49"/>
      <c r="I31" s="49"/>
      <c r="J31" s="49"/>
      <c r="K31" s="110">
        <f t="shared" si="6"/>
        <v>8946</v>
      </c>
      <c r="L31" s="130"/>
    </row>
    <row r="32" spans="1:12" ht="12.75">
      <c r="A32" s="55">
        <v>38077</v>
      </c>
      <c r="B32" s="56">
        <v>19154</v>
      </c>
      <c r="C32" s="49">
        <v>0</v>
      </c>
      <c r="D32" s="49">
        <v>104</v>
      </c>
      <c r="E32" s="106">
        <f t="shared" si="5"/>
        <v>19258</v>
      </c>
      <c r="F32" s="62">
        <v>7708</v>
      </c>
      <c r="G32" s="49">
        <v>122</v>
      </c>
      <c r="H32" s="49"/>
      <c r="I32" s="49"/>
      <c r="J32" s="49"/>
      <c r="K32" s="110">
        <f t="shared" si="6"/>
        <v>7830</v>
      </c>
      <c r="L32" s="136">
        <v>12700</v>
      </c>
    </row>
    <row r="33" spans="1:12" ht="12.75">
      <c r="A33" s="55">
        <v>38107</v>
      </c>
      <c r="B33" s="56">
        <v>21549</v>
      </c>
      <c r="C33" s="49">
        <v>0</v>
      </c>
      <c r="D33" s="49">
        <v>86</v>
      </c>
      <c r="E33" s="106">
        <f t="shared" si="5"/>
        <v>21635</v>
      </c>
      <c r="F33" s="62">
        <v>6804</v>
      </c>
      <c r="G33" s="49">
        <v>526</v>
      </c>
      <c r="H33" s="49"/>
      <c r="I33" s="49"/>
      <c r="J33" s="49"/>
      <c r="K33" s="110">
        <f t="shared" si="6"/>
        <v>7330</v>
      </c>
      <c r="L33" s="130"/>
    </row>
    <row r="34" spans="1:12" ht="12.75">
      <c r="A34" s="55">
        <v>38138</v>
      </c>
      <c r="B34" s="56">
        <v>20678</v>
      </c>
      <c r="C34" s="49">
        <v>0</v>
      </c>
      <c r="D34" s="49">
        <v>71</v>
      </c>
      <c r="E34" s="106">
        <f t="shared" si="5"/>
        <v>20749</v>
      </c>
      <c r="F34" s="62">
        <v>7985</v>
      </c>
      <c r="G34" s="49">
        <v>436</v>
      </c>
      <c r="H34" s="49"/>
      <c r="I34" s="49"/>
      <c r="J34" s="49"/>
      <c r="K34" s="110">
        <f t="shared" si="6"/>
        <v>8421</v>
      </c>
      <c r="L34" s="130"/>
    </row>
    <row r="35" spans="1:12" ht="12.75">
      <c r="A35" s="55">
        <v>38168</v>
      </c>
      <c r="B35" s="49">
        <v>18441</v>
      </c>
      <c r="C35" s="49">
        <v>0</v>
      </c>
      <c r="D35" s="49">
        <v>69</v>
      </c>
      <c r="E35" s="106">
        <f t="shared" si="5"/>
        <v>18510</v>
      </c>
      <c r="F35" s="62">
        <v>6947</v>
      </c>
      <c r="G35" s="49">
        <v>237</v>
      </c>
      <c r="H35" s="49"/>
      <c r="I35" s="49"/>
      <c r="J35" s="49"/>
      <c r="K35" s="110">
        <f t="shared" si="6"/>
        <v>7184</v>
      </c>
      <c r="L35" s="130"/>
    </row>
    <row r="36" spans="1:12" ht="12.75">
      <c r="A36" s="55">
        <v>38199</v>
      </c>
      <c r="B36" s="48">
        <v>18441</v>
      </c>
      <c r="C36" s="48">
        <v>0</v>
      </c>
      <c r="D36" s="48">
        <v>69</v>
      </c>
      <c r="E36" s="106">
        <f t="shared" si="5"/>
        <v>18510</v>
      </c>
      <c r="F36" s="56">
        <v>6132</v>
      </c>
      <c r="G36" s="49">
        <v>492</v>
      </c>
      <c r="H36" s="49"/>
      <c r="I36" s="49"/>
      <c r="J36" s="49"/>
      <c r="K36" s="110">
        <f t="shared" si="6"/>
        <v>6624</v>
      </c>
      <c r="L36" s="130"/>
    </row>
    <row r="37" spans="1:12" ht="12.75">
      <c r="A37" s="55">
        <v>38230</v>
      </c>
      <c r="B37" s="56">
        <v>17394</v>
      </c>
      <c r="C37" s="49">
        <v>0</v>
      </c>
      <c r="D37" s="49">
        <v>58</v>
      </c>
      <c r="E37" s="106">
        <f t="shared" si="5"/>
        <v>17452</v>
      </c>
      <c r="F37" s="56">
        <v>5457</v>
      </c>
      <c r="G37" s="49">
        <v>222</v>
      </c>
      <c r="H37" s="49"/>
      <c r="I37" s="49"/>
      <c r="J37" s="49"/>
      <c r="K37" s="110">
        <f t="shared" si="6"/>
        <v>5679</v>
      </c>
      <c r="L37" s="130"/>
    </row>
    <row r="38" spans="1:12" ht="12.75">
      <c r="A38" s="55">
        <v>38260</v>
      </c>
      <c r="B38" s="56">
        <v>20301</v>
      </c>
      <c r="C38" s="49">
        <v>0</v>
      </c>
      <c r="D38" s="49">
        <v>231</v>
      </c>
      <c r="E38" s="106">
        <f t="shared" si="5"/>
        <v>20532</v>
      </c>
      <c r="F38" s="56">
        <v>5632</v>
      </c>
      <c r="G38" s="49">
        <v>190</v>
      </c>
      <c r="H38" s="49"/>
      <c r="I38" s="49"/>
      <c r="J38" s="49"/>
      <c r="K38" s="110">
        <f t="shared" si="6"/>
        <v>5822</v>
      </c>
      <c r="L38" s="130"/>
    </row>
    <row r="39" spans="1:12" ht="12.75">
      <c r="A39" s="57">
        <v>38291</v>
      </c>
      <c r="B39" s="58">
        <v>23061</v>
      </c>
      <c r="C39" s="50">
        <v>0</v>
      </c>
      <c r="D39" s="50">
        <v>279</v>
      </c>
      <c r="E39" s="106">
        <f t="shared" si="5"/>
        <v>23340</v>
      </c>
      <c r="F39" s="58">
        <v>7301</v>
      </c>
      <c r="G39" s="50">
        <v>510</v>
      </c>
      <c r="H39" s="50"/>
      <c r="I39" s="50"/>
      <c r="J39" s="50"/>
      <c r="K39" s="110">
        <f t="shared" si="6"/>
        <v>7811</v>
      </c>
      <c r="L39" s="130"/>
    </row>
    <row r="40" spans="1:12" ht="12.75">
      <c r="A40" s="55">
        <v>38321</v>
      </c>
      <c r="B40" s="56">
        <v>23574</v>
      </c>
      <c r="C40" s="49">
        <v>0</v>
      </c>
      <c r="D40" s="49">
        <v>266</v>
      </c>
      <c r="E40" s="106">
        <f t="shared" si="5"/>
        <v>23840</v>
      </c>
      <c r="F40" s="62">
        <v>6956</v>
      </c>
      <c r="G40" s="49">
        <v>139</v>
      </c>
      <c r="H40" s="49"/>
      <c r="I40" s="49"/>
      <c r="J40" s="49"/>
      <c r="K40" s="110">
        <f t="shared" si="6"/>
        <v>7095</v>
      </c>
      <c r="L40" s="130"/>
    </row>
    <row r="41" spans="1:12" ht="13.5" thickBot="1">
      <c r="A41" s="59">
        <v>38352</v>
      </c>
      <c r="B41" s="60">
        <v>14614.86</v>
      </c>
      <c r="C41" s="61">
        <v>0</v>
      </c>
      <c r="D41" s="61">
        <v>265.56</v>
      </c>
      <c r="E41" s="107">
        <f t="shared" si="5"/>
        <v>14880.42</v>
      </c>
      <c r="F41" s="60">
        <v>6813</v>
      </c>
      <c r="G41" s="61">
        <v>111.18</v>
      </c>
      <c r="H41" s="61">
        <v>-6.93</v>
      </c>
      <c r="I41" s="61">
        <v>6.64</v>
      </c>
      <c r="J41" s="61">
        <v>-0.9</v>
      </c>
      <c r="K41" s="111">
        <f t="shared" si="6"/>
        <v>6922.990000000001</v>
      </c>
      <c r="L41" s="131"/>
    </row>
    <row r="42" spans="1:12" ht="12.75">
      <c r="A42" s="137" t="s">
        <v>70</v>
      </c>
      <c r="B42" s="78"/>
      <c r="C42" s="78"/>
      <c r="D42" s="78"/>
      <c r="E42" s="79"/>
      <c r="F42" s="78"/>
      <c r="G42" s="78"/>
      <c r="H42" s="78"/>
      <c r="I42" s="78"/>
      <c r="J42" s="78"/>
      <c r="K42" s="78"/>
      <c r="L42" s="135"/>
    </row>
    <row r="43" spans="1:11" ht="12.75">
      <c r="A43" s="77"/>
      <c r="B43" s="78"/>
      <c r="C43" s="78"/>
      <c r="D43" s="78"/>
      <c r="E43" s="79"/>
      <c r="F43" s="78"/>
      <c r="G43" s="78"/>
      <c r="H43" s="78"/>
      <c r="I43" s="78"/>
      <c r="J43" s="78"/>
      <c r="K43" s="78"/>
    </row>
    <row r="44" ht="16.5" thickBot="1">
      <c r="A44" s="29" t="s">
        <v>63</v>
      </c>
    </row>
    <row r="45" spans="1:12" ht="22.5" customHeight="1" thickBot="1">
      <c r="A45" s="985" t="s">
        <v>35</v>
      </c>
      <c r="B45" s="1102" t="s">
        <v>58</v>
      </c>
      <c r="C45" s="934" t="s">
        <v>59</v>
      </c>
      <c r="D45" s="934" t="s">
        <v>60</v>
      </c>
      <c r="E45" s="922" t="s">
        <v>11</v>
      </c>
      <c r="F45" s="1120" t="s">
        <v>52</v>
      </c>
      <c r="G45" s="1121"/>
      <c r="H45" s="1121"/>
      <c r="I45" s="1121"/>
      <c r="J45" s="1121"/>
      <c r="K45" s="1121"/>
      <c r="L45" s="679" t="s">
        <v>270</v>
      </c>
    </row>
    <row r="46" spans="1:12" ht="33" customHeight="1" thickBot="1">
      <c r="A46" s="986"/>
      <c r="B46" s="1106"/>
      <c r="C46" s="935" t="s">
        <v>37</v>
      </c>
      <c r="D46" s="935" t="s">
        <v>38</v>
      </c>
      <c r="E46" s="923" t="s">
        <v>11</v>
      </c>
      <c r="F46" s="428" t="s">
        <v>53</v>
      </c>
      <c r="G46" s="429" t="s">
        <v>54</v>
      </c>
      <c r="H46" s="429" t="s">
        <v>55</v>
      </c>
      <c r="I46" s="429" t="s">
        <v>56</v>
      </c>
      <c r="J46" s="429" t="s">
        <v>57</v>
      </c>
      <c r="K46" s="543" t="s">
        <v>11</v>
      </c>
      <c r="L46" s="941"/>
    </row>
    <row r="47" spans="1:12" ht="13.5" thickBot="1">
      <c r="A47" s="105">
        <v>37986</v>
      </c>
      <c r="B47" s="233">
        <v>40603</v>
      </c>
      <c r="C47" s="234">
        <v>204</v>
      </c>
      <c r="D47" s="234">
        <v>1193</v>
      </c>
      <c r="E47" s="52">
        <f aca="true" t="shared" si="7" ref="E47:E59">SUM(B47:D47)</f>
        <v>42000</v>
      </c>
      <c r="F47" s="235">
        <v>1742</v>
      </c>
      <c r="G47" s="236">
        <v>62</v>
      </c>
      <c r="H47" s="236">
        <v>52</v>
      </c>
      <c r="I47" s="236">
        <v>151</v>
      </c>
      <c r="J47" s="236">
        <v>687</v>
      </c>
      <c r="K47" s="542">
        <f aca="true" t="shared" si="8" ref="K47:K59">SUM(F47:J47)</f>
        <v>2694</v>
      </c>
      <c r="L47" s="139">
        <f>+E47-E29</f>
        <v>22906.97</v>
      </c>
    </row>
    <row r="48" spans="1:12" ht="12.75">
      <c r="A48" s="53">
        <v>38017</v>
      </c>
      <c r="B48" s="54">
        <v>43122</v>
      </c>
      <c r="C48" s="48">
        <v>192</v>
      </c>
      <c r="D48" s="48">
        <v>1032</v>
      </c>
      <c r="E48" s="106">
        <f t="shared" si="7"/>
        <v>44346</v>
      </c>
      <c r="F48" s="70">
        <v>3641</v>
      </c>
      <c r="G48" s="48">
        <v>138</v>
      </c>
      <c r="H48" s="48">
        <v>47</v>
      </c>
      <c r="I48" s="48">
        <v>170</v>
      </c>
      <c r="J48" s="48">
        <v>683</v>
      </c>
      <c r="K48" s="127">
        <f t="shared" si="8"/>
        <v>4679</v>
      </c>
      <c r="L48" s="545">
        <f aca="true" t="shared" si="9" ref="L48:L59">+E48-E30</f>
        <v>25623</v>
      </c>
    </row>
    <row r="49" spans="1:12" ht="12.75">
      <c r="A49" s="55">
        <v>38046</v>
      </c>
      <c r="B49" s="56">
        <v>54344</v>
      </c>
      <c r="C49" s="49">
        <v>191</v>
      </c>
      <c r="D49" s="49">
        <v>899</v>
      </c>
      <c r="E49" s="106">
        <f t="shared" si="7"/>
        <v>55434</v>
      </c>
      <c r="F49" s="62">
        <v>1290</v>
      </c>
      <c r="G49" s="49">
        <v>54</v>
      </c>
      <c r="H49" s="49">
        <v>49</v>
      </c>
      <c r="I49" s="49">
        <v>115</v>
      </c>
      <c r="J49" s="49">
        <v>744</v>
      </c>
      <c r="K49" s="128">
        <f t="shared" si="8"/>
        <v>2252</v>
      </c>
      <c r="L49" s="136">
        <f t="shared" si="9"/>
        <v>36623</v>
      </c>
    </row>
    <row r="50" spans="1:12" ht="12.75">
      <c r="A50" s="55">
        <v>38077</v>
      </c>
      <c r="B50" s="56">
        <v>45030</v>
      </c>
      <c r="C50" s="49">
        <v>195</v>
      </c>
      <c r="D50" s="49">
        <v>803</v>
      </c>
      <c r="E50" s="106">
        <f t="shared" si="7"/>
        <v>46028</v>
      </c>
      <c r="F50" s="62">
        <v>3197</v>
      </c>
      <c r="G50" s="49">
        <v>2</v>
      </c>
      <c r="H50" s="49">
        <v>4</v>
      </c>
      <c r="I50" s="49">
        <v>9</v>
      </c>
      <c r="J50" s="49">
        <v>705</v>
      </c>
      <c r="K50" s="128">
        <f t="shared" si="8"/>
        <v>3917</v>
      </c>
      <c r="L50" s="136">
        <f t="shared" si="9"/>
        <v>26770</v>
      </c>
    </row>
    <row r="51" spans="1:12" ht="12.75">
      <c r="A51" s="55">
        <v>38107</v>
      </c>
      <c r="B51" s="56">
        <v>48611</v>
      </c>
      <c r="C51" s="49">
        <v>228</v>
      </c>
      <c r="D51" s="49">
        <v>756</v>
      </c>
      <c r="E51" s="106">
        <f t="shared" si="7"/>
        <v>49595</v>
      </c>
      <c r="F51" s="62">
        <v>3911</v>
      </c>
      <c r="G51" s="49">
        <v>11</v>
      </c>
      <c r="H51" s="49">
        <v>1</v>
      </c>
      <c r="I51" s="49">
        <v>10</v>
      </c>
      <c r="J51" s="49">
        <v>708</v>
      </c>
      <c r="K51" s="128">
        <f t="shared" si="8"/>
        <v>4641</v>
      </c>
      <c r="L51" s="136">
        <f t="shared" si="9"/>
        <v>27960</v>
      </c>
    </row>
    <row r="52" spans="1:12" ht="12.75">
      <c r="A52" s="55">
        <v>38138</v>
      </c>
      <c r="B52" s="56">
        <v>56140</v>
      </c>
      <c r="C52" s="49">
        <v>225</v>
      </c>
      <c r="D52" s="49">
        <v>703</v>
      </c>
      <c r="E52" s="106">
        <f t="shared" si="7"/>
        <v>57068</v>
      </c>
      <c r="F52" s="62">
        <v>1797</v>
      </c>
      <c r="G52" s="49">
        <v>58</v>
      </c>
      <c r="H52" s="49">
        <v>0</v>
      </c>
      <c r="I52" s="49">
        <v>6</v>
      </c>
      <c r="J52" s="49">
        <v>708</v>
      </c>
      <c r="K52" s="128">
        <f t="shared" si="8"/>
        <v>2569</v>
      </c>
      <c r="L52" s="136">
        <f t="shared" si="9"/>
        <v>36319</v>
      </c>
    </row>
    <row r="53" spans="1:12" ht="12.75">
      <c r="A53" s="55">
        <v>38168</v>
      </c>
      <c r="B53" s="56">
        <v>58751</v>
      </c>
      <c r="C53" s="49">
        <v>193</v>
      </c>
      <c r="D53" s="49">
        <v>824</v>
      </c>
      <c r="E53" s="238">
        <f t="shared" si="7"/>
        <v>59768</v>
      </c>
      <c r="F53" s="62">
        <v>2564</v>
      </c>
      <c r="G53" s="49">
        <v>73</v>
      </c>
      <c r="H53" s="49">
        <v>11</v>
      </c>
      <c r="I53" s="49">
        <v>5</v>
      </c>
      <c r="J53" s="49">
        <v>708</v>
      </c>
      <c r="K53" s="128">
        <f t="shared" si="8"/>
        <v>3361</v>
      </c>
      <c r="L53" s="136">
        <f t="shared" si="9"/>
        <v>41258</v>
      </c>
    </row>
    <row r="54" spans="1:12" ht="12.75">
      <c r="A54" s="55">
        <v>38199</v>
      </c>
      <c r="B54" s="54">
        <v>55504</v>
      </c>
      <c r="C54" s="48">
        <v>195</v>
      </c>
      <c r="D54" s="48">
        <v>820</v>
      </c>
      <c r="E54" s="106">
        <f t="shared" si="7"/>
        <v>56519</v>
      </c>
      <c r="F54" s="70">
        <v>16923</v>
      </c>
      <c r="G54" s="48">
        <v>89</v>
      </c>
      <c r="H54" s="48">
        <v>10</v>
      </c>
      <c r="I54" s="48">
        <v>2</v>
      </c>
      <c r="J54" s="48">
        <v>685</v>
      </c>
      <c r="K54" s="128">
        <f t="shared" si="8"/>
        <v>17709</v>
      </c>
      <c r="L54" s="136">
        <f t="shared" si="9"/>
        <v>38009</v>
      </c>
    </row>
    <row r="55" spans="1:12" ht="12.75">
      <c r="A55" s="55">
        <v>38230</v>
      </c>
      <c r="B55" s="56">
        <v>54176</v>
      </c>
      <c r="C55" s="49">
        <v>177</v>
      </c>
      <c r="D55" s="49">
        <v>708</v>
      </c>
      <c r="E55" s="106">
        <f t="shared" si="7"/>
        <v>55061</v>
      </c>
      <c r="F55" s="62">
        <v>17782</v>
      </c>
      <c r="G55" s="49">
        <v>602</v>
      </c>
      <c r="H55" s="49">
        <v>10</v>
      </c>
      <c r="I55" s="49">
        <v>2</v>
      </c>
      <c r="J55" s="49">
        <v>685</v>
      </c>
      <c r="K55" s="128">
        <f t="shared" si="8"/>
        <v>19081</v>
      </c>
      <c r="L55" s="136">
        <f t="shared" si="9"/>
        <v>37609</v>
      </c>
    </row>
    <row r="56" spans="1:12" ht="12.75">
      <c r="A56" s="55">
        <v>38260</v>
      </c>
      <c r="B56" s="56">
        <v>62918</v>
      </c>
      <c r="C56" s="49">
        <v>181</v>
      </c>
      <c r="D56" s="49">
        <v>700</v>
      </c>
      <c r="E56" s="106">
        <f t="shared" si="7"/>
        <v>63799</v>
      </c>
      <c r="F56" s="62">
        <v>12893</v>
      </c>
      <c r="G56" s="49">
        <v>62</v>
      </c>
      <c r="H56" s="49">
        <v>76</v>
      </c>
      <c r="I56" s="49">
        <v>11</v>
      </c>
      <c r="J56" s="49">
        <v>686</v>
      </c>
      <c r="K56" s="128">
        <f t="shared" si="8"/>
        <v>13728</v>
      </c>
      <c r="L56" s="136">
        <f t="shared" si="9"/>
        <v>43267</v>
      </c>
    </row>
    <row r="57" spans="1:12" ht="12.75">
      <c r="A57" s="57">
        <v>38291</v>
      </c>
      <c r="B57" s="58">
        <v>63529</v>
      </c>
      <c r="C57" s="50">
        <v>179</v>
      </c>
      <c r="D57" s="50">
        <v>862</v>
      </c>
      <c r="E57" s="106">
        <f t="shared" si="7"/>
        <v>64570</v>
      </c>
      <c r="F57" s="72">
        <v>13574</v>
      </c>
      <c r="G57" s="50">
        <v>43</v>
      </c>
      <c r="H57" s="50">
        <v>76</v>
      </c>
      <c r="I57" s="50">
        <v>11</v>
      </c>
      <c r="J57" s="50">
        <v>686</v>
      </c>
      <c r="K57" s="128">
        <f t="shared" si="8"/>
        <v>14390</v>
      </c>
      <c r="L57" s="136">
        <f t="shared" si="9"/>
        <v>41230</v>
      </c>
    </row>
    <row r="58" spans="1:12" ht="12.75">
      <c r="A58" s="55">
        <v>38321</v>
      </c>
      <c r="B58" s="56">
        <v>63958</v>
      </c>
      <c r="C58" s="49">
        <v>189</v>
      </c>
      <c r="D58" s="49">
        <v>975</v>
      </c>
      <c r="E58" s="106">
        <f t="shared" si="7"/>
        <v>65122</v>
      </c>
      <c r="F58" s="62">
        <v>14378</v>
      </c>
      <c r="G58" s="49">
        <v>465</v>
      </c>
      <c r="H58" s="49">
        <v>82</v>
      </c>
      <c r="I58" s="49">
        <v>11</v>
      </c>
      <c r="J58" s="49">
        <v>686</v>
      </c>
      <c r="K58" s="128">
        <f t="shared" si="8"/>
        <v>15622</v>
      </c>
      <c r="L58" s="136">
        <f t="shared" si="9"/>
        <v>41282</v>
      </c>
    </row>
    <row r="59" spans="1:12" ht="13.5" thickBot="1">
      <c r="A59" s="59">
        <v>38352</v>
      </c>
      <c r="B59" s="60">
        <v>51452.59</v>
      </c>
      <c r="C59" s="61">
        <v>44.35</v>
      </c>
      <c r="D59" s="61">
        <v>848.34</v>
      </c>
      <c r="E59" s="107">
        <f t="shared" si="7"/>
        <v>52345.27999999999</v>
      </c>
      <c r="F59" s="73">
        <v>12985.2</v>
      </c>
      <c r="G59" s="61">
        <v>577.58</v>
      </c>
      <c r="H59" s="61">
        <v>25.8</v>
      </c>
      <c r="I59" s="61">
        <v>85.49</v>
      </c>
      <c r="J59" s="61">
        <v>686.15</v>
      </c>
      <c r="K59" s="129">
        <f t="shared" si="8"/>
        <v>14360.22</v>
      </c>
      <c r="L59" s="544">
        <f t="shared" si="9"/>
        <v>37464.85999999999</v>
      </c>
    </row>
    <row r="61" spans="1:12" ht="12.75" customHeight="1">
      <c r="A61" s="668" t="s">
        <v>289</v>
      </c>
      <c r="B61" s="1122"/>
      <c r="C61" s="1122"/>
      <c r="D61" s="1122"/>
      <c r="E61" s="1122"/>
      <c r="F61" s="1122"/>
      <c r="G61" s="1122"/>
      <c r="H61" s="1122"/>
      <c r="I61" s="1122"/>
      <c r="J61" s="1122"/>
      <c r="K61" s="1122"/>
      <c r="L61" s="1123"/>
    </row>
    <row r="62" spans="1:12" ht="12.75">
      <c r="A62" s="1124"/>
      <c r="B62" s="1080"/>
      <c r="C62" s="1080"/>
      <c r="D62" s="1080"/>
      <c r="E62" s="1080"/>
      <c r="F62" s="1080"/>
      <c r="G62" s="1080"/>
      <c r="H62" s="1080"/>
      <c r="I62" s="1080"/>
      <c r="J62" s="1080"/>
      <c r="K62" s="1080"/>
      <c r="L62" s="1125"/>
    </row>
    <row r="63" spans="1:12" ht="12.75">
      <c r="A63" s="1124"/>
      <c r="B63" s="1080"/>
      <c r="C63" s="1080"/>
      <c r="D63" s="1080"/>
      <c r="E63" s="1080"/>
      <c r="F63" s="1080"/>
      <c r="G63" s="1080"/>
      <c r="H63" s="1080"/>
      <c r="I63" s="1080"/>
      <c r="J63" s="1080"/>
      <c r="K63" s="1080"/>
      <c r="L63" s="1125"/>
    </row>
    <row r="64" spans="1:12" ht="12.75">
      <c r="A64" s="1124"/>
      <c r="B64" s="1080"/>
      <c r="C64" s="1080"/>
      <c r="D64" s="1080"/>
      <c r="E64" s="1080"/>
      <c r="F64" s="1080"/>
      <c r="G64" s="1080"/>
      <c r="H64" s="1080"/>
      <c r="I64" s="1080"/>
      <c r="J64" s="1080"/>
      <c r="K64" s="1080"/>
      <c r="L64" s="1125"/>
    </row>
    <row r="65" spans="1:12" ht="12.75">
      <c r="A65" s="1124"/>
      <c r="B65" s="1080"/>
      <c r="C65" s="1080"/>
      <c r="D65" s="1080"/>
      <c r="E65" s="1080"/>
      <c r="F65" s="1080"/>
      <c r="G65" s="1080"/>
      <c r="H65" s="1080"/>
      <c r="I65" s="1080"/>
      <c r="J65" s="1080"/>
      <c r="K65" s="1080"/>
      <c r="L65" s="1125"/>
    </row>
    <row r="66" spans="1:12" ht="12.75">
      <c r="A66" s="1124"/>
      <c r="B66" s="1080"/>
      <c r="C66" s="1080"/>
      <c r="D66" s="1080"/>
      <c r="E66" s="1080"/>
      <c r="F66" s="1080"/>
      <c r="G66" s="1080"/>
      <c r="H66" s="1080"/>
      <c r="I66" s="1080"/>
      <c r="J66" s="1080"/>
      <c r="K66" s="1080"/>
      <c r="L66" s="1125"/>
    </row>
    <row r="67" spans="1:12" ht="12.75">
      <c r="A67" s="1126"/>
      <c r="B67" s="1127"/>
      <c r="C67" s="1127"/>
      <c r="D67" s="1127"/>
      <c r="E67" s="1127"/>
      <c r="F67" s="1127"/>
      <c r="G67" s="1127"/>
      <c r="H67" s="1127"/>
      <c r="I67" s="1127"/>
      <c r="J67" s="1127"/>
      <c r="K67" s="1127"/>
      <c r="L67" s="1128"/>
    </row>
    <row r="73" ht="16.5" thickBot="1">
      <c r="A73" s="29" t="s">
        <v>84</v>
      </c>
    </row>
    <row r="74" spans="1:12" ht="21.75" customHeight="1">
      <c r="A74" s="947" t="s">
        <v>71</v>
      </c>
      <c r="B74" s="948"/>
      <c r="C74" s="996" t="s">
        <v>25</v>
      </c>
      <c r="D74" s="997"/>
      <c r="E74" s="1000"/>
      <c r="F74" s="947" t="s">
        <v>71</v>
      </c>
      <c r="G74" s="962"/>
      <c r="H74" s="963"/>
      <c r="I74" s="999" t="s">
        <v>28</v>
      </c>
      <c r="J74" s="997"/>
      <c r="K74" s="1000"/>
      <c r="L74" s="985" t="s">
        <v>166</v>
      </c>
    </row>
    <row r="75" spans="1:12" ht="27.75" thickBot="1">
      <c r="A75" s="949"/>
      <c r="B75" s="950"/>
      <c r="C75" s="154" t="s">
        <v>81</v>
      </c>
      <c r="D75" s="149" t="s">
        <v>82</v>
      </c>
      <c r="E75" s="150" t="s">
        <v>83</v>
      </c>
      <c r="F75" s="949"/>
      <c r="G75" s="964"/>
      <c r="H75" s="965"/>
      <c r="I75" s="156" t="s">
        <v>81</v>
      </c>
      <c r="J75" s="149" t="s">
        <v>82</v>
      </c>
      <c r="K75" s="150" t="s">
        <v>83</v>
      </c>
      <c r="L75" s="986"/>
    </row>
    <row r="76" spans="1:12" ht="20.25" customHeight="1">
      <c r="A76" s="951" t="s">
        <v>72</v>
      </c>
      <c r="B76" s="952"/>
      <c r="C76" s="142">
        <v>82.5</v>
      </c>
      <c r="D76" s="143">
        <v>35817960</v>
      </c>
      <c r="E76" s="155">
        <f aca="true" t="shared" si="10" ref="E76:E82">+IF(C76&gt;0,D76/C76/12,"")</f>
        <v>36179.757575757576</v>
      </c>
      <c r="F76" s="966" t="s">
        <v>72</v>
      </c>
      <c r="G76" s="967"/>
      <c r="H76" s="967"/>
      <c r="I76" s="231">
        <v>83.21</v>
      </c>
      <c r="J76" s="232">
        <v>35863059</v>
      </c>
      <c r="K76" s="155">
        <f aca="true" t="shared" si="11" ref="K76:K86">+IF(I76&gt;0,J76/I76/12,"")</f>
        <v>35916.214998197334</v>
      </c>
      <c r="L76" s="289">
        <f>+K76-E76</f>
        <v>-263.5425775602416</v>
      </c>
    </row>
    <row r="77" spans="1:12" ht="20.25" customHeight="1">
      <c r="A77" s="951" t="s">
        <v>73</v>
      </c>
      <c r="B77" s="952"/>
      <c r="C77" s="144">
        <v>2.48</v>
      </c>
      <c r="D77" s="145">
        <v>739392</v>
      </c>
      <c r="E77" s="71">
        <f t="shared" si="10"/>
        <v>24845.16129032258</v>
      </c>
      <c r="F77" s="968" t="s">
        <v>73</v>
      </c>
      <c r="G77" s="969"/>
      <c r="H77" s="969"/>
      <c r="I77" s="158">
        <v>3</v>
      </c>
      <c r="J77" s="50">
        <v>806807</v>
      </c>
      <c r="K77" s="71">
        <f t="shared" si="11"/>
        <v>22411.30555555556</v>
      </c>
      <c r="L77" s="287"/>
    </row>
    <row r="78" spans="1:12" ht="20.25" customHeight="1">
      <c r="A78" s="951" t="s">
        <v>74</v>
      </c>
      <c r="B78" s="952"/>
      <c r="C78" s="144">
        <v>5.93</v>
      </c>
      <c r="D78" s="145">
        <v>1615389</v>
      </c>
      <c r="E78" s="71">
        <f t="shared" si="10"/>
        <v>22700.801011804386</v>
      </c>
      <c r="F78" s="968" t="s">
        <v>110</v>
      </c>
      <c r="G78" s="969"/>
      <c r="H78" s="969"/>
      <c r="I78" s="158">
        <v>268.18</v>
      </c>
      <c r="J78" s="50">
        <v>54173241</v>
      </c>
      <c r="K78" s="71">
        <f t="shared" si="11"/>
        <v>16833.607092251474</v>
      </c>
      <c r="L78" s="287"/>
    </row>
    <row r="79" spans="1:12" ht="20.25" customHeight="1">
      <c r="A79" s="951" t="s">
        <v>75</v>
      </c>
      <c r="B79" s="952"/>
      <c r="C79" s="144">
        <v>5.25</v>
      </c>
      <c r="D79" s="145">
        <v>911957</v>
      </c>
      <c r="E79" s="71">
        <f t="shared" si="10"/>
        <v>14475.507936507936</v>
      </c>
      <c r="F79" s="968" t="s">
        <v>109</v>
      </c>
      <c r="G79" s="969"/>
      <c r="H79" s="969"/>
      <c r="I79" s="158">
        <v>55.06</v>
      </c>
      <c r="J79" s="50">
        <v>12397766</v>
      </c>
      <c r="K79" s="71">
        <f t="shared" si="11"/>
        <v>18764.024094926746</v>
      </c>
      <c r="L79" s="287"/>
    </row>
    <row r="80" spans="1:12" ht="20.25" customHeight="1">
      <c r="A80" s="951" t="s">
        <v>76</v>
      </c>
      <c r="B80" s="952"/>
      <c r="C80" s="144">
        <v>332.35</v>
      </c>
      <c r="D80" s="145">
        <v>70517703</v>
      </c>
      <c r="E80" s="71">
        <f t="shared" si="10"/>
        <v>17681.586429968407</v>
      </c>
      <c r="F80" s="968" t="s">
        <v>111</v>
      </c>
      <c r="G80" s="969"/>
      <c r="H80" s="969"/>
      <c r="I80" s="158">
        <v>12.52</v>
      </c>
      <c r="J80" s="50">
        <v>1916373</v>
      </c>
      <c r="K80" s="71">
        <f t="shared" si="11"/>
        <v>12755.411341853034</v>
      </c>
      <c r="L80" s="287"/>
    </row>
    <row r="81" spans="1:12" ht="20.25" customHeight="1">
      <c r="A81" s="951" t="s">
        <v>77</v>
      </c>
      <c r="B81" s="952"/>
      <c r="C81" s="144">
        <v>10</v>
      </c>
      <c r="D81" s="145">
        <v>2407919</v>
      </c>
      <c r="E81" s="71">
        <f t="shared" si="10"/>
        <v>20065.991666666665</v>
      </c>
      <c r="F81" s="968" t="s">
        <v>112</v>
      </c>
      <c r="G81" s="969"/>
      <c r="H81" s="969"/>
      <c r="I81" s="158">
        <v>71.78</v>
      </c>
      <c r="J81" s="50">
        <v>11592868</v>
      </c>
      <c r="K81" s="71">
        <f t="shared" si="11"/>
        <v>13458.795393331477</v>
      </c>
      <c r="L81" s="287"/>
    </row>
    <row r="82" spans="1:12" ht="20.25" customHeight="1">
      <c r="A82" s="951" t="s">
        <v>78</v>
      </c>
      <c r="B82" s="952"/>
      <c r="C82" s="144">
        <v>82.77</v>
      </c>
      <c r="D82" s="145">
        <v>11396880</v>
      </c>
      <c r="E82" s="71">
        <f t="shared" si="10"/>
        <v>11474.44726350127</v>
      </c>
      <c r="F82" s="968" t="s">
        <v>113</v>
      </c>
      <c r="G82" s="969"/>
      <c r="H82" s="969"/>
      <c r="I82" s="158">
        <v>0</v>
      </c>
      <c r="J82" s="50">
        <v>0</v>
      </c>
      <c r="K82" s="71">
        <f t="shared" si="11"/>
      </c>
      <c r="L82" s="287"/>
    </row>
    <row r="83" spans="1:12" ht="20.25" customHeight="1">
      <c r="A83" s="951"/>
      <c r="B83" s="952"/>
      <c r="C83" s="144"/>
      <c r="D83" s="145"/>
      <c r="E83" s="71"/>
      <c r="F83" s="968" t="s">
        <v>114</v>
      </c>
      <c r="G83" s="969"/>
      <c r="H83" s="969"/>
      <c r="I83" s="158">
        <v>0</v>
      </c>
      <c r="J83" s="50">
        <v>0</v>
      </c>
      <c r="K83" s="71">
        <f t="shared" si="11"/>
      </c>
      <c r="L83" s="287"/>
    </row>
    <row r="84" spans="1:12" ht="20.25" customHeight="1">
      <c r="A84" s="951" t="s">
        <v>79</v>
      </c>
      <c r="B84" s="952"/>
      <c r="C84" s="144">
        <v>59.36</v>
      </c>
      <c r="D84" s="145">
        <v>10515348</v>
      </c>
      <c r="E84" s="71">
        <f>+IF(C84&gt;0,D84/C84/12,"")</f>
        <v>14762.112533692722</v>
      </c>
      <c r="F84" s="968" t="s">
        <v>79</v>
      </c>
      <c r="G84" s="969"/>
      <c r="H84" s="969"/>
      <c r="I84" s="157">
        <v>57.24</v>
      </c>
      <c r="J84" s="49">
        <v>10540682</v>
      </c>
      <c r="K84" s="71">
        <f t="shared" si="11"/>
        <v>15345.740158397391</v>
      </c>
      <c r="L84" s="287">
        <f>+K84-E84</f>
        <v>583.6276247046699</v>
      </c>
    </row>
    <row r="85" spans="1:12" ht="20.25" customHeight="1" thickBot="1">
      <c r="A85" s="951" t="s">
        <v>80</v>
      </c>
      <c r="B85" s="952"/>
      <c r="C85" s="144">
        <v>81.14</v>
      </c>
      <c r="D85" s="145">
        <v>11259120</v>
      </c>
      <c r="E85" s="71">
        <f>+IF(C85&gt;0,D85/C85/12,"")</f>
        <v>11563.470544737489</v>
      </c>
      <c r="F85" s="983" t="s">
        <v>115</v>
      </c>
      <c r="G85" s="984"/>
      <c r="H85" s="984"/>
      <c r="I85" s="231">
        <v>78.04</v>
      </c>
      <c r="J85" s="232">
        <v>10562287</v>
      </c>
      <c r="K85" s="155">
        <f t="shared" si="11"/>
        <v>11278.710703912524</v>
      </c>
      <c r="L85" s="287">
        <f>+K85-E85</f>
        <v>-284.75984082496507</v>
      </c>
    </row>
    <row r="86" spans="1:12" s="39" customFormat="1" ht="22.5" customHeight="1" thickBot="1">
      <c r="A86" s="971" t="s">
        <v>11</v>
      </c>
      <c r="B86" s="973"/>
      <c r="C86" s="146">
        <f>SUM(C76:C85)</f>
        <v>661.78</v>
      </c>
      <c r="D86" s="51">
        <f>SUM(D76:D85)</f>
        <v>145181668</v>
      </c>
      <c r="E86" s="148">
        <f>+IF(C86&gt;0,D86/C86/12,"")</f>
        <v>18281.713459659302</v>
      </c>
      <c r="F86" s="971" t="s">
        <v>11</v>
      </c>
      <c r="G86" s="972"/>
      <c r="H86" s="909"/>
      <c r="I86" s="159">
        <f>SUM(I76:I85)</f>
        <v>629.03</v>
      </c>
      <c r="J86" s="51">
        <f>SUM(J76:J85)</f>
        <v>137853083</v>
      </c>
      <c r="K86" s="148">
        <f t="shared" si="11"/>
        <v>18262.65347704667</v>
      </c>
      <c r="L86" s="139">
        <f>+K86-E86</f>
        <v>-19.059982612630847</v>
      </c>
    </row>
    <row r="88" spans="1:12" ht="12.75" customHeight="1">
      <c r="A88" s="668" t="s">
        <v>288</v>
      </c>
      <c r="B88" s="669"/>
      <c r="C88" s="669"/>
      <c r="D88" s="669"/>
      <c r="E88" s="669"/>
      <c r="F88" s="669"/>
      <c r="G88" s="669"/>
      <c r="H88" s="669"/>
      <c r="I88" s="669"/>
      <c r="J88" s="669"/>
      <c r="K88" s="669"/>
      <c r="L88" s="670"/>
    </row>
    <row r="89" spans="1:12" ht="12.75">
      <c r="A89" s="671"/>
      <c r="B89" s="672"/>
      <c r="C89" s="672"/>
      <c r="D89" s="672"/>
      <c r="E89" s="672"/>
      <c r="F89" s="672"/>
      <c r="G89" s="672"/>
      <c r="H89" s="672"/>
      <c r="I89" s="672"/>
      <c r="J89" s="672"/>
      <c r="K89" s="672"/>
      <c r="L89" s="673"/>
    </row>
    <row r="90" spans="1:12" ht="12.75">
      <c r="A90" s="671"/>
      <c r="B90" s="672"/>
      <c r="C90" s="672"/>
      <c r="D90" s="672"/>
      <c r="E90" s="672"/>
      <c r="F90" s="672"/>
      <c r="G90" s="672"/>
      <c r="H90" s="672"/>
      <c r="I90" s="672"/>
      <c r="J90" s="672"/>
      <c r="K90" s="672"/>
      <c r="L90" s="673"/>
    </row>
    <row r="91" spans="1:12" ht="12.75">
      <c r="A91" s="671"/>
      <c r="B91" s="672"/>
      <c r="C91" s="672"/>
      <c r="D91" s="672"/>
      <c r="E91" s="672"/>
      <c r="F91" s="672"/>
      <c r="G91" s="672"/>
      <c r="H91" s="672"/>
      <c r="I91" s="672"/>
      <c r="J91" s="672"/>
      <c r="K91" s="672"/>
      <c r="L91" s="673"/>
    </row>
    <row r="92" spans="1:12" ht="12.75">
      <c r="A92" s="671"/>
      <c r="B92" s="672"/>
      <c r="C92" s="672"/>
      <c r="D92" s="672"/>
      <c r="E92" s="672"/>
      <c r="F92" s="672"/>
      <c r="G92" s="672"/>
      <c r="H92" s="672"/>
      <c r="I92" s="672"/>
      <c r="J92" s="672"/>
      <c r="K92" s="672"/>
      <c r="L92" s="673"/>
    </row>
    <row r="93" spans="1:12" ht="12.75">
      <c r="A93" s="671"/>
      <c r="B93" s="672"/>
      <c r="C93" s="672"/>
      <c r="D93" s="672"/>
      <c r="E93" s="672"/>
      <c r="F93" s="672"/>
      <c r="G93" s="672"/>
      <c r="H93" s="672"/>
      <c r="I93" s="672"/>
      <c r="J93" s="672"/>
      <c r="K93" s="672"/>
      <c r="L93" s="673"/>
    </row>
    <row r="94" spans="1:12" ht="12.75">
      <c r="A94" s="674"/>
      <c r="B94" s="675"/>
      <c r="C94" s="675"/>
      <c r="D94" s="675"/>
      <c r="E94" s="675"/>
      <c r="F94" s="675"/>
      <c r="G94" s="675"/>
      <c r="H94" s="675"/>
      <c r="I94" s="675"/>
      <c r="J94" s="675"/>
      <c r="K94" s="675"/>
      <c r="L94" s="676"/>
    </row>
    <row r="96" ht="4.5" customHeight="1"/>
    <row r="97" spans="1:9" ht="16.5" thickBot="1">
      <c r="A97" s="29" t="s">
        <v>107</v>
      </c>
      <c r="B97" s="160"/>
      <c r="C97" s="160"/>
      <c r="D97" s="160"/>
      <c r="E97" s="160"/>
      <c r="F97" s="160"/>
      <c r="G97" s="160"/>
      <c r="H97" s="160"/>
      <c r="I97" s="160"/>
    </row>
    <row r="98" spans="1:12" ht="13.5" thickBot="1">
      <c r="A98" s="979" t="s">
        <v>85</v>
      </c>
      <c r="B98" s="980"/>
      <c r="C98" s="879" t="s">
        <v>86</v>
      </c>
      <c r="D98" s="974"/>
      <c r="E98" s="974"/>
      <c r="F98" s="974"/>
      <c r="G98" s="936"/>
      <c r="H98" s="878" t="s">
        <v>87</v>
      </c>
      <c r="I98" s="974"/>
      <c r="J98" s="974"/>
      <c r="K98" s="974"/>
      <c r="L98" s="936"/>
    </row>
    <row r="99" spans="1:12" ht="13.5" thickBot="1">
      <c r="A99" s="981"/>
      <c r="B99" s="696"/>
      <c r="C99" s="192">
        <v>2002</v>
      </c>
      <c r="D99" s="1">
        <v>2003</v>
      </c>
      <c r="E99" s="162" t="s">
        <v>88</v>
      </c>
      <c r="F99" s="10">
        <v>2004</v>
      </c>
      <c r="G99" s="162" t="s">
        <v>88</v>
      </c>
      <c r="H99" s="161">
        <v>2002</v>
      </c>
      <c r="I99" s="10">
        <v>2003</v>
      </c>
      <c r="J99" s="162" t="s">
        <v>88</v>
      </c>
      <c r="K99" s="102">
        <v>2004</v>
      </c>
      <c r="L99" s="187" t="s">
        <v>88</v>
      </c>
    </row>
    <row r="100" spans="1:12" ht="12.75">
      <c r="A100" s="970" t="s">
        <v>89</v>
      </c>
      <c r="B100" s="696"/>
      <c r="C100" s="210">
        <v>76</v>
      </c>
      <c r="D100" s="217">
        <v>80</v>
      </c>
      <c r="E100" s="218">
        <v>4</v>
      </c>
      <c r="F100" s="168">
        <v>80</v>
      </c>
      <c r="G100" s="164">
        <f aca="true" t="shared" si="12" ref="G100:G118">+F100-D100</f>
        <v>0</v>
      </c>
      <c r="H100" s="166">
        <v>86.07243385250516</v>
      </c>
      <c r="I100" s="167">
        <v>82.2</v>
      </c>
      <c r="J100" s="167">
        <v>-3.8724338525051536</v>
      </c>
      <c r="K100" s="188">
        <f>0.871960382513661*100</f>
        <v>87.19603825136612</v>
      </c>
      <c r="L100" s="188">
        <f aca="true" t="shared" si="13" ref="L100:L118">+K100-I100</f>
        <v>4.996038251366116</v>
      </c>
    </row>
    <row r="101" spans="1:12" ht="12.75">
      <c r="A101" s="970" t="s">
        <v>90</v>
      </c>
      <c r="B101" s="696"/>
      <c r="C101" s="211"/>
      <c r="D101" s="212"/>
      <c r="E101" s="219"/>
      <c r="F101" s="174"/>
      <c r="G101" s="164">
        <f t="shared" si="12"/>
        <v>0</v>
      </c>
      <c r="H101" s="172"/>
      <c r="I101" s="173"/>
      <c r="J101" s="173"/>
      <c r="K101" s="189"/>
      <c r="L101" s="188">
        <f t="shared" si="13"/>
        <v>0</v>
      </c>
    </row>
    <row r="102" spans="1:12" ht="12.75">
      <c r="A102" s="970" t="s">
        <v>91</v>
      </c>
      <c r="B102" s="696"/>
      <c r="C102" s="211"/>
      <c r="D102" s="212"/>
      <c r="E102" s="219"/>
      <c r="F102" s="174"/>
      <c r="G102" s="164">
        <f t="shared" si="12"/>
        <v>0</v>
      </c>
      <c r="H102" s="172"/>
      <c r="I102" s="173"/>
      <c r="J102" s="173"/>
      <c r="K102" s="189"/>
      <c r="L102" s="188">
        <f t="shared" si="13"/>
        <v>0</v>
      </c>
    </row>
    <row r="103" spans="1:12" ht="12.75">
      <c r="A103" s="970" t="s">
        <v>92</v>
      </c>
      <c r="B103" s="696"/>
      <c r="C103" s="211">
        <v>24</v>
      </c>
      <c r="D103" s="212">
        <v>24</v>
      </c>
      <c r="E103" s="219">
        <v>0</v>
      </c>
      <c r="F103" s="174">
        <v>24</v>
      </c>
      <c r="G103" s="164">
        <f t="shared" si="12"/>
        <v>0</v>
      </c>
      <c r="H103" s="172">
        <v>85.93607305936072</v>
      </c>
      <c r="I103" s="173">
        <v>80</v>
      </c>
      <c r="J103" s="173">
        <v>-5.936073059360723</v>
      </c>
      <c r="K103" s="189">
        <f>0.784153005464481*100</f>
        <v>78.41530054644808</v>
      </c>
      <c r="L103" s="188">
        <f t="shared" si="13"/>
        <v>-1.58469945355192</v>
      </c>
    </row>
    <row r="104" spans="1:12" ht="12.75">
      <c r="A104" s="970" t="s">
        <v>93</v>
      </c>
      <c r="B104" s="696"/>
      <c r="C104" s="211"/>
      <c r="D104" s="212"/>
      <c r="E104" s="219"/>
      <c r="F104" s="174"/>
      <c r="G104" s="164">
        <f t="shared" si="12"/>
        <v>0</v>
      </c>
      <c r="H104" s="172"/>
      <c r="I104" s="173"/>
      <c r="J104" s="173"/>
      <c r="K104" s="189"/>
      <c r="L104" s="188">
        <f t="shared" si="13"/>
        <v>0</v>
      </c>
    </row>
    <row r="105" spans="1:12" ht="12.75">
      <c r="A105" s="970" t="s">
        <v>94</v>
      </c>
      <c r="B105" s="696"/>
      <c r="C105" s="211">
        <v>44</v>
      </c>
      <c r="D105" s="212">
        <v>44</v>
      </c>
      <c r="E105" s="219">
        <v>0</v>
      </c>
      <c r="F105" s="174">
        <v>44</v>
      </c>
      <c r="G105" s="164">
        <f t="shared" si="12"/>
        <v>0</v>
      </c>
      <c r="H105" s="172">
        <v>73.84806973848069</v>
      </c>
      <c r="I105" s="173">
        <v>71.5</v>
      </c>
      <c r="J105" s="173">
        <v>-2.348069738480689</v>
      </c>
      <c r="K105" s="189">
        <f>0.532662692498758*100</f>
        <v>53.266269249875805</v>
      </c>
      <c r="L105" s="188">
        <f t="shared" si="13"/>
        <v>-18.233730750124195</v>
      </c>
    </row>
    <row r="106" spans="1:12" ht="12.75">
      <c r="A106" s="970" t="s">
        <v>95</v>
      </c>
      <c r="B106" s="696"/>
      <c r="C106" s="211">
        <v>41</v>
      </c>
      <c r="D106" s="212">
        <v>41</v>
      </c>
      <c r="E106" s="219">
        <v>0</v>
      </c>
      <c r="F106" s="174">
        <v>41</v>
      </c>
      <c r="G106" s="164">
        <f t="shared" si="12"/>
        <v>0</v>
      </c>
      <c r="H106" s="172">
        <v>71.50016705646507</v>
      </c>
      <c r="I106" s="173">
        <v>71.8</v>
      </c>
      <c r="J106" s="173">
        <v>0.2998329435349234</v>
      </c>
      <c r="K106" s="189">
        <f>0.718979075036652*100</f>
        <v>71.89790750366521</v>
      </c>
      <c r="L106" s="188">
        <f t="shared" si="13"/>
        <v>0.09790750366521195</v>
      </c>
    </row>
    <row r="107" spans="1:12" ht="12.75">
      <c r="A107" s="970" t="s">
        <v>96</v>
      </c>
      <c r="B107" s="696"/>
      <c r="C107" s="211">
        <v>67</v>
      </c>
      <c r="D107" s="212">
        <v>67</v>
      </c>
      <c r="E107" s="219">
        <v>0</v>
      </c>
      <c r="F107" s="174">
        <v>66</v>
      </c>
      <c r="G107" s="164">
        <f t="shared" si="12"/>
        <v>-1</v>
      </c>
      <c r="H107" s="172">
        <v>75.32941943900849</v>
      </c>
      <c r="I107" s="173">
        <v>72.9</v>
      </c>
      <c r="J107" s="173">
        <v>-2.429419439008484</v>
      </c>
      <c r="K107" s="189">
        <f>0.715308825964564*100</f>
        <v>71.53088259645637</v>
      </c>
      <c r="L107" s="188">
        <f t="shared" si="13"/>
        <v>-1.3691174035436404</v>
      </c>
    </row>
    <row r="108" spans="1:12" ht="12.75">
      <c r="A108" s="970" t="s">
        <v>97</v>
      </c>
      <c r="B108" s="696"/>
      <c r="C108" s="211">
        <v>5</v>
      </c>
      <c r="D108" s="212">
        <v>5</v>
      </c>
      <c r="E108" s="219">
        <v>0</v>
      </c>
      <c r="F108" s="174">
        <v>5</v>
      </c>
      <c r="G108" s="164">
        <f t="shared" si="12"/>
        <v>0</v>
      </c>
      <c r="H108" s="172">
        <v>56.986301369863014</v>
      </c>
      <c r="I108" s="173">
        <v>58</v>
      </c>
      <c r="J108" s="173">
        <v>1.013698630136986</v>
      </c>
      <c r="K108" s="189">
        <f>0.734972677595628*100</f>
        <v>73.49726775956285</v>
      </c>
      <c r="L108" s="188">
        <f t="shared" si="13"/>
        <v>15.497267759562845</v>
      </c>
    </row>
    <row r="109" spans="1:12" ht="12.75">
      <c r="A109" s="970" t="s">
        <v>98</v>
      </c>
      <c r="B109" s="696"/>
      <c r="C109" s="211">
        <v>24</v>
      </c>
      <c r="D109" s="212">
        <v>24</v>
      </c>
      <c r="E109" s="219">
        <v>0</v>
      </c>
      <c r="F109" s="174">
        <v>24</v>
      </c>
      <c r="G109" s="164">
        <f t="shared" si="12"/>
        <v>0</v>
      </c>
      <c r="H109" s="172">
        <v>87.76255707762557</v>
      </c>
      <c r="I109" s="173">
        <v>76.8</v>
      </c>
      <c r="J109" s="173">
        <v>-10.962557077625576</v>
      </c>
      <c r="K109" s="189">
        <f>0.766962659380692*100</f>
        <v>76.69626593806922</v>
      </c>
      <c r="L109" s="188">
        <f t="shared" si="13"/>
        <v>-0.10373406193077983</v>
      </c>
    </row>
    <row r="110" spans="1:12" ht="12.75">
      <c r="A110" s="970" t="s">
        <v>99</v>
      </c>
      <c r="B110" s="696"/>
      <c r="C110" s="211">
        <v>20</v>
      </c>
      <c r="D110" s="212">
        <v>20</v>
      </c>
      <c r="E110" s="219">
        <v>0</v>
      </c>
      <c r="F110" s="174">
        <v>20</v>
      </c>
      <c r="G110" s="164">
        <f t="shared" si="12"/>
        <v>0</v>
      </c>
      <c r="H110" s="172">
        <v>71.36986301369863</v>
      </c>
      <c r="I110" s="173">
        <v>63.2</v>
      </c>
      <c r="J110" s="173">
        <v>-8.169863013698631</v>
      </c>
      <c r="K110" s="189">
        <f>0.615983606557377*100</f>
        <v>61.59836065573771</v>
      </c>
      <c r="L110" s="188">
        <f t="shared" si="13"/>
        <v>-1.6016393442622956</v>
      </c>
    </row>
    <row r="111" spans="1:12" ht="12.75">
      <c r="A111" s="970" t="s">
        <v>100</v>
      </c>
      <c r="B111" s="696"/>
      <c r="C111" s="211"/>
      <c r="D111" s="212"/>
      <c r="E111" s="219"/>
      <c r="F111" s="174"/>
      <c r="G111" s="164">
        <f t="shared" si="12"/>
        <v>0</v>
      </c>
      <c r="H111" s="172"/>
      <c r="I111" s="173"/>
      <c r="J111" s="173"/>
      <c r="K111" s="189"/>
      <c r="L111" s="188">
        <f t="shared" si="13"/>
        <v>0</v>
      </c>
    </row>
    <row r="112" spans="1:12" ht="12.75">
      <c r="A112" s="970" t="s">
        <v>101</v>
      </c>
      <c r="B112" s="696"/>
      <c r="C112" s="211"/>
      <c r="D112" s="212"/>
      <c r="E112" s="219"/>
      <c r="F112" s="174"/>
      <c r="G112" s="164">
        <f t="shared" si="12"/>
        <v>0</v>
      </c>
      <c r="H112" s="172"/>
      <c r="I112" s="173"/>
      <c r="J112" s="173"/>
      <c r="K112" s="189"/>
      <c r="L112" s="188">
        <f t="shared" si="13"/>
        <v>0</v>
      </c>
    </row>
    <row r="113" spans="1:12" ht="12.75">
      <c r="A113" s="970" t="s">
        <v>102</v>
      </c>
      <c r="B113" s="696"/>
      <c r="C113" s="211"/>
      <c r="D113" s="212"/>
      <c r="E113" s="219"/>
      <c r="F113" s="174"/>
      <c r="G113" s="164">
        <f t="shared" si="12"/>
        <v>0</v>
      </c>
      <c r="H113" s="172"/>
      <c r="I113" s="173"/>
      <c r="J113" s="173"/>
      <c r="K113" s="189"/>
      <c r="L113" s="188">
        <f t="shared" si="13"/>
        <v>0</v>
      </c>
    </row>
    <row r="114" spans="1:12" ht="12.75">
      <c r="A114" s="970" t="s">
        <v>103</v>
      </c>
      <c r="B114" s="696"/>
      <c r="C114" s="211"/>
      <c r="D114" s="212"/>
      <c r="E114" s="219"/>
      <c r="F114" s="174"/>
      <c r="G114" s="164">
        <f t="shared" si="12"/>
        <v>0</v>
      </c>
      <c r="H114" s="172"/>
      <c r="I114" s="173"/>
      <c r="J114" s="173"/>
      <c r="K114" s="189"/>
      <c r="L114" s="188">
        <f t="shared" si="13"/>
        <v>0</v>
      </c>
    </row>
    <row r="115" spans="1:12" ht="12.75">
      <c r="A115" s="970" t="s">
        <v>104</v>
      </c>
      <c r="B115" s="696"/>
      <c r="C115" s="211"/>
      <c r="D115" s="212"/>
      <c r="E115" s="219"/>
      <c r="F115" s="174"/>
      <c r="G115" s="164">
        <f t="shared" si="12"/>
        <v>0</v>
      </c>
      <c r="H115" s="172"/>
      <c r="I115" s="173"/>
      <c r="J115" s="173"/>
      <c r="K115" s="189"/>
      <c r="L115" s="188">
        <f t="shared" si="13"/>
        <v>0</v>
      </c>
    </row>
    <row r="116" spans="1:12" ht="12.75">
      <c r="A116" s="970" t="s">
        <v>105</v>
      </c>
      <c r="B116" s="696"/>
      <c r="C116" s="211">
        <v>46</v>
      </c>
      <c r="D116" s="212">
        <v>46</v>
      </c>
      <c r="E116" s="219">
        <v>0</v>
      </c>
      <c r="F116" s="174">
        <v>46</v>
      </c>
      <c r="G116" s="164">
        <f t="shared" si="12"/>
        <v>0</v>
      </c>
      <c r="H116" s="172">
        <v>92.7945205479452</v>
      </c>
      <c r="I116" s="173">
        <v>97.3</v>
      </c>
      <c r="J116" s="173">
        <v>4.5054794520548</v>
      </c>
      <c r="K116" s="189">
        <f>0.973271560940841*100</f>
        <v>97.32715609408412</v>
      </c>
      <c r="L116" s="188">
        <f t="shared" si="13"/>
        <v>0.027156094084119786</v>
      </c>
    </row>
    <row r="117" spans="1:12" ht="13.5" thickBot="1">
      <c r="A117" s="975" t="s">
        <v>106</v>
      </c>
      <c r="B117" s="976"/>
      <c r="C117" s="213"/>
      <c r="D117" s="214"/>
      <c r="E117" s="220"/>
      <c r="F117" s="180"/>
      <c r="G117" s="197">
        <f t="shared" si="12"/>
        <v>0</v>
      </c>
      <c r="H117" s="178"/>
      <c r="I117" s="179"/>
      <c r="J117" s="179"/>
      <c r="K117" s="190"/>
      <c r="L117" s="188">
        <f t="shared" si="13"/>
        <v>0</v>
      </c>
    </row>
    <row r="118" spans="1:12" ht="13.5" thickBot="1">
      <c r="A118" s="977" t="s">
        <v>11</v>
      </c>
      <c r="B118" s="978"/>
      <c r="C118" s="215">
        <v>347</v>
      </c>
      <c r="D118" s="216">
        <v>351</v>
      </c>
      <c r="E118" s="221">
        <v>4</v>
      </c>
      <c r="F118" s="186">
        <f>SUM(F100:F117)</f>
        <v>350</v>
      </c>
      <c r="G118" s="182">
        <f t="shared" si="12"/>
        <v>-1</v>
      </c>
      <c r="H118" s="184">
        <v>80.12696291346475</v>
      </c>
      <c r="I118" s="185">
        <v>77.9</v>
      </c>
      <c r="J118" s="185">
        <v>-2.226962913464746</v>
      </c>
      <c r="K118" s="191">
        <f>98042/128100*100</f>
        <v>76.53551912568307</v>
      </c>
      <c r="L118" s="191">
        <f t="shared" si="13"/>
        <v>-1.3644808743169392</v>
      </c>
    </row>
    <row r="120" spans="1:12" ht="12.75">
      <c r="A120" s="668" t="s">
        <v>281</v>
      </c>
      <c r="B120" s="1129"/>
      <c r="C120" s="1129"/>
      <c r="D120" s="1129"/>
      <c r="E120" s="1129"/>
      <c r="F120" s="1129"/>
      <c r="G120" s="1129"/>
      <c r="H120" s="1129"/>
      <c r="I120" s="1129"/>
      <c r="J120" s="1129"/>
      <c r="K120" s="1129"/>
      <c r="L120" s="1130"/>
    </row>
    <row r="121" spans="1:12" ht="12.75">
      <c r="A121" s="1131"/>
      <c r="B121" s="957"/>
      <c r="C121" s="957"/>
      <c r="D121" s="957"/>
      <c r="E121" s="957"/>
      <c r="F121" s="957"/>
      <c r="G121" s="957"/>
      <c r="H121" s="957"/>
      <c r="I121" s="957"/>
      <c r="J121" s="957"/>
      <c r="K121" s="957"/>
      <c r="L121" s="1132"/>
    </row>
    <row r="122" spans="1:12" ht="12.75">
      <c r="A122" s="1131"/>
      <c r="B122" s="957"/>
      <c r="C122" s="957"/>
      <c r="D122" s="957"/>
      <c r="E122" s="957"/>
      <c r="F122" s="957"/>
      <c r="G122" s="957"/>
      <c r="H122" s="957"/>
      <c r="I122" s="957"/>
      <c r="J122" s="957"/>
      <c r="K122" s="957"/>
      <c r="L122" s="1132"/>
    </row>
    <row r="123" spans="1:12" ht="12.75">
      <c r="A123" s="1131"/>
      <c r="B123" s="957"/>
      <c r="C123" s="957"/>
      <c r="D123" s="957"/>
      <c r="E123" s="957"/>
      <c r="F123" s="957"/>
      <c r="G123" s="957"/>
      <c r="H123" s="957"/>
      <c r="I123" s="957"/>
      <c r="J123" s="957"/>
      <c r="K123" s="957"/>
      <c r="L123" s="1132"/>
    </row>
    <row r="124" spans="1:12" ht="12.75">
      <c r="A124" s="1131"/>
      <c r="B124" s="957"/>
      <c r="C124" s="957"/>
      <c r="D124" s="957"/>
      <c r="E124" s="957"/>
      <c r="F124" s="957"/>
      <c r="G124" s="957"/>
      <c r="H124" s="957"/>
      <c r="I124" s="957"/>
      <c r="J124" s="957"/>
      <c r="K124" s="957"/>
      <c r="L124" s="1132"/>
    </row>
    <row r="125" spans="1:12" ht="12.75">
      <c r="A125" s="1131"/>
      <c r="B125" s="957"/>
      <c r="C125" s="957"/>
      <c r="D125" s="957"/>
      <c r="E125" s="957"/>
      <c r="F125" s="957"/>
      <c r="G125" s="957"/>
      <c r="H125" s="957"/>
      <c r="I125" s="957"/>
      <c r="J125" s="957"/>
      <c r="K125" s="957"/>
      <c r="L125" s="1132"/>
    </row>
    <row r="126" spans="1:12" ht="12.75">
      <c r="A126" s="1133"/>
      <c r="B126" s="1134"/>
      <c r="C126" s="1134"/>
      <c r="D126" s="1134"/>
      <c r="E126" s="1134"/>
      <c r="F126" s="1134"/>
      <c r="G126" s="1134"/>
      <c r="H126" s="1134"/>
      <c r="I126" s="1134"/>
      <c r="J126" s="1134"/>
      <c r="K126" s="1134"/>
      <c r="L126" s="1135"/>
    </row>
    <row r="127" spans="1:12" ht="12.75">
      <c r="A127" s="76"/>
      <c r="B127" s="76"/>
      <c r="C127" s="76"/>
      <c r="D127" s="76"/>
      <c r="E127" s="76"/>
      <c r="F127" s="76"/>
      <c r="G127" s="76"/>
      <c r="H127" s="76"/>
      <c r="I127" s="76"/>
      <c r="J127" s="76"/>
      <c r="K127" s="76"/>
      <c r="L127" s="480"/>
    </row>
    <row r="128" ht="16.5" thickBot="1">
      <c r="A128" s="29" t="s">
        <v>233</v>
      </c>
    </row>
    <row r="129" spans="1:11" s="39" customFormat="1" ht="22.5" customHeight="1" thickBot="1">
      <c r="A129" s="851" t="s">
        <v>276</v>
      </c>
      <c r="B129" s="852"/>
      <c r="C129" s="852"/>
      <c r="D129" s="1060" t="s">
        <v>216</v>
      </c>
      <c r="E129" s="853"/>
      <c r="G129" s="851" t="s">
        <v>275</v>
      </c>
      <c r="H129" s="852"/>
      <c r="I129" s="852"/>
      <c r="J129" s="1060" t="s">
        <v>216</v>
      </c>
      <c r="K129" s="853"/>
    </row>
    <row r="130" spans="1:11" s="39" customFormat="1" ht="22.5" customHeight="1">
      <c r="A130" s="800" t="s">
        <v>217</v>
      </c>
      <c r="B130" s="801"/>
      <c r="C130" s="801"/>
      <c r="D130" s="1061">
        <v>8546000</v>
      </c>
      <c r="E130" s="802"/>
      <c r="G130" s="800" t="s">
        <v>218</v>
      </c>
      <c r="H130" s="801"/>
      <c r="I130" s="801"/>
      <c r="J130" s="1061">
        <v>12259000</v>
      </c>
      <c r="K130" s="802"/>
    </row>
    <row r="131" spans="1:11" s="39" customFormat="1" ht="22.5" customHeight="1">
      <c r="A131" s="807" t="s">
        <v>218</v>
      </c>
      <c r="B131" s="808"/>
      <c r="C131" s="808"/>
      <c r="D131" s="1062">
        <v>5341000</v>
      </c>
      <c r="E131" s="809"/>
      <c r="G131" s="807" t="s">
        <v>221</v>
      </c>
      <c r="H131" s="808"/>
      <c r="I131" s="808"/>
      <c r="J131" s="1062">
        <v>10743000</v>
      </c>
      <c r="K131" s="809"/>
    </row>
    <row r="132" spans="1:11" s="39" customFormat="1" ht="17.25" customHeight="1">
      <c r="A132" s="807" t="s">
        <v>219</v>
      </c>
      <c r="B132" s="808"/>
      <c r="C132" s="808"/>
      <c r="D132" s="1062">
        <v>326231.12</v>
      </c>
      <c r="E132" s="809"/>
      <c r="G132" s="1113"/>
      <c r="H132" s="1114"/>
      <c r="I132" s="1115"/>
      <c r="J132" s="1108"/>
      <c r="K132" s="1109"/>
    </row>
    <row r="133" spans="1:11" s="39" customFormat="1" ht="18" customHeight="1">
      <c r="A133" s="807" t="s">
        <v>220</v>
      </c>
      <c r="B133" s="808"/>
      <c r="C133" s="808"/>
      <c r="D133" s="1062">
        <v>45000</v>
      </c>
      <c r="E133" s="809"/>
      <c r="G133" s="913"/>
      <c r="H133" s="914"/>
      <c r="I133" s="915"/>
      <c r="J133" s="1110"/>
      <c r="K133" s="1111"/>
    </row>
    <row r="134" spans="1:11" s="39" customFormat="1" ht="22.5" customHeight="1">
      <c r="A134" s="807" t="s">
        <v>230</v>
      </c>
      <c r="B134" s="808"/>
      <c r="C134" s="808"/>
      <c r="D134" s="1062">
        <v>12700000</v>
      </c>
      <c r="E134" s="809"/>
      <c r="G134" s="913"/>
      <c r="H134" s="914"/>
      <c r="I134" s="915"/>
      <c r="J134" s="1110"/>
      <c r="K134" s="1111"/>
    </row>
    <row r="135" spans="1:11" s="39" customFormat="1" ht="22.5" customHeight="1" thickBot="1">
      <c r="A135" s="833" t="s">
        <v>226</v>
      </c>
      <c r="B135" s="834"/>
      <c r="C135" s="834"/>
      <c r="D135" s="1116">
        <v>570962</v>
      </c>
      <c r="E135" s="835"/>
      <c r="G135" s="913"/>
      <c r="H135" s="914"/>
      <c r="I135" s="915"/>
      <c r="J135" s="1112"/>
      <c r="K135" s="830"/>
    </row>
    <row r="136" spans="1:11" s="39" customFormat="1" ht="22.5" customHeight="1" thickBot="1">
      <c r="A136" s="851" t="s">
        <v>223</v>
      </c>
      <c r="B136" s="852"/>
      <c r="C136" s="852"/>
      <c r="D136" s="817">
        <v>27529193.12</v>
      </c>
      <c r="E136" s="1107"/>
      <c r="G136" s="795" t="s">
        <v>225</v>
      </c>
      <c r="H136" s="909"/>
      <c r="I136" s="909"/>
      <c r="J136" s="817">
        <f>SUM(J130:K135)</f>
        <v>23002000</v>
      </c>
      <c r="K136" s="1107"/>
    </row>
    <row r="139" ht="16.5" thickBot="1">
      <c r="A139" s="29" t="s">
        <v>227</v>
      </c>
    </row>
    <row r="140" spans="1:11" ht="12.75" customHeight="1">
      <c r="A140" s="1003" t="s">
        <v>116</v>
      </c>
      <c r="B140" s="963"/>
      <c r="C140" s="980"/>
      <c r="D140" s="294" t="s">
        <v>117</v>
      </c>
      <c r="E140" s="295"/>
      <c r="F140" s="257"/>
      <c r="G140" s="256" t="s">
        <v>161</v>
      </c>
      <c r="H140" s="295"/>
      <c r="I140" s="257"/>
      <c r="J140" s="1003" t="s">
        <v>162</v>
      </c>
      <c r="K140" s="1015"/>
    </row>
    <row r="141" spans="1:11" ht="12.75" customHeight="1">
      <c r="A141" s="1004"/>
      <c r="B141" s="969"/>
      <c r="C141" s="696"/>
      <c r="D141" s="987" t="s">
        <v>118</v>
      </c>
      <c r="E141" s="990" t="s">
        <v>119</v>
      </c>
      <c r="F141" s="993" t="s">
        <v>11</v>
      </c>
      <c r="G141" s="987" t="s">
        <v>118</v>
      </c>
      <c r="H141" s="990" t="s">
        <v>119</v>
      </c>
      <c r="I141" s="993" t="s">
        <v>11</v>
      </c>
      <c r="J141" s="1016"/>
      <c r="K141" s="1017"/>
    </row>
    <row r="142" spans="1:11" ht="12.75">
      <c r="A142" s="1004"/>
      <c r="B142" s="969"/>
      <c r="C142" s="696"/>
      <c r="D142" s="1081"/>
      <c r="E142" s="1083" t="s">
        <v>120</v>
      </c>
      <c r="F142" s="1085"/>
      <c r="G142" s="988"/>
      <c r="H142" s="991" t="s">
        <v>120</v>
      </c>
      <c r="I142" s="994"/>
      <c r="J142" s="1018"/>
      <c r="K142" s="696"/>
    </row>
    <row r="143" spans="1:11" ht="13.5" thickBot="1">
      <c r="A143" s="1005"/>
      <c r="B143" s="965"/>
      <c r="C143" s="702"/>
      <c r="D143" s="1082"/>
      <c r="E143" s="1084" t="s">
        <v>120</v>
      </c>
      <c r="F143" s="1086"/>
      <c r="G143" s="989"/>
      <c r="H143" s="992" t="s">
        <v>120</v>
      </c>
      <c r="I143" s="995"/>
      <c r="J143" s="271" t="s">
        <v>88</v>
      </c>
      <c r="K143" s="272" t="s">
        <v>163</v>
      </c>
    </row>
    <row r="144" spans="1:11" ht="12.75">
      <c r="A144" s="1006" t="s">
        <v>122</v>
      </c>
      <c r="B144" s="967"/>
      <c r="C144" s="1007"/>
      <c r="D144" s="297">
        <v>299636</v>
      </c>
      <c r="E144" s="244">
        <v>817</v>
      </c>
      <c r="F144" s="258">
        <f>SUM(D144:E144)</f>
        <v>300453</v>
      </c>
      <c r="G144" s="297">
        <v>299635.36</v>
      </c>
      <c r="H144" s="244">
        <v>817.51</v>
      </c>
      <c r="I144" s="258">
        <f>SUM(G144:H144)</f>
        <v>300452.87</v>
      </c>
      <c r="J144" s="278">
        <f>+I144-F144</f>
        <v>-0.1300000000046566</v>
      </c>
      <c r="K144" s="281">
        <f>+I144/F144</f>
        <v>0.9999995673200134</v>
      </c>
    </row>
    <row r="145" spans="1:11" ht="12.75">
      <c r="A145" s="1008" t="s">
        <v>123</v>
      </c>
      <c r="B145" s="969"/>
      <c r="C145" s="696"/>
      <c r="D145" s="290"/>
      <c r="E145" s="242"/>
      <c r="F145" s="258"/>
      <c r="G145" s="290"/>
      <c r="H145" s="242"/>
      <c r="I145" s="258"/>
      <c r="J145" s="278"/>
      <c r="K145" s="281"/>
    </row>
    <row r="146" spans="1:11" ht="12.75">
      <c r="A146" s="1008" t="s">
        <v>124</v>
      </c>
      <c r="B146" s="969"/>
      <c r="C146" s="696"/>
      <c r="D146" s="290"/>
      <c r="E146" s="242"/>
      <c r="F146" s="258"/>
      <c r="G146" s="290"/>
      <c r="H146" s="242"/>
      <c r="I146" s="258"/>
      <c r="J146" s="278"/>
      <c r="K146" s="281"/>
    </row>
    <row r="147" spans="1:11" ht="12.75">
      <c r="A147" s="1008" t="s">
        <v>125</v>
      </c>
      <c r="B147" s="969"/>
      <c r="C147" s="696"/>
      <c r="D147" s="297">
        <v>43839</v>
      </c>
      <c r="E147" s="244">
        <v>0</v>
      </c>
      <c r="F147" s="258">
        <f>SUM(D147:E147)</f>
        <v>43839</v>
      </c>
      <c r="G147" s="297">
        <v>43838.78</v>
      </c>
      <c r="H147" s="244"/>
      <c r="I147" s="258">
        <f>SUM(G147:H147)</f>
        <v>43838.78</v>
      </c>
      <c r="J147" s="278">
        <f>+I147-F147</f>
        <v>-0.22000000000116415</v>
      </c>
      <c r="K147" s="281">
        <f>+I147/F147</f>
        <v>0.9999949816373548</v>
      </c>
    </row>
    <row r="148" spans="1:11" ht="12.75">
      <c r="A148" s="1008" t="s">
        <v>126</v>
      </c>
      <c r="B148" s="969"/>
      <c r="C148" s="696"/>
      <c r="D148" s="290"/>
      <c r="E148" s="242"/>
      <c r="F148" s="258"/>
      <c r="G148" s="290"/>
      <c r="H148" s="242"/>
      <c r="I148" s="258"/>
      <c r="J148" s="278"/>
      <c r="K148" s="281"/>
    </row>
    <row r="149" spans="1:11" ht="12.75">
      <c r="A149" s="1008" t="s">
        <v>127</v>
      </c>
      <c r="B149" s="969"/>
      <c r="C149" s="696"/>
      <c r="D149" s="290">
        <v>8575</v>
      </c>
      <c r="E149" s="242">
        <v>0</v>
      </c>
      <c r="F149" s="258">
        <f aca="true" t="shared" si="14" ref="F149:F154">SUM(D149:E149)</f>
        <v>8575</v>
      </c>
      <c r="G149" s="290">
        <v>8574.61</v>
      </c>
      <c r="H149" s="242"/>
      <c r="I149" s="258">
        <f aca="true" t="shared" si="15" ref="I149:I154">SUM(G149:H149)</f>
        <v>8574.61</v>
      </c>
      <c r="J149" s="278">
        <f aca="true" t="shared" si="16" ref="J149:J155">+I149-F149</f>
        <v>-0.3899999999994179</v>
      </c>
      <c r="K149" s="281">
        <f>+I149/F149</f>
        <v>0.9999545189504374</v>
      </c>
    </row>
    <row r="150" spans="1:11" ht="12.75">
      <c r="A150" s="1008" t="s">
        <v>128</v>
      </c>
      <c r="B150" s="969"/>
      <c r="C150" s="696"/>
      <c r="D150" s="290">
        <v>7791</v>
      </c>
      <c r="E150" s="242">
        <v>151</v>
      </c>
      <c r="F150" s="258">
        <f t="shared" si="14"/>
        <v>7942</v>
      </c>
      <c r="G150" s="290">
        <f>4.12+449.34+0.16+1692.2+5645.42</f>
        <v>7791.24</v>
      </c>
      <c r="H150" s="242">
        <v>150.69</v>
      </c>
      <c r="I150" s="258">
        <f t="shared" si="15"/>
        <v>7941.929999999999</v>
      </c>
      <c r="J150" s="278">
        <f t="shared" si="16"/>
        <v>-0.07000000000061846</v>
      </c>
      <c r="K150" s="281">
        <f>+I150/F150</f>
        <v>0.9999911860992192</v>
      </c>
    </row>
    <row r="151" spans="1:11" ht="12.75">
      <c r="A151" s="1008" t="s">
        <v>129</v>
      </c>
      <c r="B151" s="969"/>
      <c r="C151" s="696"/>
      <c r="D151" s="290">
        <v>1692</v>
      </c>
      <c r="E151" s="242">
        <v>0</v>
      </c>
      <c r="F151" s="258">
        <f t="shared" si="14"/>
        <v>1692</v>
      </c>
      <c r="G151" s="290"/>
      <c r="H151" s="242"/>
      <c r="I151" s="258">
        <f t="shared" si="15"/>
        <v>0</v>
      </c>
      <c r="J151" s="278">
        <f t="shared" si="16"/>
        <v>-1692</v>
      </c>
      <c r="K151" s="281"/>
    </row>
    <row r="152" spans="1:11" ht="12.75">
      <c r="A152" s="1008" t="s">
        <v>130</v>
      </c>
      <c r="B152" s="969"/>
      <c r="C152" s="696"/>
      <c r="D152" s="290">
        <v>1700</v>
      </c>
      <c r="E152" s="242">
        <v>4</v>
      </c>
      <c r="F152" s="258">
        <f t="shared" si="14"/>
        <v>1704</v>
      </c>
      <c r="G152" s="290">
        <v>1700.35</v>
      </c>
      <c r="H152" s="242">
        <v>4.03</v>
      </c>
      <c r="I152" s="258">
        <f t="shared" si="15"/>
        <v>1704.3799999999999</v>
      </c>
      <c r="J152" s="278">
        <f t="shared" si="16"/>
        <v>0.37999999999988177</v>
      </c>
      <c r="K152" s="281"/>
    </row>
    <row r="153" spans="1:11" ht="12.75">
      <c r="A153" s="1008" t="s">
        <v>131</v>
      </c>
      <c r="B153" s="969"/>
      <c r="C153" s="696"/>
      <c r="D153" s="297">
        <v>0</v>
      </c>
      <c r="E153" s="244">
        <v>0</v>
      </c>
      <c r="F153" s="258">
        <f t="shared" si="14"/>
        <v>0</v>
      </c>
      <c r="G153" s="297"/>
      <c r="H153" s="244"/>
      <c r="I153" s="258">
        <f t="shared" si="15"/>
        <v>0</v>
      </c>
      <c r="J153" s="278">
        <f t="shared" si="16"/>
        <v>0</v>
      </c>
      <c r="K153" s="281"/>
    </row>
    <row r="154" spans="1:11" ht="13.5" thickBot="1">
      <c r="A154" s="1009" t="s">
        <v>132</v>
      </c>
      <c r="B154" s="1010"/>
      <c r="C154" s="976"/>
      <c r="D154" s="293">
        <v>27529</v>
      </c>
      <c r="E154" s="298">
        <v>0</v>
      </c>
      <c r="F154" s="258">
        <f t="shared" si="14"/>
        <v>27529</v>
      </c>
      <c r="G154" s="293">
        <v>27529.19</v>
      </c>
      <c r="H154" s="245"/>
      <c r="I154" s="258">
        <f t="shared" si="15"/>
        <v>27529.19</v>
      </c>
      <c r="J154" s="278">
        <f t="shared" si="16"/>
        <v>0.18999999999869033</v>
      </c>
      <c r="K154" s="281">
        <f>+I154/F154</f>
        <v>1.0000069018126339</v>
      </c>
    </row>
    <row r="155" spans="1:11" ht="13.5" thickBot="1">
      <c r="A155" s="1011" t="s">
        <v>4</v>
      </c>
      <c r="B155" s="1012"/>
      <c r="C155" s="1013"/>
      <c r="D155" s="299">
        <f aca="true" t="shared" si="17" ref="D155:I155">SUM(D144+D147+D149+D150+D152+D154)</f>
        <v>389070</v>
      </c>
      <c r="E155" s="246">
        <f t="shared" si="17"/>
        <v>972</v>
      </c>
      <c r="F155" s="303">
        <f t="shared" si="17"/>
        <v>390042</v>
      </c>
      <c r="G155" s="299">
        <f t="shared" si="17"/>
        <v>389069.52999999997</v>
      </c>
      <c r="H155" s="246">
        <f t="shared" si="17"/>
        <v>972.23</v>
      </c>
      <c r="I155" s="303">
        <f t="shared" si="17"/>
        <v>390041.76</v>
      </c>
      <c r="J155" s="279">
        <f t="shared" si="16"/>
        <v>-0.23999999999068677</v>
      </c>
      <c r="K155" s="282">
        <f>+I155/F155</f>
        <v>0.9999993846816497</v>
      </c>
    </row>
    <row r="156" ht="4.5" customHeight="1" thickBot="1"/>
    <row r="157" spans="1:11" ht="12.75">
      <c r="A157" s="1014" t="s">
        <v>133</v>
      </c>
      <c r="B157" s="963"/>
      <c r="C157" s="980"/>
      <c r="D157" s="314">
        <v>100896</v>
      </c>
      <c r="E157" s="248">
        <v>524</v>
      </c>
      <c r="F157" s="249">
        <f>SUM(D157:E157)</f>
        <v>101420</v>
      </c>
      <c r="G157" s="314">
        <v>100825.29</v>
      </c>
      <c r="H157" s="248">
        <v>523.94</v>
      </c>
      <c r="I157" s="249">
        <f>SUM(G157:H157)</f>
        <v>101349.23</v>
      </c>
      <c r="J157" s="283">
        <f aca="true" t="shared" si="18" ref="J157:J186">+I157-F157</f>
        <v>-70.77000000000407</v>
      </c>
      <c r="K157" s="284">
        <f>+I157/F157</f>
        <v>0.9993022086373496</v>
      </c>
    </row>
    <row r="158" spans="1:11" ht="12.75">
      <c r="A158" s="1008" t="s">
        <v>167</v>
      </c>
      <c r="B158" s="969"/>
      <c r="C158" s="696"/>
      <c r="D158" s="300">
        <v>3370</v>
      </c>
      <c r="E158" s="240">
        <v>8</v>
      </c>
      <c r="F158" s="250">
        <f>SUM(D158:E158)</f>
        <v>3378</v>
      </c>
      <c r="G158" s="300"/>
      <c r="H158" s="240"/>
      <c r="I158" s="250">
        <f>SUM(G158:H158)</f>
        <v>0</v>
      </c>
      <c r="J158" s="278">
        <f t="shared" si="18"/>
        <v>-3378</v>
      </c>
      <c r="K158" s="281">
        <f>+I158/F158</f>
        <v>0</v>
      </c>
    </row>
    <row r="159" spans="1:11" ht="12.75">
      <c r="A159" s="1008" t="s">
        <v>135</v>
      </c>
      <c r="B159" s="969"/>
      <c r="C159" s="696"/>
      <c r="D159" s="300"/>
      <c r="E159" s="240"/>
      <c r="F159" s="251"/>
      <c r="G159" s="300"/>
      <c r="H159" s="240"/>
      <c r="I159" s="251"/>
      <c r="J159" s="278">
        <f t="shared" si="18"/>
        <v>0</v>
      </c>
      <c r="K159" s="270"/>
    </row>
    <row r="160" spans="1:11" ht="12.75">
      <c r="A160" s="1008" t="s">
        <v>136</v>
      </c>
      <c r="B160" s="969"/>
      <c r="C160" s="696"/>
      <c r="D160" s="300"/>
      <c r="E160" s="240"/>
      <c r="F160" s="251"/>
      <c r="G160" s="300"/>
      <c r="H160" s="240"/>
      <c r="I160" s="251"/>
      <c r="J160" s="278">
        <f t="shared" si="18"/>
        <v>0</v>
      </c>
      <c r="K160" s="270"/>
    </row>
    <row r="161" spans="1:11" ht="12.75">
      <c r="A161" s="1008" t="s">
        <v>137</v>
      </c>
      <c r="B161" s="969"/>
      <c r="C161" s="696"/>
      <c r="D161" s="300"/>
      <c r="E161" s="240"/>
      <c r="F161" s="251"/>
      <c r="G161" s="300"/>
      <c r="H161" s="240"/>
      <c r="I161" s="251"/>
      <c r="J161" s="278">
        <f t="shared" si="18"/>
        <v>0</v>
      </c>
      <c r="K161" s="270"/>
    </row>
    <row r="162" spans="1:11" ht="12.75">
      <c r="A162" s="1008" t="s">
        <v>138</v>
      </c>
      <c r="B162" s="969"/>
      <c r="C162" s="696"/>
      <c r="D162" s="300"/>
      <c r="E162" s="240"/>
      <c r="F162" s="251"/>
      <c r="G162" s="300"/>
      <c r="H162" s="240"/>
      <c r="I162" s="251"/>
      <c r="J162" s="278">
        <f t="shared" si="18"/>
        <v>0</v>
      </c>
      <c r="K162" s="270"/>
    </row>
    <row r="163" spans="1:11" ht="12.75">
      <c r="A163" s="1008" t="s">
        <v>139</v>
      </c>
      <c r="B163" s="969"/>
      <c r="C163" s="696"/>
      <c r="D163" s="300"/>
      <c r="E163" s="240"/>
      <c r="F163" s="251"/>
      <c r="G163" s="300"/>
      <c r="H163" s="240"/>
      <c r="I163" s="251"/>
      <c r="J163" s="278">
        <f t="shared" si="18"/>
        <v>0</v>
      </c>
      <c r="K163" s="270"/>
    </row>
    <row r="164" spans="1:11" ht="12.75">
      <c r="A164" s="1008" t="s">
        <v>140</v>
      </c>
      <c r="B164" s="969"/>
      <c r="C164" s="696"/>
      <c r="D164" s="300"/>
      <c r="E164" s="240"/>
      <c r="F164" s="251"/>
      <c r="G164" s="300"/>
      <c r="H164" s="240"/>
      <c r="I164" s="251"/>
      <c r="J164" s="278">
        <f t="shared" si="18"/>
        <v>0</v>
      </c>
      <c r="K164" s="270"/>
    </row>
    <row r="165" spans="1:11" ht="12.75">
      <c r="A165" s="1008" t="s">
        <v>141</v>
      </c>
      <c r="B165" s="969"/>
      <c r="C165" s="696"/>
      <c r="D165" s="309">
        <v>14602</v>
      </c>
      <c r="E165" s="244">
        <v>179</v>
      </c>
      <c r="F165" s="250">
        <f aca="true" t="shared" si="19" ref="F165:F170">SUM(D165:E165)</f>
        <v>14781</v>
      </c>
      <c r="G165" s="309">
        <v>14601.44</v>
      </c>
      <c r="H165" s="244">
        <v>179.21</v>
      </c>
      <c r="I165" s="250">
        <f aca="true" t="shared" si="20" ref="I165:I170">SUM(G165:H165)</f>
        <v>14780.65</v>
      </c>
      <c r="J165" s="278">
        <f t="shared" si="18"/>
        <v>-0.3500000000003638</v>
      </c>
      <c r="K165" s="281">
        <f>+I165/F165</f>
        <v>0.9999763209525743</v>
      </c>
    </row>
    <row r="166" spans="1:11" ht="12.75">
      <c r="A166" s="1008" t="s">
        <v>142</v>
      </c>
      <c r="B166" s="969"/>
      <c r="C166" s="696"/>
      <c r="D166" s="290"/>
      <c r="E166" s="242"/>
      <c r="F166" s="250">
        <f t="shared" si="19"/>
        <v>0</v>
      </c>
      <c r="G166" s="290"/>
      <c r="H166" s="242"/>
      <c r="I166" s="250">
        <f t="shared" si="20"/>
        <v>0</v>
      </c>
      <c r="J166" s="278">
        <f t="shared" si="18"/>
        <v>0</v>
      </c>
      <c r="K166" s="281"/>
    </row>
    <row r="167" spans="1:11" ht="12.75">
      <c r="A167" s="1008" t="s">
        <v>143</v>
      </c>
      <c r="B167" s="969"/>
      <c r="C167" s="696"/>
      <c r="D167" s="290">
        <v>36717</v>
      </c>
      <c r="E167" s="242">
        <v>0</v>
      </c>
      <c r="F167" s="250">
        <f t="shared" si="19"/>
        <v>36717</v>
      </c>
      <c r="G167" s="290">
        <v>36717.16</v>
      </c>
      <c r="H167" s="242">
        <v>0</v>
      </c>
      <c r="I167" s="250">
        <f t="shared" si="20"/>
        <v>36717.16</v>
      </c>
      <c r="J167" s="278">
        <f t="shared" si="18"/>
        <v>0.16000000000349246</v>
      </c>
      <c r="K167" s="281">
        <f>+I167/F167</f>
        <v>1.0000043576544926</v>
      </c>
    </row>
    <row r="168" spans="1:11" ht="12.75">
      <c r="A168" s="1008" t="s">
        <v>144</v>
      </c>
      <c r="B168" s="969"/>
      <c r="C168" s="696"/>
      <c r="D168" s="290">
        <v>43193</v>
      </c>
      <c r="E168" s="242">
        <v>115</v>
      </c>
      <c r="F168" s="250">
        <f t="shared" si="19"/>
        <v>43308</v>
      </c>
      <c r="G168" s="290">
        <f>6222.24+572.14+40.35+36357.76</f>
        <v>43192.490000000005</v>
      </c>
      <c r="H168" s="242">
        <f>39.97+75.15</f>
        <v>115.12</v>
      </c>
      <c r="I168" s="250">
        <f t="shared" si="20"/>
        <v>43307.61000000001</v>
      </c>
      <c r="J168" s="278">
        <f t="shared" si="18"/>
        <v>-0.38999999999214197</v>
      </c>
      <c r="K168" s="281">
        <f>+I168/F168</f>
        <v>0.999990994735384</v>
      </c>
    </row>
    <row r="169" spans="1:11" ht="12.75">
      <c r="A169" s="1008" t="s">
        <v>145</v>
      </c>
      <c r="B169" s="969"/>
      <c r="C169" s="696"/>
      <c r="D169" s="290">
        <v>6222</v>
      </c>
      <c r="E169" s="242">
        <v>40</v>
      </c>
      <c r="F169" s="250">
        <f t="shared" si="19"/>
        <v>6262</v>
      </c>
      <c r="G169" s="290">
        <v>6222.24</v>
      </c>
      <c r="H169" s="242">
        <v>39.97</v>
      </c>
      <c r="I169" s="250">
        <f t="shared" si="20"/>
        <v>6262.21</v>
      </c>
      <c r="J169" s="278">
        <f t="shared" si="18"/>
        <v>0.21000000000003638</v>
      </c>
      <c r="K169" s="281">
        <f>+I169/F169</f>
        <v>1.0000335356116257</v>
      </c>
    </row>
    <row r="170" spans="1:11" ht="12.75">
      <c r="A170" s="1008" t="s">
        <v>146</v>
      </c>
      <c r="B170" s="969"/>
      <c r="C170" s="696"/>
      <c r="D170" s="290">
        <v>36358</v>
      </c>
      <c r="E170" s="242">
        <v>0</v>
      </c>
      <c r="F170" s="250">
        <f t="shared" si="19"/>
        <v>36358</v>
      </c>
      <c r="G170" s="290">
        <v>36357.76</v>
      </c>
      <c r="H170" s="242">
        <v>75.15</v>
      </c>
      <c r="I170" s="250">
        <f t="shared" si="20"/>
        <v>36432.91</v>
      </c>
      <c r="J170" s="278">
        <f t="shared" si="18"/>
        <v>74.91000000000349</v>
      </c>
      <c r="K170" s="281">
        <f>+I170/F170</f>
        <v>1.0020603443533749</v>
      </c>
    </row>
    <row r="171" spans="1:11" ht="12.75">
      <c r="A171" s="1008" t="s">
        <v>147</v>
      </c>
      <c r="B171" s="969"/>
      <c r="C171" s="696"/>
      <c r="D171" s="290"/>
      <c r="E171" s="242"/>
      <c r="F171" s="250"/>
      <c r="G171" s="290"/>
      <c r="H171" s="242"/>
      <c r="I171" s="250"/>
      <c r="J171" s="278">
        <f t="shared" si="18"/>
        <v>0</v>
      </c>
      <c r="K171" s="270"/>
    </row>
    <row r="172" spans="1:11" ht="12.75">
      <c r="A172" s="1008" t="s">
        <v>148</v>
      </c>
      <c r="B172" s="969"/>
      <c r="C172" s="696"/>
      <c r="D172" s="290"/>
      <c r="E172" s="242"/>
      <c r="F172" s="250"/>
      <c r="G172" s="290"/>
      <c r="H172" s="242"/>
      <c r="I172" s="250"/>
      <c r="J172" s="278">
        <f t="shared" si="18"/>
        <v>0</v>
      </c>
      <c r="K172" s="270"/>
    </row>
    <row r="173" spans="1:11" ht="12.75">
      <c r="A173" s="1008" t="s">
        <v>149</v>
      </c>
      <c r="B173" s="969"/>
      <c r="C173" s="696"/>
      <c r="D173" s="290"/>
      <c r="E173" s="242"/>
      <c r="F173" s="250"/>
      <c r="G173" s="290"/>
      <c r="H173" s="242"/>
      <c r="I173" s="250"/>
      <c r="J173" s="278">
        <f t="shared" si="18"/>
        <v>0</v>
      </c>
      <c r="K173" s="270"/>
    </row>
    <row r="174" spans="1:11" ht="12.75">
      <c r="A174" s="1008" t="s">
        <v>168</v>
      </c>
      <c r="B174" s="969"/>
      <c r="C174" s="696"/>
      <c r="D174" s="290"/>
      <c r="E174" s="242"/>
      <c r="F174" s="250"/>
      <c r="G174" s="290"/>
      <c r="H174" s="242"/>
      <c r="I174" s="250"/>
      <c r="J174" s="278">
        <f t="shared" si="18"/>
        <v>0</v>
      </c>
      <c r="K174" s="270"/>
    </row>
    <row r="175" spans="1:11" ht="12.75">
      <c r="A175" s="1008" t="s">
        <v>150</v>
      </c>
      <c r="B175" s="969"/>
      <c r="C175" s="696"/>
      <c r="D175" s="290"/>
      <c r="E175" s="242"/>
      <c r="F175" s="250"/>
      <c r="G175" s="290"/>
      <c r="H175" s="242"/>
      <c r="I175" s="250"/>
      <c r="J175" s="278">
        <f t="shared" si="18"/>
        <v>0</v>
      </c>
      <c r="K175" s="281"/>
    </row>
    <row r="176" spans="1:11" ht="12.75">
      <c r="A176" s="1008" t="s">
        <v>151</v>
      </c>
      <c r="B176" s="969"/>
      <c r="C176" s="696"/>
      <c r="D176" s="301">
        <v>188300</v>
      </c>
      <c r="E176" s="242">
        <v>1051</v>
      </c>
      <c r="F176" s="250">
        <f aca="true" t="shared" si="21" ref="F176:F185">SUM(D176:E176)</f>
        <v>189351</v>
      </c>
      <c r="G176" s="301">
        <f>137213.26+47940.91+2745.52+400.74</f>
        <v>188300.43</v>
      </c>
      <c r="H176" s="242">
        <f>767.56+267.2+11.54+5.1</f>
        <v>1051.3999999999999</v>
      </c>
      <c r="I176" s="250">
        <f aca="true" t="shared" si="22" ref="I176:I185">SUM(G176:H176)</f>
        <v>189351.83</v>
      </c>
      <c r="J176" s="278">
        <f t="shared" si="18"/>
        <v>0.8299999999871943</v>
      </c>
      <c r="K176" s="281">
        <f>+I176/F176</f>
        <v>1.000004383393803</v>
      </c>
    </row>
    <row r="177" spans="1:11" ht="12.75">
      <c r="A177" s="1008" t="s">
        <v>152</v>
      </c>
      <c r="B177" s="969"/>
      <c r="C177" s="696"/>
      <c r="D177" s="301">
        <v>137214</v>
      </c>
      <c r="E177" s="242">
        <v>767</v>
      </c>
      <c r="F177" s="250">
        <f t="shared" si="21"/>
        <v>137981</v>
      </c>
      <c r="G177" s="301">
        <v>137213.26</v>
      </c>
      <c r="H177" s="242">
        <v>767.56</v>
      </c>
      <c r="I177" s="250">
        <f t="shared" si="22"/>
        <v>137980.82</v>
      </c>
      <c r="J177" s="278">
        <f t="shared" si="18"/>
        <v>-0.17999999999301508</v>
      </c>
      <c r="K177" s="281">
        <f>+I177/F177</f>
        <v>0.9999986954725651</v>
      </c>
    </row>
    <row r="178" spans="1:11" ht="12.75">
      <c r="A178" s="1008" t="s">
        <v>153</v>
      </c>
      <c r="B178" s="969"/>
      <c r="C178" s="696"/>
      <c r="D178" s="301">
        <v>137087</v>
      </c>
      <c r="E178" s="242">
        <v>767</v>
      </c>
      <c r="F178" s="250">
        <f t="shared" si="21"/>
        <v>137854</v>
      </c>
      <c r="G178" s="301"/>
      <c r="H178" s="242"/>
      <c r="I178" s="250">
        <f t="shared" si="22"/>
        <v>0</v>
      </c>
      <c r="J178" s="278">
        <f t="shared" si="18"/>
        <v>-137854</v>
      </c>
      <c r="K178" s="281">
        <f>+I178/F178</f>
        <v>0</v>
      </c>
    </row>
    <row r="179" spans="1:11" ht="12.75">
      <c r="A179" s="1008" t="s">
        <v>154</v>
      </c>
      <c r="B179" s="969"/>
      <c r="C179" s="696"/>
      <c r="D179" s="301">
        <v>127</v>
      </c>
      <c r="E179" s="242">
        <v>0</v>
      </c>
      <c r="F179" s="250">
        <f t="shared" si="21"/>
        <v>127</v>
      </c>
      <c r="G179" s="301"/>
      <c r="H179" s="242"/>
      <c r="I179" s="250">
        <f t="shared" si="22"/>
        <v>0</v>
      </c>
      <c r="J179" s="278">
        <f t="shared" si="18"/>
        <v>-127</v>
      </c>
      <c r="K179" s="281">
        <f>+I179/F179</f>
        <v>0</v>
      </c>
    </row>
    <row r="180" spans="1:11" ht="12.75">
      <c r="A180" s="1008" t="s">
        <v>155</v>
      </c>
      <c r="B180" s="969"/>
      <c r="C180" s="696"/>
      <c r="D180" s="301">
        <v>51087</v>
      </c>
      <c r="E180" s="242">
        <v>284</v>
      </c>
      <c r="F180" s="250">
        <f t="shared" si="21"/>
        <v>51371</v>
      </c>
      <c r="G180" s="301">
        <f>47940.91+2745.52+400.74</f>
        <v>51087.17</v>
      </c>
      <c r="H180" s="242">
        <f>267.2+11.54+5.1</f>
        <v>283.84000000000003</v>
      </c>
      <c r="I180" s="250">
        <f t="shared" si="22"/>
        <v>51371.009999999995</v>
      </c>
      <c r="J180" s="278">
        <f t="shared" si="18"/>
        <v>0.00999999999476131</v>
      </c>
      <c r="K180" s="281">
        <f>+I180/F180</f>
        <v>1.000000194662358</v>
      </c>
    </row>
    <row r="181" spans="1:11" ht="12.75">
      <c r="A181" s="1008" t="s">
        <v>156</v>
      </c>
      <c r="B181" s="969"/>
      <c r="C181" s="696"/>
      <c r="D181" s="290">
        <v>13</v>
      </c>
      <c r="E181" s="242">
        <v>4</v>
      </c>
      <c r="F181" s="250">
        <f t="shared" si="21"/>
        <v>17</v>
      </c>
      <c r="G181" s="290">
        <f>0.48+12.83</f>
        <v>13.31</v>
      </c>
      <c r="H181" s="242">
        <v>3.6</v>
      </c>
      <c r="I181" s="250">
        <f t="shared" si="22"/>
        <v>16.91</v>
      </c>
      <c r="J181" s="278">
        <f t="shared" si="18"/>
        <v>-0.08999999999999986</v>
      </c>
      <c r="K181" s="281"/>
    </row>
    <row r="182" spans="1:11" ht="12.75">
      <c r="A182" s="1008" t="s">
        <v>157</v>
      </c>
      <c r="B182" s="969"/>
      <c r="C182" s="696"/>
      <c r="D182" s="290">
        <v>1765</v>
      </c>
      <c r="E182" s="242">
        <v>4</v>
      </c>
      <c r="F182" s="250">
        <f t="shared" si="21"/>
        <v>1769</v>
      </c>
      <c r="G182" s="290">
        <f>4.1+30.55+27.75+36.85+0.29+67.23+1598.39</f>
        <v>1765.16</v>
      </c>
      <c r="H182" s="242">
        <v>4.08</v>
      </c>
      <c r="I182" s="250">
        <f t="shared" si="22"/>
        <v>1769.24</v>
      </c>
      <c r="J182" s="278">
        <f t="shared" si="18"/>
        <v>0.2400000000000091</v>
      </c>
      <c r="K182" s="281">
        <f>+I182/F182</f>
        <v>1.000135669869983</v>
      </c>
    </row>
    <row r="183" spans="1:11" ht="12.75">
      <c r="A183" s="1008" t="s">
        <v>158</v>
      </c>
      <c r="B183" s="969"/>
      <c r="C183" s="696"/>
      <c r="D183" s="290">
        <v>2586</v>
      </c>
      <c r="E183" s="242">
        <v>4</v>
      </c>
      <c r="F183" s="250">
        <f t="shared" si="21"/>
        <v>2590</v>
      </c>
      <c r="G183" s="290">
        <f>639.92+1945.71</f>
        <v>2585.63</v>
      </c>
      <c r="H183" s="242">
        <v>3.67</v>
      </c>
      <c r="I183" s="250">
        <f t="shared" si="22"/>
        <v>2589.3</v>
      </c>
      <c r="J183" s="278">
        <f t="shared" si="18"/>
        <v>-0.6999999999998181</v>
      </c>
      <c r="K183" s="281">
        <f>+I183/F183</f>
        <v>0.9997297297297298</v>
      </c>
    </row>
    <row r="184" spans="1:11" ht="12.75">
      <c r="A184" s="1008" t="s">
        <v>159</v>
      </c>
      <c r="B184" s="969"/>
      <c r="C184" s="696"/>
      <c r="D184" s="290">
        <v>640</v>
      </c>
      <c r="E184" s="244">
        <v>0</v>
      </c>
      <c r="F184" s="250">
        <f t="shared" si="21"/>
        <v>640</v>
      </c>
      <c r="G184" s="290">
        <v>639.92</v>
      </c>
      <c r="H184" s="244"/>
      <c r="I184" s="250">
        <f t="shared" si="22"/>
        <v>639.92</v>
      </c>
      <c r="J184" s="278">
        <f t="shared" si="18"/>
        <v>-0.08000000000004093</v>
      </c>
      <c r="K184" s="281">
        <f>+I184/F184</f>
        <v>0.999875</v>
      </c>
    </row>
    <row r="185" spans="1:11" ht="13.5" thickBot="1">
      <c r="A185" s="1025" t="s">
        <v>160</v>
      </c>
      <c r="B185" s="1026"/>
      <c r="C185" s="1027"/>
      <c r="D185" s="310">
        <v>89</v>
      </c>
      <c r="E185" s="245"/>
      <c r="F185" s="250">
        <f t="shared" si="21"/>
        <v>89</v>
      </c>
      <c r="G185" s="310">
        <v>88.84</v>
      </c>
      <c r="H185" s="245"/>
      <c r="I185" s="250">
        <f t="shared" si="22"/>
        <v>88.84</v>
      </c>
      <c r="J185" s="306">
        <f t="shared" si="18"/>
        <v>-0.1599999999999966</v>
      </c>
      <c r="K185" s="281"/>
    </row>
    <row r="186" spans="1:11" ht="13.5" thickBot="1">
      <c r="A186" s="1011" t="s">
        <v>3</v>
      </c>
      <c r="B186" s="1012"/>
      <c r="C186" s="1013"/>
      <c r="D186" s="299">
        <f aca="true" t="shared" si="23" ref="D186:I186">SUM(D157+D165+D166+D167+D168+D176+D181+D182+D183+D185)</f>
        <v>388161</v>
      </c>
      <c r="E186" s="246">
        <f t="shared" si="23"/>
        <v>1881</v>
      </c>
      <c r="F186" s="303">
        <f t="shared" si="23"/>
        <v>390042</v>
      </c>
      <c r="G186" s="299">
        <f t="shared" si="23"/>
        <v>388089.75</v>
      </c>
      <c r="H186" s="246">
        <f t="shared" si="23"/>
        <v>1881.02</v>
      </c>
      <c r="I186" s="303">
        <f t="shared" si="23"/>
        <v>389970.76999999996</v>
      </c>
      <c r="J186" s="285">
        <f t="shared" si="18"/>
        <v>-71.23000000003958</v>
      </c>
      <c r="K186" s="286">
        <f>+I186/F186</f>
        <v>0.9998173786412744</v>
      </c>
    </row>
    <row r="187" ht="8.25" customHeight="1" thickBot="1"/>
    <row r="188" spans="1:9" ht="13.5" thickBot="1">
      <c r="A188" s="1028" t="s">
        <v>24</v>
      </c>
      <c r="B188" s="974"/>
      <c r="C188" s="974"/>
      <c r="D188" s="1001">
        <f>+F155-F186</f>
        <v>0</v>
      </c>
      <c r="E188" s="1136"/>
      <c r="F188" s="1137"/>
      <c r="G188" s="1001">
        <f>+I155-I186</f>
        <v>70.9900000000489</v>
      </c>
      <c r="H188" s="1002"/>
      <c r="I188" s="921"/>
    </row>
    <row r="189" spans="1:9" ht="12.75">
      <c r="A189" s="1138" t="s">
        <v>164</v>
      </c>
      <c r="B189" s="1139"/>
      <c r="C189" s="1139"/>
      <c r="D189" s="1139"/>
      <c r="E189" s="1139"/>
      <c r="F189" s="1140"/>
      <c r="G189" s="1141">
        <v>0</v>
      </c>
      <c r="H189" s="1142"/>
      <c r="I189" s="1143"/>
    </row>
    <row r="190" spans="1:9" ht="13.5" thickBot="1">
      <c r="A190" s="1029" t="s">
        <v>165</v>
      </c>
      <c r="B190" s="1030"/>
      <c r="C190" s="1030"/>
      <c r="D190" s="1030"/>
      <c r="E190" s="1030"/>
      <c r="F190" s="1031"/>
      <c r="G190" s="1032">
        <f>SUM(G188:I189)</f>
        <v>70.9900000000489</v>
      </c>
      <c r="H190" s="698"/>
      <c r="I190" s="995"/>
    </row>
    <row r="192" spans="1:12" ht="12.75">
      <c r="A192" s="668" t="s">
        <v>327</v>
      </c>
      <c r="B192" s="1122"/>
      <c r="C192" s="1122"/>
      <c r="D192" s="1122"/>
      <c r="E192" s="1122"/>
      <c r="F192" s="1122"/>
      <c r="G192" s="1122"/>
      <c r="H192" s="1122"/>
      <c r="I192" s="1122"/>
      <c r="J192" s="1122"/>
      <c r="K192" s="1122"/>
      <c r="L192" s="1123"/>
    </row>
    <row r="193" spans="1:12" ht="12.75">
      <c r="A193" s="1124"/>
      <c r="B193" s="1080"/>
      <c r="C193" s="1080"/>
      <c r="D193" s="1080"/>
      <c r="E193" s="1080"/>
      <c r="F193" s="1080"/>
      <c r="G193" s="1080"/>
      <c r="H193" s="1080"/>
      <c r="I193" s="1080"/>
      <c r="J193" s="1080"/>
      <c r="K193" s="1080"/>
      <c r="L193" s="1125"/>
    </row>
    <row r="194" spans="1:12" ht="12.75">
      <c r="A194" s="1124"/>
      <c r="B194" s="1080"/>
      <c r="C194" s="1080"/>
      <c r="D194" s="1080"/>
      <c r="E194" s="1080"/>
      <c r="F194" s="1080"/>
      <c r="G194" s="1080"/>
      <c r="H194" s="1080"/>
      <c r="I194" s="1080"/>
      <c r="J194" s="1080"/>
      <c r="K194" s="1080"/>
      <c r="L194" s="1125"/>
    </row>
    <row r="195" spans="1:12" ht="12.75">
      <c r="A195" s="1124"/>
      <c r="B195" s="1080"/>
      <c r="C195" s="1080"/>
      <c r="D195" s="1080"/>
      <c r="E195" s="1080"/>
      <c r="F195" s="1080"/>
      <c r="G195" s="1080"/>
      <c r="H195" s="1080"/>
      <c r="I195" s="1080"/>
      <c r="J195" s="1080"/>
      <c r="K195" s="1080"/>
      <c r="L195" s="1125"/>
    </row>
    <row r="196" spans="1:12" ht="12.75">
      <c r="A196" s="1124"/>
      <c r="B196" s="1080"/>
      <c r="C196" s="1080"/>
      <c r="D196" s="1080"/>
      <c r="E196" s="1080"/>
      <c r="F196" s="1080"/>
      <c r="G196" s="1080"/>
      <c r="H196" s="1080"/>
      <c r="I196" s="1080"/>
      <c r="J196" s="1080"/>
      <c r="K196" s="1080"/>
      <c r="L196" s="1125"/>
    </row>
    <row r="197" spans="1:12" ht="12.75">
      <c r="A197" s="1124"/>
      <c r="B197" s="1080"/>
      <c r="C197" s="1080"/>
      <c r="D197" s="1080"/>
      <c r="E197" s="1080"/>
      <c r="F197" s="1080"/>
      <c r="G197" s="1080"/>
      <c r="H197" s="1080"/>
      <c r="I197" s="1080"/>
      <c r="J197" s="1080"/>
      <c r="K197" s="1080"/>
      <c r="L197" s="1125"/>
    </row>
    <row r="198" spans="1:12" ht="12.75">
      <c r="A198" s="671" t="s">
        <v>328</v>
      </c>
      <c r="B198" s="672"/>
      <c r="C198" s="672"/>
      <c r="D198" s="672"/>
      <c r="E198" s="672"/>
      <c r="F198" s="672"/>
      <c r="G198" s="672"/>
      <c r="H198" s="672"/>
      <c r="I198" s="672"/>
      <c r="J198" s="672"/>
      <c r="K198" s="672"/>
      <c r="L198" s="673"/>
    </row>
    <row r="199" spans="1:12" ht="12.75">
      <c r="A199" s="671"/>
      <c r="B199" s="672"/>
      <c r="C199" s="672"/>
      <c r="D199" s="672"/>
      <c r="E199" s="672"/>
      <c r="F199" s="672"/>
      <c r="G199" s="672"/>
      <c r="H199" s="672"/>
      <c r="I199" s="672"/>
      <c r="J199" s="672"/>
      <c r="K199" s="672"/>
      <c r="L199" s="673"/>
    </row>
    <row r="200" spans="1:12" ht="12.75">
      <c r="A200" s="671"/>
      <c r="B200" s="672"/>
      <c r="C200" s="672"/>
      <c r="D200" s="672"/>
      <c r="E200" s="672"/>
      <c r="F200" s="672"/>
      <c r="G200" s="672"/>
      <c r="H200" s="672"/>
      <c r="I200" s="672"/>
      <c r="J200" s="672"/>
      <c r="K200" s="672"/>
      <c r="L200" s="673"/>
    </row>
    <row r="201" spans="1:12" ht="12.75">
      <c r="A201" s="671"/>
      <c r="B201" s="672"/>
      <c r="C201" s="672"/>
      <c r="D201" s="672"/>
      <c r="E201" s="672"/>
      <c r="F201" s="672"/>
      <c r="G201" s="672"/>
      <c r="H201" s="672"/>
      <c r="I201" s="672"/>
      <c r="J201" s="672"/>
      <c r="K201" s="672"/>
      <c r="L201" s="673"/>
    </row>
    <row r="202" spans="1:12" ht="12.75">
      <c r="A202" s="671"/>
      <c r="B202" s="672"/>
      <c r="C202" s="672"/>
      <c r="D202" s="672"/>
      <c r="E202" s="672"/>
      <c r="F202" s="672"/>
      <c r="G202" s="672"/>
      <c r="H202" s="672"/>
      <c r="I202" s="672"/>
      <c r="J202" s="672"/>
      <c r="K202" s="672"/>
      <c r="L202" s="673"/>
    </row>
    <row r="203" spans="1:12" ht="12.75">
      <c r="A203" s="671" t="s">
        <v>329</v>
      </c>
      <c r="B203" s="672"/>
      <c r="C203" s="672"/>
      <c r="D203" s="672"/>
      <c r="E203" s="672"/>
      <c r="F203" s="672"/>
      <c r="G203" s="672"/>
      <c r="H203" s="672"/>
      <c r="I203" s="672"/>
      <c r="J203" s="672"/>
      <c r="K203" s="672"/>
      <c r="L203" s="673"/>
    </row>
    <row r="204" spans="1:12" ht="12.75">
      <c r="A204" s="671"/>
      <c r="B204" s="672"/>
      <c r="C204" s="672"/>
      <c r="D204" s="672"/>
      <c r="E204" s="672"/>
      <c r="F204" s="672"/>
      <c r="G204" s="672"/>
      <c r="H204" s="672"/>
      <c r="I204" s="672"/>
      <c r="J204" s="672"/>
      <c r="K204" s="672"/>
      <c r="L204" s="673"/>
    </row>
    <row r="205" spans="1:12" ht="12.75">
      <c r="A205" s="671"/>
      <c r="B205" s="672"/>
      <c r="C205" s="672"/>
      <c r="D205" s="672"/>
      <c r="E205" s="672"/>
      <c r="F205" s="672"/>
      <c r="G205" s="672"/>
      <c r="H205" s="672"/>
      <c r="I205" s="672"/>
      <c r="J205" s="672"/>
      <c r="K205" s="672"/>
      <c r="L205" s="673"/>
    </row>
    <row r="206" spans="1:12" ht="12.75">
      <c r="A206" s="671"/>
      <c r="B206" s="672"/>
      <c r="C206" s="672"/>
      <c r="D206" s="672"/>
      <c r="E206" s="672"/>
      <c r="F206" s="672"/>
      <c r="G206" s="672"/>
      <c r="H206" s="672"/>
      <c r="I206" s="672"/>
      <c r="J206" s="672"/>
      <c r="K206" s="672"/>
      <c r="L206" s="673"/>
    </row>
    <row r="207" spans="1:12" ht="12.75">
      <c r="A207" s="671" t="s">
        <v>330</v>
      </c>
      <c r="B207" s="672"/>
      <c r="C207" s="672"/>
      <c r="D207" s="672"/>
      <c r="E207" s="672"/>
      <c r="F207" s="672"/>
      <c r="G207" s="672"/>
      <c r="H207" s="672"/>
      <c r="I207" s="672"/>
      <c r="J207" s="672"/>
      <c r="K207" s="672"/>
      <c r="L207" s="673"/>
    </row>
    <row r="208" spans="1:12" ht="12.75">
      <c r="A208" s="671"/>
      <c r="B208" s="672"/>
      <c r="C208" s="672"/>
      <c r="D208" s="672"/>
      <c r="E208" s="672"/>
      <c r="F208" s="672"/>
      <c r="G208" s="672"/>
      <c r="H208" s="672"/>
      <c r="I208" s="672"/>
      <c r="J208" s="672"/>
      <c r="K208" s="672"/>
      <c r="L208" s="673"/>
    </row>
    <row r="209" spans="1:12" ht="12.75">
      <c r="A209" s="671"/>
      <c r="B209" s="672"/>
      <c r="C209" s="672"/>
      <c r="D209" s="672"/>
      <c r="E209" s="672"/>
      <c r="F209" s="672"/>
      <c r="G209" s="672"/>
      <c r="H209" s="672"/>
      <c r="I209" s="672"/>
      <c r="J209" s="672"/>
      <c r="K209" s="672"/>
      <c r="L209" s="673"/>
    </row>
    <row r="210" spans="1:12" ht="12.75">
      <c r="A210" s="671"/>
      <c r="B210" s="672"/>
      <c r="C210" s="672"/>
      <c r="D210" s="672"/>
      <c r="E210" s="672"/>
      <c r="F210" s="672"/>
      <c r="G210" s="672"/>
      <c r="H210" s="672"/>
      <c r="I210" s="672"/>
      <c r="J210" s="672"/>
      <c r="K210" s="672"/>
      <c r="L210" s="673"/>
    </row>
    <row r="211" spans="1:12" ht="12.75">
      <c r="A211" s="671" t="s">
        <v>331</v>
      </c>
      <c r="B211" s="672"/>
      <c r="C211" s="672"/>
      <c r="D211" s="672"/>
      <c r="E211" s="672"/>
      <c r="F211" s="672"/>
      <c r="G211" s="672"/>
      <c r="H211" s="672"/>
      <c r="I211" s="672"/>
      <c r="J211" s="672"/>
      <c r="K211" s="672"/>
      <c r="L211" s="673"/>
    </row>
    <row r="212" spans="1:12" ht="12.75">
      <c r="A212" s="671"/>
      <c r="B212" s="672"/>
      <c r="C212" s="672"/>
      <c r="D212" s="672"/>
      <c r="E212" s="672"/>
      <c r="F212" s="672"/>
      <c r="G212" s="672"/>
      <c r="H212" s="672"/>
      <c r="I212" s="672"/>
      <c r="J212" s="672"/>
      <c r="K212" s="672"/>
      <c r="L212" s="673"/>
    </row>
    <row r="213" spans="1:12" ht="12.75">
      <c r="A213" s="674"/>
      <c r="B213" s="675"/>
      <c r="C213" s="675"/>
      <c r="D213" s="675"/>
      <c r="E213" s="675"/>
      <c r="F213" s="675"/>
      <c r="G213" s="675"/>
      <c r="H213" s="675"/>
      <c r="I213" s="675"/>
      <c r="J213" s="675"/>
      <c r="K213" s="675"/>
      <c r="L213" s="676"/>
    </row>
    <row r="214" spans="1:12" ht="12.75">
      <c r="A214" s="515"/>
      <c r="B214" s="515"/>
      <c r="C214" s="515"/>
      <c r="D214" s="515"/>
      <c r="E214" s="515"/>
      <c r="F214" s="515"/>
      <c r="G214" s="515"/>
      <c r="H214" s="515"/>
      <c r="I214" s="515"/>
      <c r="J214" s="515"/>
      <c r="K214" s="515"/>
      <c r="L214" s="515"/>
    </row>
    <row r="215" ht="16.5" thickBot="1">
      <c r="A215" s="29" t="s">
        <v>293</v>
      </c>
    </row>
    <row r="216" spans="1:12" ht="12.75">
      <c r="A216" s="926" t="s">
        <v>271</v>
      </c>
      <c r="B216" s="927"/>
      <c r="C216" s="927"/>
      <c r="D216" s="927"/>
      <c r="E216" s="927"/>
      <c r="F216" s="927"/>
      <c r="G216" s="927"/>
      <c r="H216" s="927"/>
      <c r="I216" s="927"/>
      <c r="J216" s="927"/>
      <c r="K216" s="927"/>
      <c r="L216" s="928"/>
    </row>
    <row r="217" spans="1:12" ht="12.75">
      <c r="A217" s="929"/>
      <c r="B217" s="672"/>
      <c r="C217" s="672"/>
      <c r="D217" s="672"/>
      <c r="E217" s="672"/>
      <c r="F217" s="672"/>
      <c r="G217" s="672"/>
      <c r="H217" s="672"/>
      <c r="I217" s="672"/>
      <c r="J217" s="672"/>
      <c r="K217" s="672"/>
      <c r="L217" s="930"/>
    </row>
    <row r="218" spans="1:12" ht="12.75">
      <c r="A218" s="929"/>
      <c r="B218" s="672"/>
      <c r="C218" s="672"/>
      <c r="D218" s="672"/>
      <c r="E218" s="672"/>
      <c r="F218" s="672"/>
      <c r="G218" s="672"/>
      <c r="H218" s="672"/>
      <c r="I218" s="672"/>
      <c r="J218" s="672"/>
      <c r="K218" s="672"/>
      <c r="L218" s="930"/>
    </row>
    <row r="219" spans="1:12" ht="12.75">
      <c r="A219" s="929"/>
      <c r="B219" s="672"/>
      <c r="C219" s="672"/>
      <c r="D219" s="672"/>
      <c r="E219" s="672"/>
      <c r="F219" s="672"/>
      <c r="G219" s="672"/>
      <c r="H219" s="672"/>
      <c r="I219" s="672"/>
      <c r="J219" s="672"/>
      <c r="K219" s="672"/>
      <c r="L219" s="930"/>
    </row>
    <row r="220" spans="1:12" ht="13.5" thickBot="1">
      <c r="A220" s="931"/>
      <c r="B220" s="932"/>
      <c r="C220" s="932"/>
      <c r="D220" s="932"/>
      <c r="E220" s="932"/>
      <c r="F220" s="932"/>
      <c r="G220" s="932"/>
      <c r="H220" s="932"/>
      <c r="I220" s="932"/>
      <c r="J220" s="932"/>
      <c r="K220" s="932"/>
      <c r="L220" s="933"/>
    </row>
    <row r="223" ht="15.75">
      <c r="A223" s="29" t="s">
        <v>229</v>
      </c>
    </row>
    <row r="281" spans="1:12" ht="12.75">
      <c r="A281" s="668" t="s">
        <v>291</v>
      </c>
      <c r="B281" s="669"/>
      <c r="C281" s="669"/>
      <c r="D281" s="669"/>
      <c r="E281" s="669"/>
      <c r="F281" s="669"/>
      <c r="G281" s="669"/>
      <c r="H281" s="669"/>
      <c r="I281" s="669"/>
      <c r="J281" s="669"/>
      <c r="K281" s="669"/>
      <c r="L281" s="670"/>
    </row>
    <row r="282" spans="1:12" ht="12.75">
      <c r="A282" s="671"/>
      <c r="B282" s="672"/>
      <c r="C282" s="672"/>
      <c r="D282" s="672"/>
      <c r="E282" s="672"/>
      <c r="F282" s="672"/>
      <c r="G282" s="672"/>
      <c r="H282" s="672"/>
      <c r="I282" s="672"/>
      <c r="J282" s="672"/>
      <c r="K282" s="672"/>
      <c r="L282" s="673"/>
    </row>
    <row r="283" spans="1:12" ht="12.75">
      <c r="A283" s="671"/>
      <c r="B283" s="672"/>
      <c r="C283" s="672"/>
      <c r="D283" s="672"/>
      <c r="E283" s="672"/>
      <c r="F283" s="672"/>
      <c r="G283" s="672"/>
      <c r="H283" s="672"/>
      <c r="I283" s="672"/>
      <c r="J283" s="672"/>
      <c r="K283" s="672"/>
      <c r="L283" s="673"/>
    </row>
    <row r="284" spans="1:12" ht="12.75">
      <c r="A284" s="671"/>
      <c r="B284" s="672"/>
      <c r="C284" s="672"/>
      <c r="D284" s="672"/>
      <c r="E284" s="672"/>
      <c r="F284" s="672"/>
      <c r="G284" s="672"/>
      <c r="H284" s="672"/>
      <c r="I284" s="672"/>
      <c r="J284" s="672"/>
      <c r="K284" s="672"/>
      <c r="L284" s="673"/>
    </row>
    <row r="285" spans="1:12" ht="12.75">
      <c r="A285" s="671"/>
      <c r="B285" s="672"/>
      <c r="C285" s="672"/>
      <c r="D285" s="672"/>
      <c r="E285" s="672"/>
      <c r="F285" s="672"/>
      <c r="G285" s="672"/>
      <c r="H285" s="672"/>
      <c r="I285" s="672"/>
      <c r="J285" s="672"/>
      <c r="K285" s="672"/>
      <c r="L285" s="673"/>
    </row>
    <row r="286" spans="1:12" ht="12.75">
      <c r="A286" s="671"/>
      <c r="B286" s="672"/>
      <c r="C286" s="672"/>
      <c r="D286" s="672"/>
      <c r="E286" s="672"/>
      <c r="F286" s="672"/>
      <c r="G286" s="672"/>
      <c r="H286" s="672"/>
      <c r="I286" s="672"/>
      <c r="J286" s="672"/>
      <c r="K286" s="672"/>
      <c r="L286" s="673"/>
    </row>
    <row r="287" spans="1:12" ht="12.75">
      <c r="A287" s="671"/>
      <c r="B287" s="672"/>
      <c r="C287" s="672"/>
      <c r="D287" s="672"/>
      <c r="E287" s="672"/>
      <c r="F287" s="672"/>
      <c r="G287" s="672"/>
      <c r="H287" s="672"/>
      <c r="I287" s="672"/>
      <c r="J287" s="672"/>
      <c r="K287" s="672"/>
      <c r="L287" s="673"/>
    </row>
    <row r="288" spans="1:12" ht="12.75">
      <c r="A288" s="671"/>
      <c r="B288" s="672"/>
      <c r="C288" s="672"/>
      <c r="D288" s="672"/>
      <c r="E288" s="672"/>
      <c r="F288" s="672"/>
      <c r="G288" s="672"/>
      <c r="H288" s="672"/>
      <c r="I288" s="672"/>
      <c r="J288" s="672"/>
      <c r="K288" s="672"/>
      <c r="L288" s="673"/>
    </row>
    <row r="289" spans="1:12" ht="12.75">
      <c r="A289" s="671"/>
      <c r="B289" s="672"/>
      <c r="C289" s="672"/>
      <c r="D289" s="672"/>
      <c r="E289" s="672"/>
      <c r="F289" s="672"/>
      <c r="G289" s="672"/>
      <c r="H289" s="672"/>
      <c r="I289" s="672"/>
      <c r="J289" s="672"/>
      <c r="K289" s="672"/>
      <c r="L289" s="673"/>
    </row>
    <row r="290" spans="1:12" ht="12.75">
      <c r="A290" s="671"/>
      <c r="B290" s="672"/>
      <c r="C290" s="672"/>
      <c r="D290" s="672"/>
      <c r="E290" s="672"/>
      <c r="F290" s="672"/>
      <c r="G290" s="672"/>
      <c r="H290" s="672"/>
      <c r="I290" s="672"/>
      <c r="J290" s="672"/>
      <c r="K290" s="672"/>
      <c r="L290" s="673"/>
    </row>
    <row r="291" spans="1:12" ht="12.75">
      <c r="A291" s="671"/>
      <c r="B291" s="672"/>
      <c r="C291" s="672"/>
      <c r="D291" s="672"/>
      <c r="E291" s="672"/>
      <c r="F291" s="672"/>
      <c r="G291" s="672"/>
      <c r="H291" s="672"/>
      <c r="I291" s="672"/>
      <c r="J291" s="672"/>
      <c r="K291" s="672"/>
      <c r="L291" s="673"/>
    </row>
    <row r="292" spans="1:12" ht="12.75">
      <c r="A292" s="671"/>
      <c r="B292" s="672"/>
      <c r="C292" s="672"/>
      <c r="D292" s="672"/>
      <c r="E292" s="672"/>
      <c r="F292" s="672"/>
      <c r="G292" s="672"/>
      <c r="H292" s="672"/>
      <c r="I292" s="672"/>
      <c r="J292" s="672"/>
      <c r="K292" s="672"/>
      <c r="L292" s="673"/>
    </row>
    <row r="293" spans="1:12" ht="12.75">
      <c r="A293" s="674"/>
      <c r="B293" s="675"/>
      <c r="C293" s="675"/>
      <c r="D293" s="675"/>
      <c r="E293" s="675"/>
      <c r="F293" s="675"/>
      <c r="G293" s="675"/>
      <c r="H293" s="675"/>
      <c r="I293" s="675"/>
      <c r="J293" s="675"/>
      <c r="K293" s="675"/>
      <c r="L293" s="676"/>
    </row>
  </sheetData>
  <mergeCells count="162">
    <mergeCell ref="G141:G143"/>
    <mergeCell ref="G188:I188"/>
    <mergeCell ref="A181:C181"/>
    <mergeCell ref="A216:L220"/>
    <mergeCell ref="A189:F189"/>
    <mergeCell ref="G189:I189"/>
    <mergeCell ref="A190:F190"/>
    <mergeCell ref="G190:I190"/>
    <mergeCell ref="A198:L202"/>
    <mergeCell ref="A203:L206"/>
    <mergeCell ref="A207:L210"/>
    <mergeCell ref="A211:L213"/>
    <mergeCell ref="A182:C182"/>
    <mergeCell ref="A183:C183"/>
    <mergeCell ref="A184:C184"/>
    <mergeCell ref="D188:F188"/>
    <mergeCell ref="A192:L197"/>
    <mergeCell ref="A185:C185"/>
    <mergeCell ref="A186:C186"/>
    <mergeCell ref="A188:C188"/>
    <mergeCell ref="A177:C177"/>
    <mergeCell ref="A178:C178"/>
    <mergeCell ref="A179:C179"/>
    <mergeCell ref="A180:C180"/>
    <mergeCell ref="A173:C173"/>
    <mergeCell ref="A174:C174"/>
    <mergeCell ref="A175:C175"/>
    <mergeCell ref="A176:C176"/>
    <mergeCell ref="A169:C169"/>
    <mergeCell ref="A170:C170"/>
    <mergeCell ref="A171:C171"/>
    <mergeCell ref="A172:C172"/>
    <mergeCell ref="A165:C165"/>
    <mergeCell ref="A166:C166"/>
    <mergeCell ref="A167:C167"/>
    <mergeCell ref="A168:C168"/>
    <mergeCell ref="A161:C161"/>
    <mergeCell ref="A162:C162"/>
    <mergeCell ref="A163:C163"/>
    <mergeCell ref="A164:C164"/>
    <mergeCell ref="A157:C157"/>
    <mergeCell ref="A158:C158"/>
    <mergeCell ref="A159:C159"/>
    <mergeCell ref="A160:C160"/>
    <mergeCell ref="A152:C152"/>
    <mergeCell ref="A153:C153"/>
    <mergeCell ref="A154:C154"/>
    <mergeCell ref="A155:C155"/>
    <mergeCell ref="A140:C143"/>
    <mergeCell ref="A144:C144"/>
    <mergeCell ref="A145:C145"/>
    <mergeCell ref="A146:C146"/>
    <mergeCell ref="A147:C147"/>
    <mergeCell ref="A148:C148"/>
    <mergeCell ref="A149:C149"/>
    <mergeCell ref="A150:C150"/>
    <mergeCell ref="A151:C151"/>
    <mergeCell ref="L74:L75"/>
    <mergeCell ref="D141:D143"/>
    <mergeCell ref="E141:E143"/>
    <mergeCell ref="F141:F143"/>
    <mergeCell ref="H141:H143"/>
    <mergeCell ref="I141:I143"/>
    <mergeCell ref="J140:K142"/>
    <mergeCell ref="A88:L94"/>
    <mergeCell ref="A98:B99"/>
    <mergeCell ref="A108:B108"/>
    <mergeCell ref="A109:B109"/>
    <mergeCell ref="A110:B110"/>
    <mergeCell ref="A111:B111"/>
    <mergeCell ref="A120:L126"/>
    <mergeCell ref="A112:B112"/>
    <mergeCell ref="A113:B113"/>
    <mergeCell ref="A114:B114"/>
    <mergeCell ref="A115:B115"/>
    <mergeCell ref="A116:B116"/>
    <mergeCell ref="A117:B117"/>
    <mergeCell ref="A118:B118"/>
    <mergeCell ref="A106:B106"/>
    <mergeCell ref="A107:B107"/>
    <mergeCell ref="A100:B100"/>
    <mergeCell ref="A101:B101"/>
    <mergeCell ref="A102:B102"/>
    <mergeCell ref="A103:B103"/>
    <mergeCell ref="A104:B104"/>
    <mergeCell ref="A105:B105"/>
    <mergeCell ref="H98:L98"/>
    <mergeCell ref="A84:B84"/>
    <mergeCell ref="A86:B86"/>
    <mergeCell ref="A85:B85"/>
    <mergeCell ref="F84:H84"/>
    <mergeCell ref="F85:H85"/>
    <mergeCell ref="F86:H86"/>
    <mergeCell ref="C98:G98"/>
    <mergeCell ref="A82:B82"/>
    <mergeCell ref="A83:B83"/>
    <mergeCell ref="F82:H82"/>
    <mergeCell ref="F83:H83"/>
    <mergeCell ref="A80:B80"/>
    <mergeCell ref="A81:B81"/>
    <mergeCell ref="F80:H80"/>
    <mergeCell ref="F81:H81"/>
    <mergeCell ref="A78:B78"/>
    <mergeCell ref="A79:B79"/>
    <mergeCell ref="F78:H78"/>
    <mergeCell ref="F79:H79"/>
    <mergeCell ref="I74:K74"/>
    <mergeCell ref="A76:B76"/>
    <mergeCell ref="A77:B77"/>
    <mergeCell ref="F76:H76"/>
    <mergeCell ref="F77:H77"/>
    <mergeCell ref="A74:B75"/>
    <mergeCell ref="C74:E74"/>
    <mergeCell ref="F74:H75"/>
    <mergeCell ref="C45:C46"/>
    <mergeCell ref="L27:L28"/>
    <mergeCell ref="L45:L46"/>
    <mergeCell ref="A61:L67"/>
    <mergeCell ref="C27:C28"/>
    <mergeCell ref="D27:D28"/>
    <mergeCell ref="A21:L24"/>
    <mergeCell ref="F27:K27"/>
    <mergeCell ref="D45:D46"/>
    <mergeCell ref="E45:E46"/>
    <mergeCell ref="F45:K45"/>
    <mergeCell ref="A45:A46"/>
    <mergeCell ref="B45:B46"/>
    <mergeCell ref="E27:E28"/>
    <mergeCell ref="A27:A28"/>
    <mergeCell ref="B27:B28"/>
    <mergeCell ref="B6:D6"/>
    <mergeCell ref="E6:G6"/>
    <mergeCell ref="A2:K2"/>
    <mergeCell ref="H6:J6"/>
    <mergeCell ref="A6:A7"/>
    <mergeCell ref="A129:C129"/>
    <mergeCell ref="A130:C130"/>
    <mergeCell ref="A131:C131"/>
    <mergeCell ref="A132:C132"/>
    <mergeCell ref="A133:C133"/>
    <mergeCell ref="A134:C134"/>
    <mergeCell ref="A135:C135"/>
    <mergeCell ref="A136:C136"/>
    <mergeCell ref="D136:E136"/>
    <mergeCell ref="D129:E129"/>
    <mergeCell ref="D130:E130"/>
    <mergeCell ref="D131:E131"/>
    <mergeCell ref="D132:E132"/>
    <mergeCell ref="G131:I131"/>
    <mergeCell ref="D133:E133"/>
    <mergeCell ref="D134:E134"/>
    <mergeCell ref="D135:E135"/>
    <mergeCell ref="A281:L293"/>
    <mergeCell ref="J136:K136"/>
    <mergeCell ref="J129:K129"/>
    <mergeCell ref="J130:K130"/>
    <mergeCell ref="J131:K131"/>
    <mergeCell ref="J132:K135"/>
    <mergeCell ref="G136:I136"/>
    <mergeCell ref="G132:I135"/>
    <mergeCell ref="G129:I129"/>
    <mergeCell ref="G130:I130"/>
  </mergeCells>
  <printOptions horizontalCentered="1"/>
  <pageMargins left="0.2" right="0.1968503937007874" top="0.3937007874015748" bottom="0.3937007874015748" header="0.2362204724409449" footer="0.2362204724409449"/>
  <pageSetup horizontalDpi="600" verticalDpi="600" orientation="portrait" paperSize="9" scale="80" r:id="rId3"/>
  <rowBreaks count="2" manualBreakCount="2">
    <brk id="72" max="255" man="1"/>
    <brk id="214" max="255" man="1"/>
  </rowBreaks>
  <legacyDrawing r:id="rId2"/>
  <oleObjects>
    <oleObject progId="Word.Document.8" shapeId="1437639" r:id="rId1"/>
  </oleObjects>
</worksheet>
</file>

<file path=xl/worksheets/sheet9.xml><?xml version="1.0" encoding="utf-8"?>
<worksheet xmlns="http://schemas.openxmlformats.org/spreadsheetml/2006/main" xmlns:r="http://schemas.openxmlformats.org/officeDocument/2006/relationships">
  <dimension ref="A2:L212"/>
  <sheetViews>
    <sheetView workbookViewId="0" topLeftCell="A1">
      <selection activeCell="A1" sqref="A1"/>
    </sheetView>
  </sheetViews>
  <sheetFormatPr defaultColWidth="9.00390625" defaultRowHeight="12.75"/>
  <cols>
    <col min="1" max="1" width="10.625" style="0" customWidth="1"/>
    <col min="2" max="11" width="10.75390625" style="0" customWidth="1"/>
    <col min="12" max="12" width="9.875" style="0" customWidth="1"/>
  </cols>
  <sheetData>
    <row r="2" spans="1:11" ht="18">
      <c r="A2" s="944" t="s">
        <v>67</v>
      </c>
      <c r="B2" s="945"/>
      <c r="C2" s="945"/>
      <c r="D2" s="945"/>
      <c r="E2" s="945"/>
      <c r="F2" s="945"/>
      <c r="G2" s="945"/>
      <c r="H2" s="945"/>
      <c r="I2" s="945"/>
      <c r="J2" s="945"/>
      <c r="K2" s="945"/>
    </row>
    <row r="3" ht="15.75">
      <c r="A3" s="29"/>
    </row>
    <row r="4" ht="15.75">
      <c r="A4" s="29"/>
    </row>
    <row r="5" spans="1:10" ht="17.25" customHeight="1" thickBot="1">
      <c r="A5" s="95" t="s">
        <v>61</v>
      </c>
      <c r="J5" s="558" t="s">
        <v>274</v>
      </c>
    </row>
    <row r="6" spans="1:10" ht="12.75" customHeight="1" thickBot="1">
      <c r="A6" s="679" t="s">
        <v>39</v>
      </c>
      <c r="B6" s="920" t="s">
        <v>3</v>
      </c>
      <c r="C6" s="920"/>
      <c r="D6" s="936"/>
      <c r="E6" s="919" t="s">
        <v>4</v>
      </c>
      <c r="F6" s="706"/>
      <c r="G6" s="707"/>
      <c r="H6" s="919" t="s">
        <v>24</v>
      </c>
      <c r="I6" s="920"/>
      <c r="J6" s="921"/>
    </row>
    <row r="7" spans="1:10" ht="13.5" thickBot="1">
      <c r="A7" s="680"/>
      <c r="B7" s="86">
        <v>2003</v>
      </c>
      <c r="C7" s="10">
        <v>2004</v>
      </c>
      <c r="D7" s="94" t="s">
        <v>1</v>
      </c>
      <c r="E7" s="1">
        <v>2003</v>
      </c>
      <c r="F7" s="10">
        <v>2004</v>
      </c>
      <c r="G7" s="94" t="s">
        <v>1</v>
      </c>
      <c r="H7" s="1">
        <v>2003</v>
      </c>
      <c r="I7" s="10">
        <v>2004</v>
      </c>
      <c r="J7" s="94" t="s">
        <v>1</v>
      </c>
    </row>
    <row r="8" spans="1:10" ht="12.75">
      <c r="A8" s="53" t="s">
        <v>40</v>
      </c>
      <c r="B8" s="2">
        <v>41452</v>
      </c>
      <c r="C8" s="11">
        <v>39207</v>
      </c>
      <c r="D8" s="114">
        <f aca="true" t="shared" si="0" ref="D8:D19">+C8-B8</f>
        <v>-2245</v>
      </c>
      <c r="E8" s="30">
        <v>36042</v>
      </c>
      <c r="F8" s="3">
        <v>38842</v>
      </c>
      <c r="G8" s="114">
        <f aca="true" t="shared" si="1" ref="G8:G19">+F8-E8</f>
        <v>2800</v>
      </c>
      <c r="H8" s="112">
        <f aca="true" t="shared" si="2" ref="H8:H19">+E8-B8</f>
        <v>-5410</v>
      </c>
      <c r="I8" s="113">
        <f aca="true" t="shared" si="3" ref="I8:I19">+F8-C8</f>
        <v>-365</v>
      </c>
      <c r="J8" s="114">
        <f aca="true" t="shared" si="4" ref="J8:J19">+I8-H8</f>
        <v>5045</v>
      </c>
    </row>
    <row r="9" spans="1:10" ht="12.75">
      <c r="A9" s="55" t="s">
        <v>41</v>
      </c>
      <c r="B9" s="4">
        <v>79125</v>
      </c>
      <c r="C9" s="12">
        <v>78893</v>
      </c>
      <c r="D9" s="115">
        <f t="shared" si="0"/>
        <v>-232</v>
      </c>
      <c r="E9" s="27">
        <v>72671</v>
      </c>
      <c r="F9" s="5">
        <v>79388</v>
      </c>
      <c r="G9" s="115">
        <f t="shared" si="1"/>
        <v>6717</v>
      </c>
      <c r="H9" s="112">
        <f t="shared" si="2"/>
        <v>-6454</v>
      </c>
      <c r="I9" s="113">
        <f t="shared" si="3"/>
        <v>495</v>
      </c>
      <c r="J9" s="115">
        <f t="shared" si="4"/>
        <v>6949</v>
      </c>
    </row>
    <row r="10" spans="1:10" ht="12.75">
      <c r="A10" s="55" t="s">
        <v>42</v>
      </c>
      <c r="B10" s="4">
        <v>117959</v>
      </c>
      <c r="C10" s="12">
        <v>120364</v>
      </c>
      <c r="D10" s="115">
        <f t="shared" si="0"/>
        <v>2405</v>
      </c>
      <c r="E10" s="27">
        <v>114577</v>
      </c>
      <c r="F10" s="5">
        <v>124813</v>
      </c>
      <c r="G10" s="115">
        <f t="shared" si="1"/>
        <v>10236</v>
      </c>
      <c r="H10" s="112">
        <f t="shared" si="2"/>
        <v>-3382</v>
      </c>
      <c r="I10" s="113">
        <f t="shared" si="3"/>
        <v>4449</v>
      </c>
      <c r="J10" s="115">
        <f t="shared" si="4"/>
        <v>7831</v>
      </c>
    </row>
    <row r="11" spans="1:10" ht="12.75">
      <c r="A11" s="55" t="s">
        <v>43</v>
      </c>
      <c r="B11" s="4">
        <v>158028</v>
      </c>
      <c r="C11" s="12">
        <v>160939</v>
      </c>
      <c r="D11" s="115">
        <f t="shared" si="0"/>
        <v>2911</v>
      </c>
      <c r="E11" s="27">
        <v>152045</v>
      </c>
      <c r="F11" s="5">
        <v>165311</v>
      </c>
      <c r="G11" s="115">
        <f t="shared" si="1"/>
        <v>13266</v>
      </c>
      <c r="H11" s="112">
        <f t="shared" si="2"/>
        <v>-5983</v>
      </c>
      <c r="I11" s="113">
        <f t="shared" si="3"/>
        <v>4372</v>
      </c>
      <c r="J11" s="115">
        <f t="shared" si="4"/>
        <v>10355</v>
      </c>
    </row>
    <row r="12" spans="1:10" ht="12.75">
      <c r="A12" s="55" t="s">
        <v>44</v>
      </c>
      <c r="B12" s="4">
        <v>204999</v>
      </c>
      <c r="C12" s="12">
        <v>206115</v>
      </c>
      <c r="D12" s="115">
        <f t="shared" si="0"/>
        <v>1116</v>
      </c>
      <c r="E12" s="27">
        <v>195828</v>
      </c>
      <c r="F12" s="5">
        <v>211973</v>
      </c>
      <c r="G12" s="115">
        <f t="shared" si="1"/>
        <v>16145</v>
      </c>
      <c r="H12" s="112">
        <f t="shared" si="2"/>
        <v>-9171</v>
      </c>
      <c r="I12" s="113">
        <f t="shared" si="3"/>
        <v>5858</v>
      </c>
      <c r="J12" s="115">
        <f t="shared" si="4"/>
        <v>15029</v>
      </c>
    </row>
    <row r="13" spans="1:10" ht="12.75">
      <c r="A13" s="55" t="s">
        <v>45</v>
      </c>
      <c r="B13" s="9">
        <v>242473</v>
      </c>
      <c r="C13" s="83">
        <v>246744</v>
      </c>
      <c r="D13" s="115">
        <f t="shared" si="0"/>
        <v>4271</v>
      </c>
      <c r="E13" s="44">
        <v>241979</v>
      </c>
      <c r="F13" s="45">
        <v>262350</v>
      </c>
      <c r="G13" s="115">
        <f t="shared" si="1"/>
        <v>20371</v>
      </c>
      <c r="H13" s="112">
        <f t="shared" si="2"/>
        <v>-494</v>
      </c>
      <c r="I13" s="113">
        <f t="shared" si="3"/>
        <v>15606</v>
      </c>
      <c r="J13" s="115">
        <f t="shared" si="4"/>
        <v>16100</v>
      </c>
    </row>
    <row r="14" spans="1:10" ht="12.75">
      <c r="A14" s="55" t="s">
        <v>46</v>
      </c>
      <c r="B14" s="8">
        <v>281545</v>
      </c>
      <c r="C14" s="84">
        <v>287114</v>
      </c>
      <c r="D14" s="115">
        <f t="shared" si="0"/>
        <v>5569</v>
      </c>
      <c r="E14" s="42">
        <v>275508</v>
      </c>
      <c r="F14" s="43">
        <v>300536</v>
      </c>
      <c r="G14" s="115">
        <f t="shared" si="1"/>
        <v>25028</v>
      </c>
      <c r="H14" s="112">
        <f t="shared" si="2"/>
        <v>-6037</v>
      </c>
      <c r="I14" s="113">
        <f t="shared" si="3"/>
        <v>13422</v>
      </c>
      <c r="J14" s="115">
        <f t="shared" si="4"/>
        <v>19459</v>
      </c>
    </row>
    <row r="15" spans="1:10" ht="12.75">
      <c r="A15" s="55" t="s">
        <v>47</v>
      </c>
      <c r="B15" s="8">
        <v>317724</v>
      </c>
      <c r="C15" s="84">
        <v>326561</v>
      </c>
      <c r="D15" s="115">
        <f t="shared" si="0"/>
        <v>8837</v>
      </c>
      <c r="E15" s="42">
        <v>310246</v>
      </c>
      <c r="F15" s="43">
        <v>339201</v>
      </c>
      <c r="G15" s="115">
        <f t="shared" si="1"/>
        <v>28955</v>
      </c>
      <c r="H15" s="116">
        <f t="shared" si="2"/>
        <v>-7478</v>
      </c>
      <c r="I15" s="117">
        <f t="shared" si="3"/>
        <v>12640</v>
      </c>
      <c r="J15" s="115">
        <f t="shared" si="4"/>
        <v>20118</v>
      </c>
    </row>
    <row r="16" spans="1:10" ht="12.75">
      <c r="A16" s="55" t="s">
        <v>48</v>
      </c>
      <c r="B16" s="8">
        <v>358074</v>
      </c>
      <c r="C16" s="84">
        <v>366739</v>
      </c>
      <c r="D16" s="115">
        <f t="shared" si="0"/>
        <v>8665</v>
      </c>
      <c r="E16" s="42">
        <v>348921</v>
      </c>
      <c r="F16" s="43">
        <v>382284</v>
      </c>
      <c r="G16" s="115">
        <f t="shared" si="1"/>
        <v>33363</v>
      </c>
      <c r="H16" s="112">
        <f t="shared" si="2"/>
        <v>-9153</v>
      </c>
      <c r="I16" s="113">
        <f t="shared" si="3"/>
        <v>15545</v>
      </c>
      <c r="J16" s="115">
        <f t="shared" si="4"/>
        <v>24698</v>
      </c>
    </row>
    <row r="17" spans="1:10" ht="12.75">
      <c r="A17" s="57" t="s">
        <v>49</v>
      </c>
      <c r="B17" s="8">
        <v>393910</v>
      </c>
      <c r="C17" s="84">
        <v>409919</v>
      </c>
      <c r="D17" s="115">
        <f t="shared" si="0"/>
        <v>16009</v>
      </c>
      <c r="E17" s="42">
        <v>391183</v>
      </c>
      <c r="F17" s="43">
        <v>418906</v>
      </c>
      <c r="G17" s="115">
        <f t="shared" si="1"/>
        <v>27723</v>
      </c>
      <c r="H17" s="116">
        <f t="shared" si="2"/>
        <v>-2727</v>
      </c>
      <c r="I17" s="117">
        <f t="shared" si="3"/>
        <v>8987</v>
      </c>
      <c r="J17" s="115">
        <f t="shared" si="4"/>
        <v>11714</v>
      </c>
    </row>
    <row r="18" spans="1:10" ht="12.75">
      <c r="A18" s="55" t="s">
        <v>50</v>
      </c>
      <c r="B18" s="8">
        <v>444455</v>
      </c>
      <c r="C18" s="84">
        <v>454034</v>
      </c>
      <c r="D18" s="115">
        <f t="shared" si="0"/>
        <v>9579</v>
      </c>
      <c r="E18" s="42">
        <v>429259</v>
      </c>
      <c r="F18" s="43">
        <v>458511</v>
      </c>
      <c r="G18" s="115">
        <f t="shared" si="1"/>
        <v>29252</v>
      </c>
      <c r="H18" s="116">
        <f t="shared" si="2"/>
        <v>-15196</v>
      </c>
      <c r="I18" s="117">
        <f t="shared" si="3"/>
        <v>4477</v>
      </c>
      <c r="J18" s="115">
        <f t="shared" si="4"/>
        <v>19673</v>
      </c>
    </row>
    <row r="19" spans="1:10" ht="13.5" thickBot="1">
      <c r="A19" s="59" t="s">
        <v>51</v>
      </c>
      <c r="B19" s="6">
        <v>489954</v>
      </c>
      <c r="C19" s="85">
        <f>497519.6+3239.28+1304.4-62.32</f>
        <v>502000.96</v>
      </c>
      <c r="D19" s="120">
        <f t="shared" si="0"/>
        <v>12046.960000000021</v>
      </c>
      <c r="E19" s="31">
        <v>483959</v>
      </c>
      <c r="F19" s="7">
        <f>497878.41+4391.86</f>
        <v>502270.26999999996</v>
      </c>
      <c r="G19" s="120">
        <f t="shared" si="1"/>
        <v>18311.26999999996</v>
      </c>
      <c r="H19" s="118">
        <f t="shared" si="2"/>
        <v>-5995</v>
      </c>
      <c r="I19" s="119">
        <f t="shared" si="3"/>
        <v>269.30999999993946</v>
      </c>
      <c r="J19" s="120">
        <f t="shared" si="4"/>
        <v>6264.3099999999395</v>
      </c>
    </row>
    <row r="21" spans="1:12" ht="12.75">
      <c r="A21" s="668" t="s">
        <v>266</v>
      </c>
      <c r="B21" s="1122"/>
      <c r="C21" s="1122"/>
      <c r="D21" s="1122"/>
      <c r="E21" s="1122"/>
      <c r="F21" s="1122"/>
      <c r="G21" s="1122"/>
      <c r="H21" s="1122"/>
      <c r="I21" s="1122"/>
      <c r="J21" s="1122"/>
      <c r="K21" s="1122"/>
      <c r="L21" s="1123"/>
    </row>
    <row r="22" spans="1:12" ht="12.75">
      <c r="A22" s="1124"/>
      <c r="B22" s="1080"/>
      <c r="C22" s="1080"/>
      <c r="D22" s="1080"/>
      <c r="E22" s="1080"/>
      <c r="F22" s="1080"/>
      <c r="G22" s="1080"/>
      <c r="H22" s="1080"/>
      <c r="I22" s="1080"/>
      <c r="J22" s="1080"/>
      <c r="K22" s="1080"/>
      <c r="L22" s="1125"/>
    </row>
    <row r="23" spans="1:12" ht="12.75">
      <c r="A23" s="1124"/>
      <c r="B23" s="1080"/>
      <c r="C23" s="1080"/>
      <c r="D23" s="1080"/>
      <c r="E23" s="1080"/>
      <c r="F23" s="1080"/>
      <c r="G23" s="1080"/>
      <c r="H23" s="1080"/>
      <c r="I23" s="1080"/>
      <c r="J23" s="1080"/>
      <c r="K23" s="1080"/>
      <c r="L23" s="1125"/>
    </row>
    <row r="24" spans="1:12" ht="12.75">
      <c r="A24" s="1124"/>
      <c r="B24" s="1080"/>
      <c r="C24" s="1080"/>
      <c r="D24" s="1080"/>
      <c r="E24" s="1080"/>
      <c r="F24" s="1080"/>
      <c r="G24" s="1080"/>
      <c r="H24" s="1080"/>
      <c r="I24" s="1080"/>
      <c r="J24" s="1080"/>
      <c r="K24" s="1080"/>
      <c r="L24" s="1125"/>
    </row>
    <row r="25" spans="1:12" ht="12.75">
      <c r="A25" s="1124"/>
      <c r="B25" s="1080"/>
      <c r="C25" s="1080"/>
      <c r="D25" s="1080"/>
      <c r="E25" s="1080"/>
      <c r="F25" s="1080"/>
      <c r="G25" s="1080"/>
      <c r="H25" s="1080"/>
      <c r="I25" s="1080"/>
      <c r="J25" s="1080"/>
      <c r="K25" s="1080"/>
      <c r="L25" s="1125"/>
    </row>
    <row r="26" spans="1:12" ht="12.75">
      <c r="A26" s="1124"/>
      <c r="B26" s="1080"/>
      <c r="C26" s="1080"/>
      <c r="D26" s="1080"/>
      <c r="E26" s="1080"/>
      <c r="F26" s="1080"/>
      <c r="G26" s="1080"/>
      <c r="H26" s="1080"/>
      <c r="I26" s="1080"/>
      <c r="J26" s="1080"/>
      <c r="K26" s="1080"/>
      <c r="L26" s="1125"/>
    </row>
    <row r="27" spans="1:12" ht="12.75">
      <c r="A27" s="1126"/>
      <c r="B27" s="1127"/>
      <c r="C27" s="1127"/>
      <c r="D27" s="1127"/>
      <c r="E27" s="1127"/>
      <c r="F27" s="1127"/>
      <c r="G27" s="1127"/>
      <c r="H27" s="1127"/>
      <c r="I27" s="1127"/>
      <c r="J27" s="1127"/>
      <c r="K27" s="1127"/>
      <c r="L27" s="1128"/>
    </row>
    <row r="28" spans="1:11" ht="12.75">
      <c r="A28" s="76"/>
      <c r="B28" s="76"/>
      <c r="C28" s="76"/>
      <c r="D28" s="76"/>
      <c r="E28" s="76"/>
      <c r="F28" s="76"/>
      <c r="G28" s="76"/>
      <c r="H28" s="76"/>
      <c r="I28" s="76"/>
      <c r="J28" s="76"/>
      <c r="K28" s="76"/>
    </row>
    <row r="29" ht="16.5" thickBot="1">
      <c r="A29" s="29" t="s">
        <v>62</v>
      </c>
    </row>
    <row r="30" spans="1:12" ht="24.75" customHeight="1">
      <c r="A30" s="985" t="s">
        <v>35</v>
      </c>
      <c r="B30" s="1102" t="s">
        <v>36</v>
      </c>
      <c r="C30" s="934" t="s">
        <v>37</v>
      </c>
      <c r="D30" s="934" t="s">
        <v>38</v>
      </c>
      <c r="E30" s="922" t="s">
        <v>11</v>
      </c>
      <c r="F30" s="942" t="s">
        <v>52</v>
      </c>
      <c r="G30" s="685"/>
      <c r="H30" s="685"/>
      <c r="I30" s="685"/>
      <c r="J30" s="685"/>
      <c r="K30" s="943"/>
      <c r="L30" s="924" t="s">
        <v>69</v>
      </c>
    </row>
    <row r="31" spans="1:12" s="39" customFormat="1" ht="13.5" thickBot="1">
      <c r="A31" s="986"/>
      <c r="B31" s="1103"/>
      <c r="C31" s="1104" t="s">
        <v>37</v>
      </c>
      <c r="D31" s="1104" t="s">
        <v>38</v>
      </c>
      <c r="E31" s="1105" t="s">
        <v>11</v>
      </c>
      <c r="F31" s="103" t="s">
        <v>53</v>
      </c>
      <c r="G31" s="103" t="s">
        <v>54</v>
      </c>
      <c r="H31" s="103" t="s">
        <v>55</v>
      </c>
      <c r="I31" s="103" t="s">
        <v>56</v>
      </c>
      <c r="J31" s="103" t="s">
        <v>57</v>
      </c>
      <c r="K31" s="90" t="s">
        <v>11</v>
      </c>
      <c r="L31" s="925"/>
    </row>
    <row r="32" spans="1:12" ht="13.5" thickBot="1">
      <c r="A32" s="123">
        <v>37986</v>
      </c>
      <c r="B32" s="124">
        <v>74581</v>
      </c>
      <c r="C32" s="101">
        <v>0</v>
      </c>
      <c r="D32" s="101">
        <v>144</v>
      </c>
      <c r="E32" s="28">
        <f aca="true" t="shared" si="5" ref="E32:E44">SUM(B32:D32)</f>
        <v>74725</v>
      </c>
      <c r="F32" s="100">
        <v>12103</v>
      </c>
      <c r="G32" s="101">
        <v>17759</v>
      </c>
      <c r="H32" s="101">
        <v>24198</v>
      </c>
      <c r="I32" s="101">
        <v>10473</v>
      </c>
      <c r="J32" s="101">
        <v>23</v>
      </c>
      <c r="K32" s="125">
        <f aca="true" t="shared" si="6" ref="K32:K44">SUM(F32:J32)</f>
        <v>64556</v>
      </c>
      <c r="L32" s="138">
        <v>27840</v>
      </c>
    </row>
    <row r="33" spans="1:12" ht="12.75">
      <c r="A33" s="53">
        <v>38017</v>
      </c>
      <c r="B33" s="56">
        <v>79619</v>
      </c>
      <c r="C33" s="49">
        <v>91</v>
      </c>
      <c r="D33" s="49">
        <v>143</v>
      </c>
      <c r="E33" s="106">
        <f t="shared" si="5"/>
        <v>79853</v>
      </c>
      <c r="F33" s="121">
        <v>9886</v>
      </c>
      <c r="G33" s="122">
        <v>20294</v>
      </c>
      <c r="H33" s="122">
        <v>23033</v>
      </c>
      <c r="I33" s="122">
        <v>14727</v>
      </c>
      <c r="J33" s="122">
        <v>146</v>
      </c>
      <c r="K33" s="109">
        <f t="shared" si="6"/>
        <v>68086</v>
      </c>
      <c r="L33" s="132"/>
    </row>
    <row r="34" spans="1:12" ht="12.75">
      <c r="A34" s="55">
        <v>38046</v>
      </c>
      <c r="B34" s="56">
        <v>83847</v>
      </c>
      <c r="C34" s="49">
        <v>135</v>
      </c>
      <c r="D34" s="49">
        <v>143</v>
      </c>
      <c r="E34" s="106">
        <f t="shared" si="5"/>
        <v>84125</v>
      </c>
      <c r="F34" s="62">
        <v>12923</v>
      </c>
      <c r="G34" s="49">
        <v>19736</v>
      </c>
      <c r="H34" s="49">
        <v>21053</v>
      </c>
      <c r="I34" s="49">
        <v>15142</v>
      </c>
      <c r="J34" s="49">
        <v>149</v>
      </c>
      <c r="K34" s="110">
        <f t="shared" si="6"/>
        <v>69003</v>
      </c>
      <c r="L34" s="136"/>
    </row>
    <row r="35" spans="1:12" ht="12.75">
      <c r="A35" s="55">
        <v>38077</v>
      </c>
      <c r="B35" s="56">
        <v>83864</v>
      </c>
      <c r="C35" s="49">
        <v>112</v>
      </c>
      <c r="D35" s="49">
        <v>143</v>
      </c>
      <c r="E35" s="106">
        <f t="shared" si="5"/>
        <v>84119</v>
      </c>
      <c r="F35" s="62">
        <v>11827</v>
      </c>
      <c r="G35" s="49">
        <v>22572</v>
      </c>
      <c r="H35" s="49">
        <v>22668</v>
      </c>
      <c r="I35" s="49">
        <v>10094</v>
      </c>
      <c r="J35" s="49">
        <v>0</v>
      </c>
      <c r="K35" s="110">
        <f t="shared" si="6"/>
        <v>67161</v>
      </c>
      <c r="L35" s="136">
        <v>8037</v>
      </c>
    </row>
    <row r="36" spans="1:12" ht="12.75">
      <c r="A36" s="55">
        <v>38107</v>
      </c>
      <c r="B36" s="56">
        <v>69390</v>
      </c>
      <c r="C36" s="49">
        <v>161</v>
      </c>
      <c r="D36" s="49">
        <v>4</v>
      </c>
      <c r="E36" s="106">
        <f t="shared" si="5"/>
        <v>69555</v>
      </c>
      <c r="F36" s="62">
        <v>11330</v>
      </c>
      <c r="G36" s="49">
        <v>22981</v>
      </c>
      <c r="H36" s="49">
        <v>14788</v>
      </c>
      <c r="I36" s="49">
        <v>0</v>
      </c>
      <c r="J36" s="49">
        <v>0</v>
      </c>
      <c r="K36" s="110">
        <f t="shared" si="6"/>
        <v>49099</v>
      </c>
      <c r="L36" s="130"/>
    </row>
    <row r="37" spans="1:12" ht="12.75">
      <c r="A37" s="55">
        <v>38138</v>
      </c>
      <c r="B37" s="56">
        <v>54414</v>
      </c>
      <c r="C37" s="49">
        <v>175</v>
      </c>
      <c r="D37" s="49">
        <v>4</v>
      </c>
      <c r="E37" s="106">
        <f t="shared" si="5"/>
        <v>54593</v>
      </c>
      <c r="F37" s="62">
        <v>11542</v>
      </c>
      <c r="G37" s="49">
        <v>17739</v>
      </c>
      <c r="H37" s="49">
        <v>1138</v>
      </c>
      <c r="I37" s="49">
        <v>0</v>
      </c>
      <c r="J37" s="49">
        <v>0</v>
      </c>
      <c r="K37" s="110">
        <f t="shared" si="6"/>
        <v>30419</v>
      </c>
      <c r="L37" s="130"/>
    </row>
    <row r="38" spans="1:12" ht="12.75">
      <c r="A38" s="55">
        <v>38168</v>
      </c>
      <c r="B38" s="56">
        <v>56209</v>
      </c>
      <c r="C38" s="49">
        <v>203</v>
      </c>
      <c r="D38" s="49">
        <v>1</v>
      </c>
      <c r="E38" s="106">
        <f t="shared" si="5"/>
        <v>56413</v>
      </c>
      <c r="F38" s="62">
        <v>13332</v>
      </c>
      <c r="G38" s="49">
        <v>17042</v>
      </c>
      <c r="H38" s="49">
        <v>262</v>
      </c>
      <c r="I38" s="49">
        <v>0</v>
      </c>
      <c r="J38" s="49">
        <v>0</v>
      </c>
      <c r="K38" s="110">
        <f t="shared" si="6"/>
        <v>30636</v>
      </c>
      <c r="L38" s="130"/>
    </row>
    <row r="39" spans="1:12" ht="12.75">
      <c r="A39" s="55">
        <v>38199</v>
      </c>
      <c r="B39" s="56">
        <v>52885</v>
      </c>
      <c r="C39" s="49">
        <v>214</v>
      </c>
      <c r="D39" s="49">
        <v>5</v>
      </c>
      <c r="E39" s="106">
        <f t="shared" si="5"/>
        <v>53104</v>
      </c>
      <c r="F39" s="56">
        <v>11339</v>
      </c>
      <c r="G39" s="49">
        <v>19591</v>
      </c>
      <c r="H39" s="49">
        <v>122</v>
      </c>
      <c r="I39" s="49">
        <v>0</v>
      </c>
      <c r="J39" s="49">
        <v>0</v>
      </c>
      <c r="K39" s="110">
        <f t="shared" si="6"/>
        <v>31052</v>
      </c>
      <c r="L39" s="130"/>
    </row>
    <row r="40" spans="1:12" ht="12.75">
      <c r="A40" s="55">
        <v>38230</v>
      </c>
      <c r="B40" s="56">
        <v>54997</v>
      </c>
      <c r="C40" s="49">
        <v>240</v>
      </c>
      <c r="D40" s="49">
        <v>5</v>
      </c>
      <c r="E40" s="106">
        <f t="shared" si="5"/>
        <v>55242</v>
      </c>
      <c r="F40" s="56">
        <v>10215</v>
      </c>
      <c r="G40" s="49">
        <v>18590</v>
      </c>
      <c r="H40" s="49">
        <v>3160</v>
      </c>
      <c r="I40" s="49">
        <v>0</v>
      </c>
      <c r="J40" s="49">
        <v>0</v>
      </c>
      <c r="K40" s="110">
        <f t="shared" si="6"/>
        <v>31965</v>
      </c>
      <c r="L40" s="130"/>
    </row>
    <row r="41" spans="1:12" ht="12.75">
      <c r="A41" s="55">
        <v>38260</v>
      </c>
      <c r="B41" s="56">
        <v>52846</v>
      </c>
      <c r="C41" s="49">
        <v>255</v>
      </c>
      <c r="D41" s="49">
        <v>5</v>
      </c>
      <c r="E41" s="106">
        <f t="shared" si="5"/>
        <v>53106</v>
      </c>
      <c r="F41" s="56">
        <v>7949</v>
      </c>
      <c r="G41" s="49">
        <v>11396</v>
      </c>
      <c r="H41" s="49">
        <v>304</v>
      </c>
      <c r="I41" s="49">
        <v>0</v>
      </c>
      <c r="J41" s="49">
        <v>0</v>
      </c>
      <c r="K41" s="110">
        <f t="shared" si="6"/>
        <v>19649</v>
      </c>
      <c r="L41" s="130"/>
    </row>
    <row r="42" spans="1:12" ht="12.75">
      <c r="A42" s="57">
        <v>38291</v>
      </c>
      <c r="B42" s="58">
        <v>57896</v>
      </c>
      <c r="C42" s="50">
        <v>266</v>
      </c>
      <c r="D42" s="50">
        <v>5</v>
      </c>
      <c r="E42" s="106">
        <f t="shared" si="5"/>
        <v>58167</v>
      </c>
      <c r="F42" s="58">
        <v>9436</v>
      </c>
      <c r="G42" s="50">
        <v>13090</v>
      </c>
      <c r="H42" s="50">
        <v>4131</v>
      </c>
      <c r="I42" s="50">
        <v>0</v>
      </c>
      <c r="J42" s="50">
        <v>0</v>
      </c>
      <c r="K42" s="110">
        <f t="shared" si="6"/>
        <v>26657</v>
      </c>
      <c r="L42" s="130"/>
    </row>
    <row r="43" spans="1:12" ht="12.75">
      <c r="A43" s="55">
        <v>38321</v>
      </c>
      <c r="B43" s="56">
        <v>74677</v>
      </c>
      <c r="C43" s="49">
        <v>302</v>
      </c>
      <c r="D43" s="49">
        <v>5</v>
      </c>
      <c r="E43" s="106">
        <f t="shared" si="5"/>
        <v>74984</v>
      </c>
      <c r="F43" s="62">
        <v>15968</v>
      </c>
      <c r="G43" s="49">
        <v>16962</v>
      </c>
      <c r="H43" s="49">
        <v>8636</v>
      </c>
      <c r="I43" s="49">
        <v>0</v>
      </c>
      <c r="J43" s="49">
        <v>0</v>
      </c>
      <c r="K43" s="110">
        <f t="shared" si="6"/>
        <v>41566</v>
      </c>
      <c r="L43" s="130"/>
    </row>
    <row r="44" spans="1:12" ht="13.5" thickBot="1">
      <c r="A44" s="59">
        <v>38352</v>
      </c>
      <c r="B44" s="60">
        <v>63581</v>
      </c>
      <c r="C44" s="61">
        <v>0</v>
      </c>
      <c r="D44" s="61">
        <v>0</v>
      </c>
      <c r="E44" s="107">
        <f t="shared" si="5"/>
        <v>63581</v>
      </c>
      <c r="F44" s="60">
        <v>10403</v>
      </c>
      <c r="G44" s="61">
        <v>15082</v>
      </c>
      <c r="H44" s="61">
        <v>9479</v>
      </c>
      <c r="I44" s="61">
        <v>0</v>
      </c>
      <c r="J44" s="61">
        <v>0</v>
      </c>
      <c r="K44" s="111">
        <f t="shared" si="6"/>
        <v>34964</v>
      </c>
      <c r="L44" s="131"/>
    </row>
    <row r="45" spans="1:12" ht="12.75">
      <c r="A45" s="137" t="s">
        <v>70</v>
      </c>
      <c r="B45" s="78"/>
      <c r="C45" s="78"/>
      <c r="D45" s="78"/>
      <c r="E45" s="133"/>
      <c r="F45" s="78"/>
      <c r="G45" s="78"/>
      <c r="H45" s="78"/>
      <c r="I45" s="78"/>
      <c r="J45" s="78"/>
      <c r="K45" s="134"/>
      <c r="L45" s="135"/>
    </row>
    <row r="46" spans="1:11" ht="12.75">
      <c r="A46" s="77"/>
      <c r="B46" s="78"/>
      <c r="C46" s="78"/>
      <c r="D46" s="78"/>
      <c r="E46" s="79"/>
      <c r="F46" s="78"/>
      <c r="G46" s="78"/>
      <c r="H46" s="78"/>
      <c r="I46" s="78"/>
      <c r="J46" s="78"/>
      <c r="K46" s="78"/>
    </row>
    <row r="47" ht="16.5" thickBot="1">
      <c r="A47" s="29" t="s">
        <v>63</v>
      </c>
    </row>
    <row r="48" spans="1:12" ht="22.5" customHeight="1">
      <c r="A48" s="985" t="s">
        <v>35</v>
      </c>
      <c r="B48" s="1102" t="s">
        <v>58</v>
      </c>
      <c r="C48" s="934" t="s">
        <v>59</v>
      </c>
      <c r="D48" s="934" t="s">
        <v>60</v>
      </c>
      <c r="E48" s="922" t="s">
        <v>11</v>
      </c>
      <c r="F48" s="684" t="s">
        <v>52</v>
      </c>
      <c r="G48" s="685"/>
      <c r="H48" s="685"/>
      <c r="I48" s="685"/>
      <c r="J48" s="685"/>
      <c r="K48" s="685"/>
      <c r="L48" s="679" t="s">
        <v>270</v>
      </c>
    </row>
    <row r="49" spans="1:12" ht="34.5" customHeight="1" thickBot="1">
      <c r="A49" s="1156"/>
      <c r="B49" s="1106"/>
      <c r="C49" s="935" t="s">
        <v>37</v>
      </c>
      <c r="D49" s="935" t="s">
        <v>38</v>
      </c>
      <c r="E49" s="923" t="s">
        <v>11</v>
      </c>
      <c r="F49" s="89" t="s">
        <v>53</v>
      </c>
      <c r="G49" s="103" t="s">
        <v>54</v>
      </c>
      <c r="H49" s="103" t="s">
        <v>55</v>
      </c>
      <c r="I49" s="103" t="s">
        <v>56</v>
      </c>
      <c r="J49" s="103" t="s">
        <v>57</v>
      </c>
      <c r="K49" s="81" t="s">
        <v>11</v>
      </c>
      <c r="L49" s="941"/>
    </row>
    <row r="50" spans="1:12" ht="13.5" thickBot="1">
      <c r="A50" s="105">
        <v>37986</v>
      </c>
      <c r="B50" s="233">
        <v>48576</v>
      </c>
      <c r="C50" s="234">
        <v>1667</v>
      </c>
      <c r="D50" s="234">
        <v>0</v>
      </c>
      <c r="E50" s="52">
        <f aca="true" t="shared" si="7" ref="E50:E62">SUM(B50:D50)</f>
        <v>50243</v>
      </c>
      <c r="F50" s="237">
        <v>5467</v>
      </c>
      <c r="G50" s="236">
        <v>632</v>
      </c>
      <c r="H50" s="236">
        <v>410</v>
      </c>
      <c r="I50" s="236">
        <v>506</v>
      </c>
      <c r="J50" s="236">
        <v>630</v>
      </c>
      <c r="K50" s="542">
        <f aca="true" t="shared" si="8" ref="K50:K62">SUM(F50:J50)</f>
        <v>7645</v>
      </c>
      <c r="L50" s="595">
        <f>+E50-E32</f>
        <v>-24482</v>
      </c>
    </row>
    <row r="51" spans="1:12" ht="12.75">
      <c r="A51" s="53">
        <v>38017</v>
      </c>
      <c r="B51" s="54">
        <v>52669</v>
      </c>
      <c r="C51" s="48">
        <v>1058</v>
      </c>
      <c r="D51" s="48">
        <v>0</v>
      </c>
      <c r="E51" s="106">
        <f t="shared" si="7"/>
        <v>53727</v>
      </c>
      <c r="F51" s="70">
        <v>6224</v>
      </c>
      <c r="G51" s="48">
        <v>746</v>
      </c>
      <c r="H51" s="48">
        <v>119</v>
      </c>
      <c r="I51" s="48">
        <v>34</v>
      </c>
      <c r="J51" s="48">
        <v>678</v>
      </c>
      <c r="K51" s="127">
        <f t="shared" si="8"/>
        <v>7801</v>
      </c>
      <c r="L51" s="588">
        <f aca="true" t="shared" si="9" ref="L51:L62">+E51-E33</f>
        <v>-26126</v>
      </c>
    </row>
    <row r="52" spans="1:12" ht="12.75">
      <c r="A52" s="55">
        <v>38046</v>
      </c>
      <c r="B52" s="56">
        <v>60894</v>
      </c>
      <c r="C52" s="49">
        <v>2327</v>
      </c>
      <c r="D52" s="49">
        <v>0</v>
      </c>
      <c r="E52" s="106">
        <f t="shared" si="7"/>
        <v>63221</v>
      </c>
      <c r="F52" s="62">
        <v>5213</v>
      </c>
      <c r="G52" s="49">
        <v>1076</v>
      </c>
      <c r="H52" s="49">
        <v>196</v>
      </c>
      <c r="I52" s="49">
        <v>35</v>
      </c>
      <c r="J52" s="49">
        <v>354</v>
      </c>
      <c r="K52" s="128">
        <f t="shared" si="8"/>
        <v>6874</v>
      </c>
      <c r="L52" s="589">
        <f t="shared" si="9"/>
        <v>-20904</v>
      </c>
    </row>
    <row r="53" spans="1:12" ht="12.75">
      <c r="A53" s="55">
        <v>38077</v>
      </c>
      <c r="B53" s="56">
        <v>64672</v>
      </c>
      <c r="C53" s="49">
        <v>2008</v>
      </c>
      <c r="D53" s="49">
        <v>0</v>
      </c>
      <c r="E53" s="106">
        <f t="shared" si="7"/>
        <v>66680</v>
      </c>
      <c r="F53" s="62">
        <v>3951</v>
      </c>
      <c r="G53" s="49">
        <v>1264</v>
      </c>
      <c r="H53" s="49">
        <v>71</v>
      </c>
      <c r="I53" s="49">
        <v>117</v>
      </c>
      <c r="J53" s="49">
        <v>353</v>
      </c>
      <c r="K53" s="128">
        <f t="shared" si="8"/>
        <v>5756</v>
      </c>
      <c r="L53" s="589">
        <f t="shared" si="9"/>
        <v>-17439</v>
      </c>
    </row>
    <row r="54" spans="1:12" ht="12.75">
      <c r="A54" s="55">
        <v>38107</v>
      </c>
      <c r="B54" s="56">
        <v>68707</v>
      </c>
      <c r="C54" s="49">
        <v>1536</v>
      </c>
      <c r="D54" s="49">
        <v>0</v>
      </c>
      <c r="E54" s="106">
        <f t="shared" si="7"/>
        <v>70243</v>
      </c>
      <c r="F54" s="62">
        <v>2909</v>
      </c>
      <c r="G54" s="49">
        <v>984</v>
      </c>
      <c r="H54" s="49">
        <v>588</v>
      </c>
      <c r="I54" s="49">
        <v>78</v>
      </c>
      <c r="J54" s="49">
        <v>364</v>
      </c>
      <c r="K54" s="128">
        <f t="shared" si="8"/>
        <v>4923</v>
      </c>
      <c r="L54" s="589">
        <f t="shared" si="9"/>
        <v>688</v>
      </c>
    </row>
    <row r="55" spans="1:12" ht="12.75">
      <c r="A55" s="55">
        <v>38138</v>
      </c>
      <c r="B55" s="56">
        <v>61491</v>
      </c>
      <c r="C55" s="49">
        <v>1296</v>
      </c>
      <c r="D55" s="49">
        <v>0</v>
      </c>
      <c r="E55" s="106">
        <f t="shared" si="7"/>
        <v>62787</v>
      </c>
      <c r="F55" s="62">
        <v>5314</v>
      </c>
      <c r="G55" s="49">
        <v>1297</v>
      </c>
      <c r="H55" s="49">
        <v>723</v>
      </c>
      <c r="I55" s="49">
        <v>88</v>
      </c>
      <c r="J55" s="49">
        <v>357</v>
      </c>
      <c r="K55" s="128">
        <f t="shared" si="8"/>
        <v>7779</v>
      </c>
      <c r="L55" s="589">
        <f t="shared" si="9"/>
        <v>8194</v>
      </c>
    </row>
    <row r="56" spans="1:12" ht="12.75">
      <c r="A56" s="55">
        <v>38168</v>
      </c>
      <c r="B56" s="56">
        <v>66783</v>
      </c>
      <c r="C56" s="49">
        <v>1033</v>
      </c>
      <c r="D56" s="49">
        <v>0</v>
      </c>
      <c r="E56" s="238">
        <f t="shared" si="7"/>
        <v>67816</v>
      </c>
      <c r="F56" s="62">
        <v>3990</v>
      </c>
      <c r="G56" s="49">
        <v>1345</v>
      </c>
      <c r="H56" s="49">
        <v>799</v>
      </c>
      <c r="I56" s="49">
        <v>168</v>
      </c>
      <c r="J56" s="49">
        <v>357</v>
      </c>
      <c r="K56" s="128">
        <f t="shared" si="8"/>
        <v>6659</v>
      </c>
      <c r="L56" s="589">
        <f t="shared" si="9"/>
        <v>11403</v>
      </c>
    </row>
    <row r="57" spans="1:12" ht="12.75">
      <c r="A57" s="53">
        <v>38199</v>
      </c>
      <c r="B57" s="54">
        <v>64617</v>
      </c>
      <c r="C57" s="48">
        <v>1123</v>
      </c>
      <c r="D57" s="48">
        <v>1</v>
      </c>
      <c r="E57" s="106">
        <f t="shared" si="7"/>
        <v>65741</v>
      </c>
      <c r="F57" s="70">
        <v>3960</v>
      </c>
      <c r="G57" s="48">
        <v>1007</v>
      </c>
      <c r="H57" s="48">
        <v>1001</v>
      </c>
      <c r="I57" s="48">
        <v>533</v>
      </c>
      <c r="J57" s="48">
        <v>363</v>
      </c>
      <c r="K57" s="127">
        <f t="shared" si="8"/>
        <v>6864</v>
      </c>
      <c r="L57" s="589">
        <f t="shared" si="9"/>
        <v>12637</v>
      </c>
    </row>
    <row r="58" spans="1:12" ht="12.75">
      <c r="A58" s="55">
        <v>38230</v>
      </c>
      <c r="B58" s="56">
        <v>66801</v>
      </c>
      <c r="C58" s="49">
        <v>775</v>
      </c>
      <c r="D58" s="49">
        <v>0</v>
      </c>
      <c r="E58" s="106">
        <f t="shared" si="7"/>
        <v>67576</v>
      </c>
      <c r="F58" s="62">
        <v>10649</v>
      </c>
      <c r="G58" s="49">
        <v>927</v>
      </c>
      <c r="H58" s="49">
        <v>834</v>
      </c>
      <c r="I58" s="49">
        <v>332</v>
      </c>
      <c r="J58" s="49">
        <v>360</v>
      </c>
      <c r="K58" s="128">
        <f t="shared" si="8"/>
        <v>13102</v>
      </c>
      <c r="L58" s="589">
        <f t="shared" si="9"/>
        <v>12334</v>
      </c>
    </row>
    <row r="59" spans="1:12" ht="12.75">
      <c r="A59" s="55">
        <v>38260</v>
      </c>
      <c r="B59" s="56">
        <v>63246</v>
      </c>
      <c r="C59" s="49">
        <v>834</v>
      </c>
      <c r="D59" s="49">
        <v>0</v>
      </c>
      <c r="E59" s="106">
        <f t="shared" si="7"/>
        <v>64080</v>
      </c>
      <c r="F59" s="62">
        <v>3043</v>
      </c>
      <c r="G59" s="49">
        <v>622</v>
      </c>
      <c r="H59" s="49">
        <v>158</v>
      </c>
      <c r="I59" s="49">
        <v>199</v>
      </c>
      <c r="J59" s="49">
        <v>364</v>
      </c>
      <c r="K59" s="128">
        <f t="shared" si="8"/>
        <v>4386</v>
      </c>
      <c r="L59" s="589">
        <f t="shared" si="9"/>
        <v>10974</v>
      </c>
    </row>
    <row r="60" spans="1:12" ht="12.75">
      <c r="A60" s="57">
        <v>38291</v>
      </c>
      <c r="B60" s="58">
        <v>65309</v>
      </c>
      <c r="C60" s="50">
        <v>755</v>
      </c>
      <c r="D60" s="50">
        <v>1</v>
      </c>
      <c r="E60" s="106">
        <f t="shared" si="7"/>
        <v>66065</v>
      </c>
      <c r="F60" s="72">
        <v>12431</v>
      </c>
      <c r="G60" s="50">
        <v>902</v>
      </c>
      <c r="H60" s="50">
        <v>205</v>
      </c>
      <c r="I60" s="50">
        <v>169</v>
      </c>
      <c r="J60" s="50">
        <v>428</v>
      </c>
      <c r="K60" s="128">
        <f t="shared" si="8"/>
        <v>14135</v>
      </c>
      <c r="L60" s="589">
        <f t="shared" si="9"/>
        <v>7898</v>
      </c>
    </row>
    <row r="61" spans="1:12" ht="12.75">
      <c r="A61" s="55">
        <v>38321</v>
      </c>
      <c r="B61" s="56">
        <v>66375</v>
      </c>
      <c r="C61" s="49">
        <v>1061</v>
      </c>
      <c r="D61" s="49">
        <v>0</v>
      </c>
      <c r="E61" s="106">
        <f t="shared" si="7"/>
        <v>67436</v>
      </c>
      <c r="F61" s="62">
        <v>4432</v>
      </c>
      <c r="G61" s="49">
        <v>9175</v>
      </c>
      <c r="H61" s="49">
        <v>115</v>
      </c>
      <c r="I61" s="49">
        <v>151</v>
      </c>
      <c r="J61" s="49">
        <v>431</v>
      </c>
      <c r="K61" s="128">
        <f t="shared" si="8"/>
        <v>14304</v>
      </c>
      <c r="L61" s="589">
        <f t="shared" si="9"/>
        <v>-7548</v>
      </c>
    </row>
    <row r="62" spans="1:12" ht="13.5" thickBot="1">
      <c r="A62" s="59">
        <v>38352</v>
      </c>
      <c r="B62" s="60">
        <v>69990</v>
      </c>
      <c r="C62" s="61">
        <v>271</v>
      </c>
      <c r="D62" s="61">
        <v>0</v>
      </c>
      <c r="E62" s="107">
        <f t="shared" si="7"/>
        <v>70261</v>
      </c>
      <c r="F62" s="73">
        <v>4746</v>
      </c>
      <c r="G62" s="61">
        <v>653</v>
      </c>
      <c r="H62" s="61">
        <v>125</v>
      </c>
      <c r="I62" s="61">
        <v>76</v>
      </c>
      <c r="J62" s="61">
        <v>425</v>
      </c>
      <c r="K62" s="129">
        <f t="shared" si="8"/>
        <v>6025</v>
      </c>
      <c r="L62" s="590">
        <f t="shared" si="9"/>
        <v>6680</v>
      </c>
    </row>
    <row r="64" spans="1:12" ht="12.75">
      <c r="A64" s="668" t="s">
        <v>265</v>
      </c>
      <c r="B64" s="669"/>
      <c r="C64" s="669"/>
      <c r="D64" s="669"/>
      <c r="E64" s="669"/>
      <c r="F64" s="669"/>
      <c r="G64" s="669"/>
      <c r="H64" s="669"/>
      <c r="I64" s="669"/>
      <c r="J64" s="669"/>
      <c r="K64" s="669"/>
      <c r="L64" s="1144"/>
    </row>
    <row r="65" spans="1:12" ht="12.75">
      <c r="A65" s="671"/>
      <c r="B65" s="672"/>
      <c r="C65" s="672"/>
      <c r="D65" s="672"/>
      <c r="E65" s="672"/>
      <c r="F65" s="672"/>
      <c r="G65" s="672"/>
      <c r="H65" s="672"/>
      <c r="I65" s="672"/>
      <c r="J65" s="672"/>
      <c r="K65" s="672"/>
      <c r="L65" s="1145"/>
    </row>
    <row r="66" spans="1:12" ht="12.75">
      <c r="A66" s="671"/>
      <c r="B66" s="672"/>
      <c r="C66" s="672"/>
      <c r="D66" s="672"/>
      <c r="E66" s="672"/>
      <c r="F66" s="672"/>
      <c r="G66" s="672"/>
      <c r="H66" s="672"/>
      <c r="I66" s="672"/>
      <c r="J66" s="672"/>
      <c r="K66" s="672"/>
      <c r="L66" s="1145"/>
    </row>
    <row r="67" spans="1:12" ht="12.75">
      <c r="A67" s="671"/>
      <c r="B67" s="672"/>
      <c r="C67" s="672"/>
      <c r="D67" s="672"/>
      <c r="E67" s="672"/>
      <c r="F67" s="672"/>
      <c r="G67" s="672"/>
      <c r="H67" s="672"/>
      <c r="I67" s="672"/>
      <c r="J67" s="672"/>
      <c r="K67" s="672"/>
      <c r="L67" s="1145"/>
    </row>
    <row r="68" spans="1:12" ht="12.75">
      <c r="A68" s="671"/>
      <c r="B68" s="672"/>
      <c r="C68" s="672"/>
      <c r="D68" s="672"/>
      <c r="E68" s="672"/>
      <c r="F68" s="672"/>
      <c r="G68" s="672"/>
      <c r="H68" s="672"/>
      <c r="I68" s="672"/>
      <c r="J68" s="672"/>
      <c r="K68" s="672"/>
      <c r="L68" s="1145"/>
    </row>
    <row r="69" spans="1:12" ht="12.75">
      <c r="A69" s="671"/>
      <c r="B69" s="672"/>
      <c r="C69" s="672"/>
      <c r="D69" s="672"/>
      <c r="E69" s="672"/>
      <c r="F69" s="672"/>
      <c r="G69" s="672"/>
      <c r="H69" s="672"/>
      <c r="I69" s="672"/>
      <c r="J69" s="672"/>
      <c r="K69" s="672"/>
      <c r="L69" s="1145"/>
    </row>
    <row r="70" spans="1:12" ht="12.75">
      <c r="A70" s="674"/>
      <c r="B70" s="675"/>
      <c r="C70" s="675"/>
      <c r="D70" s="675"/>
      <c r="E70" s="675"/>
      <c r="F70" s="675"/>
      <c r="G70" s="675"/>
      <c r="H70" s="675"/>
      <c r="I70" s="675"/>
      <c r="J70" s="675"/>
      <c r="K70" s="675"/>
      <c r="L70" s="1146"/>
    </row>
    <row r="75" ht="16.5" thickBot="1">
      <c r="A75" s="29" t="s">
        <v>84</v>
      </c>
    </row>
    <row r="76" spans="1:12" ht="21.75" customHeight="1">
      <c r="A76" s="947" t="s">
        <v>71</v>
      </c>
      <c r="B76" s="948"/>
      <c r="C76" s="996" t="s">
        <v>25</v>
      </c>
      <c r="D76" s="997"/>
      <c r="E76" s="1000"/>
      <c r="F76" s="947" t="s">
        <v>71</v>
      </c>
      <c r="G76" s="962"/>
      <c r="H76" s="963"/>
      <c r="I76" s="999" t="s">
        <v>28</v>
      </c>
      <c r="J76" s="997"/>
      <c r="K76" s="998"/>
      <c r="L76" s="985" t="s">
        <v>166</v>
      </c>
    </row>
    <row r="77" spans="1:12" ht="27.75" thickBot="1">
      <c r="A77" s="949"/>
      <c r="B77" s="950"/>
      <c r="C77" s="154" t="s">
        <v>81</v>
      </c>
      <c r="D77" s="149" t="s">
        <v>82</v>
      </c>
      <c r="E77" s="150" t="s">
        <v>83</v>
      </c>
      <c r="F77" s="949"/>
      <c r="G77" s="964"/>
      <c r="H77" s="965"/>
      <c r="I77" s="156" t="s">
        <v>81</v>
      </c>
      <c r="J77" s="149" t="s">
        <v>82</v>
      </c>
      <c r="K77" s="151" t="s">
        <v>83</v>
      </c>
      <c r="L77" s="986"/>
    </row>
    <row r="78" spans="1:12" ht="20.25" customHeight="1">
      <c r="A78" s="951" t="s">
        <v>72</v>
      </c>
      <c r="B78" s="952"/>
      <c r="C78" s="142">
        <v>120.98</v>
      </c>
      <c r="D78" s="122">
        <v>51550901</v>
      </c>
      <c r="E78" s="155">
        <f aca="true" t="shared" si="10" ref="E78:E88">+IF(C78&gt;0,D78/C78/12,"")</f>
        <v>35509.24464098749</v>
      </c>
      <c r="F78" s="966" t="s">
        <v>72</v>
      </c>
      <c r="G78" s="967"/>
      <c r="H78" s="967"/>
      <c r="I78" s="231">
        <v>121.23</v>
      </c>
      <c r="J78" s="232">
        <v>53467097</v>
      </c>
      <c r="K78" s="153">
        <f aca="true" t="shared" si="11" ref="K78:K88">+IF(I78&gt;0,J78/I78/12,"")</f>
        <v>36753.20808930683</v>
      </c>
      <c r="L78" s="289">
        <f>+K78-E78</f>
        <v>1243.9634483193367</v>
      </c>
    </row>
    <row r="79" spans="1:12" ht="20.25" customHeight="1">
      <c r="A79" s="951" t="s">
        <v>73</v>
      </c>
      <c r="B79" s="952"/>
      <c r="C79" s="144">
        <v>4.32</v>
      </c>
      <c r="D79" s="49">
        <v>1492945</v>
      </c>
      <c r="E79" s="71">
        <f t="shared" si="10"/>
        <v>28799.093364197528</v>
      </c>
      <c r="F79" s="968" t="s">
        <v>73</v>
      </c>
      <c r="G79" s="969"/>
      <c r="H79" s="969"/>
      <c r="I79" s="158">
        <v>4.39</v>
      </c>
      <c r="J79" s="50">
        <v>1742169</v>
      </c>
      <c r="K79" s="230">
        <f t="shared" si="11"/>
        <v>33070.78587699317</v>
      </c>
      <c r="L79" s="287"/>
    </row>
    <row r="80" spans="1:12" ht="20.25" customHeight="1">
      <c r="A80" s="951" t="s">
        <v>74</v>
      </c>
      <c r="B80" s="952"/>
      <c r="C80" s="144">
        <v>10.96</v>
      </c>
      <c r="D80" s="49">
        <v>2236467</v>
      </c>
      <c r="E80" s="71">
        <f t="shared" si="10"/>
        <v>17004.76733576642</v>
      </c>
      <c r="F80" s="968" t="s">
        <v>110</v>
      </c>
      <c r="G80" s="969"/>
      <c r="H80" s="969"/>
      <c r="I80" s="158">
        <v>430.78</v>
      </c>
      <c r="J80" s="50">
        <v>84231304</v>
      </c>
      <c r="K80" s="230">
        <f t="shared" si="11"/>
        <v>16294.338951050035</v>
      </c>
      <c r="L80" s="287"/>
    </row>
    <row r="81" spans="1:12" ht="20.25" customHeight="1">
      <c r="A81" s="951" t="s">
        <v>75</v>
      </c>
      <c r="B81" s="952"/>
      <c r="C81" s="144">
        <v>9.33</v>
      </c>
      <c r="D81" s="49">
        <v>1557713</v>
      </c>
      <c r="E81" s="71">
        <f t="shared" si="10"/>
        <v>13913.12075741336</v>
      </c>
      <c r="F81" s="968" t="s">
        <v>109</v>
      </c>
      <c r="G81" s="969"/>
      <c r="H81" s="969"/>
      <c r="I81" s="158">
        <v>50.99</v>
      </c>
      <c r="J81" s="50">
        <v>10719487</v>
      </c>
      <c r="K81" s="230">
        <f t="shared" si="11"/>
        <v>17518.936719618225</v>
      </c>
      <c r="L81" s="287"/>
    </row>
    <row r="82" spans="1:12" ht="20.25" customHeight="1">
      <c r="A82" s="951" t="s">
        <v>76</v>
      </c>
      <c r="B82" s="952"/>
      <c r="C82" s="144">
        <v>497.57</v>
      </c>
      <c r="D82" s="49">
        <v>97572834</v>
      </c>
      <c r="E82" s="71">
        <f t="shared" si="10"/>
        <v>16341.558976626404</v>
      </c>
      <c r="F82" s="968" t="s">
        <v>111</v>
      </c>
      <c r="G82" s="969"/>
      <c r="H82" s="969"/>
      <c r="I82" s="158">
        <v>13.29</v>
      </c>
      <c r="J82" s="50">
        <v>2396532</v>
      </c>
      <c r="K82" s="230">
        <f t="shared" si="11"/>
        <v>15027.163280662155</v>
      </c>
      <c r="L82" s="287"/>
    </row>
    <row r="83" spans="1:12" ht="20.25" customHeight="1">
      <c r="A83" s="951" t="s">
        <v>77</v>
      </c>
      <c r="B83" s="952"/>
      <c r="C83" s="144">
        <v>17.28</v>
      </c>
      <c r="D83" s="49">
        <v>2418514</v>
      </c>
      <c r="E83" s="71">
        <f t="shared" si="10"/>
        <v>11663.358410493827</v>
      </c>
      <c r="F83" s="968" t="s">
        <v>112</v>
      </c>
      <c r="G83" s="969"/>
      <c r="H83" s="969"/>
      <c r="I83" s="158">
        <v>110.97</v>
      </c>
      <c r="J83" s="50">
        <v>13547918</v>
      </c>
      <c r="K83" s="230">
        <f t="shared" si="11"/>
        <v>10173.859301312668</v>
      </c>
      <c r="L83" s="287"/>
    </row>
    <row r="84" spans="1:12" ht="20.25" customHeight="1">
      <c r="A84" s="951" t="s">
        <v>78</v>
      </c>
      <c r="B84" s="952"/>
      <c r="C84" s="144">
        <v>91.07</v>
      </c>
      <c r="D84" s="49">
        <v>11021584</v>
      </c>
      <c r="E84" s="71">
        <f t="shared" si="10"/>
        <v>10085.267742761978</v>
      </c>
      <c r="F84" s="968" t="s">
        <v>113</v>
      </c>
      <c r="G84" s="969"/>
      <c r="H84" s="969"/>
      <c r="I84" s="158">
        <v>15.2</v>
      </c>
      <c r="J84" s="50">
        <v>2940578</v>
      </c>
      <c r="K84" s="230">
        <f t="shared" si="11"/>
        <v>16121.589912280702</v>
      </c>
      <c r="L84" s="287"/>
    </row>
    <row r="85" spans="1:12" ht="20.25" customHeight="1">
      <c r="A85" s="951"/>
      <c r="B85" s="952"/>
      <c r="C85" s="144"/>
      <c r="D85" s="49"/>
      <c r="E85" s="71"/>
      <c r="F85" s="968" t="s">
        <v>114</v>
      </c>
      <c r="G85" s="969"/>
      <c r="H85" s="969"/>
      <c r="I85" s="158">
        <v>0.08</v>
      </c>
      <c r="J85" s="50">
        <v>23151</v>
      </c>
      <c r="K85" s="230">
        <f t="shared" si="11"/>
        <v>24115.625</v>
      </c>
      <c r="L85" s="287"/>
    </row>
    <row r="86" spans="1:12" ht="20.25" customHeight="1">
      <c r="A86" s="951" t="s">
        <v>79</v>
      </c>
      <c r="B86" s="952"/>
      <c r="C86" s="144">
        <v>62.1</v>
      </c>
      <c r="D86" s="49">
        <v>12259800</v>
      </c>
      <c r="E86" s="71">
        <f>+IF(C86&gt;0,D86/C86/12,"")</f>
        <v>16451.690821256037</v>
      </c>
      <c r="F86" s="968" t="s">
        <v>79</v>
      </c>
      <c r="G86" s="969"/>
      <c r="H86" s="969"/>
      <c r="I86" s="157">
        <v>60.36</v>
      </c>
      <c r="J86" s="49">
        <v>12421848</v>
      </c>
      <c r="K86" s="230">
        <f t="shared" si="11"/>
        <v>17149.668654738238</v>
      </c>
      <c r="L86" s="287">
        <f>+K86-E86</f>
        <v>697.9778334822004</v>
      </c>
    </row>
    <row r="87" spans="1:12" ht="20.25" customHeight="1" thickBot="1">
      <c r="A87" s="951" t="s">
        <v>80</v>
      </c>
      <c r="B87" s="952"/>
      <c r="C87" s="144">
        <v>92.63</v>
      </c>
      <c r="D87" s="49">
        <v>11834393</v>
      </c>
      <c r="E87" s="71">
        <f>+IF(C87&gt;0,D87/C87/12,"")</f>
        <v>10646.652452409227</v>
      </c>
      <c r="F87" s="983" t="s">
        <v>115</v>
      </c>
      <c r="G87" s="984"/>
      <c r="H87" s="984"/>
      <c r="I87" s="231">
        <v>70.07</v>
      </c>
      <c r="J87" s="232">
        <v>8966609</v>
      </c>
      <c r="K87" s="153">
        <f t="shared" si="11"/>
        <v>10663.870653156368</v>
      </c>
      <c r="L87" s="288">
        <f>+K87-E87</f>
        <v>17.218200747140145</v>
      </c>
    </row>
    <row r="88" spans="1:12" s="39" customFormat="1" ht="22.5" customHeight="1" thickBot="1">
      <c r="A88" s="971" t="s">
        <v>11</v>
      </c>
      <c r="B88" s="973"/>
      <c r="C88" s="146">
        <f>SUM(C78:C87)</f>
        <v>906.24</v>
      </c>
      <c r="D88" s="51">
        <f>SUM(D78:D87)</f>
        <v>191945151</v>
      </c>
      <c r="E88" s="148">
        <f t="shared" si="10"/>
        <v>17650.32358977754</v>
      </c>
      <c r="F88" s="971" t="s">
        <v>11</v>
      </c>
      <c r="G88" s="972"/>
      <c r="H88" s="909"/>
      <c r="I88" s="159">
        <f>SUM(I78:I87)</f>
        <v>877.3600000000001</v>
      </c>
      <c r="J88" s="51">
        <f>SUM(J78:J87)</f>
        <v>190456693</v>
      </c>
      <c r="K88" s="63">
        <f t="shared" si="11"/>
        <v>18089.94151013647</v>
      </c>
      <c r="L88" s="139">
        <f>+K88-E88</f>
        <v>439.6179203589272</v>
      </c>
    </row>
    <row r="90" spans="1:12" ht="12.75">
      <c r="A90" s="668" t="s">
        <v>0</v>
      </c>
      <c r="B90" s="1122"/>
      <c r="C90" s="1122"/>
      <c r="D90" s="1122"/>
      <c r="E90" s="1122"/>
      <c r="F90" s="1122"/>
      <c r="G90" s="1122"/>
      <c r="H90" s="1122"/>
      <c r="I90" s="1122"/>
      <c r="J90" s="1122"/>
      <c r="K90" s="1122"/>
      <c r="L90" s="1123"/>
    </row>
    <row r="91" spans="1:12" ht="12.75">
      <c r="A91" s="1124"/>
      <c r="B91" s="1080"/>
      <c r="C91" s="1080"/>
      <c r="D91" s="1080"/>
      <c r="E91" s="1080"/>
      <c r="F91" s="1080"/>
      <c r="G91" s="1080"/>
      <c r="H91" s="1080"/>
      <c r="I91" s="1080"/>
      <c r="J91" s="1080"/>
      <c r="K91" s="1080"/>
      <c r="L91" s="1125"/>
    </row>
    <row r="92" spans="1:12" ht="12.75">
      <c r="A92" s="1124"/>
      <c r="B92" s="1080"/>
      <c r="C92" s="1080"/>
      <c r="D92" s="1080"/>
      <c r="E92" s="1080"/>
      <c r="F92" s="1080"/>
      <c r="G92" s="1080"/>
      <c r="H92" s="1080"/>
      <c r="I92" s="1080"/>
      <c r="J92" s="1080"/>
      <c r="K92" s="1080"/>
      <c r="L92" s="1125"/>
    </row>
    <row r="93" spans="1:12" ht="12.75">
      <c r="A93" s="1124"/>
      <c r="B93" s="1080"/>
      <c r="C93" s="1080"/>
      <c r="D93" s="1080"/>
      <c r="E93" s="1080"/>
      <c r="F93" s="1080"/>
      <c r="G93" s="1080"/>
      <c r="H93" s="1080"/>
      <c r="I93" s="1080"/>
      <c r="J93" s="1080"/>
      <c r="K93" s="1080"/>
      <c r="L93" s="1125"/>
    </row>
    <row r="94" spans="1:12" ht="12.75">
      <c r="A94" s="1124"/>
      <c r="B94" s="1080"/>
      <c r="C94" s="1080"/>
      <c r="D94" s="1080"/>
      <c r="E94" s="1080"/>
      <c r="F94" s="1080"/>
      <c r="G94" s="1080"/>
      <c r="H94" s="1080"/>
      <c r="I94" s="1080"/>
      <c r="J94" s="1080"/>
      <c r="K94" s="1080"/>
      <c r="L94" s="1125"/>
    </row>
    <row r="95" spans="1:12" ht="12.75">
      <c r="A95" s="1124"/>
      <c r="B95" s="1080"/>
      <c r="C95" s="1080"/>
      <c r="D95" s="1080"/>
      <c r="E95" s="1080"/>
      <c r="F95" s="1080"/>
      <c r="G95" s="1080"/>
      <c r="H95" s="1080"/>
      <c r="I95" s="1080"/>
      <c r="J95" s="1080"/>
      <c r="K95" s="1080"/>
      <c r="L95" s="1125"/>
    </row>
    <row r="96" spans="1:12" ht="12.75">
      <c r="A96" s="1126"/>
      <c r="B96" s="1127"/>
      <c r="C96" s="1127"/>
      <c r="D96" s="1127"/>
      <c r="E96" s="1127"/>
      <c r="F96" s="1127"/>
      <c r="G96" s="1127"/>
      <c r="H96" s="1127"/>
      <c r="I96" s="1127"/>
      <c r="J96" s="1127"/>
      <c r="K96" s="1127"/>
      <c r="L96" s="1128"/>
    </row>
    <row r="99" spans="1:9" ht="16.5" thickBot="1">
      <c r="A99" s="29" t="s">
        <v>107</v>
      </c>
      <c r="B99" s="160"/>
      <c r="C99" s="160"/>
      <c r="D99" s="160"/>
      <c r="E99" s="160"/>
      <c r="F99" s="160"/>
      <c r="G99" s="160"/>
      <c r="H99" s="160"/>
      <c r="I99" s="160"/>
    </row>
    <row r="100" spans="1:12" ht="13.5" thickBot="1">
      <c r="A100" s="979" t="s">
        <v>85</v>
      </c>
      <c r="B100" s="980"/>
      <c r="C100" s="879" t="s">
        <v>86</v>
      </c>
      <c r="D100" s="974"/>
      <c r="E100" s="974"/>
      <c r="F100" s="974"/>
      <c r="G100" s="936"/>
      <c r="H100" s="878" t="s">
        <v>87</v>
      </c>
      <c r="I100" s="974"/>
      <c r="J100" s="974"/>
      <c r="K100" s="974"/>
      <c r="L100" s="936"/>
    </row>
    <row r="101" spans="1:12" ht="13.5" thickBot="1">
      <c r="A101" s="981"/>
      <c r="B101" s="696"/>
      <c r="C101" s="192">
        <v>2002</v>
      </c>
      <c r="D101" s="1">
        <v>2003</v>
      </c>
      <c r="E101" s="162" t="s">
        <v>88</v>
      </c>
      <c r="F101" s="10">
        <v>2004</v>
      </c>
      <c r="G101" s="162" t="s">
        <v>88</v>
      </c>
      <c r="H101" s="161">
        <v>2002</v>
      </c>
      <c r="I101" s="10">
        <v>2003</v>
      </c>
      <c r="J101" s="162" t="s">
        <v>88</v>
      </c>
      <c r="K101" s="102">
        <v>2004</v>
      </c>
      <c r="L101" s="187" t="s">
        <v>88</v>
      </c>
    </row>
    <row r="102" spans="1:12" ht="12.75">
      <c r="A102" s="970" t="s">
        <v>89</v>
      </c>
      <c r="B102" s="696"/>
      <c r="C102" s="210">
        <v>100</v>
      </c>
      <c r="D102" s="217">
        <v>100</v>
      </c>
      <c r="E102" s="218">
        <f aca="true" t="shared" si="12" ref="E102:E115">+D102-C102</f>
        <v>0</v>
      </c>
      <c r="F102" s="165">
        <v>100</v>
      </c>
      <c r="G102" s="164">
        <f>+F102-D102</f>
        <v>0</v>
      </c>
      <c r="H102" s="222">
        <f>30373/36500*100</f>
        <v>83.21369863013699</v>
      </c>
      <c r="I102" s="223">
        <v>84.3</v>
      </c>
      <c r="J102" s="223">
        <f aca="true" t="shared" si="13" ref="J102:J115">+I102-H102</f>
        <v>1.0863013698630084</v>
      </c>
      <c r="K102" s="598">
        <v>83.5</v>
      </c>
      <c r="L102" s="188">
        <f>+K102-I102</f>
        <v>-0.7999999999999972</v>
      </c>
    </row>
    <row r="103" spans="1:12" ht="12.75">
      <c r="A103" s="970" t="s">
        <v>90</v>
      </c>
      <c r="B103" s="696"/>
      <c r="C103" s="211">
        <v>28</v>
      </c>
      <c r="D103" s="212">
        <v>28</v>
      </c>
      <c r="E103" s="219">
        <f t="shared" si="12"/>
        <v>0</v>
      </c>
      <c r="F103" s="171">
        <v>28</v>
      </c>
      <c r="G103" s="164">
        <f aca="true" t="shared" si="14" ref="G103:G119">+F103-D103</f>
        <v>0</v>
      </c>
      <c r="H103" s="224">
        <f>0.653679653679654*100</f>
        <v>65.36796536796537</v>
      </c>
      <c r="I103" s="225">
        <v>69.8</v>
      </c>
      <c r="J103" s="225">
        <f t="shared" si="13"/>
        <v>4.432034632034629</v>
      </c>
      <c r="K103" s="599">
        <v>64.31</v>
      </c>
      <c r="L103" s="188">
        <f aca="true" t="shared" si="15" ref="L103:L119">+K103-I103</f>
        <v>-5.489999999999995</v>
      </c>
    </row>
    <row r="104" spans="1:12" ht="12.75">
      <c r="A104" s="970" t="s">
        <v>91</v>
      </c>
      <c r="B104" s="696"/>
      <c r="C104" s="211">
        <v>21</v>
      </c>
      <c r="D104" s="212">
        <v>24</v>
      </c>
      <c r="E104" s="219">
        <f t="shared" si="12"/>
        <v>3</v>
      </c>
      <c r="F104" s="171">
        <v>24</v>
      </c>
      <c r="G104" s="164">
        <f t="shared" si="14"/>
        <v>0</v>
      </c>
      <c r="H104" s="224">
        <f>0.713474990101623*100</f>
        <v>71.34749901016232</v>
      </c>
      <c r="I104" s="225">
        <v>74.8</v>
      </c>
      <c r="J104" s="225">
        <f t="shared" si="13"/>
        <v>3.4525009898376737</v>
      </c>
      <c r="K104" s="599">
        <v>77.96</v>
      </c>
      <c r="L104" s="188">
        <f t="shared" si="15"/>
        <v>3.1599999999999966</v>
      </c>
    </row>
    <row r="105" spans="1:12" ht="12.75">
      <c r="A105" s="970" t="s">
        <v>92</v>
      </c>
      <c r="B105" s="696"/>
      <c r="C105" s="211">
        <v>30</v>
      </c>
      <c r="D105" s="212">
        <v>30</v>
      </c>
      <c r="E105" s="219">
        <f t="shared" si="12"/>
        <v>0</v>
      </c>
      <c r="F105" s="171">
        <v>30</v>
      </c>
      <c r="G105" s="164">
        <f t="shared" si="14"/>
        <v>0</v>
      </c>
      <c r="H105" s="224">
        <f>0.764075067024129*100</f>
        <v>76.4075067024129</v>
      </c>
      <c r="I105" s="225">
        <v>78.9</v>
      </c>
      <c r="J105" s="225">
        <f t="shared" si="13"/>
        <v>2.492493297587103</v>
      </c>
      <c r="K105" s="599">
        <v>78.65</v>
      </c>
      <c r="L105" s="188">
        <f t="shared" si="15"/>
        <v>-0.25</v>
      </c>
    </row>
    <row r="106" spans="1:12" ht="12.75">
      <c r="A106" s="970" t="s">
        <v>93</v>
      </c>
      <c r="B106" s="696"/>
      <c r="C106" s="211">
        <v>60</v>
      </c>
      <c r="D106" s="212">
        <v>60</v>
      </c>
      <c r="E106" s="219">
        <f t="shared" si="12"/>
        <v>0</v>
      </c>
      <c r="F106" s="171">
        <v>50</v>
      </c>
      <c r="G106" s="164">
        <f t="shared" si="14"/>
        <v>-10</v>
      </c>
      <c r="H106" s="224">
        <f>0.855586206896552*100</f>
        <v>85.55862068965517</v>
      </c>
      <c r="I106" s="225">
        <v>76.9</v>
      </c>
      <c r="J106" s="225">
        <f t="shared" si="13"/>
        <v>-8.658620689655166</v>
      </c>
      <c r="K106" s="599">
        <v>91.01</v>
      </c>
      <c r="L106" s="188">
        <f t="shared" si="15"/>
        <v>14.11</v>
      </c>
    </row>
    <row r="107" spans="1:12" ht="12.75">
      <c r="A107" s="970" t="s">
        <v>94</v>
      </c>
      <c r="B107" s="696"/>
      <c r="C107" s="211">
        <v>52</v>
      </c>
      <c r="D107" s="212">
        <v>52</v>
      </c>
      <c r="E107" s="219">
        <f t="shared" si="12"/>
        <v>0</v>
      </c>
      <c r="F107" s="171">
        <v>52</v>
      </c>
      <c r="G107" s="164">
        <f t="shared" si="14"/>
        <v>0</v>
      </c>
      <c r="H107" s="224">
        <f>0.621974522292994*100</f>
        <v>62.197452229299365</v>
      </c>
      <c r="I107" s="225">
        <v>63.6</v>
      </c>
      <c r="J107" s="225">
        <f t="shared" si="13"/>
        <v>1.402547770700636</v>
      </c>
      <c r="K107" s="599">
        <v>59.12</v>
      </c>
      <c r="L107" s="188">
        <f t="shared" si="15"/>
        <v>-4.480000000000004</v>
      </c>
    </row>
    <row r="108" spans="1:12" ht="12.75">
      <c r="A108" s="970" t="s">
        <v>95</v>
      </c>
      <c r="B108" s="696"/>
      <c r="C108" s="211">
        <v>84</v>
      </c>
      <c r="D108" s="212">
        <v>84</v>
      </c>
      <c r="E108" s="219">
        <f t="shared" si="12"/>
        <v>0</v>
      </c>
      <c r="F108" s="171">
        <v>63</v>
      </c>
      <c r="G108" s="164">
        <f t="shared" si="14"/>
        <v>-21</v>
      </c>
      <c r="H108" s="224">
        <f>0.694053325344518*100</f>
        <v>69.40533253445177</v>
      </c>
      <c r="I108" s="225">
        <v>49.9</v>
      </c>
      <c r="J108" s="225">
        <f t="shared" si="13"/>
        <v>-19.505332534451775</v>
      </c>
      <c r="K108" s="599">
        <v>66.42</v>
      </c>
      <c r="L108" s="188">
        <f t="shared" si="15"/>
        <v>16.520000000000003</v>
      </c>
    </row>
    <row r="109" spans="1:12" ht="12.75">
      <c r="A109" s="970" t="s">
        <v>96</v>
      </c>
      <c r="B109" s="696"/>
      <c r="C109" s="211">
        <v>102</v>
      </c>
      <c r="D109" s="212">
        <v>102</v>
      </c>
      <c r="E109" s="219">
        <f t="shared" si="12"/>
        <v>0</v>
      </c>
      <c r="F109" s="171">
        <v>102</v>
      </c>
      <c r="G109" s="164">
        <f t="shared" si="14"/>
        <v>0</v>
      </c>
      <c r="H109" s="224">
        <f>27519/37102*100</f>
        <v>74.17120370869495</v>
      </c>
      <c r="I109" s="225">
        <v>78.8</v>
      </c>
      <c r="J109" s="225">
        <f t="shared" si="13"/>
        <v>4.628796291305051</v>
      </c>
      <c r="K109" s="599">
        <v>76.67</v>
      </c>
      <c r="L109" s="188">
        <f t="shared" si="15"/>
        <v>-2.1299999999999955</v>
      </c>
    </row>
    <row r="110" spans="1:12" ht="12.75">
      <c r="A110" s="970" t="s">
        <v>97</v>
      </c>
      <c r="B110" s="696"/>
      <c r="C110" s="211">
        <v>5</v>
      </c>
      <c r="D110" s="212">
        <v>5</v>
      </c>
      <c r="E110" s="219">
        <f t="shared" si="12"/>
        <v>0</v>
      </c>
      <c r="F110" s="171">
        <v>5</v>
      </c>
      <c r="G110" s="164">
        <f t="shared" si="14"/>
        <v>0</v>
      </c>
      <c r="H110" s="224">
        <f>0.649861495844875*100</f>
        <v>64.98614958448753</v>
      </c>
      <c r="I110" s="225">
        <v>65.5</v>
      </c>
      <c r="J110" s="225">
        <f t="shared" si="13"/>
        <v>0.513850415512465</v>
      </c>
      <c r="K110" s="599">
        <v>56.66</v>
      </c>
      <c r="L110" s="188">
        <f t="shared" si="15"/>
        <v>-8.840000000000003</v>
      </c>
    </row>
    <row r="111" spans="1:12" ht="12.75">
      <c r="A111" s="970" t="s">
        <v>98</v>
      </c>
      <c r="B111" s="696"/>
      <c r="C111" s="211">
        <v>42</v>
      </c>
      <c r="D111" s="212">
        <v>42</v>
      </c>
      <c r="E111" s="219">
        <f t="shared" si="12"/>
        <v>0</v>
      </c>
      <c r="F111" s="171">
        <v>42</v>
      </c>
      <c r="G111" s="164">
        <f t="shared" si="14"/>
        <v>0</v>
      </c>
      <c r="H111" s="224">
        <f>0.85184679456544*100</f>
        <v>85.184679456544</v>
      </c>
      <c r="I111" s="225">
        <v>89.5</v>
      </c>
      <c r="J111" s="225">
        <f t="shared" si="13"/>
        <v>4.3153205434559965</v>
      </c>
      <c r="K111" s="599">
        <v>91.64</v>
      </c>
      <c r="L111" s="188">
        <f t="shared" si="15"/>
        <v>2.1400000000000006</v>
      </c>
    </row>
    <row r="112" spans="1:12" ht="12.75">
      <c r="A112" s="970" t="s">
        <v>99</v>
      </c>
      <c r="B112" s="696"/>
      <c r="C112" s="211">
        <v>32</v>
      </c>
      <c r="D112" s="212">
        <v>32</v>
      </c>
      <c r="E112" s="219">
        <f t="shared" si="12"/>
        <v>0</v>
      </c>
      <c r="F112" s="171">
        <v>32</v>
      </c>
      <c r="G112" s="164">
        <f t="shared" si="14"/>
        <v>0</v>
      </c>
      <c r="H112" s="224">
        <f>0.721901422973809*100</f>
        <v>72.1901422973809</v>
      </c>
      <c r="I112" s="225">
        <v>75.1</v>
      </c>
      <c r="J112" s="225">
        <f t="shared" si="13"/>
        <v>2.9098577026190924</v>
      </c>
      <c r="K112" s="599">
        <v>72.95</v>
      </c>
      <c r="L112" s="188">
        <f t="shared" si="15"/>
        <v>-2.1499999999999915</v>
      </c>
    </row>
    <row r="113" spans="1:12" ht="12.75">
      <c r="A113" s="970" t="s">
        <v>100</v>
      </c>
      <c r="B113" s="696"/>
      <c r="C113" s="211">
        <v>15</v>
      </c>
      <c r="D113" s="212">
        <v>15</v>
      </c>
      <c r="E113" s="219">
        <f t="shared" si="12"/>
        <v>0</v>
      </c>
      <c r="F113" s="171">
        <v>15</v>
      </c>
      <c r="G113" s="164">
        <f t="shared" si="14"/>
        <v>0</v>
      </c>
      <c r="H113" s="224">
        <f>0.813150684931507*100</f>
        <v>81.31506849315069</v>
      </c>
      <c r="I113" s="225">
        <v>80.5</v>
      </c>
      <c r="J113" s="225">
        <f t="shared" si="13"/>
        <v>-0.8150684931506902</v>
      </c>
      <c r="K113" s="599">
        <v>78.87</v>
      </c>
      <c r="L113" s="188">
        <f t="shared" si="15"/>
        <v>-1.6299999999999955</v>
      </c>
    </row>
    <row r="114" spans="1:12" ht="12.75">
      <c r="A114" s="970" t="s">
        <v>101</v>
      </c>
      <c r="B114" s="696"/>
      <c r="C114" s="211">
        <v>18</v>
      </c>
      <c r="D114" s="212">
        <v>18</v>
      </c>
      <c r="E114" s="219">
        <f t="shared" si="12"/>
        <v>0</v>
      </c>
      <c r="F114" s="171">
        <v>18</v>
      </c>
      <c r="G114" s="164">
        <f t="shared" si="14"/>
        <v>0</v>
      </c>
      <c r="H114" s="224">
        <f>0.649771689497717*100</f>
        <v>64.9771689497717</v>
      </c>
      <c r="I114" s="225">
        <v>69</v>
      </c>
      <c r="J114" s="225">
        <f t="shared" si="13"/>
        <v>4.022831050228305</v>
      </c>
      <c r="K114" s="599">
        <v>74.49</v>
      </c>
      <c r="L114" s="188">
        <f t="shared" si="15"/>
        <v>5.489999999999995</v>
      </c>
    </row>
    <row r="115" spans="1:12" ht="12.75">
      <c r="A115" s="970" t="s">
        <v>102</v>
      </c>
      <c r="B115" s="696"/>
      <c r="C115" s="211">
        <v>27</v>
      </c>
      <c r="D115" s="212">
        <v>20</v>
      </c>
      <c r="E115" s="219">
        <f t="shared" si="12"/>
        <v>-7</v>
      </c>
      <c r="F115" s="171">
        <v>20</v>
      </c>
      <c r="G115" s="164">
        <f t="shared" si="14"/>
        <v>0</v>
      </c>
      <c r="H115" s="224">
        <f>0.78889938096737*100</f>
        <v>78.88993809673697</v>
      </c>
      <c r="I115" s="225">
        <v>85.2</v>
      </c>
      <c r="J115" s="225">
        <f t="shared" si="13"/>
        <v>6.310061903263033</v>
      </c>
      <c r="K115" s="599">
        <v>89.73</v>
      </c>
      <c r="L115" s="188">
        <f t="shared" si="15"/>
        <v>4.530000000000001</v>
      </c>
    </row>
    <row r="116" spans="1:12" ht="12.75">
      <c r="A116" s="970" t="s">
        <v>103</v>
      </c>
      <c r="B116" s="696"/>
      <c r="C116" s="211"/>
      <c r="D116" s="212"/>
      <c r="E116" s="219"/>
      <c r="F116" s="171"/>
      <c r="G116" s="164">
        <f t="shared" si="14"/>
        <v>0</v>
      </c>
      <c r="H116" s="224"/>
      <c r="I116" s="225"/>
      <c r="J116" s="225"/>
      <c r="K116" s="599"/>
      <c r="L116" s="188">
        <f t="shared" si="15"/>
        <v>0</v>
      </c>
    </row>
    <row r="117" spans="1:12" ht="12.75">
      <c r="A117" s="970" t="s">
        <v>104</v>
      </c>
      <c r="B117" s="696"/>
      <c r="C117" s="211">
        <v>15</v>
      </c>
      <c r="D117" s="212">
        <v>15</v>
      </c>
      <c r="E117" s="219">
        <f>+D117-C117</f>
        <v>0</v>
      </c>
      <c r="F117" s="171">
        <v>21</v>
      </c>
      <c r="G117" s="164">
        <f t="shared" si="14"/>
        <v>6</v>
      </c>
      <c r="H117" s="224">
        <f>0.919601990049751*100</f>
        <v>91.96019900497512</v>
      </c>
      <c r="I117" s="225">
        <v>87.9</v>
      </c>
      <c r="J117" s="225">
        <f>+I117-H117</f>
        <v>-4.060199004975118</v>
      </c>
      <c r="K117" s="599">
        <v>80.95</v>
      </c>
      <c r="L117" s="188">
        <f t="shared" si="15"/>
        <v>-6.950000000000003</v>
      </c>
    </row>
    <row r="118" spans="1:12" ht="12.75">
      <c r="A118" s="970" t="s">
        <v>105</v>
      </c>
      <c r="B118" s="696"/>
      <c r="C118" s="211">
        <v>20</v>
      </c>
      <c r="D118" s="212">
        <v>20</v>
      </c>
      <c r="E118" s="219">
        <f>+D118-C118</f>
        <v>0</v>
      </c>
      <c r="F118" s="171">
        <v>41</v>
      </c>
      <c r="G118" s="164">
        <f t="shared" si="14"/>
        <v>21</v>
      </c>
      <c r="H118" s="224">
        <f>0.938098859315589*100</f>
        <v>93.80988593155894</v>
      </c>
      <c r="I118" s="225">
        <v>94.1</v>
      </c>
      <c r="J118" s="225">
        <f>+I118-H118</f>
        <v>0.29011406844105636</v>
      </c>
      <c r="K118" s="599">
        <v>99.25</v>
      </c>
      <c r="L118" s="188">
        <f t="shared" si="15"/>
        <v>5.150000000000006</v>
      </c>
    </row>
    <row r="119" spans="1:12" ht="13.5" thickBot="1">
      <c r="A119" s="975" t="s">
        <v>106</v>
      </c>
      <c r="B119" s="976"/>
      <c r="C119" s="213"/>
      <c r="D119" s="214"/>
      <c r="E119" s="220"/>
      <c r="F119" s="177"/>
      <c r="G119" s="197">
        <f t="shared" si="14"/>
        <v>0</v>
      </c>
      <c r="H119" s="226"/>
      <c r="I119" s="227"/>
      <c r="J119" s="227"/>
      <c r="K119" s="600"/>
      <c r="L119" s="188">
        <f t="shared" si="15"/>
        <v>0</v>
      </c>
    </row>
    <row r="120" spans="1:12" ht="13.5" thickBot="1">
      <c r="A120" s="977" t="s">
        <v>11</v>
      </c>
      <c r="B120" s="978"/>
      <c r="C120" s="196">
        <f>SUM(C102:C119)</f>
        <v>651</v>
      </c>
      <c r="D120" s="181">
        <f>SUM(D102:D119)</f>
        <v>647</v>
      </c>
      <c r="E120" s="182">
        <f>+D120-C120</f>
        <v>-4</v>
      </c>
      <c r="F120" s="183">
        <f>SUM(F102:F119)</f>
        <v>643</v>
      </c>
      <c r="G120" s="182">
        <f>+F120-D120</f>
        <v>-4</v>
      </c>
      <c r="H120" s="228">
        <f>174446/228318*100</f>
        <v>76.40483886509168</v>
      </c>
      <c r="I120" s="229">
        <v>75</v>
      </c>
      <c r="J120" s="229">
        <f>+I120-H120</f>
        <v>-1.4048388650916763</v>
      </c>
      <c r="K120" s="597">
        <v>77.82</v>
      </c>
      <c r="L120" s="191">
        <f>+K120-I120</f>
        <v>2.819999999999993</v>
      </c>
    </row>
    <row r="121" spans="3:7" ht="12.75">
      <c r="C121" s="1165" t="s">
        <v>249</v>
      </c>
      <c r="D121" s="1166"/>
      <c r="E121" s="1166"/>
      <c r="F121" s="1166"/>
      <c r="G121" s="1167"/>
    </row>
    <row r="122" spans="3:7" ht="24.75" customHeight="1" thickBot="1">
      <c r="C122" s="1168"/>
      <c r="D122" s="1169"/>
      <c r="E122" s="1169"/>
      <c r="F122" s="1169"/>
      <c r="G122" s="1170"/>
    </row>
    <row r="123" ht="2.25" customHeight="1"/>
    <row r="124" spans="1:12" ht="12.75">
      <c r="A124" s="668" t="s">
        <v>375</v>
      </c>
      <c r="B124" s="1122"/>
      <c r="C124" s="1122"/>
      <c r="D124" s="1122"/>
      <c r="E124" s="1122"/>
      <c r="F124" s="1122"/>
      <c r="G124" s="1122"/>
      <c r="H124" s="1122"/>
      <c r="I124" s="1122"/>
      <c r="J124" s="1122"/>
      <c r="K124" s="1122"/>
      <c r="L124" s="1123"/>
    </row>
    <row r="125" spans="1:12" ht="12.75">
      <c r="A125" s="1124"/>
      <c r="B125" s="1080"/>
      <c r="C125" s="1080"/>
      <c r="D125" s="1080"/>
      <c r="E125" s="1080"/>
      <c r="F125" s="1080"/>
      <c r="G125" s="1080"/>
      <c r="H125" s="1080"/>
      <c r="I125" s="1080"/>
      <c r="J125" s="1080"/>
      <c r="K125" s="1080"/>
      <c r="L125" s="1125"/>
    </row>
    <row r="126" spans="1:12" ht="12.75">
      <c r="A126" s="1124"/>
      <c r="B126" s="1080"/>
      <c r="C126" s="1080"/>
      <c r="D126" s="1080"/>
      <c r="E126" s="1080"/>
      <c r="F126" s="1080"/>
      <c r="G126" s="1080"/>
      <c r="H126" s="1080"/>
      <c r="I126" s="1080"/>
      <c r="J126" s="1080"/>
      <c r="K126" s="1080"/>
      <c r="L126" s="1125"/>
    </row>
    <row r="127" spans="1:12" ht="12.75">
      <c r="A127" s="1124"/>
      <c r="B127" s="1080"/>
      <c r="C127" s="1080"/>
      <c r="D127" s="1080"/>
      <c r="E127" s="1080"/>
      <c r="F127" s="1080"/>
      <c r="G127" s="1080"/>
      <c r="H127" s="1080"/>
      <c r="I127" s="1080"/>
      <c r="J127" s="1080"/>
      <c r="K127" s="1080"/>
      <c r="L127" s="1125"/>
    </row>
    <row r="128" spans="1:12" ht="12.75">
      <c r="A128" s="1124"/>
      <c r="B128" s="1080"/>
      <c r="C128" s="1080"/>
      <c r="D128" s="1080"/>
      <c r="E128" s="1080"/>
      <c r="F128" s="1080"/>
      <c r="G128" s="1080"/>
      <c r="H128" s="1080"/>
      <c r="I128" s="1080"/>
      <c r="J128" s="1080"/>
      <c r="K128" s="1080"/>
      <c r="L128" s="1125"/>
    </row>
    <row r="129" spans="1:12" ht="12.75">
      <c r="A129" s="1124"/>
      <c r="B129" s="1080"/>
      <c r="C129" s="1080"/>
      <c r="D129" s="1080"/>
      <c r="E129" s="1080"/>
      <c r="F129" s="1080"/>
      <c r="G129" s="1080"/>
      <c r="H129" s="1080"/>
      <c r="I129" s="1080"/>
      <c r="J129" s="1080"/>
      <c r="K129" s="1080"/>
      <c r="L129" s="1125"/>
    </row>
    <row r="130" spans="1:12" ht="12.75">
      <c r="A130" s="1126"/>
      <c r="B130" s="1127"/>
      <c r="C130" s="1127"/>
      <c r="D130" s="1127"/>
      <c r="E130" s="1127"/>
      <c r="F130" s="1127"/>
      <c r="G130" s="1127"/>
      <c r="H130" s="1127"/>
      <c r="I130" s="1127"/>
      <c r="J130" s="1127"/>
      <c r="K130" s="1127"/>
      <c r="L130" s="1128"/>
    </row>
    <row r="131" spans="1:12" ht="6" customHeight="1">
      <c r="A131" s="76"/>
      <c r="B131" s="76"/>
      <c r="C131" s="76"/>
      <c r="D131" s="76"/>
      <c r="E131" s="76"/>
      <c r="F131" s="76"/>
      <c r="G131" s="76"/>
      <c r="H131" s="76"/>
      <c r="I131" s="76"/>
      <c r="J131" s="76"/>
      <c r="K131" s="76"/>
      <c r="L131" s="480"/>
    </row>
    <row r="132" spans="1:12" ht="16.5" thickBot="1">
      <c r="A132" s="29" t="s">
        <v>233</v>
      </c>
      <c r="B132" s="76"/>
      <c r="C132" s="76"/>
      <c r="D132" s="76"/>
      <c r="E132" s="76"/>
      <c r="F132" s="76"/>
      <c r="G132" s="76"/>
      <c r="H132" s="76"/>
      <c r="I132" s="76"/>
      <c r="J132" s="76"/>
      <c r="K132" s="76"/>
      <c r="L132" s="480"/>
    </row>
    <row r="133" spans="1:12" s="39" customFormat="1" ht="21" customHeight="1" thickBot="1">
      <c r="A133" s="1175" t="s">
        <v>276</v>
      </c>
      <c r="B133" s="1176"/>
      <c r="C133" s="1176"/>
      <c r="D133" s="1179" t="s">
        <v>216</v>
      </c>
      <c r="E133" s="1180"/>
      <c r="F133" s="481"/>
      <c r="G133" s="1184" t="s">
        <v>275</v>
      </c>
      <c r="H133" s="1178"/>
      <c r="I133" s="1178"/>
      <c r="J133" s="1186" t="s">
        <v>216</v>
      </c>
      <c r="K133" s="1182"/>
      <c r="L133" s="481"/>
    </row>
    <row r="134" spans="1:12" s="39" customFormat="1" ht="21" customHeight="1">
      <c r="A134" s="1177" t="s">
        <v>217</v>
      </c>
      <c r="B134" s="1178"/>
      <c r="C134" s="1178"/>
      <c r="D134" s="1181">
        <v>1657000</v>
      </c>
      <c r="E134" s="1182"/>
      <c r="F134" s="481"/>
      <c r="G134" s="807" t="s">
        <v>218</v>
      </c>
      <c r="H134" s="808"/>
      <c r="I134" s="808"/>
      <c r="J134" s="1062">
        <v>21068000</v>
      </c>
      <c r="K134" s="809"/>
      <c r="L134" s="481"/>
    </row>
    <row r="135" spans="1:12" s="39" customFormat="1" ht="21" customHeight="1">
      <c r="A135" s="807" t="s">
        <v>218</v>
      </c>
      <c r="B135" s="808"/>
      <c r="C135" s="808"/>
      <c r="D135" s="1062">
        <v>1232000</v>
      </c>
      <c r="E135" s="809"/>
      <c r="F135" s="481"/>
      <c r="G135" s="807" t="s">
        <v>219</v>
      </c>
      <c r="H135" s="808"/>
      <c r="I135" s="808"/>
      <c r="J135" s="1062">
        <v>1690747.04</v>
      </c>
      <c r="K135" s="809"/>
      <c r="L135" s="481"/>
    </row>
    <row r="136" spans="1:12" s="39" customFormat="1" ht="17.25" customHeight="1">
      <c r="A136" s="807" t="s">
        <v>219</v>
      </c>
      <c r="B136" s="808"/>
      <c r="C136" s="808"/>
      <c r="D136" s="1062">
        <v>775240.42</v>
      </c>
      <c r="E136" s="809"/>
      <c r="F136" s="481"/>
      <c r="G136" s="807" t="s">
        <v>220</v>
      </c>
      <c r="H136" s="808"/>
      <c r="I136" s="808"/>
      <c r="J136" s="1062">
        <v>83322</v>
      </c>
      <c r="K136" s="809"/>
      <c r="L136" s="481"/>
    </row>
    <row r="137" spans="1:12" s="39" customFormat="1" ht="18" customHeight="1">
      <c r="A137" s="807" t="s">
        <v>220</v>
      </c>
      <c r="B137" s="808"/>
      <c r="C137" s="808"/>
      <c r="D137" s="1062">
        <v>68651</v>
      </c>
      <c r="E137" s="809"/>
      <c r="F137" s="481"/>
      <c r="G137" s="807" t="s">
        <v>221</v>
      </c>
      <c r="H137" s="808"/>
      <c r="I137" s="808"/>
      <c r="J137" s="1062">
        <v>1575000</v>
      </c>
      <c r="K137" s="809"/>
      <c r="L137" s="481"/>
    </row>
    <row r="138" spans="1:12" s="39" customFormat="1" ht="21" customHeight="1" thickBot="1">
      <c r="A138" s="833" t="s">
        <v>226</v>
      </c>
      <c r="B138" s="834"/>
      <c r="C138" s="834"/>
      <c r="D138" s="1116">
        <v>53143</v>
      </c>
      <c r="E138" s="835"/>
      <c r="F138" s="481"/>
      <c r="G138" s="833"/>
      <c r="H138" s="834"/>
      <c r="I138" s="834"/>
      <c r="J138" s="1116"/>
      <c r="K138" s="835"/>
      <c r="L138" s="481"/>
    </row>
    <row r="139" spans="1:12" s="39" customFormat="1" ht="17.25" customHeight="1" thickBot="1">
      <c r="A139" s="795" t="s">
        <v>223</v>
      </c>
      <c r="B139" s="909"/>
      <c r="C139" s="909"/>
      <c r="D139" s="817">
        <v>3786034.42</v>
      </c>
      <c r="E139" s="1107"/>
      <c r="F139" s="481"/>
      <c r="G139" s="851" t="s">
        <v>225</v>
      </c>
      <c r="H139" s="1183"/>
      <c r="I139" s="1183"/>
      <c r="J139" s="1185">
        <v>24417069.04</v>
      </c>
      <c r="K139" s="853"/>
      <c r="L139" s="481"/>
    </row>
    <row r="140" spans="1:12" ht="12.75">
      <c r="A140" s="76"/>
      <c r="B140" s="76"/>
      <c r="C140" s="76"/>
      <c r="D140" s="76"/>
      <c r="E140" s="76"/>
      <c r="F140" s="76"/>
      <c r="G140" s="76"/>
      <c r="H140" s="76"/>
      <c r="I140" s="76"/>
      <c r="J140" s="76"/>
      <c r="K140" s="76"/>
      <c r="L140" s="480"/>
    </row>
    <row r="142" ht="16.5" thickBot="1">
      <c r="A142" s="29" t="s">
        <v>227</v>
      </c>
    </row>
    <row r="143" spans="1:11" ht="12.75">
      <c r="A143" s="1003" t="s">
        <v>116</v>
      </c>
      <c r="B143" s="963"/>
      <c r="C143" s="980"/>
      <c r="D143" s="275" t="s">
        <v>117</v>
      </c>
      <c r="E143" s="256"/>
      <c r="F143" s="257"/>
      <c r="G143" s="256" t="s">
        <v>161</v>
      </c>
      <c r="H143" s="256"/>
      <c r="I143" s="239"/>
      <c r="J143" s="1003" t="s">
        <v>162</v>
      </c>
      <c r="K143" s="1015"/>
    </row>
    <row r="144" spans="1:11" ht="12.75">
      <c r="A144" s="1004"/>
      <c r="B144" s="969"/>
      <c r="C144" s="696"/>
      <c r="D144" s="1147" t="s">
        <v>118</v>
      </c>
      <c r="E144" s="1150" t="s">
        <v>119</v>
      </c>
      <c r="F144" s="1153" t="s">
        <v>11</v>
      </c>
      <c r="G144" s="1150" t="s">
        <v>118</v>
      </c>
      <c r="H144" s="1150" t="s">
        <v>119</v>
      </c>
      <c r="I144" s="1172" t="s">
        <v>11</v>
      </c>
      <c r="J144" s="1016"/>
      <c r="K144" s="1017"/>
    </row>
    <row r="145" spans="1:11" ht="12.75">
      <c r="A145" s="1004"/>
      <c r="B145" s="969"/>
      <c r="C145" s="696"/>
      <c r="D145" s="1148"/>
      <c r="E145" s="1151" t="s">
        <v>120</v>
      </c>
      <c r="F145" s="1154"/>
      <c r="G145" s="1151"/>
      <c r="H145" s="1151" t="s">
        <v>120</v>
      </c>
      <c r="I145" s="1173"/>
      <c r="J145" s="1018"/>
      <c r="K145" s="696"/>
    </row>
    <row r="146" spans="1:11" ht="13.5" thickBot="1">
      <c r="A146" s="1005"/>
      <c r="B146" s="965"/>
      <c r="C146" s="702"/>
      <c r="D146" s="1149"/>
      <c r="E146" s="1152" t="s">
        <v>120</v>
      </c>
      <c r="F146" s="1155"/>
      <c r="G146" s="1152"/>
      <c r="H146" s="1152" t="s">
        <v>120</v>
      </c>
      <c r="I146" s="1174"/>
      <c r="J146" s="271" t="s">
        <v>88</v>
      </c>
      <c r="K146" s="272" t="s">
        <v>163</v>
      </c>
    </row>
    <row r="147" spans="1:11" ht="12.75">
      <c r="A147" s="1006" t="s">
        <v>121</v>
      </c>
      <c r="B147" s="967"/>
      <c r="C147" s="1007"/>
      <c r="D147" s="479">
        <v>900</v>
      </c>
      <c r="E147" s="255"/>
      <c r="F147" s="250">
        <f>SUM(D147:E147)</f>
        <v>900</v>
      </c>
      <c r="G147" s="276">
        <v>986</v>
      </c>
      <c r="H147" s="276">
        <v>0</v>
      </c>
      <c r="I147" s="241">
        <f aca="true" t="shared" si="16" ref="I147:I152">SUM(G147:H147)</f>
        <v>986</v>
      </c>
      <c r="J147" s="277">
        <f>+I147-F147</f>
        <v>86</v>
      </c>
      <c r="K147" s="280"/>
    </row>
    <row r="148" spans="1:11" ht="12.75">
      <c r="A148" s="1008" t="s">
        <v>122</v>
      </c>
      <c r="B148" s="969"/>
      <c r="C148" s="696"/>
      <c r="D148" s="263">
        <v>460982</v>
      </c>
      <c r="E148" s="244">
        <v>800</v>
      </c>
      <c r="F148" s="258">
        <f>SUM(D148:E148)</f>
        <v>461782</v>
      </c>
      <c r="G148" s="244">
        <v>457589</v>
      </c>
      <c r="H148" s="244">
        <v>992</v>
      </c>
      <c r="I148" s="243">
        <f t="shared" si="16"/>
        <v>458581</v>
      </c>
      <c r="J148" s="278">
        <f>+I148-F148</f>
        <v>-3201</v>
      </c>
      <c r="K148" s="281">
        <f>+I148/F148</f>
        <v>0.9930681577021192</v>
      </c>
    </row>
    <row r="149" spans="1:11" ht="12.75">
      <c r="A149" s="1008" t="s">
        <v>123</v>
      </c>
      <c r="B149" s="969"/>
      <c r="C149" s="696"/>
      <c r="D149" s="264"/>
      <c r="E149" s="242"/>
      <c r="F149" s="258"/>
      <c r="G149" s="242">
        <v>448849</v>
      </c>
      <c r="H149" s="242">
        <v>0</v>
      </c>
      <c r="I149" s="243">
        <f t="shared" si="16"/>
        <v>448849</v>
      </c>
      <c r="J149" s="278"/>
      <c r="K149" s="281"/>
    </row>
    <row r="150" spans="1:11" ht="12.75">
      <c r="A150" s="1008" t="s">
        <v>124</v>
      </c>
      <c r="B150" s="969"/>
      <c r="C150" s="696"/>
      <c r="D150" s="264"/>
      <c r="E150" s="242"/>
      <c r="F150" s="258"/>
      <c r="G150" s="242">
        <v>7181</v>
      </c>
      <c r="H150" s="242">
        <v>75</v>
      </c>
      <c r="I150" s="243">
        <f t="shared" si="16"/>
        <v>7256</v>
      </c>
      <c r="J150" s="278"/>
      <c r="K150" s="281"/>
    </row>
    <row r="151" spans="1:11" ht="12.75">
      <c r="A151" s="1008" t="s">
        <v>125</v>
      </c>
      <c r="B151" s="969"/>
      <c r="C151" s="696"/>
      <c r="D151" s="263">
        <v>34000</v>
      </c>
      <c r="E151" s="244">
        <v>3400</v>
      </c>
      <c r="F151" s="258">
        <f>SUM(D151:E151)</f>
        <v>37400</v>
      </c>
      <c r="G151" s="244">
        <v>33913</v>
      </c>
      <c r="H151" s="244">
        <v>3400</v>
      </c>
      <c r="I151" s="243">
        <f t="shared" si="16"/>
        <v>37313</v>
      </c>
      <c r="J151" s="278">
        <f aca="true" t="shared" si="17" ref="J151:J158">+I151-F151</f>
        <v>-87</v>
      </c>
      <c r="K151" s="281">
        <f aca="true" t="shared" si="18" ref="K151:K158">+I151/F151</f>
        <v>0.9976737967914439</v>
      </c>
    </row>
    <row r="152" spans="1:11" ht="12.75">
      <c r="A152" s="1008" t="s">
        <v>126</v>
      </c>
      <c r="B152" s="969"/>
      <c r="C152" s="696"/>
      <c r="D152" s="264"/>
      <c r="E152" s="242"/>
      <c r="F152" s="258"/>
      <c r="G152" s="242">
        <v>33902</v>
      </c>
      <c r="H152" s="242">
        <v>3381</v>
      </c>
      <c r="I152" s="243">
        <f t="shared" si="16"/>
        <v>37283</v>
      </c>
      <c r="J152" s="278"/>
      <c r="K152" s="281"/>
    </row>
    <row r="153" spans="1:11" ht="12.75">
      <c r="A153" s="1008" t="s">
        <v>127</v>
      </c>
      <c r="B153" s="969"/>
      <c r="C153" s="696"/>
      <c r="D153" s="263">
        <v>170</v>
      </c>
      <c r="E153" s="244">
        <v>0</v>
      </c>
      <c r="F153" s="258">
        <f aca="true" t="shared" si="19" ref="F153:F158">SUM(D153:E153)</f>
        <v>170</v>
      </c>
      <c r="G153" s="244">
        <v>129.93</v>
      </c>
      <c r="H153" s="244"/>
      <c r="I153" s="243">
        <f aca="true" t="shared" si="20" ref="I153:I158">SUM(G153:H153)</f>
        <v>129.93</v>
      </c>
      <c r="J153" s="278">
        <f t="shared" si="17"/>
        <v>-40.06999999999999</v>
      </c>
      <c r="K153" s="281">
        <f t="shared" si="18"/>
        <v>0.7642941176470589</v>
      </c>
    </row>
    <row r="154" spans="1:11" ht="12.75">
      <c r="A154" s="1008" t="s">
        <v>128</v>
      </c>
      <c r="B154" s="969"/>
      <c r="C154" s="696"/>
      <c r="D154" s="263">
        <v>1150</v>
      </c>
      <c r="E154" s="244">
        <v>0</v>
      </c>
      <c r="F154" s="258">
        <f t="shared" si="19"/>
        <v>1150</v>
      </c>
      <c r="G154" s="244">
        <f>71.72+209.23+558.74+635.18</f>
        <v>1474.87</v>
      </c>
      <c r="H154" s="244">
        <v>0</v>
      </c>
      <c r="I154" s="243">
        <f t="shared" si="20"/>
        <v>1474.87</v>
      </c>
      <c r="J154" s="278">
        <f t="shared" si="17"/>
        <v>324.8699999999999</v>
      </c>
      <c r="K154" s="281">
        <f t="shared" si="18"/>
        <v>1.282495652173913</v>
      </c>
    </row>
    <row r="155" spans="1:11" ht="12.75">
      <c r="A155" s="1008" t="s">
        <v>129</v>
      </c>
      <c r="B155" s="969"/>
      <c r="C155" s="696"/>
      <c r="D155" s="263">
        <v>600</v>
      </c>
      <c r="E155" s="244">
        <v>0</v>
      </c>
      <c r="F155" s="258">
        <f t="shared" si="19"/>
        <v>600</v>
      </c>
      <c r="G155" s="244">
        <v>559</v>
      </c>
      <c r="H155" s="244">
        <v>0</v>
      </c>
      <c r="I155" s="243">
        <f t="shared" si="20"/>
        <v>559</v>
      </c>
      <c r="J155" s="278">
        <f t="shared" si="17"/>
        <v>-41</v>
      </c>
      <c r="K155" s="281">
        <f t="shared" si="18"/>
        <v>0.9316666666666666</v>
      </c>
    </row>
    <row r="156" spans="1:11" ht="12.75">
      <c r="A156" s="1008" t="s">
        <v>130</v>
      </c>
      <c r="B156" s="969"/>
      <c r="C156" s="696"/>
      <c r="D156" s="263">
        <v>0</v>
      </c>
      <c r="E156" s="244">
        <v>0</v>
      </c>
      <c r="F156" s="258">
        <f t="shared" si="19"/>
        <v>0</v>
      </c>
      <c r="G156" s="244">
        <v>0</v>
      </c>
      <c r="H156" s="244"/>
      <c r="I156" s="243">
        <f t="shared" si="20"/>
        <v>0</v>
      </c>
      <c r="J156" s="278"/>
      <c r="K156" s="281"/>
    </row>
    <row r="157" spans="1:11" ht="12.75">
      <c r="A157" s="1008" t="s">
        <v>131</v>
      </c>
      <c r="B157" s="969"/>
      <c r="C157" s="696"/>
      <c r="D157" s="263">
        <v>0</v>
      </c>
      <c r="E157" s="244">
        <v>0</v>
      </c>
      <c r="F157" s="258">
        <f t="shared" si="19"/>
        <v>0</v>
      </c>
      <c r="G157" s="244">
        <v>0</v>
      </c>
      <c r="H157" s="244"/>
      <c r="I157" s="243">
        <f t="shared" si="20"/>
        <v>0</v>
      </c>
      <c r="J157" s="278"/>
      <c r="K157" s="281"/>
    </row>
    <row r="158" spans="1:11" ht="13.5" thickBot="1">
      <c r="A158" s="1157" t="s">
        <v>132</v>
      </c>
      <c r="B158" s="965"/>
      <c r="C158" s="702"/>
      <c r="D158" s="581">
        <v>3733</v>
      </c>
      <c r="E158" s="259">
        <v>0</v>
      </c>
      <c r="F158" s="582">
        <f t="shared" si="19"/>
        <v>3733</v>
      </c>
      <c r="G158" s="259">
        <v>3786</v>
      </c>
      <c r="H158" s="252">
        <v>0</v>
      </c>
      <c r="I158" s="268">
        <f t="shared" si="20"/>
        <v>3786</v>
      </c>
      <c r="J158" s="278">
        <f t="shared" si="17"/>
        <v>53</v>
      </c>
      <c r="K158" s="281">
        <f t="shared" si="18"/>
        <v>1.0141976962228771</v>
      </c>
    </row>
    <row r="159" spans="1:11" ht="13.5" thickBot="1">
      <c r="A159" s="1158" t="s">
        <v>4</v>
      </c>
      <c r="B159" s="1159"/>
      <c r="C159" s="1160"/>
      <c r="D159" s="247">
        <f>SUM(D148+D151+D153+D154+D156+D158)</f>
        <v>500035</v>
      </c>
      <c r="E159" s="246">
        <f>SUM(E148+E151+E153+E154+E156+E158)</f>
        <v>4200</v>
      </c>
      <c r="F159" s="254">
        <f>SUM(F148+F151+F153+F154+F156+F158+F147)</f>
        <v>505135</v>
      </c>
      <c r="G159" s="246">
        <f>SUM(G148+G151+G153+G154+G156+G158+G147)</f>
        <v>497878.8</v>
      </c>
      <c r="H159" s="246">
        <f>SUM(H148+H151+H153+H154+H156+H158)</f>
        <v>4392</v>
      </c>
      <c r="I159" s="253">
        <f>SUM(I148+I151+I153+I154+I156+I158+I147)</f>
        <v>502270.8</v>
      </c>
      <c r="J159" s="279">
        <f>+I159-F159</f>
        <v>-2864.2000000000116</v>
      </c>
      <c r="K159" s="282">
        <f>+I159/F159</f>
        <v>0.9943298326190028</v>
      </c>
    </row>
    <row r="160" spans="1:3" ht="2.25" customHeight="1" thickBot="1">
      <c r="A160" s="1161"/>
      <c r="B160" s="946"/>
      <c r="C160" s="946"/>
    </row>
    <row r="161" spans="1:11" ht="12.75">
      <c r="A161" s="1014" t="s">
        <v>133</v>
      </c>
      <c r="B161" s="963"/>
      <c r="C161" s="980"/>
      <c r="D161" s="260">
        <v>110000</v>
      </c>
      <c r="E161" s="248">
        <v>50</v>
      </c>
      <c r="F161" s="249">
        <f>SUM(D161:E161)</f>
        <v>110050</v>
      </c>
      <c r="G161" s="260">
        <v>108885.82</v>
      </c>
      <c r="H161" s="248">
        <v>92.8</v>
      </c>
      <c r="I161" s="273">
        <f>SUM(G161:H161)</f>
        <v>108978.62000000001</v>
      </c>
      <c r="J161" s="283">
        <f>+I161-F161</f>
        <v>-1071.37999999999</v>
      </c>
      <c r="K161" s="284">
        <f>+I161/F161</f>
        <v>0.9902646069968197</v>
      </c>
    </row>
    <row r="162" spans="1:11" ht="12.75">
      <c r="A162" s="1008" t="s">
        <v>134</v>
      </c>
      <c r="B162" s="969"/>
      <c r="C162" s="696"/>
      <c r="D162" s="261">
        <v>3000</v>
      </c>
      <c r="E162" s="240">
        <v>0</v>
      </c>
      <c r="F162" s="250">
        <f>SUM(D162:E162)</f>
        <v>3000</v>
      </c>
      <c r="G162" s="261">
        <v>3509</v>
      </c>
      <c r="H162" s="240">
        <v>4</v>
      </c>
      <c r="I162" s="241">
        <f>SUM(G162:H162)</f>
        <v>3513</v>
      </c>
      <c r="J162" s="278">
        <f>+I162-F162</f>
        <v>513</v>
      </c>
      <c r="K162" s="281">
        <f>+I162/F162</f>
        <v>1.171</v>
      </c>
    </row>
    <row r="163" spans="1:11" ht="12.75">
      <c r="A163" s="1008" t="s">
        <v>135</v>
      </c>
      <c r="B163" s="969"/>
      <c r="C163" s="696"/>
      <c r="D163" s="261"/>
      <c r="E163" s="240"/>
      <c r="F163" s="251"/>
      <c r="G163" s="261">
        <v>41600</v>
      </c>
      <c r="H163" s="240">
        <v>0</v>
      </c>
      <c r="I163" s="241">
        <f aca="true" t="shared" si="21" ref="I163:I168">SUM(G163:H163)</f>
        <v>41600</v>
      </c>
      <c r="J163" s="269"/>
      <c r="K163" s="270"/>
    </row>
    <row r="164" spans="1:11" ht="12.75">
      <c r="A164" s="1008" t="s">
        <v>136</v>
      </c>
      <c r="B164" s="969"/>
      <c r="C164" s="696"/>
      <c r="D164" s="261"/>
      <c r="E164" s="240"/>
      <c r="F164" s="251"/>
      <c r="G164" s="261">
        <v>9962</v>
      </c>
      <c r="H164" s="240">
        <v>0</v>
      </c>
      <c r="I164" s="241">
        <f t="shared" si="21"/>
        <v>9962</v>
      </c>
      <c r="J164" s="269"/>
      <c r="K164" s="270"/>
    </row>
    <row r="165" spans="1:11" ht="12.75">
      <c r="A165" s="1008" t="s">
        <v>137</v>
      </c>
      <c r="B165" s="969"/>
      <c r="C165" s="696"/>
      <c r="D165" s="261"/>
      <c r="E165" s="240"/>
      <c r="F165" s="251"/>
      <c r="G165" s="261">
        <v>37204</v>
      </c>
      <c r="H165" s="240">
        <v>0</v>
      </c>
      <c r="I165" s="241">
        <f t="shared" si="21"/>
        <v>37204</v>
      </c>
      <c r="J165" s="269"/>
      <c r="K165" s="270"/>
    </row>
    <row r="166" spans="1:11" ht="12.75">
      <c r="A166" s="1008" t="s">
        <v>138</v>
      </c>
      <c r="B166" s="969"/>
      <c r="C166" s="696"/>
      <c r="D166" s="261"/>
      <c r="E166" s="240"/>
      <c r="F166" s="251"/>
      <c r="G166" s="261">
        <v>10292</v>
      </c>
      <c r="H166" s="240">
        <v>80</v>
      </c>
      <c r="I166" s="241">
        <f t="shared" si="21"/>
        <v>10372</v>
      </c>
      <c r="J166" s="269"/>
      <c r="K166" s="270"/>
    </row>
    <row r="167" spans="1:11" ht="12.75">
      <c r="A167" s="1008" t="s">
        <v>139</v>
      </c>
      <c r="B167" s="969"/>
      <c r="C167" s="696"/>
      <c r="D167" s="261"/>
      <c r="E167" s="240"/>
      <c r="F167" s="251"/>
      <c r="G167" s="261">
        <v>98</v>
      </c>
      <c r="H167" s="240">
        <v>0</v>
      </c>
      <c r="I167" s="241">
        <f t="shared" si="21"/>
        <v>98</v>
      </c>
      <c r="J167" s="269"/>
      <c r="K167" s="270"/>
    </row>
    <row r="168" spans="1:11" ht="12.75">
      <c r="A168" s="1008" t="s">
        <v>140</v>
      </c>
      <c r="B168" s="969"/>
      <c r="C168" s="696"/>
      <c r="D168" s="261"/>
      <c r="E168" s="240"/>
      <c r="F168" s="251"/>
      <c r="G168" s="261">
        <v>4178</v>
      </c>
      <c r="H168" s="240">
        <v>6</v>
      </c>
      <c r="I168" s="241">
        <f t="shared" si="21"/>
        <v>4184</v>
      </c>
      <c r="J168" s="269"/>
      <c r="K168" s="270"/>
    </row>
    <row r="169" spans="1:11" ht="12.75">
      <c r="A169" s="1008" t="s">
        <v>141</v>
      </c>
      <c r="B169" s="969"/>
      <c r="C169" s="696"/>
      <c r="D169" s="262">
        <v>17500</v>
      </c>
      <c r="E169" s="244">
        <v>0</v>
      </c>
      <c r="F169" s="250">
        <f aca="true" t="shared" si="22" ref="F169:F174">SUM(D169:E169)</f>
        <v>17500</v>
      </c>
      <c r="G169" s="262">
        <v>18584.04</v>
      </c>
      <c r="H169" s="244">
        <v>9.98</v>
      </c>
      <c r="I169" s="241">
        <f aca="true" t="shared" si="23" ref="I169:I178">SUM(G169:H169)</f>
        <v>18594.02</v>
      </c>
      <c r="J169" s="278">
        <f aca="true" t="shared" si="24" ref="J169:J174">+I169-F169</f>
        <v>1094.0200000000004</v>
      </c>
      <c r="K169" s="281">
        <f aca="true" t="shared" si="25" ref="K169:K174">+I169/F169</f>
        <v>1.0625154285714287</v>
      </c>
    </row>
    <row r="170" spans="1:11" ht="12.75">
      <c r="A170" s="1008" t="s">
        <v>142</v>
      </c>
      <c r="B170" s="969"/>
      <c r="C170" s="696"/>
      <c r="D170" s="263">
        <v>0</v>
      </c>
      <c r="E170" s="244">
        <v>0</v>
      </c>
      <c r="F170" s="250">
        <f t="shared" si="22"/>
        <v>0</v>
      </c>
      <c r="G170" s="263">
        <v>0</v>
      </c>
      <c r="H170" s="244">
        <v>0</v>
      </c>
      <c r="I170" s="241">
        <f t="shared" si="23"/>
        <v>0</v>
      </c>
      <c r="J170" s="278">
        <f t="shared" si="24"/>
        <v>0</v>
      </c>
      <c r="K170" s="281"/>
    </row>
    <row r="171" spans="1:11" ht="12.75">
      <c r="A171" s="1008" t="s">
        <v>143</v>
      </c>
      <c r="B171" s="969"/>
      <c r="C171" s="696"/>
      <c r="D171" s="263">
        <v>28000</v>
      </c>
      <c r="E171" s="244">
        <v>2700</v>
      </c>
      <c r="F171" s="250">
        <f t="shared" si="22"/>
        <v>30700</v>
      </c>
      <c r="G171" s="263">
        <v>28223.25</v>
      </c>
      <c r="H171" s="244">
        <v>2842.12</v>
      </c>
      <c r="I171" s="241">
        <f t="shared" si="23"/>
        <v>31065.37</v>
      </c>
      <c r="J171" s="278">
        <f t="shared" si="24"/>
        <v>365.369999999999</v>
      </c>
      <c r="K171" s="281">
        <f t="shared" si="25"/>
        <v>1.011901302931596</v>
      </c>
    </row>
    <row r="172" spans="1:11" ht="12.75">
      <c r="A172" s="1008" t="s">
        <v>144</v>
      </c>
      <c r="B172" s="969"/>
      <c r="C172" s="696"/>
      <c r="D172" s="263">
        <v>67420</v>
      </c>
      <c r="E172" s="244">
        <v>200</v>
      </c>
      <c r="F172" s="250">
        <f t="shared" si="22"/>
        <v>67620</v>
      </c>
      <c r="G172" s="263">
        <f>11840.14+476.51+66.52+59215.32</f>
        <v>71598.49</v>
      </c>
      <c r="H172" s="244">
        <f>145.92+14.89</f>
        <v>160.81</v>
      </c>
      <c r="I172" s="241">
        <f t="shared" si="23"/>
        <v>71759.3</v>
      </c>
      <c r="J172" s="278">
        <f t="shared" si="24"/>
        <v>4139.300000000003</v>
      </c>
      <c r="K172" s="281">
        <f t="shared" si="25"/>
        <v>1.0612141378290447</v>
      </c>
    </row>
    <row r="173" spans="1:11" ht="12.75">
      <c r="A173" s="1008" t="s">
        <v>145</v>
      </c>
      <c r="B173" s="969"/>
      <c r="C173" s="696"/>
      <c r="D173" s="264">
        <v>10000</v>
      </c>
      <c r="E173" s="244">
        <v>20</v>
      </c>
      <c r="F173" s="250">
        <f t="shared" si="22"/>
        <v>10020</v>
      </c>
      <c r="G173" s="264">
        <v>11840</v>
      </c>
      <c r="H173" s="244">
        <v>15</v>
      </c>
      <c r="I173" s="241">
        <f t="shared" si="23"/>
        <v>11855</v>
      </c>
      <c r="J173" s="278">
        <f t="shared" si="24"/>
        <v>1835</v>
      </c>
      <c r="K173" s="281">
        <f t="shared" si="25"/>
        <v>1.18313373253493</v>
      </c>
    </row>
    <row r="174" spans="1:11" ht="12.75">
      <c r="A174" s="1008" t="s">
        <v>146</v>
      </c>
      <c r="B174" s="969"/>
      <c r="C174" s="696"/>
      <c r="D174" s="264">
        <v>57000</v>
      </c>
      <c r="E174" s="244">
        <v>180</v>
      </c>
      <c r="F174" s="250">
        <f t="shared" si="22"/>
        <v>57180</v>
      </c>
      <c r="G174" s="264">
        <v>59215</v>
      </c>
      <c r="H174" s="244">
        <v>146</v>
      </c>
      <c r="I174" s="241">
        <f t="shared" si="23"/>
        <v>59361</v>
      </c>
      <c r="J174" s="278">
        <f t="shared" si="24"/>
        <v>2181</v>
      </c>
      <c r="K174" s="281">
        <f t="shared" si="25"/>
        <v>1.0381427072402938</v>
      </c>
    </row>
    <row r="175" spans="1:11" ht="12.75">
      <c r="A175" s="1008" t="s">
        <v>147</v>
      </c>
      <c r="B175" s="969"/>
      <c r="C175" s="696"/>
      <c r="D175" s="264"/>
      <c r="E175" s="244"/>
      <c r="F175" s="251"/>
      <c r="G175" s="264">
        <v>1417</v>
      </c>
      <c r="H175" s="244">
        <v>2</v>
      </c>
      <c r="I175" s="274">
        <f t="shared" si="23"/>
        <v>1419</v>
      </c>
      <c r="J175" s="269"/>
      <c r="K175" s="270"/>
    </row>
    <row r="176" spans="1:11" ht="12.75">
      <c r="A176" s="1008" t="s">
        <v>148</v>
      </c>
      <c r="B176" s="969"/>
      <c r="C176" s="696"/>
      <c r="D176" s="264"/>
      <c r="E176" s="244"/>
      <c r="F176" s="251"/>
      <c r="G176" s="264">
        <v>1563</v>
      </c>
      <c r="H176" s="244">
        <v>0</v>
      </c>
      <c r="I176" s="274">
        <f t="shared" si="23"/>
        <v>1563</v>
      </c>
      <c r="J176" s="269"/>
      <c r="K176" s="270"/>
    </row>
    <row r="177" spans="1:11" ht="12.75">
      <c r="A177" s="1008" t="s">
        <v>149</v>
      </c>
      <c r="B177" s="969"/>
      <c r="C177" s="696"/>
      <c r="D177" s="264"/>
      <c r="E177" s="244"/>
      <c r="F177" s="251"/>
      <c r="G177" s="264">
        <v>23216</v>
      </c>
      <c r="H177" s="244">
        <v>0</v>
      </c>
      <c r="I177" s="274">
        <f t="shared" si="23"/>
        <v>23216</v>
      </c>
      <c r="J177" s="269"/>
      <c r="K177" s="270"/>
    </row>
    <row r="178" spans="1:11" ht="12.75">
      <c r="A178" s="1008" t="s">
        <v>150</v>
      </c>
      <c r="B178" s="969"/>
      <c r="C178" s="696"/>
      <c r="D178" s="264"/>
      <c r="E178" s="244"/>
      <c r="F178" s="251"/>
      <c r="G178" s="264">
        <v>33019</v>
      </c>
      <c r="H178" s="244">
        <v>144</v>
      </c>
      <c r="I178" s="274">
        <f t="shared" si="23"/>
        <v>33163</v>
      </c>
      <c r="J178" s="269"/>
      <c r="K178" s="270"/>
    </row>
    <row r="179" spans="1:11" ht="12.75">
      <c r="A179" s="1008" t="s">
        <v>151</v>
      </c>
      <c r="B179" s="969"/>
      <c r="C179" s="696"/>
      <c r="D179" s="262">
        <v>271895</v>
      </c>
      <c r="E179" s="244">
        <v>128</v>
      </c>
      <c r="F179" s="250">
        <f aca="true" t="shared" si="26" ref="F179:F188">SUM(D179:E179)</f>
        <v>272023</v>
      </c>
      <c r="G179" s="262">
        <f>191157.96+66850.57+3804.31+22.33</f>
        <v>261835.16999999998</v>
      </c>
      <c r="H179" s="244">
        <f>93.52+32.89+1.88</f>
        <v>128.29</v>
      </c>
      <c r="I179" s="241">
        <f aca="true" t="shared" si="27" ref="I179:I188">SUM(G179:H179)</f>
        <v>261963.46</v>
      </c>
      <c r="J179" s="278">
        <f aca="true" t="shared" si="28" ref="J179:J188">+I179-F179</f>
        <v>-10059.540000000008</v>
      </c>
      <c r="K179" s="281">
        <f aca="true" t="shared" si="29" ref="K179:K188">+I179/F179</f>
        <v>0.9630195240843605</v>
      </c>
    </row>
    <row r="180" spans="1:11" ht="12.75">
      <c r="A180" s="1008" t="s">
        <v>152</v>
      </c>
      <c r="B180" s="969"/>
      <c r="C180" s="696"/>
      <c r="D180" s="265">
        <v>198555</v>
      </c>
      <c r="E180" s="242">
        <v>93</v>
      </c>
      <c r="F180" s="250">
        <f t="shared" si="26"/>
        <v>198648</v>
      </c>
      <c r="G180" s="265">
        <v>191158</v>
      </c>
      <c r="H180" s="242">
        <v>94</v>
      </c>
      <c r="I180" s="241">
        <f t="shared" si="27"/>
        <v>191252</v>
      </c>
      <c r="J180" s="278">
        <f t="shared" si="28"/>
        <v>-7396</v>
      </c>
      <c r="K180" s="281">
        <f t="shared" si="29"/>
        <v>0.9627683138012968</v>
      </c>
    </row>
    <row r="181" spans="1:11" ht="12.75">
      <c r="A181" s="1008" t="s">
        <v>153</v>
      </c>
      <c r="B181" s="969"/>
      <c r="C181" s="696"/>
      <c r="D181" s="262">
        <v>197009</v>
      </c>
      <c r="E181" s="244">
        <v>93</v>
      </c>
      <c r="F181" s="250">
        <f t="shared" si="26"/>
        <v>197102</v>
      </c>
      <c r="G181" s="262">
        <v>189780</v>
      </c>
      <c r="H181" s="244"/>
      <c r="I181" s="241">
        <f t="shared" si="27"/>
        <v>189780</v>
      </c>
      <c r="J181" s="278">
        <f t="shared" si="28"/>
        <v>-7322</v>
      </c>
      <c r="K181" s="281">
        <f t="shared" si="29"/>
        <v>0.9628517214437194</v>
      </c>
    </row>
    <row r="182" spans="1:11" ht="12.75">
      <c r="A182" s="1008" t="s">
        <v>154</v>
      </c>
      <c r="B182" s="969"/>
      <c r="C182" s="696"/>
      <c r="D182" s="262">
        <v>1546</v>
      </c>
      <c r="E182" s="244">
        <v>0</v>
      </c>
      <c r="F182" s="250">
        <f t="shared" si="26"/>
        <v>1546</v>
      </c>
      <c r="G182" s="262">
        <v>1378</v>
      </c>
      <c r="H182" s="244"/>
      <c r="I182" s="241">
        <f t="shared" si="27"/>
        <v>1378</v>
      </c>
      <c r="J182" s="278">
        <f t="shared" si="28"/>
        <v>-168</v>
      </c>
      <c r="K182" s="281">
        <f t="shared" si="29"/>
        <v>0.8913324708926261</v>
      </c>
    </row>
    <row r="183" spans="1:11" ht="12.75">
      <c r="A183" s="1008" t="s">
        <v>155</v>
      </c>
      <c r="B183" s="969"/>
      <c r="C183" s="696"/>
      <c r="D183" s="262">
        <v>73340</v>
      </c>
      <c r="E183" s="244">
        <v>35</v>
      </c>
      <c r="F183" s="250">
        <f t="shared" si="26"/>
        <v>73375</v>
      </c>
      <c r="G183" s="262">
        <f>66850.57+3804.31+22.33</f>
        <v>70677.21</v>
      </c>
      <c r="H183" s="244">
        <f>32.89+1.88</f>
        <v>34.77</v>
      </c>
      <c r="I183" s="241">
        <f t="shared" si="27"/>
        <v>70711.98000000001</v>
      </c>
      <c r="J183" s="278">
        <f t="shared" si="28"/>
        <v>-2663.0199999999895</v>
      </c>
      <c r="K183" s="281">
        <f t="shared" si="29"/>
        <v>0.9637067120954005</v>
      </c>
    </row>
    <row r="184" spans="1:11" ht="12.75">
      <c r="A184" s="1008" t="s">
        <v>156</v>
      </c>
      <c r="B184" s="969"/>
      <c r="C184" s="696"/>
      <c r="D184" s="263">
        <v>1</v>
      </c>
      <c r="E184" s="244">
        <v>0</v>
      </c>
      <c r="F184" s="250">
        <f t="shared" si="26"/>
        <v>1</v>
      </c>
      <c r="G184" s="263">
        <v>0.89</v>
      </c>
      <c r="H184" s="244">
        <v>0</v>
      </c>
      <c r="I184" s="241">
        <f t="shared" si="27"/>
        <v>0.89</v>
      </c>
      <c r="J184" s="278">
        <f t="shared" si="28"/>
        <v>-0.10999999999999999</v>
      </c>
      <c r="K184" s="281"/>
    </row>
    <row r="185" spans="1:11" ht="12.75">
      <c r="A185" s="1008" t="s">
        <v>157</v>
      </c>
      <c r="B185" s="969"/>
      <c r="C185" s="696"/>
      <c r="D185" s="263">
        <v>3000</v>
      </c>
      <c r="E185" s="244">
        <v>5</v>
      </c>
      <c r="F185" s="250">
        <f t="shared" si="26"/>
        <v>3005</v>
      </c>
      <c r="G185" s="263">
        <f>45.66+1.46+200.05+937.76+3847.41</f>
        <v>5032.34</v>
      </c>
      <c r="H185" s="244">
        <v>6</v>
      </c>
      <c r="I185" s="241">
        <f t="shared" si="27"/>
        <v>5038.34</v>
      </c>
      <c r="J185" s="278">
        <f t="shared" si="28"/>
        <v>2033.3400000000001</v>
      </c>
      <c r="K185" s="281">
        <f t="shared" si="29"/>
        <v>1.6766522462562397</v>
      </c>
    </row>
    <row r="186" spans="1:11" ht="12.75">
      <c r="A186" s="1008" t="s">
        <v>158</v>
      </c>
      <c r="B186" s="969"/>
      <c r="C186" s="696"/>
      <c r="D186" s="264">
        <v>3436</v>
      </c>
      <c r="E186" s="244">
        <v>0</v>
      </c>
      <c r="F186" s="250">
        <f t="shared" si="26"/>
        <v>3436</v>
      </c>
      <c r="G186" s="264">
        <v>3359.6</v>
      </c>
      <c r="H186" s="244"/>
      <c r="I186" s="241">
        <f t="shared" si="27"/>
        <v>3359.6</v>
      </c>
      <c r="J186" s="278">
        <f t="shared" si="28"/>
        <v>-76.40000000000009</v>
      </c>
      <c r="K186" s="281">
        <f t="shared" si="29"/>
        <v>0.9777648428405122</v>
      </c>
    </row>
    <row r="187" spans="1:11" ht="12.75">
      <c r="A187" s="1008" t="s">
        <v>159</v>
      </c>
      <c r="B187" s="969"/>
      <c r="C187" s="696"/>
      <c r="D187" s="264">
        <v>3436</v>
      </c>
      <c r="E187" s="244">
        <v>0</v>
      </c>
      <c r="F187" s="250">
        <f t="shared" si="26"/>
        <v>3436</v>
      </c>
      <c r="G187" s="264">
        <v>3360</v>
      </c>
      <c r="H187" s="244">
        <v>0</v>
      </c>
      <c r="I187" s="241">
        <f t="shared" si="27"/>
        <v>3360</v>
      </c>
      <c r="J187" s="278">
        <f t="shared" si="28"/>
        <v>-76</v>
      </c>
      <c r="K187" s="281">
        <f t="shared" si="29"/>
        <v>0.9778812572759022</v>
      </c>
    </row>
    <row r="188" spans="1:11" ht="13.5" thickBot="1">
      <c r="A188" s="1009" t="s">
        <v>160</v>
      </c>
      <c r="B188" s="1010"/>
      <c r="C188" s="976"/>
      <c r="D188" s="266">
        <v>800</v>
      </c>
      <c r="E188" s="245">
        <v>0</v>
      </c>
      <c r="F188" s="267">
        <f t="shared" si="26"/>
        <v>800</v>
      </c>
      <c r="G188" s="266">
        <f>1304.4-62.32</f>
        <v>1242.0800000000002</v>
      </c>
      <c r="H188" s="245">
        <v>0</v>
      </c>
      <c r="I188" s="241">
        <f t="shared" si="27"/>
        <v>1242.0800000000002</v>
      </c>
      <c r="J188" s="278">
        <f t="shared" si="28"/>
        <v>442.08000000000015</v>
      </c>
      <c r="K188" s="281">
        <f t="shared" si="29"/>
        <v>1.5526000000000002</v>
      </c>
    </row>
    <row r="189" spans="1:11" ht="13.5" thickBot="1">
      <c r="A189" s="1158" t="s">
        <v>3</v>
      </c>
      <c r="B189" s="1159"/>
      <c r="C189" s="1160"/>
      <c r="D189" s="247">
        <f aca="true" t="shared" si="30" ref="D189:I189">SUM(D161+D169+D170+D171+D172+D179+D184+D185+D186+D188)</f>
        <v>502052</v>
      </c>
      <c r="E189" s="253">
        <f t="shared" si="30"/>
        <v>3083</v>
      </c>
      <c r="F189" s="254">
        <f t="shared" si="30"/>
        <v>505135</v>
      </c>
      <c r="G189" s="247">
        <f t="shared" si="30"/>
        <v>498761.68000000005</v>
      </c>
      <c r="H189" s="253">
        <f t="shared" si="30"/>
        <v>3240</v>
      </c>
      <c r="I189" s="253">
        <f t="shared" si="30"/>
        <v>502001.68000000005</v>
      </c>
      <c r="J189" s="285">
        <f>+I189-F189</f>
        <v>-3133.319999999949</v>
      </c>
      <c r="K189" s="286">
        <f>+I189/F189</f>
        <v>0.9937970641511676</v>
      </c>
    </row>
    <row r="190" ht="6.75" customHeight="1" thickBot="1"/>
    <row r="191" spans="1:9" ht="12.75">
      <c r="A191" s="888" t="s">
        <v>24</v>
      </c>
      <c r="B191" s="1171"/>
      <c r="C191" s="1171"/>
      <c r="D191" s="1162">
        <f>+F159-F189</f>
        <v>0</v>
      </c>
      <c r="E191" s="1163"/>
      <c r="F191" s="1164"/>
      <c r="G191" s="1162">
        <f>+I159-I189</f>
        <v>269.11999999993714</v>
      </c>
      <c r="H191" s="1163"/>
      <c r="I191" s="1164"/>
    </row>
    <row r="192" spans="1:9" ht="12.75">
      <c r="A192" s="1019" t="s">
        <v>164</v>
      </c>
      <c r="B192" s="1020"/>
      <c r="C192" s="1020"/>
      <c r="D192" s="1020"/>
      <c r="E192" s="1020"/>
      <c r="F192" s="1021"/>
      <c r="G192" s="1022">
        <v>-52907.81</v>
      </c>
      <c r="H192" s="1023"/>
      <c r="I192" s="1024"/>
    </row>
    <row r="193" spans="1:9" ht="13.5" thickBot="1">
      <c r="A193" s="1029" t="s">
        <v>165</v>
      </c>
      <c r="B193" s="1030"/>
      <c r="C193" s="1030"/>
      <c r="D193" s="1030"/>
      <c r="E193" s="1030"/>
      <c r="F193" s="1031"/>
      <c r="G193" s="1032">
        <f>SUM(G191:I192)</f>
        <v>-52638.69000000006</v>
      </c>
      <c r="H193" s="698"/>
      <c r="I193" s="995"/>
    </row>
    <row r="195" spans="1:12" ht="12.75">
      <c r="A195" s="668" t="s">
        <v>267</v>
      </c>
      <c r="B195" s="669"/>
      <c r="C195" s="669"/>
      <c r="D195" s="669"/>
      <c r="E195" s="669"/>
      <c r="F195" s="669"/>
      <c r="G195" s="669"/>
      <c r="H195" s="669"/>
      <c r="I195" s="669"/>
      <c r="J195" s="669"/>
      <c r="K195" s="669"/>
      <c r="L195" s="670"/>
    </row>
    <row r="196" spans="1:12" ht="12.75">
      <c r="A196" s="671"/>
      <c r="B196" s="672"/>
      <c r="C196" s="672"/>
      <c r="D196" s="672"/>
      <c r="E196" s="672"/>
      <c r="F196" s="672"/>
      <c r="G196" s="672"/>
      <c r="H196" s="672"/>
      <c r="I196" s="672"/>
      <c r="J196" s="672"/>
      <c r="K196" s="672"/>
      <c r="L196" s="673"/>
    </row>
    <row r="197" spans="1:12" ht="12.75">
      <c r="A197" s="671"/>
      <c r="B197" s="672"/>
      <c r="C197" s="672"/>
      <c r="D197" s="672"/>
      <c r="E197" s="672"/>
      <c r="F197" s="672"/>
      <c r="G197" s="672"/>
      <c r="H197" s="672"/>
      <c r="I197" s="672"/>
      <c r="J197" s="672"/>
      <c r="K197" s="672"/>
      <c r="L197" s="673"/>
    </row>
    <row r="198" spans="1:12" ht="12.75">
      <c r="A198" s="671"/>
      <c r="B198" s="672"/>
      <c r="C198" s="672"/>
      <c r="D198" s="672"/>
      <c r="E198" s="672"/>
      <c r="F198" s="672"/>
      <c r="G198" s="672"/>
      <c r="H198" s="672"/>
      <c r="I198" s="672"/>
      <c r="J198" s="672"/>
      <c r="K198" s="672"/>
      <c r="L198" s="673"/>
    </row>
    <row r="199" spans="1:12" ht="12.75">
      <c r="A199" s="671"/>
      <c r="B199" s="672"/>
      <c r="C199" s="672"/>
      <c r="D199" s="672"/>
      <c r="E199" s="672"/>
      <c r="F199" s="672"/>
      <c r="G199" s="672"/>
      <c r="H199" s="672"/>
      <c r="I199" s="672"/>
      <c r="J199" s="672"/>
      <c r="K199" s="672"/>
      <c r="L199" s="673"/>
    </row>
    <row r="200" spans="1:12" ht="12.75">
      <c r="A200" s="671"/>
      <c r="B200" s="672"/>
      <c r="C200" s="672"/>
      <c r="D200" s="672"/>
      <c r="E200" s="672"/>
      <c r="F200" s="672"/>
      <c r="G200" s="672"/>
      <c r="H200" s="672"/>
      <c r="I200" s="672"/>
      <c r="J200" s="672"/>
      <c r="K200" s="672"/>
      <c r="L200" s="673"/>
    </row>
    <row r="201" spans="1:12" ht="12.75">
      <c r="A201" s="674"/>
      <c r="B201" s="675"/>
      <c r="C201" s="675"/>
      <c r="D201" s="675"/>
      <c r="E201" s="675"/>
      <c r="F201" s="675"/>
      <c r="G201" s="675"/>
      <c r="H201" s="675"/>
      <c r="I201" s="675"/>
      <c r="J201" s="675"/>
      <c r="K201" s="675"/>
      <c r="L201" s="676"/>
    </row>
    <row r="205" ht="15.75">
      <c r="A205" s="29" t="s">
        <v>293</v>
      </c>
    </row>
    <row r="206" spans="1:12" ht="12.75">
      <c r="A206" s="668" t="s">
        <v>292</v>
      </c>
      <c r="B206" s="1122"/>
      <c r="C206" s="1122"/>
      <c r="D206" s="1122"/>
      <c r="E206" s="1122"/>
      <c r="F206" s="1122"/>
      <c r="G206" s="1122"/>
      <c r="H206" s="1122"/>
      <c r="I206" s="1122"/>
      <c r="J206" s="1122"/>
      <c r="K206" s="1122"/>
      <c r="L206" s="1123"/>
    </row>
    <row r="207" spans="1:12" ht="12.75">
      <c r="A207" s="1124"/>
      <c r="B207" s="1080"/>
      <c r="C207" s="1080"/>
      <c r="D207" s="1080"/>
      <c r="E207" s="1080"/>
      <c r="F207" s="1080"/>
      <c r="G207" s="1080"/>
      <c r="H207" s="1080"/>
      <c r="I207" s="1080"/>
      <c r="J207" s="1080"/>
      <c r="K207" s="1080"/>
      <c r="L207" s="1125"/>
    </row>
    <row r="208" spans="1:12" ht="12.75">
      <c r="A208" s="1124"/>
      <c r="B208" s="1080"/>
      <c r="C208" s="1080"/>
      <c r="D208" s="1080"/>
      <c r="E208" s="1080"/>
      <c r="F208" s="1080"/>
      <c r="G208" s="1080"/>
      <c r="H208" s="1080"/>
      <c r="I208" s="1080"/>
      <c r="J208" s="1080"/>
      <c r="K208" s="1080"/>
      <c r="L208" s="1125"/>
    </row>
    <row r="209" spans="1:12" ht="12.75">
      <c r="A209" s="1126"/>
      <c r="B209" s="1127"/>
      <c r="C209" s="1127"/>
      <c r="D209" s="1127"/>
      <c r="E209" s="1127"/>
      <c r="F209" s="1127"/>
      <c r="G209" s="1127"/>
      <c r="H209" s="1127"/>
      <c r="I209" s="1127"/>
      <c r="J209" s="1127"/>
      <c r="K209" s="1127"/>
      <c r="L209" s="1128"/>
    </row>
    <row r="212" ht="15.75">
      <c r="A212" s="29" t="s">
        <v>229</v>
      </c>
    </row>
    <row r="213" ht="3" customHeight="1"/>
    <row r="214" ht="3" customHeight="1"/>
  </sheetData>
  <mergeCells count="161">
    <mergeCell ref="J137:K137"/>
    <mergeCell ref="J138:K138"/>
    <mergeCell ref="J139:K139"/>
    <mergeCell ref="J133:K133"/>
    <mergeCell ref="J134:K134"/>
    <mergeCell ref="J135:K135"/>
    <mergeCell ref="J136:K136"/>
    <mergeCell ref="G137:I137"/>
    <mergeCell ref="G139:I139"/>
    <mergeCell ref="G138:I138"/>
    <mergeCell ref="G133:I133"/>
    <mergeCell ref="G134:I134"/>
    <mergeCell ref="G135:I135"/>
    <mergeCell ref="G136:I136"/>
    <mergeCell ref="A137:C137"/>
    <mergeCell ref="A138:C138"/>
    <mergeCell ref="A139:C139"/>
    <mergeCell ref="D133:E133"/>
    <mergeCell ref="D134:E134"/>
    <mergeCell ref="D135:E135"/>
    <mergeCell ref="D136:E136"/>
    <mergeCell ref="D137:E137"/>
    <mergeCell ref="D138:E138"/>
    <mergeCell ref="D139:E139"/>
    <mergeCell ref="A133:C133"/>
    <mergeCell ref="A134:C134"/>
    <mergeCell ref="A135:C135"/>
    <mergeCell ref="A136:C136"/>
    <mergeCell ref="L76:L77"/>
    <mergeCell ref="C121:G122"/>
    <mergeCell ref="A191:C191"/>
    <mergeCell ref="G144:G146"/>
    <mergeCell ref="H144:H146"/>
    <mergeCell ref="I144:I146"/>
    <mergeCell ref="G191:I191"/>
    <mergeCell ref="A189:C189"/>
    <mergeCell ref="A181:C181"/>
    <mergeCell ref="A182:C182"/>
    <mergeCell ref="A193:F193"/>
    <mergeCell ref="A206:L209"/>
    <mergeCell ref="A185:C185"/>
    <mergeCell ref="A186:C186"/>
    <mergeCell ref="A187:C187"/>
    <mergeCell ref="A188:C188"/>
    <mergeCell ref="A195:L201"/>
    <mergeCell ref="G192:I192"/>
    <mergeCell ref="G193:I193"/>
    <mergeCell ref="A175:C175"/>
    <mergeCell ref="A176:C176"/>
    <mergeCell ref="A177:C177"/>
    <mergeCell ref="A192:F192"/>
    <mergeCell ref="D191:F191"/>
    <mergeCell ref="A178:C178"/>
    <mergeCell ref="A179:C179"/>
    <mergeCell ref="A180:C180"/>
    <mergeCell ref="A183:C183"/>
    <mergeCell ref="A184:C184"/>
    <mergeCell ref="A171:C171"/>
    <mergeCell ref="A172:C172"/>
    <mergeCell ref="A173:C173"/>
    <mergeCell ref="A174:C174"/>
    <mergeCell ref="A167:C167"/>
    <mergeCell ref="A168:C168"/>
    <mergeCell ref="A169:C169"/>
    <mergeCell ref="A170:C170"/>
    <mergeCell ref="A163:C163"/>
    <mergeCell ref="A164:C164"/>
    <mergeCell ref="A165:C165"/>
    <mergeCell ref="A166:C166"/>
    <mergeCell ref="A159:C159"/>
    <mergeCell ref="A160:C160"/>
    <mergeCell ref="A161:C161"/>
    <mergeCell ref="A162:C162"/>
    <mergeCell ref="A155:C155"/>
    <mergeCell ref="A156:C156"/>
    <mergeCell ref="A157:C157"/>
    <mergeCell ref="A158:C158"/>
    <mergeCell ref="A143:C146"/>
    <mergeCell ref="A147:C147"/>
    <mergeCell ref="A148:C148"/>
    <mergeCell ref="A149:C149"/>
    <mergeCell ref="A150:C150"/>
    <mergeCell ref="A151:C151"/>
    <mergeCell ref="A152:C152"/>
    <mergeCell ref="A153:C153"/>
    <mergeCell ref="A154:C154"/>
    <mergeCell ref="E48:E49"/>
    <mergeCell ref="F48:K48"/>
    <mergeCell ref="D144:D146"/>
    <mergeCell ref="E144:E146"/>
    <mergeCell ref="F144:F146"/>
    <mergeCell ref="J143:K145"/>
    <mergeCell ref="A48:A49"/>
    <mergeCell ref="B48:B49"/>
    <mergeCell ref="C48:C49"/>
    <mergeCell ref="D48:D49"/>
    <mergeCell ref="B6:D6"/>
    <mergeCell ref="E6:G6"/>
    <mergeCell ref="A2:K2"/>
    <mergeCell ref="H6:J6"/>
    <mergeCell ref="A6:A7"/>
    <mergeCell ref="L30:L31"/>
    <mergeCell ref="L48:L49"/>
    <mergeCell ref="A64:L70"/>
    <mergeCell ref="A21:L27"/>
    <mergeCell ref="A30:A31"/>
    <mergeCell ref="B30:B31"/>
    <mergeCell ref="C30:C31"/>
    <mergeCell ref="D30:D31"/>
    <mergeCell ref="E30:E31"/>
    <mergeCell ref="F30:K30"/>
    <mergeCell ref="A76:B77"/>
    <mergeCell ref="C76:E76"/>
    <mergeCell ref="F76:H77"/>
    <mergeCell ref="I76:K76"/>
    <mergeCell ref="A78:B78"/>
    <mergeCell ref="A79:B79"/>
    <mergeCell ref="F78:H78"/>
    <mergeCell ref="F79:H79"/>
    <mergeCell ref="A80:B80"/>
    <mergeCell ref="A81:B81"/>
    <mergeCell ref="F80:H80"/>
    <mergeCell ref="F81:H81"/>
    <mergeCell ref="A82:B82"/>
    <mergeCell ref="A83:B83"/>
    <mergeCell ref="F82:H82"/>
    <mergeCell ref="F83:H83"/>
    <mergeCell ref="A84:B84"/>
    <mergeCell ref="A85:B85"/>
    <mergeCell ref="F84:H84"/>
    <mergeCell ref="F85:H85"/>
    <mergeCell ref="A86:B86"/>
    <mergeCell ref="A88:B88"/>
    <mergeCell ref="A87:B87"/>
    <mergeCell ref="F86:H86"/>
    <mergeCell ref="F87:H87"/>
    <mergeCell ref="F88:H88"/>
    <mergeCell ref="A90:L96"/>
    <mergeCell ref="A100:B101"/>
    <mergeCell ref="C100:G100"/>
    <mergeCell ref="H100:L100"/>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4:L130"/>
  </mergeCells>
  <printOptions horizontalCentered="1"/>
  <pageMargins left="0.2" right="0.1968503937007874" top="0.3937007874015748" bottom="0.3937007874015748" header="0.2362204724409449" footer="0.2362204724409449"/>
  <pageSetup horizontalDpi="600" verticalDpi="600" orientation="portrait" paperSize="9" scale="80" r:id="rId3"/>
  <rowBreaks count="1" manualBreakCount="1">
    <brk id="211" max="255" man="1"/>
  </rowBreaks>
  <legacyDrawing r:id="rId2"/>
  <oleObjects>
    <oleObject progId="Word.Document.8" shapeId="30861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Buřič</dc:creator>
  <cp:keywords/>
  <dc:description/>
  <cp:lastModifiedBy>schallnerova</cp:lastModifiedBy>
  <cp:lastPrinted>2005-03-17T06:27:22Z</cp:lastPrinted>
  <dcterms:created xsi:type="dcterms:W3CDTF">2004-10-24T11:36:53Z</dcterms:created>
  <dcterms:modified xsi:type="dcterms:W3CDTF">2005-03-17T12:48:59Z</dcterms:modified>
  <cp:category/>
  <cp:version/>
  <cp:contentType/>
  <cp:contentStatus/>
</cp:coreProperties>
</file>