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5460" activeTab="2"/>
  </bookViews>
  <sheets>
    <sheet name="Cenik_komodit" sheetId="1" r:id="rId1"/>
    <sheet name="Detailni_rozpocty_projekty_kraj" sheetId="2" r:id="rId2"/>
    <sheet name="Detailni_rozpocty_projekty_skol" sheetId="3" r:id="rId3"/>
  </sheets>
  <definedNames/>
  <calcPr fullCalcOnLoad="1"/>
</workbook>
</file>

<file path=xl/comments2.xml><?xml version="1.0" encoding="utf-8"?>
<comments xmlns="http://schemas.openxmlformats.org/spreadsheetml/2006/main">
  <authors>
    <author>Proch?zka Martin Ing.</author>
    <author>Pavlinec Petr</author>
  </authors>
  <commentList>
    <comment ref="B41" authorId="0">
      <text>
        <r>
          <rPr>
            <b/>
            <sz val="9"/>
            <rFont val="Tahoma"/>
            <family val="2"/>
          </rPr>
          <t>Procházka Martin Ing.:</t>
        </r>
        <r>
          <rPr>
            <sz val="9"/>
            <rFont val="Tahoma"/>
            <family val="2"/>
          </rPr>
          <t xml:space="preserve">
SAS 1,2TB cca 450tis.</t>
        </r>
      </text>
    </comment>
    <comment ref="L11" authorId="1">
      <text>
        <r>
          <rPr>
            <b/>
            <sz val="9"/>
            <rFont val="Tahoma"/>
            <family val="2"/>
          </rPr>
          <t>Pavlinec Petr:</t>
        </r>
        <r>
          <rPr>
            <sz val="9"/>
            <rFont val="Tahoma"/>
            <family val="2"/>
          </rPr>
          <t xml:space="preserve">
Dle názoru OI bude také nutno pořídit</t>
        </r>
      </text>
    </comment>
    <comment ref="L42" authorId="1">
      <text>
        <r>
          <rPr>
            <b/>
            <sz val="9"/>
            <rFont val="Tahoma"/>
            <family val="2"/>
          </rPr>
          <t>Pavlinec Petr:</t>
        </r>
        <r>
          <rPr>
            <sz val="9"/>
            <rFont val="Tahoma"/>
            <family val="2"/>
          </rPr>
          <t xml:space="preserve">
Škrtnuto aby se výsedný rozpočet vešel do 2,5MKč. Jsme schopni dodat použité 4Gbps z KrÚ. </t>
        </r>
      </text>
    </comment>
    <comment ref="G44" authorId="1">
      <text>
        <r>
          <rPr>
            <b/>
            <sz val="9"/>
            <rFont val="Tahoma"/>
            <family val="2"/>
          </rPr>
          <t xml:space="preserve">Pavlinec Petr:
</t>
        </r>
        <r>
          <rPr>
            <sz val="9"/>
            <rFont val="Tahoma"/>
            <family val="2"/>
          </rPr>
          <t>Aktuálně kalkulace 2Mil Kč. Škola opraví a dodá.</t>
        </r>
      </text>
    </comment>
    <comment ref="I44" authorId="1">
      <text>
        <r>
          <rPr>
            <b/>
            <sz val="9"/>
            <rFont val="Tahoma"/>
            <family val="2"/>
          </rPr>
          <t>Pavlinec Petr:</t>
        </r>
        <r>
          <rPr>
            <sz val="9"/>
            <rFont val="Tahoma"/>
            <family val="2"/>
          </rPr>
          <t xml:space="preserve">
Chybí nabídka. Zařídí OI</t>
        </r>
      </text>
    </comment>
    <comment ref="M48" authorId="1">
      <text>
        <r>
          <rPr>
            <b/>
            <sz val="9"/>
            <rFont val="Tahoma"/>
            <family val="2"/>
          </rPr>
          <t>Pavlinec Petr:</t>
        </r>
        <r>
          <rPr>
            <sz val="9"/>
            <rFont val="Tahoma"/>
            <family val="2"/>
          </rPr>
          <t xml:space="preserve">
Škola našla úsporu v pomůckách +500tis</t>
        </r>
      </text>
    </comment>
    <comment ref="O44" authorId="1">
      <text>
        <r>
          <rPr>
            <b/>
            <sz val="9"/>
            <rFont val="Tahoma"/>
            <family val="2"/>
          </rPr>
          <t>Pavlinec Petr:</t>
        </r>
        <r>
          <rPr>
            <sz val="9"/>
            <rFont val="Tahoma"/>
            <family val="2"/>
          </rPr>
          <t xml:space="preserve">
Odhad OI - 250 zásuvek</t>
        </r>
      </text>
    </comment>
    <comment ref="Q44" authorId="1">
      <text>
        <r>
          <rPr>
            <b/>
            <sz val="9"/>
            <rFont val="Tahoma"/>
            <family val="2"/>
          </rPr>
          <t>Pavlinec Petr:</t>
        </r>
        <r>
          <rPr>
            <sz val="9"/>
            <rFont val="Tahoma"/>
            <family val="2"/>
          </rPr>
          <t xml:space="preserve">
Odhad OI - 120tis kabelaz k AP + 500 tis racky, podladha, drátěný program, ostatni kabelaz</t>
        </r>
      </text>
    </comment>
    <comment ref="S44" authorId="1">
      <text>
        <r>
          <rPr>
            <b/>
            <sz val="9"/>
            <rFont val="Tahoma"/>
            <family val="2"/>
          </rPr>
          <t>Pavlinec Petr:</t>
        </r>
        <r>
          <rPr>
            <sz val="9"/>
            <rFont val="Tahoma"/>
            <family val="2"/>
          </rPr>
          <t xml:space="preserve">
Odhad OI - 400 tis - kabeláže 6A ve všech budovách, 300 zásuvek + optické propoje v rámci areálu ;+ 500 tis - racky, podladha, drátěný program, ostatni kabelaz</t>
        </r>
      </text>
    </comment>
  </commentList>
</comments>
</file>

<file path=xl/comments3.xml><?xml version="1.0" encoding="utf-8"?>
<comments xmlns="http://schemas.openxmlformats.org/spreadsheetml/2006/main">
  <authors>
    <author>Proch?zka Martin Ing.</author>
    <author>Pavlinec Petr</author>
  </authors>
  <commentList>
    <comment ref="B41" authorId="0">
      <text>
        <r>
          <rPr>
            <b/>
            <sz val="9"/>
            <rFont val="Tahoma"/>
            <family val="2"/>
          </rPr>
          <t>Procházka Martin Ing.:</t>
        </r>
        <r>
          <rPr>
            <sz val="9"/>
            <rFont val="Tahoma"/>
            <family val="2"/>
          </rPr>
          <t xml:space="preserve">
SAS 1,2TB cca 450tis.</t>
        </r>
      </text>
    </comment>
    <comment ref="F2" authorId="1">
      <text>
        <r>
          <rPr>
            <b/>
            <sz val="9"/>
            <rFont val="Tahoma"/>
            <family val="0"/>
          </rPr>
          <t>Pavlinec Petr:</t>
        </r>
        <r>
          <rPr>
            <sz val="9"/>
            <rFont val="Tahoma"/>
            <family val="0"/>
          </rPr>
          <t xml:space="preserve">
Dle sdeleni skoly naplnuji se stavajicim vybaveni podminky vyzvy....</t>
        </r>
      </text>
    </comment>
  </commentList>
</comments>
</file>

<file path=xl/sharedStrings.xml><?xml version="1.0" encoding="utf-8"?>
<sst xmlns="http://schemas.openxmlformats.org/spreadsheetml/2006/main" count="305" uniqueCount="166">
  <si>
    <t>SPSt Jihlava</t>
  </si>
  <si>
    <t>SPSt Trebic</t>
  </si>
  <si>
    <t>SPS ZR</t>
  </si>
  <si>
    <t>WIFI</t>
  </si>
  <si>
    <t>počet</t>
  </si>
  <si>
    <t xml:space="preserve">cena </t>
  </si>
  <si>
    <t>Wifi Celkem</t>
  </si>
  <si>
    <t>SPŠt HB</t>
  </si>
  <si>
    <t>Aktivní prvky</t>
  </si>
  <si>
    <t>Aktivní prvky celkem</t>
  </si>
  <si>
    <t>FW a proxy</t>
  </si>
  <si>
    <t>Identita</t>
  </si>
  <si>
    <t>FW a proxy celkem</t>
  </si>
  <si>
    <t>IDM</t>
  </si>
  <si>
    <t>EDUROAM</t>
  </si>
  <si>
    <t>IDM integrace</t>
  </si>
  <si>
    <t>Docházka/přístupák</t>
  </si>
  <si>
    <t>Identita celkem</t>
  </si>
  <si>
    <t>Servery</t>
  </si>
  <si>
    <t>FC switch 8 portů</t>
  </si>
  <si>
    <t>pole 20TB, FC konektivita, SATA</t>
  </si>
  <si>
    <t>Servery celkem</t>
  </si>
  <si>
    <t>Oblast</t>
  </si>
  <si>
    <t>Druh</t>
  </si>
  <si>
    <t>Serverovny</t>
  </si>
  <si>
    <t>DA 10KVA</t>
  </si>
  <si>
    <t>freecooling</t>
  </si>
  <si>
    <t>Serverovny celkem</t>
  </si>
  <si>
    <t>poznámka</t>
  </si>
  <si>
    <t>skupina</t>
  </si>
  <si>
    <t>wifi</t>
  </si>
  <si>
    <t>Komodita</t>
  </si>
  <si>
    <t>komodita - popis</t>
  </si>
  <si>
    <t>Wifi-AP1</t>
  </si>
  <si>
    <t>Wifi-AP2</t>
  </si>
  <si>
    <t>Wifi-AP3</t>
  </si>
  <si>
    <t>Wifi-AP4</t>
  </si>
  <si>
    <t>Wifi-K1</t>
  </si>
  <si>
    <t xml:space="preserve">přístupový bod 802.11 G/N+A/N/AC, MIMO 2x2 s integrovanou anténou </t>
  </si>
  <si>
    <t>přístupový bod 802.11 G/N + A/N/AC, MIMO 3x3 s integrovanou anténou</t>
  </si>
  <si>
    <t>vhodné jako veřejný hotspot</t>
  </si>
  <si>
    <t>vhodné jako LAN pro zaměstnance/studenty</t>
  </si>
  <si>
    <t xml:space="preserve">přístupový bod 802.11 G/N + A/N/AC WAVE2 s integrovanou anténou </t>
  </si>
  <si>
    <t xml:space="preserve">s operační teplotou v rozmezí minimálně -30ºC do +60ºC </t>
  </si>
  <si>
    <t xml:space="preserve">outdoor přístupový bod 802.11 G/N + A/N/AC MIMO 3x3 </t>
  </si>
  <si>
    <t>vhodný pro více než 25ks AP. V případě více jak 100 AP v clusteru</t>
  </si>
  <si>
    <t>cena ks s DPH</t>
  </si>
  <si>
    <t xml:space="preserve">Referenční nabídka 1 </t>
  </si>
  <si>
    <t>Referenční nabídka 2</t>
  </si>
  <si>
    <t>wifi-ac.xls</t>
  </si>
  <si>
    <t>wifi-anect.xls</t>
  </si>
  <si>
    <t>průměr</t>
  </si>
  <si>
    <t>odhad slevy v rámci sutěže</t>
  </si>
  <si>
    <t>Výsledná cena</t>
  </si>
  <si>
    <t>Cena 1 s DPH</t>
  </si>
  <si>
    <t>Cena 2 s DPH</t>
  </si>
  <si>
    <t>řadič wifi (kontroler)</t>
  </si>
  <si>
    <t>licence pro kontroler pro správu minimálně 25 přístupových bodů. Rozšiřující licence
lze po upřesnění počtu přístupových bodů dodat v bundle v krocích po 25</t>
  </si>
  <si>
    <t>Licence 25ks AP pro řadič</t>
  </si>
  <si>
    <t>Wifi-K2</t>
  </si>
  <si>
    <t>SPS Třebíč</t>
  </si>
  <si>
    <t>OAHS Třebíč</t>
  </si>
  <si>
    <t>SPŠ Pelhřimov</t>
  </si>
  <si>
    <t>SPŠTA Jihlava</t>
  </si>
  <si>
    <t>SW-1</t>
  </si>
  <si>
    <t>SW-2</t>
  </si>
  <si>
    <t>SW-3</t>
  </si>
  <si>
    <t xml:space="preserve">switch 24x1G + 2x SFP fanless </t>
  </si>
  <si>
    <t>tichý provoz</t>
  </si>
  <si>
    <t>SW-4</t>
  </si>
  <si>
    <t>SW-5</t>
  </si>
  <si>
    <t>SW-6</t>
  </si>
  <si>
    <t>aktivní prvky</t>
  </si>
  <si>
    <t>SW_nabidka.pdf</t>
  </si>
  <si>
    <t>switch 24x1G + 4x10G SFP/SFP+ současně využitelných portů</t>
  </si>
  <si>
    <t>switch 24x10G  SFP/SFP+</t>
  </si>
  <si>
    <t>switch 48x1G + 4x10G SFP/SFP+současně využitelných portů</t>
  </si>
  <si>
    <t>switch 24x1G PoE + 4x10G SFP/SFP+ současně využitelných portů</t>
  </si>
  <si>
    <t>switch 48x1G PoE a 4x10G SFP/SFP+</t>
  </si>
  <si>
    <t>centrální prvek HP A5920AF</t>
  </si>
  <si>
    <t>HP 5130-48G-4SFP+</t>
  </si>
  <si>
    <t>vhodné do extrémně zatížených prostor – zasedací místnosti, sály</t>
  </si>
  <si>
    <t>SW-SFP1</t>
  </si>
  <si>
    <t>WDM SFP+ 10G</t>
  </si>
  <si>
    <t>SW-MGMT</t>
  </si>
  <si>
    <t>Ser-K1</t>
  </si>
  <si>
    <t>Ser-K2</t>
  </si>
  <si>
    <t>Ser-K3</t>
  </si>
  <si>
    <t>FW-K1</t>
  </si>
  <si>
    <t>FW-K2</t>
  </si>
  <si>
    <t>FW-K3</t>
  </si>
  <si>
    <t>Firewall</t>
  </si>
  <si>
    <t>FW-K1v</t>
  </si>
  <si>
    <t>FW-K2v</t>
  </si>
  <si>
    <t>FW-K3v</t>
  </si>
  <si>
    <t>Firewall a web proxy pro 50 uživatelů</t>
  </si>
  <si>
    <t>Kernun.xls</t>
  </si>
  <si>
    <t>Kernun UTM model 10, clearweb</t>
  </si>
  <si>
    <t>Kernun UTM model 102, clearweb</t>
  </si>
  <si>
    <t>Firewall a web proxy pro 300 uživatelů</t>
  </si>
  <si>
    <t>Kernun UTM model 200, clearweb</t>
  </si>
  <si>
    <t>Firewall a web proxy pro 50 uživatelů VA</t>
  </si>
  <si>
    <t>Firewall a web proxy pro 300 uživatelů VA</t>
  </si>
  <si>
    <t>Firewall a web proxy pro 1000 uživatelů</t>
  </si>
  <si>
    <t>Firewall a web proxy pro 1000 uživatelů VA</t>
  </si>
  <si>
    <t>Kernun UTM model 440, clearweb</t>
  </si>
  <si>
    <t>Servery.pdf</t>
  </si>
  <si>
    <t>Virtualizační server (VMWARE, HyperV) – 1xCPU, RAM 128GB RAM, LAN 2x10G, LAN 4x1G, DISK SSD 2x70GB</t>
  </si>
  <si>
    <t>Virtualizační server (VMWARE, HyperV) – 1xCPU, RAM 72GB RAM, LAN 4x10G, LAN 4x1G, DISK SSD 2x70GB, DISK SAS 6x600GB</t>
  </si>
  <si>
    <t>Virtualizační server (VMWARE, HyperV) – 1xCPU, RAM 256GB RAM, LAN 4x10G, LAN 4x1G, Fiberchannel karta 8G, DISK SSD 2x70GB, DISK SSD 2x200GB</t>
  </si>
  <si>
    <t>Ostatní náklady konektivity dle projektu školy (kabeláž....)</t>
  </si>
  <si>
    <t>Instalace, montáž, implementace</t>
  </si>
  <si>
    <t>Rozpočet celkem</t>
  </si>
  <si>
    <t>Celkem bez práce</t>
  </si>
  <si>
    <r>
      <t xml:space="preserve">strukturovaná kabeláž, datové rozvaděče, UPS (nabídka </t>
    </r>
    <r>
      <rPr>
        <b/>
        <sz val="8"/>
        <color indexed="8"/>
        <rFont val="Calibri"/>
        <family val="2"/>
      </rPr>
      <t>1101601_03E_SPSS_rozp_160824.xlsx</t>
    </r>
    <r>
      <rPr>
        <sz val="8"/>
        <color indexed="8"/>
        <rFont val="Calibri"/>
        <family val="2"/>
      </rPr>
      <t>)</t>
    </r>
  </si>
  <si>
    <t>Identity management včetně inegrace</t>
  </si>
  <si>
    <t>dle zušeností KrÚ - zatím bez nabídky</t>
  </si>
  <si>
    <t>DA a UPS</t>
  </si>
  <si>
    <t>Agregát</t>
  </si>
  <si>
    <t>http://www.kipor.cz/kipor-id10-</t>
  </si>
  <si>
    <t>FreeCooling.pdf</t>
  </si>
  <si>
    <t>NAS20</t>
  </si>
  <si>
    <t>úložiště</t>
  </si>
  <si>
    <t>NASka 20TB</t>
  </si>
  <si>
    <t>NAS20.pdf</t>
  </si>
  <si>
    <t>Má být</t>
  </si>
  <si>
    <t>SSTJi_kabelaz.xlsx</t>
  </si>
  <si>
    <t>Chlazení</t>
  </si>
  <si>
    <t>UPS2.pdf</t>
  </si>
  <si>
    <t>UPS2</t>
  </si>
  <si>
    <t>UPS1</t>
  </si>
  <si>
    <t>Záložní zdroj 2200VA</t>
  </si>
  <si>
    <t>Záložní zdroj 750VA</t>
  </si>
  <si>
    <t>UPS1.pdf</t>
  </si>
  <si>
    <t>KLIMA1</t>
  </si>
  <si>
    <t>KLIMA1.PDF</t>
  </si>
  <si>
    <t>Klimatizace 12KW</t>
  </si>
  <si>
    <t>bez příslušenství</t>
  </si>
  <si>
    <t>SPSZR.xlsx</t>
  </si>
  <si>
    <t>POLE1</t>
  </si>
  <si>
    <t>FC 20TB NL_SAS</t>
  </si>
  <si>
    <t>Nabídka -FC  SATA pole.pdf</t>
  </si>
  <si>
    <t>jednotková cena</t>
  </si>
  <si>
    <t>chybí projekt!</t>
  </si>
  <si>
    <t>UPS3</t>
  </si>
  <si>
    <t>Záložní zdroj 3000VA</t>
  </si>
  <si>
    <t>samostatná bez managementu</t>
  </si>
  <si>
    <t>UPS3.doc</t>
  </si>
  <si>
    <t>návrh</t>
  </si>
  <si>
    <t>VOŠOA Chotěboř</t>
  </si>
  <si>
    <t>HŠ  VM</t>
  </si>
  <si>
    <t>ŠS Humpolec</t>
  </si>
  <si>
    <t>fakt nic???</t>
  </si>
  <si>
    <t>Vlna</t>
  </si>
  <si>
    <t>Definitivně podáno</t>
  </si>
  <si>
    <t>SŠ_Stavební_Třebíč_indikativníCN.xls</t>
  </si>
  <si>
    <t>cca 1.11.2016</t>
  </si>
  <si>
    <t>není dořešena dostupnost inet a vnitřní propoj</t>
  </si>
  <si>
    <t>vniřní rozvody součástí stavby</t>
  </si>
  <si>
    <t>???</t>
  </si>
  <si>
    <t>????</t>
  </si>
  <si>
    <t>LAN_24GPoE+4SFP+EI Swch.pdf</t>
  </si>
  <si>
    <t>LAN_48GPoE+4SFP+EISwch.pdf</t>
  </si>
  <si>
    <t>LAN_24_fanless.pdf</t>
  </si>
  <si>
    <t>LAN_24G_4SFP.pdf</t>
  </si>
  <si>
    <t>OAHŠ HB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</si>
</sst>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_-* #,##0.0\ _K_č_-;\-* #,##0.0\ _K_č_-;_-* &quot;-&quot;??\ _K_č_-;_-@_-"/>
    <numFmt numFmtId="168" formatCode="_-* #,##0\ _K_č_-;\-* #,##0\ _K_č_-;_-* &quot;-&quot;??\ _K_č_-;_-@_-"/>
    <numFmt numFmtId="169" formatCode="_-* #,##0.00\ [$Kč-405]_-;\-* #,##0.00\ [$Kč-405]_-;_-* &quot;-&quot;??\ [$Kč-405]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3" borderId="11" xfId="39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6" fontId="0" fillId="33" borderId="13" xfId="39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6" fontId="0" fillId="34" borderId="11" xfId="39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6" fontId="0" fillId="34" borderId="13" xfId="39" applyNumberFormat="1" applyFont="1" applyFill="1" applyBorder="1" applyAlignment="1">
      <alignment horizontal="center"/>
    </xf>
    <xf numFmtId="166" fontId="0" fillId="35" borderId="11" xfId="39" applyNumberFormat="1" applyFont="1" applyFill="1" applyBorder="1" applyAlignment="1">
      <alignment horizontal="center"/>
    </xf>
    <xf numFmtId="166" fontId="0" fillId="35" borderId="13" xfId="39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66" fontId="0" fillId="36" borderId="0" xfId="39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166" fontId="0" fillId="36" borderId="14" xfId="39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66" fontId="0" fillId="37" borderId="0" xfId="39" applyNumberFormat="1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66" fontId="0" fillId="37" borderId="14" xfId="39" applyNumberFormat="1" applyFont="1" applyFill="1" applyBorder="1" applyAlignment="1">
      <alignment horizontal="center"/>
    </xf>
    <xf numFmtId="166" fontId="28" fillId="33" borderId="11" xfId="39" applyNumberFormat="1" applyFont="1" applyFill="1" applyBorder="1" applyAlignment="1">
      <alignment horizontal="center"/>
    </xf>
    <xf numFmtId="166" fontId="28" fillId="34" borderId="11" xfId="39" applyNumberFormat="1" applyFont="1" applyFill="1" applyBorder="1" applyAlignment="1">
      <alignment horizontal="center"/>
    </xf>
    <xf numFmtId="0" fontId="28" fillId="37" borderId="0" xfId="0" applyFont="1" applyFill="1" applyBorder="1" applyAlignment="1">
      <alignment horizontal="center"/>
    </xf>
    <xf numFmtId="166" fontId="28" fillId="37" borderId="0" xfId="39" applyNumberFormat="1" applyFont="1" applyFill="1" applyBorder="1" applyAlignment="1">
      <alignment horizontal="center"/>
    </xf>
    <xf numFmtId="0" fontId="28" fillId="36" borderId="0" xfId="0" applyFont="1" applyFill="1" applyBorder="1" applyAlignment="1">
      <alignment horizontal="center"/>
    </xf>
    <xf numFmtId="166" fontId="28" fillId="36" borderId="0" xfId="39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166" fontId="28" fillId="33" borderId="16" xfId="39" applyNumberFormat="1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166" fontId="28" fillId="34" borderId="16" xfId="39" applyNumberFormat="1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"/>
    </xf>
    <xf numFmtId="166" fontId="28" fillId="36" borderId="17" xfId="39" applyNumberFormat="1" applyFont="1" applyFill="1" applyBorder="1" applyAlignment="1">
      <alignment horizontal="center"/>
    </xf>
    <xf numFmtId="166" fontId="28" fillId="35" borderId="16" xfId="39" applyNumberFormat="1" applyFont="1" applyFill="1" applyBorder="1" applyAlignment="1">
      <alignment horizontal="center"/>
    </xf>
    <xf numFmtId="44" fontId="0" fillId="0" borderId="0" xfId="39" applyFont="1" applyAlignment="1">
      <alignment/>
    </xf>
    <xf numFmtId="0" fontId="28" fillId="37" borderId="10" xfId="0" applyFont="1" applyFill="1" applyBorder="1" applyAlignment="1">
      <alignment horizontal="center"/>
    </xf>
    <xf numFmtId="0" fontId="28" fillId="37" borderId="11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44" fontId="28" fillId="0" borderId="0" xfId="39" applyFont="1" applyAlignment="1">
      <alignment/>
    </xf>
    <xf numFmtId="0" fontId="28" fillId="0" borderId="0" xfId="0" applyFont="1" applyAlignment="1">
      <alignment wrapText="1"/>
    </xf>
    <xf numFmtId="44" fontId="28" fillId="33" borderId="0" xfId="39" applyFont="1" applyFill="1" applyAlignment="1">
      <alignment/>
    </xf>
    <xf numFmtId="166" fontId="28" fillId="35" borderId="11" xfId="39" applyNumberFormat="1" applyFont="1" applyFill="1" applyBorder="1" applyAlignment="1">
      <alignment horizontal="center"/>
    </xf>
    <xf numFmtId="0" fontId="29" fillId="0" borderId="0" xfId="36" applyAlignment="1">
      <alignment/>
    </xf>
    <xf numFmtId="0" fontId="45" fillId="0" borderId="0" xfId="0" applyFont="1" applyAlignment="1">
      <alignment/>
    </xf>
    <xf numFmtId="166" fontId="0" fillId="0" borderId="0" xfId="39" applyNumberFormat="1" applyFont="1" applyAlignment="1">
      <alignment horizontal="center"/>
    </xf>
    <xf numFmtId="166" fontId="0" fillId="33" borderId="11" xfId="39" applyNumberFormat="1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66" fontId="0" fillId="37" borderId="13" xfId="39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66" fontId="0" fillId="37" borderId="11" xfId="39" applyNumberFormat="1" applyFont="1" applyFill="1" applyBorder="1" applyAlignment="1">
      <alignment horizontal="center"/>
    </xf>
    <xf numFmtId="0" fontId="28" fillId="37" borderId="15" xfId="0" applyFont="1" applyFill="1" applyBorder="1" applyAlignment="1">
      <alignment horizontal="center"/>
    </xf>
    <xf numFmtId="166" fontId="28" fillId="37" borderId="16" xfId="39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6" fontId="0" fillId="36" borderId="13" xfId="39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0" fillId="36" borderId="11" xfId="39" applyNumberFormat="1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166" fontId="28" fillId="36" borderId="16" xfId="39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8" fillId="35" borderId="15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166" fontId="45" fillId="33" borderId="16" xfId="39" applyNumberFormat="1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166" fontId="45" fillId="34" borderId="16" xfId="39" applyNumberFormat="1" applyFont="1" applyFill="1" applyBorder="1" applyAlignment="1">
      <alignment horizontal="center"/>
    </xf>
    <xf numFmtId="0" fontId="45" fillId="37" borderId="17" xfId="0" applyFont="1" applyFill="1" applyBorder="1" applyAlignment="1">
      <alignment horizontal="center"/>
    </xf>
    <xf numFmtId="166" fontId="45" fillId="37" borderId="17" xfId="39" applyNumberFormat="1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166" fontId="28" fillId="33" borderId="19" xfId="39" applyNumberFormat="1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166" fontId="28" fillId="34" borderId="19" xfId="39" applyNumberFormat="1" applyFont="1" applyFill="1" applyBorder="1" applyAlignment="1">
      <alignment horizontal="center"/>
    </xf>
    <xf numFmtId="0" fontId="28" fillId="37" borderId="20" xfId="0" applyFont="1" applyFill="1" applyBorder="1" applyAlignment="1">
      <alignment horizontal="center"/>
    </xf>
    <xf numFmtId="166" fontId="28" fillId="37" borderId="20" xfId="39" applyNumberFormat="1" applyFont="1" applyFill="1" applyBorder="1" applyAlignment="1">
      <alignment horizontal="center"/>
    </xf>
    <xf numFmtId="166" fontId="28" fillId="35" borderId="19" xfId="39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 wrapText="1"/>
    </xf>
    <xf numFmtId="0" fontId="0" fillId="35" borderId="15" xfId="0" applyFill="1" applyBorder="1" applyAlignment="1">
      <alignment horizontal="center"/>
    </xf>
    <xf numFmtId="166" fontId="28" fillId="36" borderId="11" xfId="39" applyNumberFormat="1" applyFont="1" applyFill="1" applyBorder="1" applyAlignment="1">
      <alignment horizontal="center"/>
    </xf>
    <xf numFmtId="166" fontId="28" fillId="36" borderId="13" xfId="39" applyNumberFormat="1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166" fontId="28" fillId="36" borderId="19" xfId="39" applyNumberFormat="1" applyFont="1" applyFill="1" applyBorder="1" applyAlignment="1">
      <alignment horizontal="center"/>
    </xf>
    <xf numFmtId="166" fontId="45" fillId="36" borderId="16" xfId="39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8" fillId="0" borderId="23" xfId="0" applyFont="1" applyBorder="1" applyAlignment="1">
      <alignment/>
    </xf>
    <xf numFmtId="0" fontId="28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166" fontId="28" fillId="0" borderId="21" xfId="39" applyNumberFormat="1" applyFont="1" applyBorder="1" applyAlignment="1">
      <alignment horizontal="center" wrapText="1"/>
    </xf>
    <xf numFmtId="166" fontId="0" fillId="0" borderId="23" xfId="39" applyNumberFormat="1" applyFont="1" applyBorder="1" applyAlignment="1">
      <alignment horizontal="center"/>
    </xf>
    <xf numFmtId="166" fontId="28" fillId="0" borderId="23" xfId="39" applyNumberFormat="1" applyFont="1" applyBorder="1" applyAlignment="1">
      <alignment horizontal="center"/>
    </xf>
    <xf numFmtId="166" fontId="28" fillId="0" borderId="24" xfId="39" applyNumberFormat="1" applyFont="1" applyBorder="1" applyAlignment="1">
      <alignment horizontal="center"/>
    </xf>
    <xf numFmtId="166" fontId="0" fillId="0" borderId="21" xfId="39" applyNumberFormat="1" applyFont="1" applyBorder="1" applyAlignment="1">
      <alignment horizontal="center"/>
    </xf>
    <xf numFmtId="166" fontId="25" fillId="0" borderId="23" xfId="39" applyNumberFormat="1" applyFont="1" applyFill="1" applyBorder="1" applyAlignment="1">
      <alignment horizontal="center"/>
    </xf>
    <xf numFmtId="166" fontId="45" fillId="35" borderId="16" xfId="39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4" fontId="28" fillId="0" borderId="0" xfId="39" applyFont="1" applyAlignment="1">
      <alignment wrapText="1"/>
    </xf>
    <xf numFmtId="44" fontId="0" fillId="0" borderId="0" xfId="39" applyFont="1" applyAlignment="1">
      <alignment/>
    </xf>
    <xf numFmtId="0" fontId="0" fillId="38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3" borderId="11" xfId="39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66" fontId="0" fillId="33" borderId="13" xfId="39" applyNumberFormat="1" applyFont="1" applyFill="1" applyBorder="1" applyAlignment="1">
      <alignment horizontal="center"/>
    </xf>
    <xf numFmtId="166" fontId="0" fillId="35" borderId="11" xfId="39" applyNumberFormat="1" applyFont="1" applyFill="1" applyBorder="1" applyAlignment="1">
      <alignment horizontal="center"/>
    </xf>
    <xf numFmtId="166" fontId="28" fillId="33" borderId="11" xfId="39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166" fontId="28" fillId="33" borderId="16" xfId="39" applyNumberFormat="1" applyFont="1" applyFill="1" applyBorder="1" applyAlignment="1">
      <alignment horizontal="center"/>
    </xf>
    <xf numFmtId="166" fontId="28" fillId="35" borderId="19" xfId="39" applyNumberFormat="1" applyFont="1" applyFill="1" applyBorder="1" applyAlignment="1">
      <alignment horizontal="center"/>
    </xf>
    <xf numFmtId="166" fontId="45" fillId="35" borderId="16" xfId="39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28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166" fontId="0" fillId="39" borderId="13" xfId="39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66" fontId="0" fillId="39" borderId="11" xfId="39" applyNumberFormat="1" applyFont="1" applyFill="1" applyBorder="1" applyAlignment="1">
      <alignment horizontal="center"/>
    </xf>
    <xf numFmtId="0" fontId="28" fillId="39" borderId="15" xfId="0" applyFont="1" applyFill="1" applyBorder="1" applyAlignment="1">
      <alignment horizontal="center"/>
    </xf>
    <xf numFmtId="166" fontId="28" fillId="39" borderId="16" xfId="39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166" fontId="0" fillId="39" borderId="0" xfId="39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6" fontId="28" fillId="39" borderId="11" xfId="39" applyNumberFormat="1" applyFont="1" applyFill="1" applyBorder="1" applyAlignment="1">
      <alignment horizontal="center"/>
    </xf>
    <xf numFmtId="0" fontId="28" fillId="39" borderId="0" xfId="0" applyFont="1" applyFill="1" applyBorder="1" applyAlignment="1">
      <alignment horizontal="center"/>
    </xf>
    <xf numFmtId="166" fontId="28" fillId="39" borderId="0" xfId="39" applyNumberFormat="1" applyFon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166" fontId="0" fillId="39" borderId="14" xfId="39" applyNumberFormat="1" applyFont="1" applyFill="1" applyBorder="1" applyAlignment="1">
      <alignment horizontal="center"/>
    </xf>
    <xf numFmtId="0" fontId="28" fillId="39" borderId="17" xfId="0" applyFont="1" applyFill="1" applyBorder="1" applyAlignment="1">
      <alignment horizontal="center"/>
    </xf>
    <xf numFmtId="166" fontId="28" fillId="39" borderId="17" xfId="39" applyNumberFormat="1" applyFont="1" applyFill="1" applyBorder="1" applyAlignment="1">
      <alignment horizontal="center"/>
    </xf>
    <xf numFmtId="0" fontId="0" fillId="39" borderId="12" xfId="0" applyFill="1" applyBorder="1" applyAlignment="1">
      <alignment horizontal="center" wrapText="1"/>
    </xf>
    <xf numFmtId="166" fontId="28" fillId="39" borderId="13" xfId="39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166" fontId="28" fillId="39" borderId="19" xfId="39" applyNumberFormat="1" applyFont="1" applyFill="1" applyBorder="1" applyAlignment="1">
      <alignment horizontal="center"/>
    </xf>
    <xf numFmtId="0" fontId="28" fillId="39" borderId="18" xfId="0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166" fontId="45" fillId="39" borderId="16" xfId="39" applyNumberFormat="1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0" fontId="0" fillId="39" borderId="1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4" fontId="0" fillId="0" borderId="0" xfId="39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39" borderId="18" xfId="0" applyFont="1" applyFill="1" applyBorder="1" applyAlignment="1">
      <alignment horizontal="center"/>
    </xf>
    <xf numFmtId="0" fontId="46" fillId="39" borderId="19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7" borderId="18" xfId="0" applyFont="1" applyFill="1" applyBorder="1" applyAlignment="1">
      <alignment horizontal="center"/>
    </xf>
    <xf numFmtId="0" fontId="46" fillId="37" borderId="19" xfId="0" applyFont="1" applyFill="1" applyBorder="1" applyAlignment="1">
      <alignment horizontal="center"/>
    </xf>
    <xf numFmtId="0" fontId="28" fillId="0" borderId="21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/>
    </xf>
    <xf numFmtId="0" fontId="28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0" fillId="0" borderId="24" xfId="0" applyBorder="1" applyAlignment="1">
      <alignment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6" fillId="35" borderId="18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por.cz/kipor-id10-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57421875" style="0" customWidth="1"/>
    <col min="3" max="3" width="37.140625" style="1" customWidth="1"/>
    <col min="4" max="4" width="13.57421875" style="46" customWidth="1"/>
    <col min="5" max="5" width="35.8515625" style="0" customWidth="1"/>
    <col min="6" max="6" width="27.7109375" style="0" bestFit="1" customWidth="1"/>
    <col min="7" max="7" width="14.00390625" style="109" bestFit="1" customWidth="1"/>
    <col min="8" max="8" width="16.28125" style="0" customWidth="1"/>
    <col min="9" max="9" width="12.8515625" style="0" bestFit="1" customWidth="1"/>
    <col min="10" max="10" width="13.7109375" style="0" bestFit="1" customWidth="1"/>
    <col min="11" max="11" width="13.421875" style="0" customWidth="1"/>
    <col min="12" max="12" width="15.8515625" style="0" customWidth="1"/>
  </cols>
  <sheetData>
    <row r="1" spans="1:12" ht="42.75" customHeight="1">
      <c r="A1" s="2" t="s">
        <v>29</v>
      </c>
      <c r="B1" s="2" t="s">
        <v>31</v>
      </c>
      <c r="C1" s="47" t="s">
        <v>32</v>
      </c>
      <c r="D1" s="46" t="s">
        <v>46</v>
      </c>
      <c r="E1" s="2" t="s">
        <v>28</v>
      </c>
      <c r="F1" s="47" t="s">
        <v>47</v>
      </c>
      <c r="G1" s="108" t="s">
        <v>54</v>
      </c>
      <c r="H1" s="47" t="s">
        <v>48</v>
      </c>
      <c r="I1" s="47" t="s">
        <v>55</v>
      </c>
      <c r="J1" s="47" t="s">
        <v>51</v>
      </c>
      <c r="K1" s="47" t="s">
        <v>52</v>
      </c>
      <c r="L1" s="47" t="s">
        <v>53</v>
      </c>
    </row>
    <row r="2" spans="1:12" ht="33.75" customHeight="1">
      <c r="A2" s="162" t="s">
        <v>30</v>
      </c>
      <c r="B2" t="s">
        <v>33</v>
      </c>
      <c r="C2" s="1" t="s">
        <v>38</v>
      </c>
      <c r="D2" s="46">
        <f>L2</f>
        <v>9132.75</v>
      </c>
      <c r="E2" s="1" t="s">
        <v>40</v>
      </c>
      <c r="F2" t="s">
        <v>49</v>
      </c>
      <c r="G2" s="39">
        <v>19581</v>
      </c>
      <c r="H2" t="s">
        <v>50</v>
      </c>
      <c r="I2" s="39">
        <v>16950</v>
      </c>
      <c r="J2" s="39">
        <f>(I2+G2)/2</f>
        <v>18265.5</v>
      </c>
      <c r="K2">
        <v>0.5</v>
      </c>
      <c r="L2" s="39">
        <f aca="true" t="shared" si="0" ref="L2:L23">K2*J2</f>
        <v>9132.75</v>
      </c>
    </row>
    <row r="3" spans="1:12" ht="33.75" customHeight="1">
      <c r="A3" s="162"/>
      <c r="B3" t="s">
        <v>34</v>
      </c>
      <c r="C3" s="1" t="s">
        <v>39</v>
      </c>
      <c r="D3" s="46">
        <f aca="true" t="shared" si="1" ref="D3:D23">L3</f>
        <v>13227.25</v>
      </c>
      <c r="E3" s="1" t="s">
        <v>41</v>
      </c>
      <c r="F3" t="s">
        <v>49</v>
      </c>
      <c r="G3" s="39">
        <v>28034</v>
      </c>
      <c r="H3" t="s">
        <v>50</v>
      </c>
      <c r="I3" s="39">
        <v>24875</v>
      </c>
      <c r="J3" s="39">
        <f>(I3+G3)/2</f>
        <v>26454.5</v>
      </c>
      <c r="K3">
        <v>0.5</v>
      </c>
      <c r="L3" s="39">
        <f t="shared" si="0"/>
        <v>13227.25</v>
      </c>
    </row>
    <row r="4" spans="1:12" ht="33.75" customHeight="1">
      <c r="A4" s="162"/>
      <c r="B4" t="s">
        <v>35</v>
      </c>
      <c r="C4" s="1" t="s">
        <v>42</v>
      </c>
      <c r="D4" s="46">
        <f t="shared" si="1"/>
        <v>14852.25</v>
      </c>
      <c r="E4" s="1" t="s">
        <v>81</v>
      </c>
      <c r="F4" t="s">
        <v>49</v>
      </c>
      <c r="G4" s="39">
        <v>28034</v>
      </c>
      <c r="H4" t="s">
        <v>50</v>
      </c>
      <c r="I4" s="39">
        <v>31375</v>
      </c>
      <c r="J4" s="39">
        <f>(I4+G4)/2</f>
        <v>29704.5</v>
      </c>
      <c r="K4">
        <v>0.5</v>
      </c>
      <c r="L4" s="39">
        <f t="shared" si="0"/>
        <v>14852.25</v>
      </c>
    </row>
    <row r="5" spans="1:12" ht="30">
      <c r="A5" s="162"/>
      <c r="B5" t="s">
        <v>36</v>
      </c>
      <c r="C5" s="1" t="s">
        <v>44</v>
      </c>
      <c r="D5" s="46">
        <f t="shared" si="1"/>
        <v>31462.5</v>
      </c>
      <c r="E5" s="1" t="s">
        <v>43</v>
      </c>
      <c r="F5" t="s">
        <v>49</v>
      </c>
      <c r="G5" s="39">
        <v>56209</v>
      </c>
      <c r="H5" t="s">
        <v>50</v>
      </c>
      <c r="I5" s="39">
        <v>16950</v>
      </c>
      <c r="J5" s="39">
        <v>62925</v>
      </c>
      <c r="K5">
        <v>0.5</v>
      </c>
      <c r="L5" s="39">
        <f t="shared" si="0"/>
        <v>31462.5</v>
      </c>
    </row>
    <row r="6" spans="1:12" ht="30">
      <c r="A6" s="162"/>
      <c r="B6" t="s">
        <v>37</v>
      </c>
      <c r="C6" s="1" t="s">
        <v>56</v>
      </c>
      <c r="D6" s="46">
        <f t="shared" si="1"/>
        <v>64158.149999999994</v>
      </c>
      <c r="E6" s="1" t="s">
        <v>45</v>
      </c>
      <c r="F6" t="s">
        <v>49</v>
      </c>
      <c r="G6" s="39">
        <v>112559</v>
      </c>
      <c r="H6" t="s">
        <v>50</v>
      </c>
      <c r="I6" s="39">
        <v>70750</v>
      </c>
      <c r="J6" s="39">
        <f>(I6+G6)/2</f>
        <v>91654.5</v>
      </c>
      <c r="K6">
        <v>0.7</v>
      </c>
      <c r="L6" s="39">
        <f t="shared" si="0"/>
        <v>64158.149999999994</v>
      </c>
    </row>
    <row r="7" spans="1:12" ht="33.75" customHeight="1">
      <c r="A7" s="162"/>
      <c r="B7" t="s">
        <v>59</v>
      </c>
      <c r="C7" s="1" t="s">
        <v>58</v>
      </c>
      <c r="D7" s="46">
        <f t="shared" si="1"/>
        <v>50156.049999999996</v>
      </c>
      <c r="E7" s="1" t="s">
        <v>57</v>
      </c>
      <c r="F7" t="s">
        <v>49</v>
      </c>
      <c r="G7" s="39">
        <v>52828</v>
      </c>
      <c r="H7" t="s">
        <v>50</v>
      </c>
      <c r="I7" s="39">
        <v>90475</v>
      </c>
      <c r="J7" s="39">
        <f>(I7+G7)/2</f>
        <v>71651.5</v>
      </c>
      <c r="K7">
        <v>0.7</v>
      </c>
      <c r="L7" s="39">
        <f t="shared" si="0"/>
        <v>50156.049999999996</v>
      </c>
    </row>
    <row r="8" spans="1:12" ht="14.25" customHeight="1">
      <c r="A8" s="163" t="s">
        <v>72</v>
      </c>
      <c r="B8" t="s">
        <v>64</v>
      </c>
      <c r="C8" s="1" t="s">
        <v>75</v>
      </c>
      <c r="D8" s="46">
        <f t="shared" si="1"/>
        <v>195375.59999999998</v>
      </c>
      <c r="E8" s="1" t="s">
        <v>79</v>
      </c>
      <c r="F8" t="s">
        <v>73</v>
      </c>
      <c r="G8" s="39">
        <v>279108</v>
      </c>
      <c r="I8" s="39"/>
      <c r="J8" s="39">
        <f>G8</f>
        <v>279108</v>
      </c>
      <c r="K8">
        <v>0.7</v>
      </c>
      <c r="L8" s="39">
        <f t="shared" si="0"/>
        <v>195375.59999999998</v>
      </c>
    </row>
    <row r="9" spans="1:12" ht="30">
      <c r="A9" s="163"/>
      <c r="B9" t="s">
        <v>65</v>
      </c>
      <c r="C9" s="1" t="s">
        <v>74</v>
      </c>
      <c r="D9" s="46">
        <f t="shared" si="1"/>
        <v>30419.999999999996</v>
      </c>
      <c r="F9" t="s">
        <v>164</v>
      </c>
      <c r="G9" s="39">
        <v>39099</v>
      </c>
      <c r="I9" s="39"/>
      <c r="J9" s="39">
        <f aca="true" t="shared" si="2" ref="J9:J23">G9</f>
        <v>39099</v>
      </c>
      <c r="K9" s="161">
        <v>0.7780250134274533</v>
      </c>
      <c r="L9" s="39">
        <f t="shared" si="0"/>
        <v>30419.999999999996</v>
      </c>
    </row>
    <row r="10" spans="1:12" ht="30">
      <c r="A10" s="163"/>
      <c r="B10" t="s">
        <v>66</v>
      </c>
      <c r="C10" s="1" t="s">
        <v>76</v>
      </c>
      <c r="D10" s="46">
        <f t="shared" si="1"/>
        <v>44460</v>
      </c>
      <c r="E10" s="1" t="s">
        <v>80</v>
      </c>
      <c r="F10" t="s">
        <v>73</v>
      </c>
      <c r="G10" s="39">
        <f>57000*1.2</f>
        <v>68400</v>
      </c>
      <c r="I10" s="39"/>
      <c r="J10" s="39">
        <f t="shared" si="2"/>
        <v>68400</v>
      </c>
      <c r="K10">
        <v>0.65</v>
      </c>
      <c r="L10" s="39">
        <f t="shared" si="0"/>
        <v>44460</v>
      </c>
    </row>
    <row r="11" spans="1:12" ht="30">
      <c r="A11" s="163"/>
      <c r="B11" t="s">
        <v>69</v>
      </c>
      <c r="C11" s="1" t="s">
        <v>77</v>
      </c>
      <c r="D11" s="48">
        <f t="shared" si="1"/>
        <v>35880</v>
      </c>
      <c r="F11" t="s">
        <v>161</v>
      </c>
      <c r="G11" s="159">
        <v>44601</v>
      </c>
      <c r="I11" s="39"/>
      <c r="J11" s="39">
        <f t="shared" si="2"/>
        <v>44601</v>
      </c>
      <c r="K11" s="160">
        <v>0.804466267572476</v>
      </c>
      <c r="L11" s="39">
        <f t="shared" si="0"/>
        <v>35880</v>
      </c>
    </row>
    <row r="12" spans="1:12" ht="15">
      <c r="A12" s="163"/>
      <c r="B12" t="s">
        <v>70</v>
      </c>
      <c r="C12" s="1" t="s">
        <v>78</v>
      </c>
      <c r="D12" s="48">
        <f t="shared" si="1"/>
        <v>44460</v>
      </c>
      <c r="F12" t="s">
        <v>162</v>
      </c>
      <c r="G12" s="159">
        <v>72421</v>
      </c>
      <c r="I12" s="39"/>
      <c r="J12" s="39">
        <f t="shared" si="2"/>
        <v>72421</v>
      </c>
      <c r="K12" s="161">
        <v>0.6139103298766933</v>
      </c>
      <c r="L12" s="39">
        <f t="shared" si="0"/>
        <v>44460</v>
      </c>
    </row>
    <row r="13" spans="1:12" ht="15">
      <c r="A13" s="163"/>
      <c r="B13" t="s">
        <v>71</v>
      </c>
      <c r="C13" s="1" t="s">
        <v>67</v>
      </c>
      <c r="D13" s="48">
        <f t="shared" si="1"/>
        <v>14950</v>
      </c>
      <c r="E13" t="s">
        <v>68</v>
      </c>
      <c r="F13" t="s">
        <v>163</v>
      </c>
      <c r="G13" s="159">
        <v>21911</v>
      </c>
      <c r="I13" s="39"/>
      <c r="J13" s="39">
        <f t="shared" si="2"/>
        <v>21911</v>
      </c>
      <c r="K13" s="161">
        <v>0.6823056912053307</v>
      </c>
      <c r="L13" s="39">
        <f t="shared" si="0"/>
        <v>14950</v>
      </c>
    </row>
    <row r="14" spans="1:12" ht="15">
      <c r="A14" s="163"/>
      <c r="B14" t="s">
        <v>82</v>
      </c>
      <c r="C14" s="1" t="s">
        <v>83</v>
      </c>
      <c r="D14" s="46">
        <f t="shared" si="1"/>
        <v>2508.35</v>
      </c>
      <c r="F14" t="s">
        <v>73</v>
      </c>
      <c r="G14" s="39">
        <v>3859</v>
      </c>
      <c r="J14" s="39">
        <f t="shared" si="2"/>
        <v>3859</v>
      </c>
      <c r="K14">
        <v>0.65</v>
      </c>
      <c r="L14" s="39">
        <f t="shared" si="0"/>
        <v>2508.35</v>
      </c>
    </row>
    <row r="15" spans="1:12" ht="15">
      <c r="A15" s="163"/>
      <c r="B15" t="s">
        <v>84</v>
      </c>
      <c r="D15" s="48">
        <f t="shared" si="1"/>
        <v>0</v>
      </c>
      <c r="J15" s="39">
        <f t="shared" si="2"/>
        <v>0</v>
      </c>
      <c r="K15">
        <v>0.65</v>
      </c>
      <c r="L15" s="39">
        <f t="shared" si="0"/>
        <v>0</v>
      </c>
    </row>
    <row r="16" spans="1:12" ht="60">
      <c r="A16" s="162" t="s">
        <v>18</v>
      </c>
      <c r="B16" t="s">
        <v>85</v>
      </c>
      <c r="C16" s="1" t="s">
        <v>109</v>
      </c>
      <c r="D16" s="46">
        <f t="shared" si="1"/>
        <v>262884.6</v>
      </c>
      <c r="F16" t="s">
        <v>106</v>
      </c>
      <c r="G16" s="109">
        <v>309276</v>
      </c>
      <c r="J16" s="39">
        <f t="shared" si="2"/>
        <v>309276</v>
      </c>
      <c r="K16">
        <v>0.85</v>
      </c>
      <c r="L16" s="39">
        <f t="shared" si="0"/>
        <v>262884.6</v>
      </c>
    </row>
    <row r="17" spans="1:12" ht="45">
      <c r="A17" s="162"/>
      <c r="B17" t="s">
        <v>86</v>
      </c>
      <c r="C17" s="1" t="s">
        <v>107</v>
      </c>
      <c r="D17" s="46">
        <f t="shared" si="1"/>
        <v>142550.1</v>
      </c>
      <c r="F17" t="s">
        <v>106</v>
      </c>
      <c r="G17" s="109">
        <v>167706</v>
      </c>
      <c r="J17" s="39">
        <f t="shared" si="2"/>
        <v>167706</v>
      </c>
      <c r="K17">
        <v>0.85</v>
      </c>
      <c r="L17" s="39">
        <f t="shared" si="0"/>
        <v>142550.1</v>
      </c>
    </row>
    <row r="18" spans="1:12" ht="60">
      <c r="A18" s="162"/>
      <c r="B18" t="s">
        <v>87</v>
      </c>
      <c r="C18" s="1" t="s">
        <v>108</v>
      </c>
      <c r="D18" s="46">
        <f t="shared" si="1"/>
        <v>168468.3</v>
      </c>
      <c r="F18" t="s">
        <v>106</v>
      </c>
      <c r="G18" s="109">
        <v>198198</v>
      </c>
      <c r="J18" s="39">
        <f t="shared" si="2"/>
        <v>198198</v>
      </c>
      <c r="K18">
        <v>0.85</v>
      </c>
      <c r="L18" s="39">
        <f t="shared" si="0"/>
        <v>168468.3</v>
      </c>
    </row>
    <row r="19" spans="1:12" ht="15">
      <c r="A19" s="162" t="s">
        <v>91</v>
      </c>
      <c r="B19" t="s">
        <v>88</v>
      </c>
      <c r="C19" s="1" t="s">
        <v>95</v>
      </c>
      <c r="D19" s="46">
        <f t="shared" si="1"/>
        <v>75823.2</v>
      </c>
      <c r="E19" t="s">
        <v>97</v>
      </c>
      <c r="F19" t="s">
        <v>96</v>
      </c>
      <c r="G19" s="109">
        <v>126372</v>
      </c>
      <c r="J19" s="39">
        <f t="shared" si="2"/>
        <v>126372</v>
      </c>
      <c r="K19">
        <v>0.6</v>
      </c>
      <c r="L19" s="39">
        <f t="shared" si="0"/>
        <v>75823.2</v>
      </c>
    </row>
    <row r="20" spans="1:12" ht="30">
      <c r="A20" s="162"/>
      <c r="B20" t="s">
        <v>92</v>
      </c>
      <c r="C20" s="1" t="s">
        <v>101</v>
      </c>
      <c r="D20" s="46">
        <f t="shared" si="1"/>
        <v>61782.6</v>
      </c>
      <c r="E20" t="s">
        <v>98</v>
      </c>
      <c r="F20" t="s">
        <v>96</v>
      </c>
      <c r="G20" s="109">
        <v>102971</v>
      </c>
      <c r="J20" s="39">
        <f t="shared" si="2"/>
        <v>102971</v>
      </c>
      <c r="K20">
        <v>0.6</v>
      </c>
      <c r="L20" s="39">
        <f t="shared" si="0"/>
        <v>61782.6</v>
      </c>
    </row>
    <row r="21" spans="1:12" ht="15">
      <c r="A21" s="162"/>
      <c r="B21" t="s">
        <v>89</v>
      </c>
      <c r="C21" s="1" t="s">
        <v>99</v>
      </c>
      <c r="D21" s="46">
        <f t="shared" si="1"/>
        <v>157933.8</v>
      </c>
      <c r="E21" t="s">
        <v>100</v>
      </c>
      <c r="F21" t="s">
        <v>96</v>
      </c>
      <c r="G21" s="109">
        <v>263223</v>
      </c>
      <c r="J21" s="39">
        <f t="shared" si="2"/>
        <v>263223</v>
      </c>
      <c r="K21">
        <v>0.6</v>
      </c>
      <c r="L21" s="39">
        <f t="shared" si="0"/>
        <v>157933.8</v>
      </c>
    </row>
    <row r="22" spans="1:12" ht="30">
      <c r="A22" s="162"/>
      <c r="B22" t="s">
        <v>93</v>
      </c>
      <c r="C22" s="1" t="s">
        <v>102</v>
      </c>
      <c r="D22" s="46">
        <f t="shared" si="1"/>
        <v>111223.2</v>
      </c>
      <c r="E22" t="s">
        <v>98</v>
      </c>
      <c r="F22" t="s">
        <v>96</v>
      </c>
      <c r="G22" s="109">
        <v>185372</v>
      </c>
      <c r="J22" s="39">
        <f t="shared" si="2"/>
        <v>185372</v>
      </c>
      <c r="K22">
        <v>0.6</v>
      </c>
      <c r="L22" s="39">
        <f t="shared" si="0"/>
        <v>111223.2</v>
      </c>
    </row>
    <row r="23" spans="1:12" ht="15">
      <c r="A23" s="162"/>
      <c r="B23" t="s">
        <v>90</v>
      </c>
      <c r="C23" s="1" t="s">
        <v>103</v>
      </c>
      <c r="D23" s="46">
        <f t="shared" si="1"/>
        <v>387640.2</v>
      </c>
      <c r="E23" t="s">
        <v>105</v>
      </c>
      <c r="F23" t="s">
        <v>96</v>
      </c>
      <c r="G23" s="109">
        <v>646067</v>
      </c>
      <c r="J23" s="39">
        <f t="shared" si="2"/>
        <v>646067</v>
      </c>
      <c r="K23">
        <v>0.6</v>
      </c>
      <c r="L23" s="39">
        <f t="shared" si="0"/>
        <v>387640.2</v>
      </c>
    </row>
    <row r="24" spans="1:12" ht="30">
      <c r="A24" s="162"/>
      <c r="B24" t="s">
        <v>94</v>
      </c>
      <c r="C24" s="1" t="s">
        <v>104</v>
      </c>
      <c r="D24" s="46">
        <f aca="true" t="shared" si="3" ref="D24:D33">L24</f>
        <v>295917.6</v>
      </c>
      <c r="E24" t="s">
        <v>98</v>
      </c>
      <c r="F24" t="s">
        <v>96</v>
      </c>
      <c r="G24" s="109">
        <v>493196</v>
      </c>
      <c r="J24" s="39">
        <f aca="true" t="shared" si="4" ref="J24:J34">G24</f>
        <v>493196</v>
      </c>
      <c r="K24">
        <v>0.6</v>
      </c>
      <c r="L24" s="39">
        <f aca="true" t="shared" si="5" ref="L24:L34">K24*J24</f>
        <v>295917.6</v>
      </c>
    </row>
    <row r="25" spans="1:12" ht="15">
      <c r="A25" t="s">
        <v>13</v>
      </c>
      <c r="B25" t="s">
        <v>13</v>
      </c>
      <c r="C25" s="1" t="s">
        <v>115</v>
      </c>
      <c r="D25" s="46">
        <f t="shared" si="3"/>
        <v>450000</v>
      </c>
      <c r="E25" t="s">
        <v>116</v>
      </c>
      <c r="G25" s="109">
        <v>450000</v>
      </c>
      <c r="J25" s="39">
        <f t="shared" si="4"/>
        <v>450000</v>
      </c>
      <c r="K25">
        <v>1</v>
      </c>
      <c r="L25" s="39">
        <f t="shared" si="5"/>
        <v>450000</v>
      </c>
    </row>
    <row r="26" spans="1:12" ht="15">
      <c r="A26" s="162" t="s">
        <v>117</v>
      </c>
      <c r="B26" t="s">
        <v>25</v>
      </c>
      <c r="C26" s="1" t="s">
        <v>118</v>
      </c>
      <c r="D26" s="46">
        <f t="shared" si="3"/>
        <v>117000</v>
      </c>
      <c r="F26" s="50" t="s">
        <v>119</v>
      </c>
      <c r="G26" s="109">
        <v>130000</v>
      </c>
      <c r="J26" s="39">
        <f t="shared" si="4"/>
        <v>130000</v>
      </c>
      <c r="K26">
        <v>0.9</v>
      </c>
      <c r="L26" s="39">
        <f t="shared" si="5"/>
        <v>117000</v>
      </c>
    </row>
    <row r="27" spans="1:12" ht="15">
      <c r="A27" s="162"/>
      <c r="B27" t="s">
        <v>26</v>
      </c>
      <c r="C27" s="1" t="s">
        <v>127</v>
      </c>
      <c r="D27" s="46">
        <f t="shared" si="3"/>
        <v>36284</v>
      </c>
      <c r="F27" t="s">
        <v>120</v>
      </c>
      <c r="G27" s="109">
        <v>36284</v>
      </c>
      <c r="J27" s="39">
        <f t="shared" si="4"/>
        <v>36284</v>
      </c>
      <c r="K27">
        <v>1</v>
      </c>
      <c r="L27" s="39">
        <f t="shared" si="5"/>
        <v>36284</v>
      </c>
    </row>
    <row r="28" spans="1:12" ht="15">
      <c r="A28" s="162"/>
      <c r="B28" t="s">
        <v>144</v>
      </c>
      <c r="C28" s="1" t="s">
        <v>145</v>
      </c>
      <c r="D28" s="46">
        <f t="shared" si="3"/>
        <v>36000</v>
      </c>
      <c r="E28" t="s">
        <v>146</v>
      </c>
      <c r="F28" t="s">
        <v>147</v>
      </c>
      <c r="G28" s="109">
        <f>30000*1.2</f>
        <v>36000</v>
      </c>
      <c r="J28" s="39">
        <f>G28</f>
        <v>36000</v>
      </c>
      <c r="K28">
        <v>1</v>
      </c>
      <c r="L28" s="39">
        <f>K28*J28</f>
        <v>36000</v>
      </c>
    </row>
    <row r="29" spans="1:12" ht="15">
      <c r="A29" s="162"/>
      <c r="B29" t="s">
        <v>129</v>
      </c>
      <c r="C29" s="1" t="s">
        <v>131</v>
      </c>
      <c r="D29" s="46">
        <f t="shared" si="3"/>
        <v>25000</v>
      </c>
      <c r="F29" t="s">
        <v>128</v>
      </c>
      <c r="G29" s="109">
        <v>25000</v>
      </c>
      <c r="J29" s="39">
        <f t="shared" si="4"/>
        <v>25000</v>
      </c>
      <c r="K29">
        <v>1</v>
      </c>
      <c r="L29" s="39">
        <f t="shared" si="5"/>
        <v>25000</v>
      </c>
    </row>
    <row r="30" spans="1:12" ht="15">
      <c r="A30" s="162"/>
      <c r="B30" t="s">
        <v>130</v>
      </c>
      <c r="C30" s="1" t="s">
        <v>132</v>
      </c>
      <c r="D30" s="46">
        <f t="shared" si="3"/>
        <v>7999</v>
      </c>
      <c r="F30" t="s">
        <v>133</v>
      </c>
      <c r="G30" s="109">
        <v>7999</v>
      </c>
      <c r="J30" s="39">
        <f t="shared" si="4"/>
        <v>7999</v>
      </c>
      <c r="K30">
        <v>1</v>
      </c>
      <c r="L30" s="39">
        <f t="shared" si="5"/>
        <v>7999</v>
      </c>
    </row>
    <row r="31" spans="1:12" ht="15">
      <c r="A31" s="162"/>
      <c r="B31" t="s">
        <v>134</v>
      </c>
      <c r="C31" s="1" t="s">
        <v>136</v>
      </c>
      <c r="D31" s="46">
        <f t="shared" si="3"/>
        <v>102516</v>
      </c>
      <c r="E31" t="s">
        <v>137</v>
      </c>
      <c r="F31" t="s">
        <v>135</v>
      </c>
      <c r="G31" s="109">
        <f>85430*1.2</f>
        <v>102516</v>
      </c>
      <c r="J31" s="39">
        <f t="shared" si="4"/>
        <v>102516</v>
      </c>
      <c r="K31">
        <v>1</v>
      </c>
      <c r="L31" s="39">
        <f t="shared" si="5"/>
        <v>102516</v>
      </c>
    </row>
    <row r="32" spans="1:12" ht="15">
      <c r="A32" s="162" t="s">
        <v>122</v>
      </c>
      <c r="B32" t="s">
        <v>121</v>
      </c>
      <c r="C32" s="1" t="s">
        <v>123</v>
      </c>
      <c r="D32" s="46">
        <f t="shared" si="3"/>
        <v>104400</v>
      </c>
      <c r="F32" t="s">
        <v>124</v>
      </c>
      <c r="G32" s="109">
        <f>87000*1.2</f>
        <v>104400</v>
      </c>
      <c r="J32" s="39">
        <f t="shared" si="4"/>
        <v>104400</v>
      </c>
      <c r="K32">
        <v>1</v>
      </c>
      <c r="L32" s="39">
        <f t="shared" si="5"/>
        <v>104400</v>
      </c>
    </row>
    <row r="33" spans="1:12" ht="15">
      <c r="A33" s="162"/>
      <c r="B33" t="s">
        <v>139</v>
      </c>
      <c r="C33" s="1" t="s">
        <v>140</v>
      </c>
      <c r="D33" s="46">
        <f t="shared" si="3"/>
        <v>261360</v>
      </c>
      <c r="F33" t="s">
        <v>141</v>
      </c>
      <c r="G33" s="109">
        <v>290400</v>
      </c>
      <c r="J33" s="39">
        <f t="shared" si="4"/>
        <v>290400</v>
      </c>
      <c r="K33">
        <v>0.9</v>
      </c>
      <c r="L33" s="39">
        <f t="shared" si="5"/>
        <v>261360</v>
      </c>
    </row>
    <row r="34" spans="1:12" ht="15">
      <c r="A34" s="162"/>
      <c r="J34" s="39">
        <f t="shared" si="4"/>
        <v>0</v>
      </c>
      <c r="K34">
        <v>1</v>
      </c>
      <c r="L34" s="39">
        <f t="shared" si="5"/>
        <v>0</v>
      </c>
    </row>
    <row r="35" ht="15">
      <c r="A35" s="162"/>
    </row>
  </sheetData>
  <sheetProtection/>
  <mergeCells count="6">
    <mergeCell ref="A2:A7"/>
    <mergeCell ref="A8:A15"/>
    <mergeCell ref="A16:A18"/>
    <mergeCell ref="A19:A24"/>
    <mergeCell ref="A32:A35"/>
    <mergeCell ref="A26:A31"/>
  </mergeCells>
  <hyperlinks>
    <hyperlink ref="F26" r:id="rId1" display="http://www.kipor.cz/kipor-id10-"/>
  </hyperlinks>
  <printOptions/>
  <pageMargins left="0.7" right="0.7" top="0.787401575" bottom="0.7874015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1"/>
  <sheetViews>
    <sheetView zoomScale="90" zoomScaleNormal="9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2" sqref="V22"/>
    </sheetView>
  </sheetViews>
  <sheetFormatPr defaultColWidth="9.140625" defaultRowHeight="15"/>
  <cols>
    <col min="1" max="1" width="12.140625" style="0" bestFit="1" customWidth="1"/>
    <col min="2" max="2" width="22.00390625" style="0" customWidth="1"/>
    <col min="3" max="3" width="15.00390625" style="52" bestFit="1" customWidth="1"/>
    <col min="4" max="4" width="9.57421875" style="3" customWidth="1"/>
    <col min="5" max="5" width="15.00390625" style="3" customWidth="1"/>
    <col min="6" max="6" width="10.00390625" style="3" customWidth="1"/>
    <col min="7" max="7" width="13.28125" style="3" customWidth="1"/>
    <col min="8" max="8" width="9.28125" style="3" customWidth="1"/>
    <col min="9" max="9" width="13.28125" style="3" customWidth="1"/>
    <col min="10" max="10" width="8.140625" style="3" customWidth="1"/>
    <col min="11" max="11" width="13.28125" style="3" customWidth="1"/>
    <col min="12" max="12" width="7.00390625" style="3" customWidth="1"/>
    <col min="13" max="13" width="15.140625" style="3" customWidth="1"/>
    <col min="14" max="14" width="9.421875" style="129" customWidth="1"/>
    <col min="15" max="15" width="14.00390625" style="129" customWidth="1"/>
    <col min="16" max="16" width="8.7109375" style="129" customWidth="1"/>
    <col min="17" max="17" width="13.28125" style="129" customWidth="1"/>
    <col min="18" max="18" width="9.00390625" style="129" customWidth="1"/>
    <col min="19" max="19" width="13.28125" style="129" customWidth="1"/>
    <col min="20" max="20" width="8.140625" style="129" customWidth="1"/>
    <col min="21" max="21" width="13.28125" style="129" customWidth="1"/>
    <col min="22" max="22" width="9.421875" style="3" customWidth="1"/>
    <col min="23" max="23" width="13.00390625" style="3" customWidth="1"/>
  </cols>
  <sheetData>
    <row r="1" ht="15.75" thickBot="1"/>
    <row r="2" spans="2:23" ht="19.5" thickBot="1">
      <c r="B2" s="2"/>
      <c r="D2" s="166" t="s">
        <v>60</v>
      </c>
      <c r="E2" s="167"/>
      <c r="F2" s="168" t="s">
        <v>0</v>
      </c>
      <c r="G2" s="169"/>
      <c r="H2" s="170" t="s">
        <v>1</v>
      </c>
      <c r="I2" s="171"/>
      <c r="J2" s="199" t="s">
        <v>2</v>
      </c>
      <c r="K2" s="200"/>
      <c r="L2" s="201" t="s">
        <v>7</v>
      </c>
      <c r="M2" s="202"/>
      <c r="N2" s="164" t="s">
        <v>61</v>
      </c>
      <c r="O2" s="165"/>
      <c r="P2" s="164" t="s">
        <v>62</v>
      </c>
      <c r="Q2" s="165"/>
      <c r="R2" s="164" t="s">
        <v>63</v>
      </c>
      <c r="S2" s="165"/>
      <c r="T2" s="164" t="s">
        <v>149</v>
      </c>
      <c r="U2" s="165"/>
      <c r="V2" s="166" t="s">
        <v>151</v>
      </c>
      <c r="W2" s="167"/>
    </row>
    <row r="3" spans="1:23" ht="27.75" customHeight="1" thickBot="1">
      <c r="A3" s="90" t="s">
        <v>22</v>
      </c>
      <c r="B3" s="90" t="s">
        <v>23</v>
      </c>
      <c r="C3" s="98" t="s">
        <v>142</v>
      </c>
      <c r="D3" s="4" t="s">
        <v>4</v>
      </c>
      <c r="E3" s="5" t="s">
        <v>5</v>
      </c>
      <c r="F3" s="10" t="s">
        <v>4</v>
      </c>
      <c r="G3" s="11" t="s">
        <v>5</v>
      </c>
      <c r="H3" s="40" t="s">
        <v>4</v>
      </c>
      <c r="I3" s="41" t="s">
        <v>5</v>
      </c>
      <c r="J3" s="42" t="s">
        <v>4</v>
      </c>
      <c r="K3" s="43" t="s">
        <v>5</v>
      </c>
      <c r="L3" s="44" t="s">
        <v>4</v>
      </c>
      <c r="M3" s="45" t="s">
        <v>5</v>
      </c>
      <c r="N3" s="130" t="s">
        <v>4</v>
      </c>
      <c r="O3" s="131" t="s">
        <v>5</v>
      </c>
      <c r="P3" s="130" t="s">
        <v>4</v>
      </c>
      <c r="Q3" s="131" t="s">
        <v>5</v>
      </c>
      <c r="R3" s="130" t="s">
        <v>4</v>
      </c>
      <c r="S3" s="131" t="s">
        <v>5</v>
      </c>
      <c r="T3" s="130" t="s">
        <v>4</v>
      </c>
      <c r="U3" s="131" t="s">
        <v>5</v>
      </c>
      <c r="V3" s="114" t="s">
        <v>4</v>
      </c>
      <c r="W3" s="115" t="s">
        <v>5</v>
      </c>
    </row>
    <row r="4" spans="1:23" ht="15">
      <c r="A4" s="181" t="s">
        <v>3</v>
      </c>
      <c r="B4" s="91" t="s">
        <v>33</v>
      </c>
      <c r="C4" s="102">
        <f>Cenik_komodit!D2</f>
        <v>9132.75</v>
      </c>
      <c r="D4" s="8">
        <v>55</v>
      </c>
      <c r="E4" s="9">
        <f aca="true" t="shared" si="0" ref="E4:E9">D4*$C4</f>
        <v>502301.25</v>
      </c>
      <c r="F4" s="14">
        <v>20</v>
      </c>
      <c r="G4" s="15">
        <f aca="true" t="shared" si="1" ref="G4:G9">F4*$C4</f>
        <v>182655</v>
      </c>
      <c r="H4" s="54">
        <v>15</v>
      </c>
      <c r="I4" s="55">
        <f aca="true" t="shared" si="2" ref="I4:I9">H4*$C4</f>
        <v>136991.25</v>
      </c>
      <c r="J4" s="60">
        <v>19</v>
      </c>
      <c r="K4" s="61">
        <f aca="true" t="shared" si="3" ref="K4:K9">J4*$C4</f>
        <v>173522.25</v>
      </c>
      <c r="L4" s="66">
        <v>15</v>
      </c>
      <c r="M4" s="17">
        <f aca="true" t="shared" si="4" ref="M4:M9">L4*$C4</f>
        <v>136991.25</v>
      </c>
      <c r="N4" s="132">
        <v>100</v>
      </c>
      <c r="O4" s="133">
        <f aca="true" t="shared" si="5" ref="O4:O9">N4*$C4</f>
        <v>913275</v>
      </c>
      <c r="P4" s="132">
        <v>90</v>
      </c>
      <c r="Q4" s="133">
        <f aca="true" t="shared" si="6" ref="Q4:Q9">P4*$C4</f>
        <v>821947.5</v>
      </c>
      <c r="R4" s="132">
        <v>70</v>
      </c>
      <c r="S4" s="133">
        <f aca="true" t="shared" si="7" ref="S4:S9">R4*$C4</f>
        <v>639292.5</v>
      </c>
      <c r="T4" s="132">
        <v>75</v>
      </c>
      <c r="U4" s="133">
        <f aca="true" t="shared" si="8" ref="U4:U9">T4*$C4</f>
        <v>684956.25</v>
      </c>
      <c r="V4" s="118"/>
      <c r="W4" s="119">
        <f aca="true" t="shared" si="9" ref="W4:W9">V4*$C4</f>
        <v>0</v>
      </c>
    </row>
    <row r="5" spans="1:23" ht="15">
      <c r="A5" s="179"/>
      <c r="B5" s="92" t="s">
        <v>34</v>
      </c>
      <c r="C5" s="99">
        <f>Cenik_komodit!D3</f>
        <v>13227.25</v>
      </c>
      <c r="D5" s="6">
        <v>35</v>
      </c>
      <c r="E5" s="53">
        <f t="shared" si="0"/>
        <v>462953.75</v>
      </c>
      <c r="F5" s="12">
        <v>10</v>
      </c>
      <c r="G5" s="13">
        <f t="shared" si="1"/>
        <v>132272.5</v>
      </c>
      <c r="H5" s="56">
        <v>3</v>
      </c>
      <c r="I5" s="57">
        <f t="shared" si="2"/>
        <v>39681.75</v>
      </c>
      <c r="J5" s="62">
        <v>5</v>
      </c>
      <c r="K5" s="63">
        <f t="shared" si="3"/>
        <v>66136.25</v>
      </c>
      <c r="L5" s="67">
        <v>3</v>
      </c>
      <c r="M5" s="16">
        <f t="shared" si="4"/>
        <v>39681.75</v>
      </c>
      <c r="N5" s="134">
        <v>30</v>
      </c>
      <c r="O5" s="135">
        <f t="shared" si="5"/>
        <v>396817.5</v>
      </c>
      <c r="P5" s="134">
        <v>20</v>
      </c>
      <c r="Q5" s="135">
        <f t="shared" si="6"/>
        <v>264545</v>
      </c>
      <c r="R5" s="134">
        <v>15</v>
      </c>
      <c r="S5" s="135">
        <f t="shared" si="7"/>
        <v>198408.75</v>
      </c>
      <c r="T5" s="134">
        <v>5</v>
      </c>
      <c r="U5" s="135">
        <f t="shared" si="8"/>
        <v>66136.25</v>
      </c>
      <c r="V5" s="116">
        <v>3</v>
      </c>
      <c r="W5" s="117">
        <f t="shared" si="9"/>
        <v>39681.75</v>
      </c>
    </row>
    <row r="6" spans="1:23" ht="15">
      <c r="A6" s="179"/>
      <c r="B6" s="92" t="s">
        <v>35</v>
      </c>
      <c r="C6" s="99">
        <f>Cenik_komodit!D4</f>
        <v>14852.25</v>
      </c>
      <c r="D6" s="6">
        <v>5</v>
      </c>
      <c r="E6" s="53">
        <f t="shared" si="0"/>
        <v>74261.25</v>
      </c>
      <c r="F6" s="12"/>
      <c r="G6" s="13">
        <f t="shared" si="1"/>
        <v>0</v>
      </c>
      <c r="H6" s="56">
        <v>2</v>
      </c>
      <c r="I6" s="57">
        <f t="shared" si="2"/>
        <v>29704.5</v>
      </c>
      <c r="J6" s="62"/>
      <c r="K6" s="63">
        <f t="shared" si="3"/>
        <v>0</v>
      </c>
      <c r="L6" s="67">
        <v>2</v>
      </c>
      <c r="M6" s="16">
        <f t="shared" si="4"/>
        <v>29704.5</v>
      </c>
      <c r="N6" s="134">
        <v>20</v>
      </c>
      <c r="O6" s="135">
        <f t="shared" si="5"/>
        <v>297045</v>
      </c>
      <c r="P6" s="134">
        <v>10</v>
      </c>
      <c r="Q6" s="135">
        <f t="shared" si="6"/>
        <v>148522.5</v>
      </c>
      <c r="R6" s="134">
        <v>10</v>
      </c>
      <c r="S6" s="135">
        <f t="shared" si="7"/>
        <v>148522.5</v>
      </c>
      <c r="T6" s="134"/>
      <c r="U6" s="135">
        <f t="shared" si="8"/>
        <v>0</v>
      </c>
      <c r="V6" s="116"/>
      <c r="W6" s="117">
        <f t="shared" si="9"/>
        <v>0</v>
      </c>
    </row>
    <row r="7" spans="1:23" ht="15">
      <c r="A7" s="179"/>
      <c r="B7" s="92" t="s">
        <v>36</v>
      </c>
      <c r="C7" s="99">
        <f>Cenik_komodit!D5</f>
        <v>31462.5</v>
      </c>
      <c r="D7" s="6">
        <v>5</v>
      </c>
      <c r="E7" s="53">
        <f t="shared" si="0"/>
        <v>157312.5</v>
      </c>
      <c r="F7" s="12"/>
      <c r="G7" s="13">
        <f t="shared" si="1"/>
        <v>0</v>
      </c>
      <c r="H7" s="56"/>
      <c r="I7" s="57">
        <f t="shared" si="2"/>
        <v>0</v>
      </c>
      <c r="J7" s="62"/>
      <c r="K7" s="63">
        <f t="shared" si="3"/>
        <v>0</v>
      </c>
      <c r="L7" s="67"/>
      <c r="M7" s="16">
        <f t="shared" si="4"/>
        <v>0</v>
      </c>
      <c r="N7" s="134"/>
      <c r="O7" s="135">
        <f t="shared" si="5"/>
        <v>0</v>
      </c>
      <c r="P7" s="134"/>
      <c r="Q7" s="135">
        <f t="shared" si="6"/>
        <v>0</v>
      </c>
      <c r="R7" s="134">
        <v>5</v>
      </c>
      <c r="S7" s="135">
        <f t="shared" si="7"/>
        <v>157312.5</v>
      </c>
      <c r="T7" s="134"/>
      <c r="U7" s="135">
        <f t="shared" si="8"/>
        <v>0</v>
      </c>
      <c r="V7" s="116"/>
      <c r="W7" s="117">
        <f t="shared" si="9"/>
        <v>0</v>
      </c>
    </row>
    <row r="8" spans="1:23" ht="15">
      <c r="A8" s="179"/>
      <c r="B8" s="92" t="s">
        <v>37</v>
      </c>
      <c r="C8" s="99">
        <f>Cenik_komodit!D6</f>
        <v>64158.149999999994</v>
      </c>
      <c r="D8" s="6">
        <v>2</v>
      </c>
      <c r="E8" s="53">
        <f t="shared" si="0"/>
        <v>128316.29999999999</v>
      </c>
      <c r="F8" s="12">
        <v>1</v>
      </c>
      <c r="G8" s="13">
        <f t="shared" si="1"/>
        <v>64158.149999999994</v>
      </c>
      <c r="H8" s="56">
        <v>1</v>
      </c>
      <c r="I8" s="57">
        <f t="shared" si="2"/>
        <v>64158.149999999994</v>
      </c>
      <c r="J8" s="62">
        <v>1</v>
      </c>
      <c r="K8" s="63">
        <f t="shared" si="3"/>
        <v>64158.149999999994</v>
      </c>
      <c r="L8" s="67">
        <v>1</v>
      </c>
      <c r="M8" s="16">
        <f t="shared" si="4"/>
        <v>64158.149999999994</v>
      </c>
      <c r="N8" s="134">
        <v>2</v>
      </c>
      <c r="O8" s="135">
        <f t="shared" si="5"/>
        <v>128316.29999999999</v>
      </c>
      <c r="P8" s="134">
        <v>2</v>
      </c>
      <c r="Q8" s="135">
        <f t="shared" si="6"/>
        <v>128316.29999999999</v>
      </c>
      <c r="R8" s="134">
        <v>2</v>
      </c>
      <c r="S8" s="135">
        <f t="shared" si="7"/>
        <v>128316.29999999999</v>
      </c>
      <c r="T8" s="134">
        <v>1</v>
      </c>
      <c r="U8" s="135">
        <f t="shared" si="8"/>
        <v>64158.149999999994</v>
      </c>
      <c r="V8" s="116"/>
      <c r="W8" s="117">
        <f t="shared" si="9"/>
        <v>0</v>
      </c>
    </row>
    <row r="9" spans="1:23" ht="15">
      <c r="A9" s="179"/>
      <c r="B9" s="92" t="s">
        <v>59</v>
      </c>
      <c r="C9" s="99">
        <f>Cenik_komodit!D7</f>
        <v>50156.049999999996</v>
      </c>
      <c r="D9" s="6">
        <v>3</v>
      </c>
      <c r="E9" s="53">
        <f t="shared" si="0"/>
        <v>150468.15</v>
      </c>
      <c r="F9" s="12">
        <v>1</v>
      </c>
      <c r="G9" s="13">
        <f t="shared" si="1"/>
        <v>50156.049999999996</v>
      </c>
      <c r="H9" s="56"/>
      <c r="I9" s="57">
        <f t="shared" si="2"/>
        <v>0</v>
      </c>
      <c r="J9" s="62"/>
      <c r="K9" s="63">
        <f t="shared" si="3"/>
        <v>0</v>
      </c>
      <c r="L9" s="67"/>
      <c r="M9" s="16">
        <f t="shared" si="4"/>
        <v>0</v>
      </c>
      <c r="N9" s="134">
        <v>5</v>
      </c>
      <c r="O9" s="135">
        <f t="shared" si="5"/>
        <v>250780.24999999997</v>
      </c>
      <c r="P9" s="134">
        <v>4</v>
      </c>
      <c r="Q9" s="135">
        <f t="shared" si="6"/>
        <v>200624.19999999998</v>
      </c>
      <c r="R9" s="134">
        <v>3</v>
      </c>
      <c r="S9" s="135">
        <f t="shared" si="7"/>
        <v>150468.15</v>
      </c>
      <c r="T9" s="134">
        <v>1</v>
      </c>
      <c r="U9" s="135">
        <f t="shared" si="8"/>
        <v>50156.049999999996</v>
      </c>
      <c r="V9" s="116"/>
      <c r="W9" s="117">
        <f t="shared" si="9"/>
        <v>0</v>
      </c>
    </row>
    <row r="10" spans="1:23" s="2" customFormat="1" ht="15.75" thickBot="1">
      <c r="A10" s="182"/>
      <c r="B10" s="93" t="s">
        <v>6</v>
      </c>
      <c r="C10" s="101"/>
      <c r="D10" s="32"/>
      <c r="E10" s="33">
        <f>SUM(E4:E9)</f>
        <v>1475613.2</v>
      </c>
      <c r="F10" s="34"/>
      <c r="G10" s="35">
        <f>SUM(G4:G9)</f>
        <v>429241.7</v>
      </c>
      <c r="H10" s="58"/>
      <c r="I10" s="59">
        <f>SUM(I4:I9)</f>
        <v>270535.65</v>
      </c>
      <c r="J10" s="64"/>
      <c r="K10" s="65">
        <f>SUM(K4:K9)</f>
        <v>303816.65</v>
      </c>
      <c r="L10" s="68"/>
      <c r="M10" s="38">
        <f>SUM(M4:M9)</f>
        <v>270535.65</v>
      </c>
      <c r="N10" s="136"/>
      <c r="O10" s="137">
        <f>SUM(O4:O9)</f>
        <v>1986234.05</v>
      </c>
      <c r="P10" s="136"/>
      <c r="Q10" s="137">
        <f>SUM(Q4:Q9)</f>
        <v>1563955.5</v>
      </c>
      <c r="R10" s="136"/>
      <c r="S10" s="137">
        <f>SUM(S4:S9)</f>
        <v>1422320.7</v>
      </c>
      <c r="T10" s="136"/>
      <c r="U10" s="137">
        <f>SUM(U4:U9)</f>
        <v>865406.7000000001</v>
      </c>
      <c r="V10" s="122"/>
      <c r="W10" s="123">
        <f>SUM(W4:W9)</f>
        <v>39681.75</v>
      </c>
    </row>
    <row r="11" spans="1:23" ht="15">
      <c r="A11" s="176" t="s">
        <v>8</v>
      </c>
      <c r="B11" s="95" t="s">
        <v>64</v>
      </c>
      <c r="C11" s="99">
        <f>Cenik_komodit!D8</f>
        <v>195375.59999999998</v>
      </c>
      <c r="D11" s="6">
        <v>2</v>
      </c>
      <c r="E11" s="7">
        <f aca="true" t="shared" si="10" ref="E11:E16">D11*$C11</f>
        <v>390751.19999999995</v>
      </c>
      <c r="F11" s="12">
        <v>1</v>
      </c>
      <c r="G11" s="13">
        <f aca="true" t="shared" si="11" ref="G11:G16">F11*$C11</f>
        <v>195375.59999999998</v>
      </c>
      <c r="H11" s="54"/>
      <c r="I11" s="55">
        <f aca="true" t="shared" si="12" ref="I11:I16">H11*$C11</f>
        <v>0</v>
      </c>
      <c r="J11" s="18">
        <v>2</v>
      </c>
      <c r="K11" s="19">
        <f aca="true" t="shared" si="13" ref="K11:K16">J11*$C11</f>
        <v>390751.19999999995</v>
      </c>
      <c r="L11" s="66">
        <v>0</v>
      </c>
      <c r="M11" s="17">
        <f aca="true" t="shared" si="14" ref="M11:M16">L11*$C11</f>
        <v>0</v>
      </c>
      <c r="N11" s="134"/>
      <c r="O11" s="135">
        <f aca="true" t="shared" si="15" ref="O11:O16">N11*$C11</f>
        <v>0</v>
      </c>
      <c r="P11" s="134"/>
      <c r="Q11" s="135">
        <f aca="true" t="shared" si="16" ref="Q11:Q16">P11*$C11</f>
        <v>0</v>
      </c>
      <c r="R11" s="132"/>
      <c r="S11" s="133">
        <f aca="true" t="shared" si="17" ref="S11:S16">R11*$C11</f>
        <v>0</v>
      </c>
      <c r="T11" s="138"/>
      <c r="U11" s="139">
        <f aca="true" t="shared" si="18" ref="U11:U16">T11*$C11</f>
        <v>0</v>
      </c>
      <c r="V11" s="116"/>
      <c r="W11" s="117">
        <f aca="true" t="shared" si="19" ref="W11:W16">V11*$C11</f>
        <v>0</v>
      </c>
    </row>
    <row r="12" spans="1:23" ht="15">
      <c r="A12" s="177"/>
      <c r="B12" s="92" t="s">
        <v>65</v>
      </c>
      <c r="C12" s="99">
        <f>Cenik_komodit!D9</f>
        <v>30419.999999999996</v>
      </c>
      <c r="D12" s="6"/>
      <c r="E12" s="7">
        <f t="shared" si="10"/>
        <v>0</v>
      </c>
      <c r="F12" s="12">
        <v>7</v>
      </c>
      <c r="G12" s="13">
        <f t="shared" si="11"/>
        <v>212939.99999999997</v>
      </c>
      <c r="H12" s="56"/>
      <c r="I12" s="57">
        <f t="shared" si="12"/>
        <v>0</v>
      </c>
      <c r="J12" s="18"/>
      <c r="K12" s="19">
        <f t="shared" si="13"/>
        <v>0</v>
      </c>
      <c r="L12" s="67"/>
      <c r="M12" s="16">
        <f t="shared" si="14"/>
        <v>0</v>
      </c>
      <c r="N12" s="134"/>
      <c r="O12" s="135">
        <f t="shared" si="15"/>
        <v>0</v>
      </c>
      <c r="P12" s="134"/>
      <c r="Q12" s="135">
        <f t="shared" si="16"/>
        <v>0</v>
      </c>
      <c r="R12" s="134"/>
      <c r="S12" s="135">
        <f t="shared" si="17"/>
        <v>0</v>
      </c>
      <c r="T12" s="138"/>
      <c r="U12" s="139">
        <f t="shared" si="18"/>
        <v>0</v>
      </c>
      <c r="V12" s="116">
        <v>2</v>
      </c>
      <c r="W12" s="117">
        <f t="shared" si="19"/>
        <v>60839.99999999999</v>
      </c>
    </row>
    <row r="13" spans="1:23" ht="15">
      <c r="A13" s="177"/>
      <c r="B13" s="92" t="s">
        <v>66</v>
      </c>
      <c r="C13" s="99">
        <f>Cenik_komodit!D10</f>
        <v>44460</v>
      </c>
      <c r="D13" s="6"/>
      <c r="E13" s="7">
        <f t="shared" si="10"/>
        <v>0</v>
      </c>
      <c r="F13" s="12">
        <v>4</v>
      </c>
      <c r="G13" s="13">
        <f t="shared" si="11"/>
        <v>177840</v>
      </c>
      <c r="H13" s="56"/>
      <c r="I13" s="57">
        <f t="shared" si="12"/>
        <v>0</v>
      </c>
      <c r="J13" s="18">
        <v>8</v>
      </c>
      <c r="K13" s="19">
        <f t="shared" si="13"/>
        <v>355680</v>
      </c>
      <c r="L13" s="67">
        <v>1</v>
      </c>
      <c r="M13" s="16">
        <f t="shared" si="14"/>
        <v>44460</v>
      </c>
      <c r="N13" s="134">
        <v>4</v>
      </c>
      <c r="O13" s="135">
        <f t="shared" si="15"/>
        <v>177840</v>
      </c>
      <c r="P13" s="140">
        <v>5</v>
      </c>
      <c r="Q13" s="135">
        <f t="shared" si="16"/>
        <v>222300</v>
      </c>
      <c r="R13" s="134"/>
      <c r="S13" s="135">
        <f t="shared" si="17"/>
        <v>0</v>
      </c>
      <c r="T13" s="138"/>
      <c r="U13" s="139">
        <f t="shared" si="18"/>
        <v>0</v>
      </c>
      <c r="V13" s="116"/>
      <c r="W13" s="117">
        <f t="shared" si="19"/>
        <v>0</v>
      </c>
    </row>
    <row r="14" spans="1:23" ht="15">
      <c r="A14" s="177"/>
      <c r="B14" s="92" t="s">
        <v>69</v>
      </c>
      <c r="C14" s="99">
        <f>Cenik_komodit!D11</f>
        <v>35880</v>
      </c>
      <c r="D14" s="6"/>
      <c r="E14" s="7">
        <f t="shared" si="10"/>
        <v>0</v>
      </c>
      <c r="F14" s="12"/>
      <c r="G14" s="13">
        <f t="shared" si="11"/>
        <v>0</v>
      </c>
      <c r="H14" s="56">
        <v>5</v>
      </c>
      <c r="I14" s="57">
        <f t="shared" si="12"/>
        <v>179400</v>
      </c>
      <c r="J14" s="18"/>
      <c r="K14" s="19">
        <f t="shared" si="13"/>
        <v>0</v>
      </c>
      <c r="L14" s="67"/>
      <c r="M14" s="16">
        <f t="shared" si="14"/>
        <v>0</v>
      </c>
      <c r="N14" s="134"/>
      <c r="O14" s="135">
        <f t="shared" si="15"/>
        <v>0</v>
      </c>
      <c r="P14" s="134"/>
      <c r="Q14" s="135">
        <f t="shared" si="16"/>
        <v>0</v>
      </c>
      <c r="R14" s="134">
        <v>8</v>
      </c>
      <c r="S14" s="135">
        <f t="shared" si="17"/>
        <v>287040</v>
      </c>
      <c r="T14" s="138"/>
      <c r="U14" s="139">
        <f t="shared" si="18"/>
        <v>0</v>
      </c>
      <c r="V14" s="116">
        <v>1</v>
      </c>
      <c r="W14" s="117">
        <f t="shared" si="19"/>
        <v>35880</v>
      </c>
    </row>
    <row r="15" spans="1:23" ht="15">
      <c r="A15" s="177"/>
      <c r="B15" s="92" t="s">
        <v>70</v>
      </c>
      <c r="C15" s="99">
        <f>Cenik_komodit!D12</f>
        <v>44460</v>
      </c>
      <c r="D15" s="6">
        <v>4</v>
      </c>
      <c r="E15" s="7">
        <f t="shared" si="10"/>
        <v>177840</v>
      </c>
      <c r="F15" s="12">
        <v>1</v>
      </c>
      <c r="G15" s="13">
        <f t="shared" si="11"/>
        <v>44460</v>
      </c>
      <c r="H15" s="56"/>
      <c r="I15" s="57">
        <f t="shared" si="12"/>
        <v>0</v>
      </c>
      <c r="J15" s="18"/>
      <c r="K15" s="19">
        <f t="shared" si="13"/>
        <v>0</v>
      </c>
      <c r="L15" s="67">
        <v>1</v>
      </c>
      <c r="M15" s="16">
        <f t="shared" si="14"/>
        <v>44460</v>
      </c>
      <c r="N15" s="134">
        <v>4</v>
      </c>
      <c r="O15" s="135">
        <f t="shared" si="15"/>
        <v>177840</v>
      </c>
      <c r="P15" s="134">
        <v>3</v>
      </c>
      <c r="Q15" s="135">
        <f t="shared" si="16"/>
        <v>133380</v>
      </c>
      <c r="R15" s="134">
        <v>3</v>
      </c>
      <c r="S15" s="135">
        <f t="shared" si="17"/>
        <v>133380</v>
      </c>
      <c r="T15" s="138">
        <v>3</v>
      </c>
      <c r="U15" s="139">
        <f t="shared" si="18"/>
        <v>133380</v>
      </c>
      <c r="V15" s="116"/>
      <c r="W15" s="117">
        <f t="shared" si="19"/>
        <v>0</v>
      </c>
    </row>
    <row r="16" spans="1:23" ht="15">
      <c r="A16" s="177"/>
      <c r="B16" s="92" t="s">
        <v>71</v>
      </c>
      <c r="C16" s="99">
        <f>Cenik_komodit!D13</f>
        <v>14950</v>
      </c>
      <c r="D16" s="6"/>
      <c r="E16" s="7">
        <f t="shared" si="10"/>
        <v>0</v>
      </c>
      <c r="F16" s="12"/>
      <c r="G16" s="13">
        <f t="shared" si="11"/>
        <v>0</v>
      </c>
      <c r="H16" s="56"/>
      <c r="I16" s="57">
        <f t="shared" si="12"/>
        <v>0</v>
      </c>
      <c r="J16" s="18"/>
      <c r="K16" s="19">
        <f t="shared" si="13"/>
        <v>0</v>
      </c>
      <c r="L16" s="67">
        <v>12</v>
      </c>
      <c r="M16" s="16">
        <f t="shared" si="14"/>
        <v>179400</v>
      </c>
      <c r="N16" s="134"/>
      <c r="O16" s="135">
        <f t="shared" si="15"/>
        <v>0</v>
      </c>
      <c r="P16" s="134"/>
      <c r="Q16" s="135">
        <f t="shared" si="16"/>
        <v>0</v>
      </c>
      <c r="R16" s="134"/>
      <c r="S16" s="135">
        <f t="shared" si="17"/>
        <v>0</v>
      </c>
      <c r="T16" s="138">
        <v>5</v>
      </c>
      <c r="U16" s="139">
        <f t="shared" si="18"/>
        <v>74750</v>
      </c>
      <c r="V16" s="116"/>
      <c r="W16" s="117">
        <f t="shared" si="19"/>
        <v>0</v>
      </c>
    </row>
    <row r="17" spans="1:23" s="2" customFormat="1" ht="15.75" thickBot="1">
      <c r="A17" s="177"/>
      <c r="B17" s="94" t="s">
        <v>9</v>
      </c>
      <c r="C17" s="100"/>
      <c r="D17" s="4"/>
      <c r="E17" s="26">
        <f>SUM(E11:E16)</f>
        <v>568591.2</v>
      </c>
      <c r="F17" s="10"/>
      <c r="G17" s="27">
        <f>SUM(G11:G16)</f>
        <v>630615.6</v>
      </c>
      <c r="H17" s="58"/>
      <c r="I17" s="59">
        <f>SUM(I11:I16)</f>
        <v>179400</v>
      </c>
      <c r="J17" s="30"/>
      <c r="K17" s="31">
        <f>SUM(K11:K16)</f>
        <v>746431.2</v>
      </c>
      <c r="L17" s="68"/>
      <c r="M17" s="38">
        <f>SUM(M11:M16)</f>
        <v>268320</v>
      </c>
      <c r="N17" s="130"/>
      <c r="O17" s="141">
        <f>SUM(O11:O16)</f>
        <v>355680</v>
      </c>
      <c r="P17" s="130"/>
      <c r="Q17" s="141">
        <f>SUM(Q11:Q16)</f>
        <v>355680</v>
      </c>
      <c r="R17" s="136"/>
      <c r="S17" s="137">
        <f>SUM(S11:S16)</f>
        <v>420420</v>
      </c>
      <c r="T17" s="142"/>
      <c r="U17" s="143">
        <f>SUM(U11:U16)</f>
        <v>208130</v>
      </c>
      <c r="V17" s="122"/>
      <c r="W17" s="121">
        <f>SUM(W11:W16)</f>
        <v>96720</v>
      </c>
    </row>
    <row r="18" spans="1:23" ht="15">
      <c r="A18" s="178" t="s">
        <v>10</v>
      </c>
      <c r="B18" s="92" t="s">
        <v>88</v>
      </c>
      <c r="C18" s="102">
        <f>Cenik_komodit!D19</f>
        <v>75823.2</v>
      </c>
      <c r="D18" s="8"/>
      <c r="E18" s="9">
        <f aca="true" t="shared" si="20" ref="E18:E23">D18*$C18</f>
        <v>0</v>
      </c>
      <c r="F18" s="14"/>
      <c r="G18" s="15">
        <f aca="true" t="shared" si="21" ref="G18:G23">F18*$C18</f>
        <v>0</v>
      </c>
      <c r="H18" s="54"/>
      <c r="I18" s="55">
        <f aca="true" t="shared" si="22" ref="I18:I23">H18*$C18</f>
        <v>0</v>
      </c>
      <c r="J18" s="20"/>
      <c r="K18" s="21">
        <f aca="true" t="shared" si="23" ref="K18:K23">J18*$C18</f>
        <v>0</v>
      </c>
      <c r="L18" s="66"/>
      <c r="M18" s="17">
        <f aca="true" t="shared" si="24" ref="M18:M23">L18*$C18</f>
        <v>0</v>
      </c>
      <c r="N18" s="132"/>
      <c r="O18" s="133">
        <f aca="true" t="shared" si="25" ref="O18:O23">N18*$C18</f>
        <v>0</v>
      </c>
      <c r="P18" s="132"/>
      <c r="Q18" s="133">
        <f aca="true" t="shared" si="26" ref="Q18:Q23">P18*$C18</f>
        <v>0</v>
      </c>
      <c r="R18" s="132"/>
      <c r="S18" s="133">
        <f aca="true" t="shared" si="27" ref="S18:S23">R18*$C18</f>
        <v>0</v>
      </c>
      <c r="T18" s="144"/>
      <c r="U18" s="145">
        <f aca="true" t="shared" si="28" ref="U18:U23">T18*$C18</f>
        <v>0</v>
      </c>
      <c r="V18" s="116"/>
      <c r="W18" s="119">
        <f aca="true" t="shared" si="29" ref="W18:W23">V18*$C18</f>
        <v>0</v>
      </c>
    </row>
    <row r="19" spans="1:23" ht="15">
      <c r="A19" s="179"/>
      <c r="B19" s="92" t="s">
        <v>92</v>
      </c>
      <c r="C19" s="99">
        <f>Cenik_komodit!D20</f>
        <v>61782.6</v>
      </c>
      <c r="D19" s="6"/>
      <c r="E19" s="7">
        <f t="shared" si="20"/>
        <v>0</v>
      </c>
      <c r="F19" s="12"/>
      <c r="G19" s="13">
        <f t="shared" si="21"/>
        <v>0</v>
      </c>
      <c r="H19" s="56"/>
      <c r="I19" s="57">
        <f t="shared" si="22"/>
        <v>0</v>
      </c>
      <c r="J19" s="18"/>
      <c r="K19" s="19">
        <f t="shared" si="23"/>
        <v>0</v>
      </c>
      <c r="L19" s="67"/>
      <c r="M19" s="16">
        <f t="shared" si="24"/>
        <v>0</v>
      </c>
      <c r="N19" s="134"/>
      <c r="O19" s="135">
        <f t="shared" si="25"/>
        <v>0</v>
      </c>
      <c r="P19" s="134"/>
      <c r="Q19" s="135">
        <f t="shared" si="26"/>
        <v>0</v>
      </c>
      <c r="R19" s="134"/>
      <c r="S19" s="135">
        <f t="shared" si="27"/>
        <v>0</v>
      </c>
      <c r="T19" s="138"/>
      <c r="U19" s="139">
        <f t="shared" si="28"/>
        <v>0</v>
      </c>
      <c r="V19" s="116"/>
      <c r="W19" s="117">
        <f t="shared" si="29"/>
        <v>0</v>
      </c>
    </row>
    <row r="20" spans="1:23" ht="15">
      <c r="A20" s="179"/>
      <c r="B20" s="92" t="s">
        <v>89</v>
      </c>
      <c r="C20" s="99">
        <f>Cenik_komodit!D21</f>
        <v>157933.8</v>
      </c>
      <c r="D20" s="6"/>
      <c r="E20" s="7">
        <f t="shared" si="20"/>
        <v>0</v>
      </c>
      <c r="F20" s="12"/>
      <c r="G20" s="13">
        <f t="shared" si="21"/>
        <v>0</v>
      </c>
      <c r="H20" s="56"/>
      <c r="I20" s="57">
        <f t="shared" si="22"/>
        <v>0</v>
      </c>
      <c r="J20" s="18"/>
      <c r="K20" s="19">
        <f t="shared" si="23"/>
        <v>0</v>
      </c>
      <c r="L20" s="67">
        <v>1</v>
      </c>
      <c r="M20" s="16">
        <f t="shared" si="24"/>
        <v>157933.8</v>
      </c>
      <c r="N20" s="134"/>
      <c r="O20" s="135">
        <f t="shared" si="25"/>
        <v>0</v>
      </c>
      <c r="P20" s="134"/>
      <c r="Q20" s="135">
        <f t="shared" si="26"/>
        <v>0</v>
      </c>
      <c r="R20" s="134"/>
      <c r="S20" s="135">
        <f t="shared" si="27"/>
        <v>0</v>
      </c>
      <c r="T20" s="138">
        <v>1</v>
      </c>
      <c r="U20" s="139">
        <f t="shared" si="28"/>
        <v>157933.8</v>
      </c>
      <c r="V20" s="116">
        <v>1</v>
      </c>
      <c r="W20" s="117">
        <f t="shared" si="29"/>
        <v>157933.8</v>
      </c>
    </row>
    <row r="21" spans="1:23" ht="15">
      <c r="A21" s="179"/>
      <c r="B21" s="92" t="s">
        <v>93</v>
      </c>
      <c r="C21" s="99">
        <f>Cenik_komodit!D22</f>
        <v>111223.2</v>
      </c>
      <c r="D21" s="6"/>
      <c r="E21" s="7">
        <f t="shared" si="20"/>
        <v>0</v>
      </c>
      <c r="F21" s="12"/>
      <c r="G21" s="13">
        <f t="shared" si="21"/>
        <v>0</v>
      </c>
      <c r="H21" s="56">
        <v>1</v>
      </c>
      <c r="I21" s="57">
        <f t="shared" si="22"/>
        <v>111223.2</v>
      </c>
      <c r="J21" s="18"/>
      <c r="K21" s="19">
        <f t="shared" si="23"/>
        <v>0</v>
      </c>
      <c r="L21" s="67"/>
      <c r="M21" s="16">
        <f t="shared" si="24"/>
        <v>0</v>
      </c>
      <c r="N21" s="134"/>
      <c r="O21" s="135">
        <f t="shared" si="25"/>
        <v>0</v>
      </c>
      <c r="P21" s="134"/>
      <c r="Q21" s="135">
        <f t="shared" si="26"/>
        <v>0</v>
      </c>
      <c r="R21" s="134"/>
      <c r="S21" s="135">
        <f t="shared" si="27"/>
        <v>0</v>
      </c>
      <c r="T21" s="138"/>
      <c r="U21" s="139">
        <f t="shared" si="28"/>
        <v>0</v>
      </c>
      <c r="V21" s="116"/>
      <c r="W21" s="117">
        <f t="shared" si="29"/>
        <v>0</v>
      </c>
    </row>
    <row r="22" spans="1:23" ht="15">
      <c r="A22" s="179"/>
      <c r="B22" s="92" t="s">
        <v>90</v>
      </c>
      <c r="C22" s="99">
        <f>Cenik_komodit!D23</f>
        <v>387640.2</v>
      </c>
      <c r="D22" s="6">
        <v>1</v>
      </c>
      <c r="E22" s="7">
        <f t="shared" si="20"/>
        <v>387640.2</v>
      </c>
      <c r="F22" s="12"/>
      <c r="G22" s="13">
        <f t="shared" si="21"/>
        <v>0</v>
      </c>
      <c r="H22" s="56"/>
      <c r="I22" s="57">
        <f t="shared" si="22"/>
        <v>0</v>
      </c>
      <c r="J22" s="18"/>
      <c r="K22" s="19">
        <f t="shared" si="23"/>
        <v>0</v>
      </c>
      <c r="L22" s="67"/>
      <c r="M22" s="16">
        <f t="shared" si="24"/>
        <v>0</v>
      </c>
      <c r="N22" s="134">
        <v>1</v>
      </c>
      <c r="O22" s="135">
        <f t="shared" si="25"/>
        <v>387640.2</v>
      </c>
      <c r="P22" s="134">
        <v>1</v>
      </c>
      <c r="Q22" s="135">
        <f t="shared" si="26"/>
        <v>387640.2</v>
      </c>
      <c r="R22" s="134">
        <v>1</v>
      </c>
      <c r="S22" s="135">
        <f t="shared" si="27"/>
        <v>387640.2</v>
      </c>
      <c r="T22" s="138"/>
      <c r="U22" s="139">
        <f t="shared" si="28"/>
        <v>0</v>
      </c>
      <c r="V22" s="116"/>
      <c r="W22" s="117">
        <f t="shared" si="29"/>
        <v>0</v>
      </c>
    </row>
    <row r="23" spans="1:23" ht="15">
      <c r="A23" s="179"/>
      <c r="B23" s="92" t="s">
        <v>94</v>
      </c>
      <c r="C23" s="99">
        <f>Cenik_komodit!D24</f>
        <v>295917.6</v>
      </c>
      <c r="D23" s="6"/>
      <c r="E23" s="7">
        <f t="shared" si="20"/>
        <v>0</v>
      </c>
      <c r="F23" s="12">
        <v>1</v>
      </c>
      <c r="G23" s="13">
        <f t="shared" si="21"/>
        <v>295917.6</v>
      </c>
      <c r="H23" s="56"/>
      <c r="I23" s="57">
        <f t="shared" si="22"/>
        <v>0</v>
      </c>
      <c r="J23" s="18"/>
      <c r="K23" s="19">
        <f t="shared" si="23"/>
        <v>0</v>
      </c>
      <c r="L23" s="67"/>
      <c r="M23" s="16">
        <f t="shared" si="24"/>
        <v>0</v>
      </c>
      <c r="N23" s="134"/>
      <c r="O23" s="135">
        <f t="shared" si="25"/>
        <v>0</v>
      </c>
      <c r="P23" s="134"/>
      <c r="Q23" s="135">
        <f t="shared" si="26"/>
        <v>0</v>
      </c>
      <c r="R23" s="134"/>
      <c r="S23" s="135">
        <f t="shared" si="27"/>
        <v>0</v>
      </c>
      <c r="T23" s="138"/>
      <c r="U23" s="139">
        <f t="shared" si="28"/>
        <v>0</v>
      </c>
      <c r="V23" s="116"/>
      <c r="W23" s="117">
        <f t="shared" si="29"/>
        <v>0</v>
      </c>
    </row>
    <row r="24" spans="1:23" s="2" customFormat="1" ht="15.75" thickBot="1">
      <c r="A24" s="180"/>
      <c r="B24" s="94" t="s">
        <v>12</v>
      </c>
      <c r="C24" s="101"/>
      <c r="D24" s="32"/>
      <c r="E24" s="33">
        <f>SUM(E18:E22)</f>
        <v>387640.2</v>
      </c>
      <c r="F24" s="34"/>
      <c r="G24" s="35">
        <f>SUM(G18:G23)</f>
        <v>295917.6</v>
      </c>
      <c r="H24" s="58"/>
      <c r="I24" s="59">
        <f>SUM(I18:I23)</f>
        <v>111223.2</v>
      </c>
      <c r="J24" s="36"/>
      <c r="K24" s="37">
        <f>SUM(K18:K23)</f>
        <v>0</v>
      </c>
      <c r="L24" s="68"/>
      <c r="M24" s="38">
        <f>SUM(M18:M23)</f>
        <v>157933.8</v>
      </c>
      <c r="N24" s="136"/>
      <c r="O24" s="137">
        <f>SUM(O18:O23)</f>
        <v>387640.2</v>
      </c>
      <c r="P24" s="136"/>
      <c r="Q24" s="137">
        <f>SUM(Q18:Q23)</f>
        <v>387640.2</v>
      </c>
      <c r="R24" s="136"/>
      <c r="S24" s="137">
        <f>SUM(S18:S23)</f>
        <v>387640.2</v>
      </c>
      <c r="T24" s="146"/>
      <c r="U24" s="147">
        <f>SUM(U18:U23)</f>
        <v>157933.8</v>
      </c>
      <c r="V24" s="114"/>
      <c r="W24" s="123">
        <f>SUM(W18:W23)</f>
        <v>157933.8</v>
      </c>
    </row>
    <row r="25" spans="1:23" ht="15">
      <c r="A25" s="178" t="s">
        <v>11</v>
      </c>
      <c r="B25" s="95" t="s">
        <v>13</v>
      </c>
      <c r="C25" s="102">
        <f>Cenik_komodit!D25</f>
        <v>450000</v>
      </c>
      <c r="D25" s="8">
        <v>1</v>
      </c>
      <c r="E25" s="9">
        <f>D25*$C25</f>
        <v>450000</v>
      </c>
      <c r="F25" s="14"/>
      <c r="G25" s="15">
        <f>F25*$C25</f>
        <v>0</v>
      </c>
      <c r="H25" s="54">
        <v>1</v>
      </c>
      <c r="I25" s="55">
        <f>H25*$C25</f>
        <v>450000</v>
      </c>
      <c r="J25" s="20"/>
      <c r="K25" s="21">
        <f>J25*$C25</f>
        <v>0</v>
      </c>
      <c r="L25" s="66">
        <v>1</v>
      </c>
      <c r="M25" s="17">
        <f>L25*$C25</f>
        <v>450000</v>
      </c>
      <c r="N25" s="132">
        <v>1</v>
      </c>
      <c r="O25" s="133">
        <f>N25*$C25</f>
        <v>450000</v>
      </c>
      <c r="P25" s="132">
        <v>1</v>
      </c>
      <c r="Q25" s="133">
        <f>P25*$C25</f>
        <v>450000</v>
      </c>
      <c r="R25" s="132">
        <v>1</v>
      </c>
      <c r="S25" s="133">
        <f>R25*$C25</f>
        <v>450000</v>
      </c>
      <c r="T25" s="144">
        <v>1</v>
      </c>
      <c r="U25" s="145">
        <f>T25*$C25</f>
        <v>450000</v>
      </c>
      <c r="V25" s="118"/>
      <c r="W25" s="119">
        <f>V25*$C25</f>
        <v>0</v>
      </c>
    </row>
    <row r="26" spans="1:23" ht="15">
      <c r="A26" s="179"/>
      <c r="B26" s="92" t="s">
        <v>15</v>
      </c>
      <c r="C26" s="99">
        <v>0</v>
      </c>
      <c r="D26" s="6"/>
      <c r="E26" s="7">
        <f>D26*$C26</f>
        <v>0</v>
      </c>
      <c r="F26" s="12"/>
      <c r="G26" s="13">
        <f>F26*$C26</f>
        <v>0</v>
      </c>
      <c r="H26" s="56"/>
      <c r="I26" s="57">
        <f>H26*$C26</f>
        <v>0</v>
      </c>
      <c r="J26" s="18"/>
      <c r="K26" s="19">
        <f>J26*$C26</f>
        <v>0</v>
      </c>
      <c r="L26" s="67"/>
      <c r="M26" s="16">
        <f>L26*$C26</f>
        <v>0</v>
      </c>
      <c r="N26" s="134"/>
      <c r="O26" s="135">
        <f>N26*$C26</f>
        <v>0</v>
      </c>
      <c r="P26" s="134"/>
      <c r="Q26" s="135">
        <f>P26*$C26</f>
        <v>0</v>
      </c>
      <c r="R26" s="134"/>
      <c r="S26" s="135">
        <f>R26*$C26</f>
        <v>0</v>
      </c>
      <c r="T26" s="138"/>
      <c r="U26" s="139">
        <f>T26*$C26</f>
        <v>0</v>
      </c>
      <c r="V26" s="116"/>
      <c r="W26" s="117">
        <f>V26*$C26</f>
        <v>0</v>
      </c>
    </row>
    <row r="27" spans="1:23" ht="15">
      <c r="A27" s="179"/>
      <c r="B27" s="92" t="s">
        <v>14</v>
      </c>
      <c r="C27" s="99">
        <v>0</v>
      </c>
      <c r="D27" s="6"/>
      <c r="E27" s="7">
        <f>D27*$C27</f>
        <v>0</v>
      </c>
      <c r="F27" s="12"/>
      <c r="G27" s="13">
        <f>F27*$C27</f>
        <v>0</v>
      </c>
      <c r="H27" s="56"/>
      <c r="I27" s="57">
        <f>H27*$C27</f>
        <v>0</v>
      </c>
      <c r="J27" s="18"/>
      <c r="K27" s="19">
        <f>J27*$C27</f>
        <v>0</v>
      </c>
      <c r="L27" s="67"/>
      <c r="M27" s="16">
        <f>L27*$C27</f>
        <v>0</v>
      </c>
      <c r="N27" s="134"/>
      <c r="O27" s="135">
        <f>N27*$C27</f>
        <v>0</v>
      </c>
      <c r="P27" s="134"/>
      <c r="Q27" s="135">
        <f>P27*$C27</f>
        <v>0</v>
      </c>
      <c r="R27" s="134"/>
      <c r="S27" s="135">
        <f>R27*$C27</f>
        <v>0</v>
      </c>
      <c r="T27" s="138"/>
      <c r="U27" s="139">
        <f>T27*$C27</f>
        <v>0</v>
      </c>
      <c r="V27" s="116"/>
      <c r="W27" s="117">
        <f>V27*$C27</f>
        <v>0</v>
      </c>
    </row>
    <row r="28" spans="1:23" ht="15">
      <c r="A28" s="179"/>
      <c r="B28" s="92" t="s">
        <v>16</v>
      </c>
      <c r="C28" s="99">
        <v>0</v>
      </c>
      <c r="D28" s="6"/>
      <c r="E28" s="7">
        <f>D28*$C28</f>
        <v>0</v>
      </c>
      <c r="F28" s="12"/>
      <c r="G28" s="13">
        <f>F28*$C28</f>
        <v>0</v>
      </c>
      <c r="H28" s="56"/>
      <c r="I28" s="57">
        <f>H28*$C28</f>
        <v>0</v>
      </c>
      <c r="J28" s="18"/>
      <c r="K28" s="19">
        <f>J28*$C28</f>
        <v>0</v>
      </c>
      <c r="L28" s="67"/>
      <c r="M28" s="16">
        <f>L28*$C28</f>
        <v>0</v>
      </c>
      <c r="N28" s="134"/>
      <c r="O28" s="135">
        <f>N28*$C28</f>
        <v>0</v>
      </c>
      <c r="P28" s="134"/>
      <c r="Q28" s="135">
        <f>P28*$C28</f>
        <v>0</v>
      </c>
      <c r="R28" s="134"/>
      <c r="S28" s="135">
        <f>R28*$C28</f>
        <v>0</v>
      </c>
      <c r="T28" s="138"/>
      <c r="U28" s="139">
        <f>T28*$C28</f>
        <v>0</v>
      </c>
      <c r="V28" s="116"/>
      <c r="W28" s="117">
        <f>V28*$C28</f>
        <v>0</v>
      </c>
    </row>
    <row r="29" spans="1:23" s="2" customFormat="1" ht="15.75" thickBot="1">
      <c r="A29" s="180"/>
      <c r="B29" s="94" t="s">
        <v>17</v>
      </c>
      <c r="C29" s="101"/>
      <c r="D29" s="32"/>
      <c r="E29" s="33">
        <f>SUM(E25:E28)</f>
        <v>450000</v>
      </c>
      <c r="F29" s="34"/>
      <c r="G29" s="35">
        <f>SUM(G25:G28)</f>
        <v>0</v>
      </c>
      <c r="H29" s="58"/>
      <c r="I29" s="59">
        <f>SUM(I25:I28)</f>
        <v>450000</v>
      </c>
      <c r="J29" s="36"/>
      <c r="K29" s="37">
        <f>SUM(K25:K28)</f>
        <v>0</v>
      </c>
      <c r="L29" s="68"/>
      <c r="M29" s="38">
        <f>SUM(M25:M28)</f>
        <v>450000</v>
      </c>
      <c r="N29" s="136"/>
      <c r="O29" s="137">
        <f>SUM(O25:O28)</f>
        <v>450000</v>
      </c>
      <c r="P29" s="136"/>
      <c r="Q29" s="137">
        <f>SUM(Q25:Q28)</f>
        <v>450000</v>
      </c>
      <c r="R29" s="136"/>
      <c r="S29" s="137">
        <f>SUM(S25:S28)</f>
        <v>450000</v>
      </c>
      <c r="T29" s="146"/>
      <c r="U29" s="147">
        <f>SUM(U25:U28)</f>
        <v>450000</v>
      </c>
      <c r="V29" s="122"/>
      <c r="W29" s="123">
        <f>SUM(W25:W28)</f>
        <v>0</v>
      </c>
    </row>
    <row r="30" spans="1:23" ht="15">
      <c r="A30" s="172" t="s">
        <v>24</v>
      </c>
      <c r="B30" s="95" t="s">
        <v>25</v>
      </c>
      <c r="C30" s="102">
        <f>Cenik_komodit!D26</f>
        <v>117000</v>
      </c>
      <c r="D30" s="8"/>
      <c r="E30" s="9">
        <f aca="true" t="shared" si="30" ref="E30:E35">D30*$C30</f>
        <v>0</v>
      </c>
      <c r="F30" s="14"/>
      <c r="G30" s="15">
        <f aca="true" t="shared" si="31" ref="G30:G35">F30*$C30</f>
        <v>0</v>
      </c>
      <c r="H30" s="54"/>
      <c r="I30" s="55">
        <f aca="true" t="shared" si="32" ref="I30:I35">H30*$C30</f>
        <v>0</v>
      </c>
      <c r="J30" s="20"/>
      <c r="K30" s="21">
        <f aca="true" t="shared" si="33" ref="K30:K35">J30*$C30</f>
        <v>0</v>
      </c>
      <c r="L30" s="66"/>
      <c r="M30" s="17">
        <f aca="true" t="shared" si="34" ref="M30:M35">L30*$C30</f>
        <v>0</v>
      </c>
      <c r="N30" s="132"/>
      <c r="O30" s="133">
        <f aca="true" t="shared" si="35" ref="O30:O35">N30*$C30</f>
        <v>0</v>
      </c>
      <c r="P30" s="132"/>
      <c r="Q30" s="133">
        <f aca="true" t="shared" si="36" ref="Q30:Q35">P30*$C30</f>
        <v>0</v>
      </c>
      <c r="R30" s="132"/>
      <c r="S30" s="133">
        <f aca="true" t="shared" si="37" ref="S30:S35">R30*$C30</f>
        <v>0</v>
      </c>
      <c r="T30" s="144"/>
      <c r="U30" s="145">
        <f aca="true" t="shared" si="38" ref="U30:U35">T30*$C30</f>
        <v>0</v>
      </c>
      <c r="V30" s="118"/>
      <c r="W30" s="119">
        <f aca="true" t="shared" si="39" ref="W30:W35">V30*$C30</f>
        <v>0</v>
      </c>
    </row>
    <row r="31" spans="1:23" ht="15">
      <c r="A31" s="174"/>
      <c r="B31" s="96" t="s">
        <v>26</v>
      </c>
      <c r="C31" s="99">
        <f>Cenik_komodit!D27</f>
        <v>36284</v>
      </c>
      <c r="D31" s="6">
        <v>1</v>
      </c>
      <c r="E31" s="7">
        <f t="shared" si="30"/>
        <v>36284</v>
      </c>
      <c r="F31" s="12"/>
      <c r="G31" s="13">
        <f t="shared" si="31"/>
        <v>0</v>
      </c>
      <c r="H31" s="56"/>
      <c r="I31" s="57">
        <f t="shared" si="32"/>
        <v>0</v>
      </c>
      <c r="J31" s="18"/>
      <c r="K31" s="19">
        <f t="shared" si="33"/>
        <v>0</v>
      </c>
      <c r="L31" s="67"/>
      <c r="M31" s="16">
        <f t="shared" si="34"/>
        <v>0</v>
      </c>
      <c r="N31" s="134"/>
      <c r="O31" s="135">
        <f t="shared" si="35"/>
        <v>0</v>
      </c>
      <c r="P31" s="134"/>
      <c r="Q31" s="135">
        <f t="shared" si="36"/>
        <v>0</v>
      </c>
      <c r="R31" s="134"/>
      <c r="S31" s="135">
        <f t="shared" si="37"/>
        <v>0</v>
      </c>
      <c r="T31" s="138"/>
      <c r="U31" s="139">
        <f t="shared" si="38"/>
        <v>0</v>
      </c>
      <c r="V31" s="116"/>
      <c r="W31" s="117">
        <f t="shared" si="39"/>
        <v>0</v>
      </c>
    </row>
    <row r="32" spans="1:23" ht="15">
      <c r="A32" s="174"/>
      <c r="B32" s="96" t="s">
        <v>130</v>
      </c>
      <c r="C32" s="99">
        <f>Cenik_komodit!D30</f>
        <v>7999</v>
      </c>
      <c r="D32" s="6"/>
      <c r="E32" s="7">
        <f t="shared" si="30"/>
        <v>0</v>
      </c>
      <c r="F32" s="12"/>
      <c r="G32" s="13">
        <f t="shared" si="31"/>
        <v>0</v>
      </c>
      <c r="H32" s="56"/>
      <c r="I32" s="57">
        <f t="shared" si="32"/>
        <v>0</v>
      </c>
      <c r="J32" s="18"/>
      <c r="K32" s="19">
        <f t="shared" si="33"/>
        <v>0</v>
      </c>
      <c r="L32" s="67"/>
      <c r="M32" s="16">
        <f t="shared" si="34"/>
        <v>0</v>
      </c>
      <c r="N32" s="134"/>
      <c r="O32" s="135">
        <f t="shared" si="35"/>
        <v>0</v>
      </c>
      <c r="P32" s="134"/>
      <c r="Q32" s="135">
        <f t="shared" si="36"/>
        <v>0</v>
      </c>
      <c r="R32" s="134"/>
      <c r="S32" s="135">
        <f t="shared" si="37"/>
        <v>0</v>
      </c>
      <c r="T32" s="138">
        <v>5</v>
      </c>
      <c r="U32" s="139">
        <f t="shared" si="38"/>
        <v>39995</v>
      </c>
      <c r="V32" s="116">
        <v>3</v>
      </c>
      <c r="W32" s="117">
        <f t="shared" si="39"/>
        <v>23997</v>
      </c>
    </row>
    <row r="33" spans="1:23" ht="15">
      <c r="A33" s="174"/>
      <c r="B33" s="97" t="s">
        <v>129</v>
      </c>
      <c r="C33" s="99">
        <f>Cenik_komodit!D29</f>
        <v>25000</v>
      </c>
      <c r="D33" s="6"/>
      <c r="E33" s="7">
        <f t="shared" si="30"/>
        <v>0</v>
      </c>
      <c r="F33" s="12">
        <v>5</v>
      </c>
      <c r="G33" s="13">
        <f t="shared" si="31"/>
        <v>125000</v>
      </c>
      <c r="H33" s="56">
        <v>3</v>
      </c>
      <c r="I33" s="57">
        <f t="shared" si="32"/>
        <v>75000</v>
      </c>
      <c r="J33" s="18"/>
      <c r="K33" s="19">
        <f t="shared" si="33"/>
        <v>0</v>
      </c>
      <c r="L33" s="67"/>
      <c r="M33" s="16">
        <f t="shared" si="34"/>
        <v>0</v>
      </c>
      <c r="N33" s="134"/>
      <c r="O33" s="135">
        <f t="shared" si="35"/>
        <v>0</v>
      </c>
      <c r="P33" s="134"/>
      <c r="Q33" s="135">
        <f t="shared" si="36"/>
        <v>0</v>
      </c>
      <c r="R33" s="134"/>
      <c r="S33" s="135">
        <f t="shared" si="37"/>
        <v>0</v>
      </c>
      <c r="T33" s="138"/>
      <c r="U33" s="139">
        <f t="shared" si="38"/>
        <v>0</v>
      </c>
      <c r="V33" s="116"/>
      <c r="W33" s="117">
        <f t="shared" si="39"/>
        <v>0</v>
      </c>
    </row>
    <row r="34" spans="1:23" ht="15">
      <c r="A34" s="174"/>
      <c r="B34" s="97" t="s">
        <v>144</v>
      </c>
      <c r="C34" s="99">
        <f>Cenik_komodit!D28</f>
        <v>36000</v>
      </c>
      <c r="D34" s="6"/>
      <c r="E34" s="53">
        <f t="shared" si="30"/>
        <v>0</v>
      </c>
      <c r="F34" s="12"/>
      <c r="G34" s="13">
        <f t="shared" si="31"/>
        <v>0</v>
      </c>
      <c r="H34" s="56"/>
      <c r="I34" s="57">
        <f t="shared" si="32"/>
        <v>0</v>
      </c>
      <c r="J34" s="18">
        <v>2</v>
      </c>
      <c r="K34" s="19">
        <f t="shared" si="33"/>
        <v>72000</v>
      </c>
      <c r="L34" s="67"/>
      <c r="M34" s="16">
        <f t="shared" si="34"/>
        <v>0</v>
      </c>
      <c r="N34" s="134">
        <v>1</v>
      </c>
      <c r="O34" s="135">
        <f t="shared" si="35"/>
        <v>36000</v>
      </c>
      <c r="P34" s="134">
        <v>2</v>
      </c>
      <c r="Q34" s="135">
        <f t="shared" si="36"/>
        <v>72000</v>
      </c>
      <c r="R34" s="134">
        <v>2</v>
      </c>
      <c r="S34" s="135">
        <f t="shared" si="37"/>
        <v>72000</v>
      </c>
      <c r="T34" s="138">
        <v>2</v>
      </c>
      <c r="U34" s="139">
        <f t="shared" si="38"/>
        <v>72000</v>
      </c>
      <c r="V34" s="116"/>
      <c r="W34" s="117">
        <f t="shared" si="39"/>
        <v>0</v>
      </c>
    </row>
    <row r="35" spans="1:23" ht="15">
      <c r="A35" s="174"/>
      <c r="B35" s="97" t="s">
        <v>134</v>
      </c>
      <c r="C35" s="99">
        <f>Cenik_komodit!D31</f>
        <v>102516</v>
      </c>
      <c r="D35" s="6"/>
      <c r="E35" s="7">
        <f t="shared" si="30"/>
        <v>0</v>
      </c>
      <c r="F35" s="12"/>
      <c r="G35" s="13">
        <f t="shared" si="31"/>
        <v>0</v>
      </c>
      <c r="H35" s="56"/>
      <c r="I35" s="57">
        <f t="shared" si="32"/>
        <v>0</v>
      </c>
      <c r="J35" s="18"/>
      <c r="K35" s="19">
        <f t="shared" si="33"/>
        <v>0</v>
      </c>
      <c r="L35" s="67"/>
      <c r="M35" s="16">
        <f t="shared" si="34"/>
        <v>0</v>
      </c>
      <c r="N35" s="134"/>
      <c r="O35" s="135">
        <f t="shared" si="35"/>
        <v>0</v>
      </c>
      <c r="P35" s="134">
        <v>2</v>
      </c>
      <c r="Q35" s="135">
        <f t="shared" si="36"/>
        <v>205032</v>
      </c>
      <c r="R35" s="134">
        <v>2</v>
      </c>
      <c r="S35" s="135">
        <f t="shared" si="37"/>
        <v>205032</v>
      </c>
      <c r="T35" s="138"/>
      <c r="U35" s="139">
        <f t="shared" si="38"/>
        <v>0</v>
      </c>
      <c r="V35" s="116"/>
      <c r="W35" s="117">
        <f t="shared" si="39"/>
        <v>0</v>
      </c>
    </row>
    <row r="36" spans="1:23" s="2" customFormat="1" ht="15.75" thickBot="1">
      <c r="A36" s="192"/>
      <c r="B36" s="94" t="s">
        <v>27</v>
      </c>
      <c r="C36" s="101"/>
      <c r="D36" s="32"/>
      <c r="E36" s="33">
        <f>SUM(E30:E35)</f>
        <v>36284</v>
      </c>
      <c r="F36" s="34"/>
      <c r="G36" s="35">
        <f>SUM(G30:G35)</f>
        <v>125000</v>
      </c>
      <c r="H36" s="58"/>
      <c r="I36" s="59">
        <f>SUM(I30:I35)</f>
        <v>75000</v>
      </c>
      <c r="J36" s="36"/>
      <c r="K36" s="37">
        <f>SUM(K30:K35)</f>
        <v>72000</v>
      </c>
      <c r="L36" s="68"/>
      <c r="M36" s="38">
        <f>SUM(M30:M35)</f>
        <v>0</v>
      </c>
      <c r="N36" s="136"/>
      <c r="O36" s="137">
        <f>SUM(O30:O35)</f>
        <v>36000</v>
      </c>
      <c r="P36" s="136"/>
      <c r="Q36" s="137">
        <f>SUM(Q30:Q35)</f>
        <v>277032</v>
      </c>
      <c r="R36" s="136"/>
      <c r="S36" s="137">
        <f>SUM(S30:S35)</f>
        <v>277032</v>
      </c>
      <c r="T36" s="146"/>
      <c r="U36" s="147">
        <f>SUM(U30:U35)</f>
        <v>111995</v>
      </c>
      <c r="V36" s="122"/>
      <c r="W36" s="123">
        <f>SUM(W30:W35)</f>
        <v>23997</v>
      </c>
    </row>
    <row r="37" spans="1:23" ht="15">
      <c r="A37" s="172" t="s">
        <v>18</v>
      </c>
      <c r="B37" s="92" t="s">
        <v>85</v>
      </c>
      <c r="C37" s="99">
        <f>Cenik_komodit!D16</f>
        <v>262884.6</v>
      </c>
      <c r="D37" s="8"/>
      <c r="E37" s="9">
        <f aca="true" t="shared" si="40" ref="E37:E42">D37*$C37</f>
        <v>0</v>
      </c>
      <c r="F37" s="14"/>
      <c r="G37" s="15">
        <f aca="true" t="shared" si="41" ref="G37:G42">F37*$C37</f>
        <v>0</v>
      </c>
      <c r="H37" s="24"/>
      <c r="I37" s="25">
        <f aca="true" t="shared" si="42" ref="I37:I42">H37*$C37</f>
        <v>0</v>
      </c>
      <c r="J37" s="60"/>
      <c r="K37" s="61">
        <f aca="true" t="shared" si="43" ref="K37:K42">J37*$C37</f>
        <v>0</v>
      </c>
      <c r="L37" s="66"/>
      <c r="M37" s="17">
        <f aca="true" t="shared" si="44" ref="M37:M42">L37*$C37</f>
        <v>0</v>
      </c>
      <c r="N37" s="132"/>
      <c r="O37" s="133">
        <f aca="true" t="shared" si="45" ref="O37:O42">N37*$C37</f>
        <v>0</v>
      </c>
      <c r="P37" s="132"/>
      <c r="Q37" s="133">
        <f aca="true" t="shared" si="46" ref="Q37:Q42">P37*$C37</f>
        <v>0</v>
      </c>
      <c r="R37" s="132"/>
      <c r="S37" s="133">
        <f aca="true" t="shared" si="47" ref="S37:S42">R37*$C37</f>
        <v>0</v>
      </c>
      <c r="T37" s="132"/>
      <c r="U37" s="133">
        <f aca="true" t="shared" si="48" ref="U37:U42">T37*$C37</f>
        <v>0</v>
      </c>
      <c r="V37" s="118"/>
      <c r="W37" s="119">
        <f aca="true" t="shared" si="49" ref="W37:W42">V37*$C37</f>
        <v>0</v>
      </c>
    </row>
    <row r="38" spans="1:23" ht="15">
      <c r="A38" s="173"/>
      <c r="B38" s="92" t="s">
        <v>86</v>
      </c>
      <c r="C38" s="99">
        <f>Cenik_komodit!D17</f>
        <v>142550.1</v>
      </c>
      <c r="D38" s="6">
        <v>1</v>
      </c>
      <c r="E38" s="7">
        <f t="shared" si="40"/>
        <v>142550.1</v>
      </c>
      <c r="F38" s="12"/>
      <c r="G38" s="13">
        <f t="shared" si="41"/>
        <v>0</v>
      </c>
      <c r="H38" s="22"/>
      <c r="I38" s="23">
        <f t="shared" si="42"/>
        <v>0</v>
      </c>
      <c r="J38" s="62"/>
      <c r="K38" s="63">
        <f t="shared" si="43"/>
        <v>0</v>
      </c>
      <c r="L38" s="67"/>
      <c r="M38" s="16">
        <f t="shared" si="44"/>
        <v>0</v>
      </c>
      <c r="N38" s="134"/>
      <c r="O38" s="135">
        <f t="shared" si="45"/>
        <v>0</v>
      </c>
      <c r="P38" s="134">
        <v>3</v>
      </c>
      <c r="Q38" s="135">
        <f t="shared" si="46"/>
        <v>427650.30000000005</v>
      </c>
      <c r="R38" s="134"/>
      <c r="S38" s="135">
        <f t="shared" si="47"/>
        <v>0</v>
      </c>
      <c r="T38" s="134"/>
      <c r="U38" s="135">
        <f t="shared" si="48"/>
        <v>0</v>
      </c>
      <c r="V38" s="116"/>
      <c r="W38" s="117">
        <f t="shared" si="49"/>
        <v>0</v>
      </c>
    </row>
    <row r="39" spans="1:23" ht="15">
      <c r="A39" s="173"/>
      <c r="B39" s="92" t="s">
        <v>87</v>
      </c>
      <c r="C39" s="99">
        <f>Cenik_komodit!D18</f>
        <v>168468.3</v>
      </c>
      <c r="D39" s="6"/>
      <c r="E39" s="7">
        <f t="shared" si="40"/>
        <v>0</v>
      </c>
      <c r="F39" s="12"/>
      <c r="G39" s="13">
        <f t="shared" si="41"/>
        <v>0</v>
      </c>
      <c r="H39" s="22">
        <v>1</v>
      </c>
      <c r="I39" s="23">
        <f t="shared" si="42"/>
        <v>168468.3</v>
      </c>
      <c r="J39" s="62">
        <v>2</v>
      </c>
      <c r="K39" s="63">
        <f t="shared" si="43"/>
        <v>336936.6</v>
      </c>
      <c r="L39" s="67">
        <v>1</v>
      </c>
      <c r="M39" s="16">
        <f t="shared" si="44"/>
        <v>168468.3</v>
      </c>
      <c r="N39" s="134"/>
      <c r="O39" s="135">
        <f t="shared" si="45"/>
        <v>0</v>
      </c>
      <c r="P39" s="134"/>
      <c r="Q39" s="135">
        <f t="shared" si="46"/>
        <v>0</v>
      </c>
      <c r="R39" s="134">
        <v>3</v>
      </c>
      <c r="S39" s="135">
        <f t="shared" si="47"/>
        <v>505404.89999999997</v>
      </c>
      <c r="T39" s="134">
        <v>1</v>
      </c>
      <c r="U39" s="135">
        <f t="shared" si="48"/>
        <v>168468.3</v>
      </c>
      <c r="V39" s="116"/>
      <c r="W39" s="117">
        <f t="shared" si="49"/>
        <v>0</v>
      </c>
    </row>
    <row r="40" spans="1:23" ht="15">
      <c r="A40" s="173"/>
      <c r="B40" s="92" t="s">
        <v>121</v>
      </c>
      <c r="C40" s="99">
        <f>Cenik_komodit!D32</f>
        <v>104400</v>
      </c>
      <c r="D40" s="6">
        <v>1</v>
      </c>
      <c r="E40" s="7">
        <f t="shared" si="40"/>
        <v>104400</v>
      </c>
      <c r="F40" s="12"/>
      <c r="G40" s="13">
        <f t="shared" si="41"/>
        <v>0</v>
      </c>
      <c r="H40" s="22">
        <v>1</v>
      </c>
      <c r="I40" s="23">
        <f t="shared" si="42"/>
        <v>104400</v>
      </c>
      <c r="J40" s="62"/>
      <c r="K40" s="63">
        <f t="shared" si="43"/>
        <v>0</v>
      </c>
      <c r="L40" s="67"/>
      <c r="M40" s="16">
        <f t="shared" si="44"/>
        <v>0</v>
      </c>
      <c r="N40" s="134"/>
      <c r="O40" s="135">
        <f t="shared" si="45"/>
        <v>0</v>
      </c>
      <c r="P40" s="134"/>
      <c r="Q40" s="135">
        <f t="shared" si="46"/>
        <v>0</v>
      </c>
      <c r="R40" s="134"/>
      <c r="S40" s="135">
        <f t="shared" si="47"/>
        <v>0</v>
      </c>
      <c r="T40" s="134">
        <v>1</v>
      </c>
      <c r="U40" s="135">
        <f t="shared" si="48"/>
        <v>104400</v>
      </c>
      <c r="V40" s="116">
        <v>1</v>
      </c>
      <c r="W40" s="117">
        <f t="shared" si="49"/>
        <v>104400</v>
      </c>
    </row>
    <row r="41" spans="1:23" ht="15">
      <c r="A41" s="174"/>
      <c r="B41" s="96" t="s">
        <v>20</v>
      </c>
      <c r="C41" s="99">
        <f>Cenik_komodit!D33</f>
        <v>261360</v>
      </c>
      <c r="D41" s="6"/>
      <c r="E41" s="7">
        <f t="shared" si="40"/>
        <v>0</v>
      </c>
      <c r="F41" s="12"/>
      <c r="G41" s="13">
        <f t="shared" si="41"/>
        <v>0</v>
      </c>
      <c r="H41" s="22"/>
      <c r="I41" s="23">
        <f t="shared" si="42"/>
        <v>0</v>
      </c>
      <c r="J41" s="62"/>
      <c r="K41" s="63">
        <f t="shared" si="43"/>
        <v>0</v>
      </c>
      <c r="L41" s="67">
        <v>1</v>
      </c>
      <c r="M41" s="16">
        <f t="shared" si="44"/>
        <v>261360</v>
      </c>
      <c r="N41" s="134"/>
      <c r="O41" s="135">
        <f t="shared" si="45"/>
        <v>0</v>
      </c>
      <c r="P41" s="134">
        <v>1</v>
      </c>
      <c r="Q41" s="135">
        <f t="shared" si="46"/>
        <v>261360</v>
      </c>
      <c r="R41" s="134"/>
      <c r="S41" s="135">
        <f t="shared" si="47"/>
        <v>0</v>
      </c>
      <c r="T41" s="134"/>
      <c r="U41" s="135">
        <f t="shared" si="48"/>
        <v>0</v>
      </c>
      <c r="V41" s="116"/>
      <c r="W41" s="117">
        <f t="shared" si="49"/>
        <v>0</v>
      </c>
    </row>
    <row r="42" spans="1:23" ht="15">
      <c r="A42" s="174"/>
      <c r="B42" s="96" t="s">
        <v>19</v>
      </c>
      <c r="C42" s="103">
        <v>100000</v>
      </c>
      <c r="D42" s="6"/>
      <c r="E42" s="7">
        <f t="shared" si="40"/>
        <v>0</v>
      </c>
      <c r="F42" s="12"/>
      <c r="G42" s="13">
        <f t="shared" si="41"/>
        <v>0</v>
      </c>
      <c r="H42" s="22"/>
      <c r="I42" s="23">
        <f t="shared" si="42"/>
        <v>0</v>
      </c>
      <c r="J42" s="62"/>
      <c r="K42" s="63">
        <f t="shared" si="43"/>
        <v>0</v>
      </c>
      <c r="L42" s="67">
        <v>0</v>
      </c>
      <c r="M42" s="16">
        <f t="shared" si="44"/>
        <v>0</v>
      </c>
      <c r="N42" s="134"/>
      <c r="O42" s="135">
        <f t="shared" si="45"/>
        <v>0</v>
      </c>
      <c r="P42" s="134"/>
      <c r="Q42" s="135">
        <f t="shared" si="46"/>
        <v>0</v>
      </c>
      <c r="R42" s="134"/>
      <c r="S42" s="135">
        <f t="shared" si="47"/>
        <v>0</v>
      </c>
      <c r="T42" s="134"/>
      <c r="U42" s="135">
        <f t="shared" si="48"/>
        <v>0</v>
      </c>
      <c r="V42" s="116"/>
      <c r="W42" s="117">
        <f t="shared" si="49"/>
        <v>0</v>
      </c>
    </row>
    <row r="43" spans="1:23" s="2" customFormat="1" ht="15.75" thickBot="1">
      <c r="A43" s="175"/>
      <c r="B43" s="93" t="s">
        <v>21</v>
      </c>
      <c r="C43" s="101"/>
      <c r="D43" s="4"/>
      <c r="E43" s="26">
        <f>SUM(E37:E42)</f>
        <v>246950.1</v>
      </c>
      <c r="F43" s="10"/>
      <c r="G43" s="27">
        <f>SUM(G37:G42)</f>
        <v>0</v>
      </c>
      <c r="H43" s="28"/>
      <c r="I43" s="29">
        <f>SUM(I37:I42)</f>
        <v>272868.3</v>
      </c>
      <c r="J43" s="42"/>
      <c r="K43" s="85">
        <f>SUM(K37:K42)</f>
        <v>336936.6</v>
      </c>
      <c r="L43" s="44"/>
      <c r="M43" s="49">
        <f>SUM(M37:M42)</f>
        <v>429828.3</v>
      </c>
      <c r="N43" s="136"/>
      <c r="O43" s="137">
        <f>SUM(O37:O42)</f>
        <v>0</v>
      </c>
      <c r="P43" s="136"/>
      <c r="Q43" s="137">
        <f>SUM(Q37:Q42)</f>
        <v>689010.3</v>
      </c>
      <c r="R43" s="136"/>
      <c r="S43" s="137">
        <f>SUM(S37:S42)</f>
        <v>505404.89999999997</v>
      </c>
      <c r="T43" s="130"/>
      <c r="U43" s="141">
        <f>SUM(U37:U42)</f>
        <v>272868.3</v>
      </c>
      <c r="V43" s="122"/>
      <c r="W43" s="123">
        <f>SUM(W37:W42)</f>
        <v>104400</v>
      </c>
    </row>
    <row r="44" spans="1:23" ht="33" customHeight="1">
      <c r="A44" s="186" t="s">
        <v>110</v>
      </c>
      <c r="B44" s="187"/>
      <c r="C44" s="188"/>
      <c r="D44" s="8" t="s">
        <v>158</v>
      </c>
      <c r="E44" s="9">
        <v>0</v>
      </c>
      <c r="F44" s="107" t="s">
        <v>126</v>
      </c>
      <c r="G44" s="15">
        <v>861697.6</v>
      </c>
      <c r="H44" s="69" t="s">
        <v>155</v>
      </c>
      <c r="I44" s="25">
        <v>296390</v>
      </c>
      <c r="J44" s="106" t="s">
        <v>138</v>
      </c>
      <c r="K44" s="86">
        <v>355758</v>
      </c>
      <c r="L44" s="83" t="s">
        <v>114</v>
      </c>
      <c r="M44" s="17">
        <v>600000</v>
      </c>
      <c r="N44" s="148" t="s">
        <v>143</v>
      </c>
      <c r="O44" s="133">
        <v>250000</v>
      </c>
      <c r="P44" s="148" t="s">
        <v>143</v>
      </c>
      <c r="Q44" s="133">
        <v>620000</v>
      </c>
      <c r="R44" s="148" t="s">
        <v>143</v>
      </c>
      <c r="S44" s="133">
        <v>900000</v>
      </c>
      <c r="T44" s="157" t="s">
        <v>152</v>
      </c>
      <c r="U44" s="149">
        <v>0</v>
      </c>
      <c r="V44" s="126" t="s">
        <v>157</v>
      </c>
      <c r="W44" s="119">
        <v>0</v>
      </c>
    </row>
    <row r="45" spans="1:23" ht="15">
      <c r="A45" s="183" t="s">
        <v>113</v>
      </c>
      <c r="B45" s="184"/>
      <c r="C45" s="185"/>
      <c r="D45" s="6"/>
      <c r="E45" s="53">
        <f>E43+E36+E29+E24+E17+E10</f>
        <v>3165078.7</v>
      </c>
      <c r="F45" s="10"/>
      <c r="G45" s="27">
        <f>G43+G36+G29+G24+G17+G10</f>
        <v>1480774.9</v>
      </c>
      <c r="H45" s="28"/>
      <c r="I45" s="29">
        <f>I43+I36+I29+I24+I17+I10</f>
        <v>1359027.15</v>
      </c>
      <c r="J45" s="42"/>
      <c r="K45" s="85">
        <f>K43+K36+K29+K24+K17+K10</f>
        <v>1459184.4499999997</v>
      </c>
      <c r="L45" s="67"/>
      <c r="M45" s="16">
        <f>M43+M36+M29+M24+M17+M10</f>
        <v>1576617.75</v>
      </c>
      <c r="N45" s="134"/>
      <c r="O45" s="135">
        <f>O43+O36+O29+O24+O17+O10</f>
        <v>3215554.25</v>
      </c>
      <c r="P45" s="134"/>
      <c r="Q45" s="135">
        <f>Q43+Q36+Q29+Q24+Q17+Q10</f>
        <v>3723318</v>
      </c>
      <c r="R45" s="134"/>
      <c r="S45" s="135">
        <f>S43+S36+S29+S24+S17+S10</f>
        <v>3462817.8</v>
      </c>
      <c r="T45" s="130"/>
      <c r="U45" s="141">
        <f>U43+U36+U29+U24+U17+U10</f>
        <v>2066333.8000000003</v>
      </c>
      <c r="V45" s="116"/>
      <c r="W45" s="120">
        <f>W43+W36+W29+W24+W17+W10</f>
        <v>422732.55</v>
      </c>
    </row>
    <row r="46" spans="1:23" ht="15.75" thickBot="1">
      <c r="A46" s="196" t="s">
        <v>111</v>
      </c>
      <c r="B46" s="197"/>
      <c r="C46" s="198"/>
      <c r="D46" s="6"/>
      <c r="E46" s="53">
        <f>E45*0.1</f>
        <v>316507.87000000005</v>
      </c>
      <c r="F46" s="10"/>
      <c r="G46" s="27">
        <f>G45*0.1</f>
        <v>148077.49</v>
      </c>
      <c r="H46" s="28"/>
      <c r="I46" s="29">
        <f>I45*0.1</f>
        <v>135902.715</v>
      </c>
      <c r="J46" s="42"/>
      <c r="K46" s="85">
        <f>K45*0.1</f>
        <v>145918.44499999998</v>
      </c>
      <c r="L46" s="67"/>
      <c r="M46" s="16">
        <f>M45*0.1</f>
        <v>157661.77500000002</v>
      </c>
      <c r="N46" s="134"/>
      <c r="O46" s="135">
        <f>O45*0.1</f>
        <v>321555.42500000005</v>
      </c>
      <c r="P46" s="134"/>
      <c r="Q46" s="135">
        <f>Q45*0.1</f>
        <v>372331.80000000005</v>
      </c>
      <c r="R46" s="134"/>
      <c r="S46" s="135">
        <f>S45*0.1</f>
        <v>346281.78</v>
      </c>
      <c r="T46" s="130"/>
      <c r="U46" s="141">
        <f>U45*0.1</f>
        <v>206633.38000000003</v>
      </c>
      <c r="V46" s="116"/>
      <c r="W46" s="120">
        <f>W45*0.1</f>
        <v>42273.255000000005</v>
      </c>
    </row>
    <row r="47" spans="1:23" ht="15.75" thickBot="1">
      <c r="A47" s="189" t="s">
        <v>112</v>
      </c>
      <c r="B47" s="190"/>
      <c r="C47" s="191"/>
      <c r="D47" s="76"/>
      <c r="E47" s="77">
        <f>E45+E46+E44</f>
        <v>3481586.5700000003</v>
      </c>
      <c r="F47" s="78"/>
      <c r="G47" s="79">
        <f>G45+G46+G44</f>
        <v>2490549.9899999998</v>
      </c>
      <c r="H47" s="80"/>
      <c r="I47" s="81">
        <f>I45+I46+I44</f>
        <v>1791319.865</v>
      </c>
      <c r="J47" s="87"/>
      <c r="K47" s="88">
        <f>K45+K46+K44</f>
        <v>1960860.8949999998</v>
      </c>
      <c r="L47" s="105"/>
      <c r="M47" s="82">
        <f>M45+M46+M44</f>
        <v>2334279.525</v>
      </c>
      <c r="N47" s="150"/>
      <c r="O47" s="151">
        <f>O45+O46+O44</f>
        <v>3787109.675</v>
      </c>
      <c r="P47" s="150"/>
      <c r="Q47" s="151">
        <f>Q45+Q46+Q44</f>
        <v>4715649.8</v>
      </c>
      <c r="R47" s="150"/>
      <c r="S47" s="151">
        <f>S45+S46+S44</f>
        <v>4709099.58</v>
      </c>
      <c r="T47" s="152"/>
      <c r="U47" s="151">
        <f>U45+U46+U44</f>
        <v>2272967.18</v>
      </c>
      <c r="V47" s="127"/>
      <c r="W47" s="124">
        <f>W45+W46+W44</f>
        <v>465005.805</v>
      </c>
    </row>
    <row r="48" spans="1:23" s="51" customFormat="1" ht="15.75" thickBot="1">
      <c r="A48" s="193" t="s">
        <v>125</v>
      </c>
      <c r="B48" s="194"/>
      <c r="C48" s="195"/>
      <c r="D48" s="70"/>
      <c r="E48" s="71">
        <v>3500000</v>
      </c>
      <c r="F48" s="72"/>
      <c r="G48" s="73">
        <v>2500000</v>
      </c>
      <c r="H48" s="74"/>
      <c r="I48" s="75">
        <v>2000000</v>
      </c>
      <c r="J48" s="64"/>
      <c r="K48" s="89">
        <v>2000000</v>
      </c>
      <c r="L48" s="84" t="s">
        <v>148</v>
      </c>
      <c r="M48" s="104">
        <v>2400000</v>
      </c>
      <c r="N48" s="153" t="s">
        <v>148</v>
      </c>
      <c r="O48" s="137">
        <v>4000000</v>
      </c>
      <c r="P48" s="153" t="s">
        <v>148</v>
      </c>
      <c r="Q48" s="137">
        <v>5000000</v>
      </c>
      <c r="R48" s="153" t="s">
        <v>148</v>
      </c>
      <c r="S48" s="137">
        <v>5000000</v>
      </c>
      <c r="T48" s="154" t="s">
        <v>148</v>
      </c>
      <c r="U48" s="155">
        <v>2300000</v>
      </c>
      <c r="V48" s="128" t="s">
        <v>148</v>
      </c>
      <c r="W48" s="125">
        <v>200000</v>
      </c>
    </row>
    <row r="49" spans="1:23" ht="15">
      <c r="A49" t="s">
        <v>153</v>
      </c>
      <c r="D49" s="3">
        <v>1</v>
      </c>
      <c r="F49" s="3">
        <v>1</v>
      </c>
      <c r="H49" s="3">
        <v>1</v>
      </c>
      <c r="J49" s="3">
        <v>1</v>
      </c>
      <c r="L49" s="3">
        <v>1</v>
      </c>
      <c r="N49" s="129">
        <v>2</v>
      </c>
      <c r="P49" s="129">
        <v>2</v>
      </c>
      <c r="R49" s="129">
        <v>2</v>
      </c>
      <c r="T49" s="156">
        <v>2</v>
      </c>
      <c r="V49" s="111">
        <v>1</v>
      </c>
      <c r="W49" s="110"/>
    </row>
    <row r="50" spans="1:23" ht="15">
      <c r="A50" t="s">
        <v>154</v>
      </c>
      <c r="E50" s="158">
        <v>42633</v>
      </c>
      <c r="G50" s="158">
        <v>42633</v>
      </c>
      <c r="I50" s="158">
        <v>42633</v>
      </c>
      <c r="K50" s="158">
        <v>42633</v>
      </c>
      <c r="M50" s="158">
        <v>42619</v>
      </c>
      <c r="W50" s="158" t="s">
        <v>156</v>
      </c>
    </row>
    <row r="51" ht="15">
      <c r="G51" s="113"/>
    </row>
  </sheetData>
  <sheetProtection/>
  <mergeCells count="21">
    <mergeCell ref="A48:C48"/>
    <mergeCell ref="A46:C46"/>
    <mergeCell ref="T2:U2"/>
    <mergeCell ref="J2:K2"/>
    <mergeCell ref="L2:M2"/>
    <mergeCell ref="R2:S2"/>
    <mergeCell ref="A45:C45"/>
    <mergeCell ref="A44:C44"/>
    <mergeCell ref="A47:C47"/>
    <mergeCell ref="V2:W2"/>
    <mergeCell ref="A30:A36"/>
    <mergeCell ref="A25:A29"/>
    <mergeCell ref="N2:O2"/>
    <mergeCell ref="D2:E2"/>
    <mergeCell ref="F2:G2"/>
    <mergeCell ref="H2:I2"/>
    <mergeCell ref="P2:Q2"/>
    <mergeCell ref="A37:A43"/>
    <mergeCell ref="A11:A17"/>
    <mergeCell ref="A18:A24"/>
    <mergeCell ref="A4:A1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2.140625" style="0" bestFit="1" customWidth="1"/>
    <col min="2" max="2" width="22.00390625" style="0" customWidth="1"/>
    <col min="3" max="3" width="15.00390625" style="52" bestFit="1" customWidth="1"/>
    <col min="4" max="4" width="7.00390625" style="3" customWidth="1"/>
    <col min="5" max="5" width="15.140625" style="3" customWidth="1"/>
    <col min="6" max="6" width="7.00390625" style="3" customWidth="1"/>
    <col min="7" max="7" width="15.140625" style="3" customWidth="1"/>
  </cols>
  <sheetData>
    <row r="1" ht="15.75" thickBot="1"/>
    <row r="2" spans="2:7" ht="19.5" thickBot="1">
      <c r="B2" s="2"/>
      <c r="D2" s="201" t="s">
        <v>150</v>
      </c>
      <c r="E2" s="202"/>
      <c r="F2" s="201" t="s">
        <v>165</v>
      </c>
      <c r="G2" s="202"/>
    </row>
    <row r="3" spans="1:7" ht="27.75" customHeight="1" thickBot="1">
      <c r="A3" s="90" t="s">
        <v>22</v>
      </c>
      <c r="B3" s="90" t="s">
        <v>23</v>
      </c>
      <c r="C3" s="98" t="s">
        <v>142</v>
      </c>
      <c r="D3" s="44" t="s">
        <v>4</v>
      </c>
      <c r="E3" s="45" t="s">
        <v>5</v>
      </c>
      <c r="F3" s="44" t="s">
        <v>4</v>
      </c>
      <c r="G3" s="45" t="s">
        <v>5</v>
      </c>
    </row>
    <row r="4" spans="1:7" ht="15">
      <c r="A4" s="181" t="s">
        <v>3</v>
      </c>
      <c r="B4" s="91" t="s">
        <v>33</v>
      </c>
      <c r="C4" s="102">
        <f>Cenik_komodit!D2</f>
        <v>9132.75</v>
      </c>
      <c r="D4" s="66"/>
      <c r="E4" s="17">
        <f aca="true" t="shared" si="0" ref="E4:E9">D4*$C4</f>
        <v>0</v>
      </c>
      <c r="F4" s="66"/>
      <c r="G4" s="17">
        <f aca="true" t="shared" si="1" ref="G4:G9">F4*$C4</f>
        <v>0</v>
      </c>
    </row>
    <row r="5" spans="1:7" ht="15">
      <c r="A5" s="179"/>
      <c r="B5" s="92" t="s">
        <v>34</v>
      </c>
      <c r="C5" s="99">
        <f>Cenik_komodit!D3</f>
        <v>13227.25</v>
      </c>
      <c r="D5" s="67"/>
      <c r="E5" s="120">
        <f t="shared" si="0"/>
        <v>0</v>
      </c>
      <c r="F5" s="67"/>
      <c r="G5" s="120">
        <f t="shared" si="1"/>
        <v>0</v>
      </c>
    </row>
    <row r="6" spans="1:7" ht="15">
      <c r="A6" s="179"/>
      <c r="B6" s="92" t="s">
        <v>35</v>
      </c>
      <c r="C6" s="99">
        <f>Cenik_komodit!D4</f>
        <v>14852.25</v>
      </c>
      <c r="D6" s="67"/>
      <c r="E6" s="120">
        <f t="shared" si="0"/>
        <v>0</v>
      </c>
      <c r="F6" s="67"/>
      <c r="G6" s="120">
        <f t="shared" si="1"/>
        <v>0</v>
      </c>
    </row>
    <row r="7" spans="1:7" ht="15">
      <c r="A7" s="179"/>
      <c r="B7" s="92" t="s">
        <v>36</v>
      </c>
      <c r="C7" s="99">
        <f>Cenik_komodit!D5</f>
        <v>31462.5</v>
      </c>
      <c r="D7" s="67"/>
      <c r="E7" s="120">
        <f t="shared" si="0"/>
        <v>0</v>
      </c>
      <c r="F7" s="67"/>
      <c r="G7" s="120">
        <f t="shared" si="1"/>
        <v>0</v>
      </c>
    </row>
    <row r="8" spans="1:7" ht="15">
      <c r="A8" s="179"/>
      <c r="B8" s="92" t="s">
        <v>37</v>
      </c>
      <c r="C8" s="99">
        <f>Cenik_komodit!D6</f>
        <v>64158.149999999994</v>
      </c>
      <c r="D8" s="67"/>
      <c r="E8" s="120">
        <f t="shared" si="0"/>
        <v>0</v>
      </c>
      <c r="F8" s="67"/>
      <c r="G8" s="120">
        <f t="shared" si="1"/>
        <v>0</v>
      </c>
    </row>
    <row r="9" spans="1:7" ht="15">
      <c r="A9" s="179"/>
      <c r="B9" s="92" t="s">
        <v>59</v>
      </c>
      <c r="C9" s="99">
        <f>Cenik_komodit!D7</f>
        <v>50156.049999999996</v>
      </c>
      <c r="D9" s="67"/>
      <c r="E9" s="120">
        <f t="shared" si="0"/>
        <v>0</v>
      </c>
      <c r="F9" s="67"/>
      <c r="G9" s="120">
        <f t="shared" si="1"/>
        <v>0</v>
      </c>
    </row>
    <row r="10" spans="1:7" s="2" customFormat="1" ht="15.75" thickBot="1">
      <c r="A10" s="182"/>
      <c r="B10" s="93" t="s">
        <v>6</v>
      </c>
      <c r="C10" s="101"/>
      <c r="D10" s="68"/>
      <c r="E10" s="38">
        <f>SUM(E4:E9)</f>
        <v>0</v>
      </c>
      <c r="F10" s="68"/>
      <c r="G10" s="38">
        <f>SUM(G4:G9)</f>
        <v>0</v>
      </c>
    </row>
    <row r="11" spans="1:7" ht="15">
      <c r="A11" s="176" t="s">
        <v>8</v>
      </c>
      <c r="B11" s="95" t="s">
        <v>64</v>
      </c>
      <c r="C11" s="99">
        <f>Cenik_komodit!D8</f>
        <v>195375.59999999998</v>
      </c>
      <c r="D11" s="66"/>
      <c r="E11" s="17">
        <f aca="true" t="shared" si="2" ref="E11:E16">D11*$C11</f>
        <v>0</v>
      </c>
      <c r="F11" s="66"/>
      <c r="G11" s="17">
        <f aca="true" t="shared" si="3" ref="G11:G16">F11*$C11</f>
        <v>0</v>
      </c>
    </row>
    <row r="12" spans="1:7" ht="15">
      <c r="A12" s="177"/>
      <c r="B12" s="92" t="s">
        <v>65</v>
      </c>
      <c r="C12" s="99">
        <f>Cenik_komodit!D9</f>
        <v>30419.999999999996</v>
      </c>
      <c r="D12" s="67"/>
      <c r="E12" s="120">
        <f t="shared" si="2"/>
        <v>0</v>
      </c>
      <c r="F12" s="67"/>
      <c r="G12" s="120">
        <f t="shared" si="3"/>
        <v>0</v>
      </c>
    </row>
    <row r="13" spans="1:7" ht="15">
      <c r="A13" s="177"/>
      <c r="B13" s="92" t="s">
        <v>66</v>
      </c>
      <c r="C13" s="99">
        <f>Cenik_komodit!D10</f>
        <v>44460</v>
      </c>
      <c r="D13" s="67"/>
      <c r="E13" s="120">
        <f t="shared" si="2"/>
        <v>0</v>
      </c>
      <c r="F13" s="67"/>
      <c r="G13" s="120">
        <f t="shared" si="3"/>
        <v>0</v>
      </c>
    </row>
    <row r="14" spans="1:7" ht="15">
      <c r="A14" s="177"/>
      <c r="B14" s="92" t="s">
        <v>69</v>
      </c>
      <c r="C14" s="99">
        <f>Cenik_komodit!D11</f>
        <v>35880</v>
      </c>
      <c r="D14" s="67"/>
      <c r="E14" s="120">
        <f t="shared" si="2"/>
        <v>0</v>
      </c>
      <c r="F14" s="67"/>
      <c r="G14" s="120">
        <f t="shared" si="3"/>
        <v>0</v>
      </c>
    </row>
    <row r="15" spans="1:7" ht="15">
      <c r="A15" s="177"/>
      <c r="B15" s="92" t="s">
        <v>70</v>
      </c>
      <c r="C15" s="99">
        <f>Cenik_komodit!D12</f>
        <v>44460</v>
      </c>
      <c r="D15" s="67"/>
      <c r="E15" s="120">
        <f t="shared" si="2"/>
        <v>0</v>
      </c>
      <c r="F15" s="67"/>
      <c r="G15" s="120">
        <f t="shared" si="3"/>
        <v>0</v>
      </c>
    </row>
    <row r="16" spans="1:7" ht="15">
      <c r="A16" s="177"/>
      <c r="B16" s="92" t="s">
        <v>71</v>
      </c>
      <c r="C16" s="99">
        <f>Cenik_komodit!D13</f>
        <v>14950</v>
      </c>
      <c r="D16" s="67"/>
      <c r="E16" s="120">
        <f t="shared" si="2"/>
        <v>0</v>
      </c>
      <c r="F16" s="67"/>
      <c r="G16" s="120">
        <f t="shared" si="3"/>
        <v>0</v>
      </c>
    </row>
    <row r="17" spans="1:7" s="2" customFormat="1" ht="15.75" thickBot="1">
      <c r="A17" s="177"/>
      <c r="B17" s="94" t="s">
        <v>9</v>
      </c>
      <c r="C17" s="100"/>
      <c r="D17" s="68"/>
      <c r="E17" s="38">
        <f>SUM(E11:E16)</f>
        <v>0</v>
      </c>
      <c r="F17" s="68"/>
      <c r="G17" s="38">
        <f>SUM(G11:G16)</f>
        <v>0</v>
      </c>
    </row>
    <row r="18" spans="1:7" ht="15">
      <c r="A18" s="178" t="s">
        <v>10</v>
      </c>
      <c r="B18" s="92" t="s">
        <v>88</v>
      </c>
      <c r="C18" s="102">
        <f>Cenik_komodit!D19</f>
        <v>75823.2</v>
      </c>
      <c r="D18" s="66"/>
      <c r="E18" s="17">
        <f aca="true" t="shared" si="4" ref="E18:E23">D18*$C18</f>
        <v>0</v>
      </c>
      <c r="F18" s="66"/>
      <c r="G18" s="17">
        <f aca="true" t="shared" si="5" ref="G18:G23">F18*$C18</f>
        <v>0</v>
      </c>
    </row>
    <row r="19" spans="1:7" ht="15">
      <c r="A19" s="179"/>
      <c r="B19" s="92" t="s">
        <v>92</v>
      </c>
      <c r="C19" s="99">
        <f>Cenik_komodit!D20</f>
        <v>61782.6</v>
      </c>
      <c r="D19" s="67"/>
      <c r="E19" s="120">
        <f t="shared" si="4"/>
        <v>0</v>
      </c>
      <c r="F19" s="67"/>
      <c r="G19" s="120">
        <f t="shared" si="5"/>
        <v>0</v>
      </c>
    </row>
    <row r="20" spans="1:7" ht="15">
      <c r="A20" s="179"/>
      <c r="B20" s="92" t="s">
        <v>89</v>
      </c>
      <c r="C20" s="99">
        <f>Cenik_komodit!D21</f>
        <v>157933.8</v>
      </c>
      <c r="D20" s="67">
        <v>1</v>
      </c>
      <c r="E20" s="120">
        <f t="shared" si="4"/>
        <v>157933.8</v>
      </c>
      <c r="F20" s="67"/>
      <c r="G20" s="120">
        <f t="shared" si="5"/>
        <v>0</v>
      </c>
    </row>
    <row r="21" spans="1:7" ht="15">
      <c r="A21" s="179"/>
      <c r="B21" s="92" t="s">
        <v>93</v>
      </c>
      <c r="C21" s="99">
        <f>Cenik_komodit!D22</f>
        <v>111223.2</v>
      </c>
      <c r="D21" s="67"/>
      <c r="E21" s="120">
        <f t="shared" si="4"/>
        <v>0</v>
      </c>
      <c r="F21" s="67"/>
      <c r="G21" s="120">
        <f t="shared" si="5"/>
        <v>0</v>
      </c>
    </row>
    <row r="22" spans="1:7" ht="15">
      <c r="A22" s="179"/>
      <c r="B22" s="92" t="s">
        <v>90</v>
      </c>
      <c r="C22" s="99">
        <f>Cenik_komodit!D23</f>
        <v>387640.2</v>
      </c>
      <c r="D22" s="67"/>
      <c r="E22" s="120">
        <f t="shared" si="4"/>
        <v>0</v>
      </c>
      <c r="F22" s="67"/>
      <c r="G22" s="120">
        <f t="shared" si="5"/>
        <v>0</v>
      </c>
    </row>
    <row r="23" spans="1:7" ht="15">
      <c r="A23" s="179"/>
      <c r="B23" s="92" t="s">
        <v>94</v>
      </c>
      <c r="C23" s="99">
        <f>Cenik_komodit!D24</f>
        <v>295917.6</v>
      </c>
      <c r="D23" s="67"/>
      <c r="E23" s="120">
        <f t="shared" si="4"/>
        <v>0</v>
      </c>
      <c r="F23" s="67"/>
      <c r="G23" s="120">
        <f t="shared" si="5"/>
        <v>0</v>
      </c>
    </row>
    <row r="24" spans="1:7" s="2" customFormat="1" ht="15.75" thickBot="1">
      <c r="A24" s="180"/>
      <c r="B24" s="94" t="s">
        <v>12</v>
      </c>
      <c r="C24" s="101"/>
      <c r="D24" s="68"/>
      <c r="E24" s="38">
        <f>SUM(E18:E23)</f>
        <v>157933.8</v>
      </c>
      <c r="F24" s="68"/>
      <c r="G24" s="38">
        <f>SUM(G18:G23)</f>
        <v>0</v>
      </c>
    </row>
    <row r="25" spans="1:7" ht="15">
      <c r="A25" s="178" t="s">
        <v>11</v>
      </c>
      <c r="B25" s="95" t="s">
        <v>13</v>
      </c>
      <c r="C25" s="102">
        <f>Cenik_komodit!D25</f>
        <v>450000</v>
      </c>
      <c r="D25" s="66"/>
      <c r="E25" s="17">
        <f>D25*$C25</f>
        <v>0</v>
      </c>
      <c r="F25" s="66"/>
      <c r="G25" s="17">
        <f>F25*$C25</f>
        <v>0</v>
      </c>
    </row>
    <row r="26" spans="1:7" ht="15">
      <c r="A26" s="179"/>
      <c r="B26" s="92" t="s">
        <v>15</v>
      </c>
      <c r="C26" s="99">
        <v>0</v>
      </c>
      <c r="D26" s="67"/>
      <c r="E26" s="120">
        <f>D26*$C26</f>
        <v>0</v>
      </c>
      <c r="F26" s="67"/>
      <c r="G26" s="120">
        <f>F26*$C26</f>
        <v>0</v>
      </c>
    </row>
    <row r="27" spans="1:7" ht="15">
      <c r="A27" s="179"/>
      <c r="B27" s="92" t="s">
        <v>14</v>
      </c>
      <c r="C27" s="99">
        <v>0</v>
      </c>
      <c r="D27" s="67"/>
      <c r="E27" s="120">
        <f>D27*$C27</f>
        <v>0</v>
      </c>
      <c r="F27" s="67"/>
      <c r="G27" s="120">
        <f>F27*$C27</f>
        <v>0</v>
      </c>
    </row>
    <row r="28" spans="1:7" ht="15">
      <c r="A28" s="179"/>
      <c r="B28" s="92" t="s">
        <v>16</v>
      </c>
      <c r="C28" s="99">
        <v>0</v>
      </c>
      <c r="D28" s="67"/>
      <c r="E28" s="120">
        <f>D28*$C28</f>
        <v>0</v>
      </c>
      <c r="F28" s="67"/>
      <c r="G28" s="120">
        <f>F28*$C28</f>
        <v>0</v>
      </c>
    </row>
    <row r="29" spans="1:7" s="2" customFormat="1" ht="15.75" thickBot="1">
      <c r="A29" s="180"/>
      <c r="B29" s="94" t="s">
        <v>17</v>
      </c>
      <c r="C29" s="101"/>
      <c r="D29" s="68"/>
      <c r="E29" s="38">
        <f>SUM(E25:E28)</f>
        <v>0</v>
      </c>
      <c r="F29" s="68"/>
      <c r="G29" s="38">
        <f>SUM(G25:G28)</f>
        <v>0</v>
      </c>
    </row>
    <row r="30" spans="1:7" ht="15">
      <c r="A30" s="172" t="s">
        <v>24</v>
      </c>
      <c r="B30" s="95" t="s">
        <v>25</v>
      </c>
      <c r="C30" s="102">
        <f>Cenik_komodit!D26</f>
        <v>117000</v>
      </c>
      <c r="D30" s="66"/>
      <c r="E30" s="17">
        <f aca="true" t="shared" si="6" ref="E30:E35">D30*$C30</f>
        <v>0</v>
      </c>
      <c r="F30" s="66"/>
      <c r="G30" s="17">
        <f aca="true" t="shared" si="7" ref="G30:G35">F30*$C30</f>
        <v>0</v>
      </c>
    </row>
    <row r="31" spans="1:7" ht="15">
      <c r="A31" s="174"/>
      <c r="B31" s="96" t="s">
        <v>26</v>
      </c>
      <c r="C31" s="99">
        <f>Cenik_komodit!D27</f>
        <v>36284</v>
      </c>
      <c r="D31" s="67"/>
      <c r="E31" s="120">
        <f t="shared" si="6"/>
        <v>0</v>
      </c>
      <c r="F31" s="67"/>
      <c r="G31" s="120">
        <f t="shared" si="7"/>
        <v>0</v>
      </c>
    </row>
    <row r="32" spans="1:7" ht="15">
      <c r="A32" s="174"/>
      <c r="B32" s="96" t="s">
        <v>130</v>
      </c>
      <c r="C32" s="99">
        <f>Cenik_komodit!D30</f>
        <v>7999</v>
      </c>
      <c r="D32" s="67"/>
      <c r="E32" s="120">
        <f t="shared" si="6"/>
        <v>0</v>
      </c>
      <c r="F32" s="67"/>
      <c r="G32" s="120">
        <f t="shared" si="7"/>
        <v>0</v>
      </c>
    </row>
    <row r="33" spans="1:7" ht="15">
      <c r="A33" s="174"/>
      <c r="B33" s="97" t="s">
        <v>129</v>
      </c>
      <c r="C33" s="99">
        <f>Cenik_komodit!D29</f>
        <v>25000</v>
      </c>
      <c r="D33" s="67"/>
      <c r="E33" s="120">
        <f t="shared" si="6"/>
        <v>0</v>
      </c>
      <c r="F33" s="67"/>
      <c r="G33" s="120">
        <f t="shared" si="7"/>
        <v>0</v>
      </c>
    </row>
    <row r="34" spans="1:7" ht="15">
      <c r="A34" s="174"/>
      <c r="B34" s="97" t="s">
        <v>144</v>
      </c>
      <c r="C34" s="99">
        <f>Cenik_komodit!D28</f>
        <v>36000</v>
      </c>
      <c r="D34" s="67"/>
      <c r="E34" s="120">
        <f t="shared" si="6"/>
        <v>0</v>
      </c>
      <c r="F34" s="67"/>
      <c r="G34" s="120">
        <f t="shared" si="7"/>
        <v>0</v>
      </c>
    </row>
    <row r="35" spans="1:7" ht="15">
      <c r="A35" s="174"/>
      <c r="B35" s="97" t="s">
        <v>134</v>
      </c>
      <c r="C35" s="99">
        <f>Cenik_komodit!D31</f>
        <v>102516</v>
      </c>
      <c r="D35" s="67"/>
      <c r="E35" s="120">
        <f t="shared" si="6"/>
        <v>0</v>
      </c>
      <c r="F35" s="67"/>
      <c r="G35" s="120">
        <f t="shared" si="7"/>
        <v>0</v>
      </c>
    </row>
    <row r="36" spans="1:7" s="2" customFormat="1" ht="15.75" thickBot="1">
      <c r="A36" s="192"/>
      <c r="B36" s="94" t="s">
        <v>27</v>
      </c>
      <c r="C36" s="101"/>
      <c r="D36" s="68"/>
      <c r="E36" s="38">
        <f>SUM(E30:E35)</f>
        <v>0</v>
      </c>
      <c r="F36" s="68"/>
      <c r="G36" s="38">
        <f>SUM(G30:G35)</f>
        <v>0</v>
      </c>
    </row>
    <row r="37" spans="1:7" ht="15">
      <c r="A37" s="172" t="s">
        <v>18</v>
      </c>
      <c r="B37" s="92" t="s">
        <v>85</v>
      </c>
      <c r="C37" s="99">
        <f>Cenik_komodit!D16</f>
        <v>262884.6</v>
      </c>
      <c r="D37" s="66"/>
      <c r="E37" s="17">
        <f aca="true" t="shared" si="8" ref="E37:E42">D37*$C37</f>
        <v>0</v>
      </c>
      <c r="F37" s="66"/>
      <c r="G37" s="17">
        <f aca="true" t="shared" si="9" ref="G37:G42">F37*$C37</f>
        <v>0</v>
      </c>
    </row>
    <row r="38" spans="1:7" ht="15">
      <c r="A38" s="173"/>
      <c r="B38" s="92" t="s">
        <v>86</v>
      </c>
      <c r="C38" s="99">
        <f>Cenik_komodit!D17</f>
        <v>142550.1</v>
      </c>
      <c r="D38" s="67"/>
      <c r="E38" s="120">
        <f t="shared" si="8"/>
        <v>0</v>
      </c>
      <c r="F38" s="67"/>
      <c r="G38" s="120">
        <f t="shared" si="9"/>
        <v>0</v>
      </c>
    </row>
    <row r="39" spans="1:7" ht="15">
      <c r="A39" s="173"/>
      <c r="B39" s="92" t="s">
        <v>87</v>
      </c>
      <c r="C39" s="99">
        <f>Cenik_komodit!D18</f>
        <v>168468.3</v>
      </c>
      <c r="D39" s="67"/>
      <c r="E39" s="120">
        <f t="shared" si="8"/>
        <v>0</v>
      </c>
      <c r="F39" s="67"/>
      <c r="G39" s="120">
        <f t="shared" si="9"/>
        <v>0</v>
      </c>
    </row>
    <row r="40" spans="1:7" ht="15">
      <c r="A40" s="173"/>
      <c r="B40" s="92" t="s">
        <v>121</v>
      </c>
      <c r="C40" s="99">
        <f>Cenik_komodit!D32</f>
        <v>104400</v>
      </c>
      <c r="D40" s="67"/>
      <c r="E40" s="120">
        <f t="shared" si="8"/>
        <v>0</v>
      </c>
      <c r="F40" s="67"/>
      <c r="G40" s="120">
        <f t="shared" si="9"/>
        <v>0</v>
      </c>
    </row>
    <row r="41" spans="1:7" ht="15">
      <c r="A41" s="174"/>
      <c r="B41" s="96" t="s">
        <v>20</v>
      </c>
      <c r="C41" s="99">
        <f>Cenik_komodit!D33</f>
        <v>261360</v>
      </c>
      <c r="D41" s="67"/>
      <c r="E41" s="120">
        <f t="shared" si="8"/>
        <v>0</v>
      </c>
      <c r="F41" s="67"/>
      <c r="G41" s="120">
        <f t="shared" si="9"/>
        <v>0</v>
      </c>
    </row>
    <row r="42" spans="1:7" ht="15">
      <c r="A42" s="174"/>
      <c r="B42" s="96" t="s">
        <v>19</v>
      </c>
      <c r="C42" s="103">
        <v>100000</v>
      </c>
      <c r="D42" s="67"/>
      <c r="E42" s="120">
        <f t="shared" si="8"/>
        <v>0</v>
      </c>
      <c r="F42" s="67"/>
      <c r="G42" s="120">
        <f t="shared" si="9"/>
        <v>0</v>
      </c>
    </row>
    <row r="43" spans="1:7" s="2" customFormat="1" ht="15.75" thickBot="1">
      <c r="A43" s="175"/>
      <c r="B43" s="93" t="s">
        <v>21</v>
      </c>
      <c r="C43" s="101"/>
      <c r="D43" s="44"/>
      <c r="E43" s="49">
        <f>SUM(E37:E42)</f>
        <v>0</v>
      </c>
      <c r="F43" s="44"/>
      <c r="G43" s="49">
        <f>SUM(G37:G42)</f>
        <v>0</v>
      </c>
    </row>
    <row r="44" spans="1:7" ht="33" customHeight="1">
      <c r="A44" s="186" t="s">
        <v>110</v>
      </c>
      <c r="B44" s="187"/>
      <c r="C44" s="188"/>
      <c r="D44" s="83"/>
      <c r="E44" s="17">
        <v>0</v>
      </c>
      <c r="F44" s="83"/>
      <c r="G44" s="17">
        <v>0</v>
      </c>
    </row>
    <row r="45" spans="1:7" ht="15">
      <c r="A45" s="183" t="s">
        <v>113</v>
      </c>
      <c r="B45" s="184"/>
      <c r="C45" s="185"/>
      <c r="D45" s="67"/>
      <c r="E45" s="120">
        <f>E43+E36+E29+E24+E17+E10</f>
        <v>157933.8</v>
      </c>
      <c r="F45" s="67"/>
      <c r="G45" s="120">
        <f>G43+G36+G29+G24+G17+G10</f>
        <v>0</v>
      </c>
    </row>
    <row r="46" spans="1:7" ht="15.75" thickBot="1">
      <c r="A46" s="196" t="s">
        <v>111</v>
      </c>
      <c r="B46" s="197"/>
      <c r="C46" s="198"/>
      <c r="D46" s="67"/>
      <c r="E46" s="120">
        <f>E45*0.1</f>
        <v>15793.38</v>
      </c>
      <c r="F46" s="67"/>
      <c r="G46" s="120">
        <f>G45*0.1</f>
        <v>0</v>
      </c>
    </row>
    <row r="47" spans="1:7" ht="15.75" thickBot="1">
      <c r="A47" s="189" t="s">
        <v>112</v>
      </c>
      <c r="B47" s="190"/>
      <c r="C47" s="191"/>
      <c r="D47" s="105"/>
      <c r="E47" s="124">
        <f>E45+E46+E44</f>
        <v>173727.18</v>
      </c>
      <c r="F47" s="105"/>
      <c r="G47" s="124">
        <f>G45+G46+G44</f>
        <v>0</v>
      </c>
    </row>
    <row r="48" spans="1:7" s="51" customFormat="1" ht="15.75" thickBot="1">
      <c r="A48" s="193" t="s">
        <v>125</v>
      </c>
      <c r="B48" s="194"/>
      <c r="C48" s="195"/>
      <c r="D48" s="84" t="s">
        <v>148</v>
      </c>
      <c r="E48" s="125">
        <v>200000</v>
      </c>
      <c r="F48" s="84" t="s">
        <v>148</v>
      </c>
      <c r="G48" s="125" t="s">
        <v>159</v>
      </c>
    </row>
    <row r="49" spans="1:6" ht="15">
      <c r="A49" t="s">
        <v>153</v>
      </c>
      <c r="D49" s="112">
        <v>1</v>
      </c>
      <c r="F49" s="112">
        <v>1</v>
      </c>
    </row>
    <row r="50" spans="1:7" ht="15">
      <c r="A50" t="s">
        <v>154</v>
      </c>
      <c r="D50" s="112"/>
      <c r="E50" s="158">
        <v>42658</v>
      </c>
      <c r="F50" s="112"/>
      <c r="G50" s="158" t="s">
        <v>160</v>
      </c>
    </row>
    <row r="51" spans="4:6" ht="15">
      <c r="D51" s="112"/>
      <c r="F51" s="112"/>
    </row>
  </sheetData>
  <sheetProtection/>
  <mergeCells count="13">
    <mergeCell ref="D2:E2"/>
    <mergeCell ref="F2:G2"/>
    <mergeCell ref="A4:A10"/>
    <mergeCell ref="A45:C45"/>
    <mergeCell ref="A46:C46"/>
    <mergeCell ref="A47:C47"/>
    <mergeCell ref="A48:C48"/>
    <mergeCell ref="A11:A17"/>
    <mergeCell ref="A18:A24"/>
    <mergeCell ref="A25:A29"/>
    <mergeCell ref="A30:A36"/>
    <mergeCell ref="A37:A43"/>
    <mergeCell ref="A44:C44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Pavlinec Petr</dc:creator>
  <cp:keywords/>
  <dc:description/>
  <cp:lastModifiedBy>Pavlinec Petr</cp:lastModifiedBy>
  <dcterms:created xsi:type="dcterms:W3CDTF">2016-04-09T05:49:13Z</dcterms:created>
  <dcterms:modified xsi:type="dcterms:W3CDTF">2016-09-14T11:47:43Z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