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60" windowWidth="16896" windowHeight="9996" tabRatio="599" activeTab="0"/>
  </bookViews>
  <sheets>
    <sheet name="Popis variant" sheetId="1" r:id="rId1"/>
    <sheet name="Výsledky variant" sheetId="2" r:id="rId2"/>
    <sheet name="Náklady oblastí" sheetId="3" r:id="rId3"/>
    <sheet name="Počty pracovišť" sheetId="4" r:id="rId4"/>
    <sheet name="Kontrola" sheetId="5" r:id="rId5"/>
    <sheet name="Svodka" sheetId="6" r:id="rId6"/>
    <sheet name="1 OP - Informační základna" sheetId="7" r:id="rId7"/>
    <sheet name="2 OP - Provoz" sheetId="8" r:id="rId8"/>
    <sheet name="3 OP - Řízení kvality" sheetId="9" r:id="rId9"/>
    <sheet name="4 OP - Výstavba" sheetId="10" r:id="rId10"/>
    <sheet name="5 OP - Struktura, org. a říz." sheetId="11" r:id="rId11"/>
    <sheet name="6 OP - Rozvoj a koordinace" sheetId="12" r:id="rId12"/>
    <sheet name="7 OP - Výkon a rozsah" sheetId="13" r:id="rId13"/>
  </sheets>
  <definedNames>
    <definedName name="_xlnm._FilterDatabase" localSheetId="6" hidden="1">'1 OP - Informační základna'!$A$3:$P$51</definedName>
    <definedName name="_xlnm._FilterDatabase" localSheetId="10" hidden="1">'5 OP - Struktura, org. a říz.'!$A$3:$Q$69</definedName>
    <definedName name="_xlnm._FilterDatabase" localSheetId="12" hidden="1">'7 OP - Výkon a rozsah'!$A$3:$N$26</definedName>
    <definedName name="_xlnm._FilterDatabase" localSheetId="4" hidden="1">'Kontrola'!$A$4:$G$225</definedName>
    <definedName name="_xlnm._FilterDatabase" localSheetId="2" hidden="1">'Náklady oblastí'!$A$11:$W$124</definedName>
    <definedName name="_xlnm.Print_Titles" localSheetId="2">'Náklady oblastí'!$11:$11</definedName>
    <definedName name="_xlnm.Print_Area" localSheetId="6">'1 OP - Informační základna'!$C$1:$I$49</definedName>
    <definedName name="_xlnm.Print_Area" localSheetId="7">'2 OP - Provoz'!$C$1:$I$49</definedName>
    <definedName name="_xlnm.Print_Area" localSheetId="8">'3 OP - Řízení kvality'!$C$1:$I$50</definedName>
    <definedName name="_xlnm.Print_Area" localSheetId="9">'4 OP - Výstavba'!$C$1:$I$50</definedName>
    <definedName name="_xlnm.Print_Area" localSheetId="10">'5 OP - Struktura, org. a říz.'!$C$1:$I$50</definedName>
    <definedName name="_xlnm.Print_Area" localSheetId="11">'6 OP - Rozvoj a koordinace'!$C$1:$I$50</definedName>
    <definedName name="_xlnm.Print_Area" localSheetId="12">'7 OP - Výkon a rozsah'!$C$1:$I$50</definedName>
    <definedName name="_xlnm.Print_Area" localSheetId="2">'Náklady oblastí'!$A$2:$F$123</definedName>
  </definedNames>
  <calcPr fullCalcOnLoad="1"/>
</workbook>
</file>

<file path=xl/sharedStrings.xml><?xml version="1.0" encoding="utf-8"?>
<sst xmlns="http://schemas.openxmlformats.org/spreadsheetml/2006/main" count="1950" uniqueCount="606">
  <si>
    <t>Zvýšení kvalitativních parametrů poskytovaných služeb (včetně výkonu služby). Jednotlivé služby je možné důsledně kvantifikovat a na základě srovnatelnosti posuzovat jejich naplňování.</t>
  </si>
  <si>
    <t>Katalog služeb</t>
  </si>
  <si>
    <t xml:space="preserve"> Zavedení katalogu služeb a jejich kvantifikace. Sestavení a zavedení katalogu služeb s jejich kvantitativními a kvalitativními ukazateli"</t>
  </si>
  <si>
    <t>Jedno institucionální řešení</t>
  </si>
  <si>
    <t>V5</t>
  </si>
  <si>
    <t>Odhad ceny:</t>
  </si>
  <si>
    <t>Cluster:</t>
  </si>
  <si>
    <t>CL-7</t>
  </si>
  <si>
    <t>CL-9</t>
  </si>
  <si>
    <t>CL-5</t>
  </si>
  <si>
    <t>CL-6</t>
  </si>
  <si>
    <t>CL-2</t>
  </si>
  <si>
    <t>CL-10</t>
  </si>
  <si>
    <t>CL-12</t>
  </si>
  <si>
    <t>CL-3</t>
  </si>
  <si>
    <t>CL-13</t>
  </si>
  <si>
    <t>CL-4</t>
  </si>
  <si>
    <t>CL-11</t>
  </si>
  <si>
    <t>CL-8</t>
  </si>
  <si>
    <t>Ve vazbě na statutární postavení pracoviště CIP ( pracoviště v majetku kraje zapůjčené k užívání dalším složkám) je třeba mít podchycené a dopracované evidence majetku a výkaznictví nákladů (komunikační poplatky, elektřina, ...). Jde o formu pronájmu nebo nakádání se svěřeným majetkem.</t>
  </si>
  <si>
    <t>Pro jednotlivé složky a v rámci systému IZS a návazně ISKŘ je třeba mít k dispozici robustní řešení vhodně dimenzované. Od potenciálních rizik se situací v teritoriu a ve vztahu k statistikám provozu je třeba dimenzovat jak konektivitu, tak zabezpečení ASW. S tím souvisí i zabezpečování servisu.</t>
  </si>
  <si>
    <t xml:space="preserve"> Stav zabezpečení služeb při použití minimalizovaných početní stavů na jednotlivých pracovištích a  při zachování potřebné úrovně, rychlosti a kvality těchto služeb. Vazba na minimalizace ostatních zdrojů ve složkách (ekonomika, technologie, síly a prostředky pro zásah).Důvody integrace nejsou v alokaci pracovišť do jedné budovy, ale zvyšování kvality služeb. Jedním ze základních přínosů prostorové integrace je zabezpečení koordinovaného rozvoje jednotlivých oblastí mezi sebou - to se odrazí ve vývoji SW."</t>
  </si>
  <si>
    <t xml:space="preserve"> Umožnit v rámci IZS sledovat ve vztahu k řešeným TIV statusy MU, pozice a statusy vozidel složek zasahujících u součinnostních akcí. Současně řešit napojení na sledování průjezdnosti silnic."</t>
  </si>
  <si>
    <t xml:space="preserve"> Je třeba vytvořit podmínky pro parametrizaci jednotlivých možných postupů, případně projektů a na základě toho hledat optimální variantu, která bude reprezentovat nejvhodnější dosahování stanovených parametrů. Jde tedy o výběr varianty řešení a postupu na základě parametrizace, posouzení jednotlivých aspektů a doporučení postupu pro realizaci. Obdobným způsobem je třeba přistupovat k řešení vlastních realizačních projektů."</t>
  </si>
  <si>
    <t>Ve vztahu k synergii jednotlivých složek je třeba zabezpečovat koncepční řešení použití bezpečnostních složek pro spolupráci nad problematikou bezpečnosti a pořádku. Z toho pohledu je třeba definovat pravidla kooperace jednotlivých MP mezi sebou a jejich spolupráce se složkami.</t>
  </si>
  <si>
    <t>Parametrizace variant - náklady oblastí</t>
  </si>
  <si>
    <t>CL-1</t>
  </si>
  <si>
    <t>Rovzvoj využití kamerových systémů pro dohledový systém v teritoriu. Přímá vazba na systémy S1.</t>
  </si>
  <si>
    <t xml:space="preserve"> Snaha sloučit výkon jednotlivých služeb do jednoho institucionálního řešení. Na základě standardizace postupů a vytváření spoečného jádra pro poskytování služeb by při nevhodné interpretaci mohl vzniknout dojem, že stačí vytvořit jeden orgán  jednu roli =  univerzální záchranář. Není vhodné sloučit výkon jednotlivých služeb do jednoho institucionálního řešení, ale je vhodné najít jejich společné prvky, které naopak takovou koordinaci vyžadují."</t>
  </si>
  <si>
    <t>Rozvoj dosažitelnosti a služeb</t>
  </si>
  <si>
    <t xml:space="preserve"> Soustava opatření vedoucích k rozvoji a zdokonalení služeb souvisejících s IZS a bezpečností v teritoriu."</t>
  </si>
  <si>
    <t>Rychlost a kvalita služeb</t>
  </si>
  <si>
    <t xml:space="preserve"> Rozvoj rychlosti a kvality odezvy na požadavky služeb. Soustava opatření vedoucí k rozvoji rychlosti a kvality odezvy na požadované služby ( od MU přes KS až po informační a systémovou podporu)."</t>
  </si>
  <si>
    <t>Nestandardní situace TIV</t>
  </si>
  <si>
    <t xml:space="preserve"> Vytvoření podmínek pro řešení nestandardních situací v souvislosti s TIV (vytěžení a vyhodnocování a podpůrné nástroje k tomu). TIV je vždy nestandardní situace, nelze ji celou vměstnat do postupového schématu. Vždy zde bude odlišnost od stanovených a standardizovaných postupů a bude záviset na sofistikovanosti dispečera, jak dokáže improvizovaně modifikovat standardní postupy tak, aby vedly k naplnění požadované odezvy."</t>
  </si>
  <si>
    <t>Principy koordinace v rámci IZS</t>
  </si>
  <si>
    <t xml:space="preserve"> Zpracování katalogu služeb, u nichž budou definovány jednotlivé postupy, informační obsah a členění, doplnění o informace ze společných i specializovaných číselníků. Dále u nich budou definovány metriky pro jejich hiodnocení a systémové vazby (vstupy, výstupy a zpracování). Tyto popisy budou v rámci IZS k dispozici všem složkám zahrnutým do systému."</t>
  </si>
  <si>
    <t>Definice, rozsah a parametry služeb</t>
  </si>
  <si>
    <t xml:space="preserve"> Posuzování služeb jednotlivých pracovišť souvisejících s IZS, služeb složek (definované ze zákona). Definice, popis, výklad, nastavení, standardizace (alespoň společného průniku), definování pravidel součinnosti a jejich systémová implementace."</t>
  </si>
  <si>
    <t>Definování služeb KŘ</t>
  </si>
  <si>
    <t xml:space="preserve"> Definice služeb (katalogu služeb) vyplývajících z profilu zpracovaných krizových plánů v teritoriu."</t>
  </si>
  <si>
    <t>Definice služeb v rámci MU</t>
  </si>
  <si>
    <t>Definice služeb (vnitřních i vnějších) na úrovni katalogu služeb (pro pokrytí potřeb v souvislosti s MU).</t>
  </si>
  <si>
    <t xml:space="preserve"> Koordinace plynoucí z požadavků na zabezpečení jednotlivých služeb (ve správní činnosti i bezpečnostní situaci) ve vazbě na státní správu a odborná pracoviště rozvoje SW aplikací v dané oblasti. Orientace na podporu rozhodování, podporu operačních postupů, správních povinností, plánování, statistik a výkaznictví. Sjednocování požadavků dle typových postupů a jednotlivých rolí."</t>
  </si>
  <si>
    <t>Postupy řešení KS</t>
  </si>
  <si>
    <t xml:space="preserve"> Vytvoření a implementace postupů akceptujících obsah krizových plánů a umožňujících využívat s tím související potřebnou informační podporu. Na základě toho priorizovat technologické, informační a řídící nástroje umožňující průřezové pokrytí potřebného profilu z hlediska specifik obhospodařovaného teritoria."</t>
  </si>
  <si>
    <t>Všechny užívané systémy jsou vybaveny prostředky pro dokumentaci zachycení, zpracování TIV a realizaci zásahu. Na základě toho využít společného profilu k vzájemné informovanosti jak o situacích probíhajících, tak proběhlých (v rozsahu odpovídajícímu služebním předpisům složek). U složek zřizovaných krajem užít procesního přístupu k popisu současného i budoucího stavu a z něj vyplývajících informačních toků.</t>
  </si>
  <si>
    <t>Monitoring služeb</t>
  </si>
  <si>
    <t xml:space="preserve"> Užití systému monitoringu služeb, statistik a výkaznictví. Na základě dokladování z jednotlivých systémů získávat informace o tom co, kdo, kdy, jak řešil. Tyto informace poskytovat pro centrální vyhodnocení na pracoviště IZS a současně pro vzájemné informování na jednotlivá pracoviště složek. Tyto informace je využívat v monitorovacím systému."</t>
  </si>
  <si>
    <t>Přehled o stavu služeb</t>
  </si>
  <si>
    <t xml:space="preserve"> Zabezpečení přehledu o stavu poskytovaných služeb. Vytvoření podmínek pro realizaci přehledu o službách, které jsou v rámci bezpečnosti teritoria zajišťovány."</t>
  </si>
  <si>
    <t>Zamezení dvojkolejnosti řešení MU / KS</t>
  </si>
  <si>
    <t xml:space="preserve"> Užívání jasně definovaných eskalačních mechanismů MU na KS a zamezení dvojího přístupu k řešení situace. MU vyhodnocuje společný tým (smíšený z jednotlivých složek), vyhodnocuje, posuzuje, řeší a monitoruje MU a přehledovou situaci a na základě toho přiřazuje daným MU příslušné statusy. Monitoruje stav a reaguje n vytváření KS."</t>
  </si>
  <si>
    <t>Přerůstání MU na KS</t>
  </si>
  <si>
    <t>Způsoby a aplikace hodnocení přerůstání MU na KS. Potřeba jednotlivých dnes odloučených týmů jednotlivých složek domluvit se na stejném vyhodnocení situace. Pokud není stejná dislokace (vizuální a verbální kontakt), propracovaná technologická a systémová podpora, může z interpretace jednotlivých složek vyplynout odlišné vyhodnocení situace.</t>
  </si>
  <si>
    <t>Výběr dat pro sdílení</t>
  </si>
  <si>
    <t xml:space="preserve"> Přehled o zpracovávaných informacích / datech. Jejich priorizace, klasifikace a návrh na sdílení. Využití těchto informací pro celkový popis přehledové bezpečnostní situace v teritoriu a jejich uplatnění pro metriky v provozně řídícím modelu přehledové bezpečnostní situace v teritoriu.</t>
  </si>
  <si>
    <t>Využití zdrojů</t>
  </si>
  <si>
    <t>Stav využití zdrojů v návaznosti na katalog služeb s definovnými náležitostmi. Jde o to, aby jednotlivé služby nebyly zabezpečovány redundantně resp. aby některé služby nebyly pokryty zdroji.</t>
  </si>
  <si>
    <t>Využití společných podkladů</t>
  </si>
  <si>
    <t xml:space="preserve"> Stav sjednocení základních principů výkonu služby, společných informačních složek, jejich pořizování, validování, jejich homogenizace a interpretace. V těchto oblastech základů společných služeb lze dospět k racionalizaci a zlepšení odezvy na TIV."</t>
  </si>
  <si>
    <t>Alokace pracovišť</t>
  </si>
  <si>
    <t xml:space="preserve"> Význam dislokace jednotlivých pracovišť z pohledu koordinace informací o stavu a řešení jednotlivých TIV je rozhodující. Je třeba vytvořit jednotící kriteria pro sdílení informací a vytváření postupů pro jejich využití."</t>
  </si>
  <si>
    <t xml:space="preserve"> Stav národního řešení a jeho dopad do teritoriálního uspořádání. v ČR není v jednotlivých krajích stejné technologické vybavení, nezmění se dramaticky (viz koncepční plány rezortů),   národní koordinaace koncepce v dané oblasti je v počátcích,   jsou velké odlišnosti v úrovni a kvalitě zásahu, soupeří vůle ke zvýšení kvality a principů proti zaběhnutým osvědčeným pravidlům při stávajících ekonomických možnostech."</t>
  </si>
  <si>
    <t>Nejednotný režim pracovišť</t>
  </si>
  <si>
    <t>přiřazen Harmonogram</t>
  </si>
  <si>
    <t>Oblast podmínek:</t>
  </si>
  <si>
    <t>Rámcový popis:</t>
  </si>
  <si>
    <t>Vztah k variantě:</t>
  </si>
  <si>
    <t>Provoz při specifikovaných podmínkách dislokace pracovišť</t>
  </si>
  <si>
    <t>Výstavba nových prostor</t>
  </si>
  <si>
    <t>Naplnění prostorových požadavků a potřeb zabezpečení technologické platformy pro jádro systému, jednotlivé aplikace složek a jednotlivé aplikace správních agend</t>
  </si>
  <si>
    <t>Použití stávajících prostor jednotlivých pracovišť</t>
  </si>
  <si>
    <t>Využití stávajících prostor pro alokaci technologických celků</t>
  </si>
  <si>
    <t>Integrace týmů dispečerů</t>
  </si>
  <si>
    <t>Provoz při specifických podmínkách týmové práce</t>
  </si>
  <si>
    <t>Týmová práce ve smíšených týmech dispečerů</t>
  </si>
  <si>
    <t>Tým dispečerů skládající se z pracovníků základních složek IZS, v případě krize posílený o další pracovníky.</t>
  </si>
  <si>
    <t>Jednotlivé oddělené týmy dispečerů složek</t>
  </si>
  <si>
    <t>Oddělené týmy dispečerů</t>
  </si>
  <si>
    <t>Technologická integrace</t>
  </si>
  <si>
    <t>Provoz při specifických podmínkách užití společných technologických prvků jádra systému</t>
  </si>
  <si>
    <t>Jádro systému společné</t>
  </si>
  <si>
    <t>Každá složka vlastní jádro</t>
  </si>
  <si>
    <t>Informační integrace</t>
  </si>
  <si>
    <t>Podmínky provozu ve vztahu k využití informací v systému</t>
  </si>
  <si>
    <t>Výměna povinných a vybraných dat</t>
  </si>
  <si>
    <t>Sdílení povinných a vybraných dat</t>
  </si>
  <si>
    <t>Rozvoj</t>
  </si>
  <si>
    <t>Vlastní aktivity</t>
  </si>
  <si>
    <t>Vlastní aktivity v návaznosti na státní projekty</t>
  </si>
  <si>
    <t>Pouze aktivity v návaznosti na státní projekty</t>
  </si>
  <si>
    <t>Koordinace rozvoje v souvislosti s centrálně řízenými projekty (ISKŘ, JSDI, eCall, eCheckPoint apod.), bez prostorové integrace, bez smíšených týmů, každý na svém systému, s výměnou povinných dat, bez aktivit ve vlastním rozvoji, pouze v návaznosti na státní / resortní rozvoj.</t>
  </si>
  <si>
    <t xml:space="preserve"> Je třeba zavést standardizovaná pravidla pro jednotlivá pracoviště vycházející z podstaty výkonu služby, požadavků a potřeb na součinnost složek. Pracoviště musí mít stanovený režim = stejný v klíčových bodech vzájemné informovanost a koordinace. Je vhodné oddělení příjmu TIV od vysílání sil a prostředků (v časově napjatých situacích dochází k oddálení zásahu i součinnostní v zásahu)."</t>
  </si>
  <si>
    <t>Požadavky a důsledky integrace</t>
  </si>
  <si>
    <t>Využití stávajících technologií, jejichž koncepce, realizace a využívání předstaavuje rezervy do budoucna (z hlediska dalšího využití).</t>
  </si>
  <si>
    <t>Základní vybavení:</t>
  </si>
  <si>
    <t>Nárůst:</t>
  </si>
  <si>
    <t>Aktivity v regionálních projektech v návaznosti na státní projekty</t>
  </si>
  <si>
    <t>Clustery:</t>
  </si>
  <si>
    <t xml:space="preserve"> Stav zabezpečení služeb při použití minimalizovaných početní stavů na jednotlivých pracovištích a  při zachování potřebné úrovně, rychlosti a kvality těchto služeb. Vazba na minimalizace ostatních zdrojů ve složkách (ekonomika, technologie, síly a prostředky pro zásah).Důvody integrace nejsou v alokaci pracovišť do jedné budovy, ale zvyšování kvality služeb. Jedním ze základních přínosů DI je zabezpečení koordinovaného rozvoje jednotlivých oblastí mezi sebou - to se odrazí ve vývoji SW."</t>
  </si>
  <si>
    <t>Stav automatizační podpory</t>
  </si>
  <si>
    <t xml:space="preserve"> Stav automatizační podpory jednotlivých činností složek v rámci poskytování služeb v oblasti řízení bezpečnosti v teritoriu. Podstatou řešení je vytvoření robustní informační podpory pro soustavu služeb souvisejících s bezpečnostní situací v teritoriu. V tom je obsažena jak homogenizace a konsolidace informací k této problematice, tak vazba na racionální využívání zdrojů při maximalizaci výstupů."</t>
  </si>
  <si>
    <t>Datová konsolidace</t>
  </si>
  <si>
    <t>Stav datové konsolidace. Datová konsolidace vychází z předpokladu katalogu služeb, ve kterém jsou popsány tyto služby, jejich vstupy a výstupy a jejich požadavky na distribuci ( za účelem kooperace jednotlivých složek IZS, orgánů regionální a státní správy). Je významnou podmínkou synergie mezi složkami, je podmíněna HW konsolidací a konsolidací funkcionalit ASW.v dnešní době stačí datová konsolidace</t>
  </si>
  <si>
    <t>Vzájemná informovanost ve složkách</t>
  </si>
  <si>
    <t>Stav vzájemné informovanosti ve složkách o statusu a řešení TIV. Je třeba, aby informace o řešení MU identifikované na základě TIV byla zobrazena v systémech všech složek a aktuálně byla doplňována o další souvislosti dle poznatků z činnosti jednotlivých složek. Řešení na úrovni předávání datové věty pro všechny složky.</t>
  </si>
  <si>
    <t>Výběr řešení a aplikací</t>
  </si>
  <si>
    <t xml:space="preserve"> Vytvoření podmínek pro sledování současného stavu a úrovně poskytovaných služeb v jednotlivých složkách. Na základě toho vytvářet přehled o požadavcích a možnostech jejich naplňování z hlediska ASW. Dle toho se orientovat na trhu ASW a v dodavatelsko odběratelských vztazích. Dle možností vybírat a koordinovat implementaci potřebného řešení.</t>
  </si>
  <si>
    <t>Nejednotný přístup k MP</t>
  </si>
  <si>
    <t>MP je městským orgánem, není jednotný přístup měst - pouze na úrovni koordinace, není jednotný vztah MP a centra (PČR, MV)</t>
  </si>
  <si>
    <t>Systémová integrace</t>
  </si>
  <si>
    <t>Zabezpečení systémových vazeb mezi jednotlivými aplikacemi jak uvnitř, tak vně systému. Současně provozní a organizační navázání problematiky na sebe.</t>
  </si>
  <si>
    <t>Ekonomické parametry</t>
  </si>
  <si>
    <t xml:space="preserve"> Stav posuzování vytvářené přidané hodnoty služeb plynoucích z činnosti složek IZS a složek KŘ v teritoriu, naplňování požadavků na přehledovou bezpečnostní situaci teritoria. Stav posuzování dopadu těchto parametrů do ekonomické oblasti v členění provozní náklady, investiční náklady včetně časového hlediska."</t>
  </si>
  <si>
    <t>Zabezpečení kvalitní podpory složek</t>
  </si>
  <si>
    <t>Využití potenciálu rozvoje s cílem kvalitního zabezpečení výkonu služby jednotlivých složek.</t>
  </si>
  <si>
    <t>Stav systémových problémů</t>
  </si>
  <si>
    <t>Svodka Operačního plánu rozvoje IZS a KŘ kraje Vysočina</t>
  </si>
  <si>
    <t xml:space="preserve"> Stav připravenosti složek (zejména PČR a ZZS, KSUS) na technologické a provozní změny související s integrací. Tento stav podmiňuje aktivity, které je třeba provést v souvislosti s potřebou kvalitativního zlepšování poskytovaných služeb. Týká se to oblasti jak služebních postupů, tak organizační struktury a technologické infrastruktury."</t>
  </si>
  <si>
    <t>Podklady pro řešení změn</t>
  </si>
  <si>
    <t xml:space="preserve"> Podklady pro řešení variant (projektů v nich). Je třeba připravovat jednotlivé změny v systémových řešeních složek tak, aby byla koordinovaná a vzájemně na sebe navazovala. Tím bude dosaženo synergie jednotlivých zlepšení a současně zabezpečeny podmínky vedoucí k jejich realizovatelnosti."</t>
  </si>
  <si>
    <t>Smíšené dispečerské týmy</t>
  </si>
  <si>
    <t xml:space="preserve"> Pokud dispečerská pracoviště jednotlivých složek nebudou soustředěna na jednom pracovišti dojde ke ztrátě synergie při řešení. Nejedná se pouze o součinnost (vyžádanou), nýbrž synergii, která se vytváří již při nabírání TIV (příposlech, gestikulace, osobní pozornost...). Utajované skutečnosti lze přímo předávat na úroveň OŘ ( oddělená pracoviště)."</t>
  </si>
  <si>
    <t>Nejednotný přístup k ZZS</t>
  </si>
  <si>
    <t>Nejsou stanovena jednoznačná pravidla k přístupu zabezpečení ZZS v jednotlivých krajích a teritoriích na shodných principech.</t>
  </si>
  <si>
    <t>Rozdělení práce - role</t>
  </si>
  <si>
    <t>V rámci pracovišť je třeba mít jasně rozdělené role = postupy naplnění prací pro jednotlivá pracovišťe. Jde o to, aby pracoviště plnila svou funkci, pro kterou jsou dedikována a současně měla dostatečnou kompetenci a průchodnost</t>
  </si>
  <si>
    <t>Provozní podmínky budovy</t>
  </si>
  <si>
    <t>Koordinace řešení služeb IZS s potřebami a podmínkami navazujícího provozu budovy, ve které jsou celky IZS umístěny.</t>
  </si>
  <si>
    <t>OP - Katalog prostor IZS a KŘ kraje</t>
  </si>
  <si>
    <t>Základní evidence prostor s  analytickými možnostmi posouzení jejich využitelnosti, plán využití prostor do r. 2015 (IZS generel, KŘ generel)</t>
  </si>
  <si>
    <t>OP - Katalog informací</t>
  </si>
  <si>
    <t>Přehled informací potřebných pro IZS a KŘ v teritoriu kraje, porovnání jejich potřebnosti / využitelnosti, dostupnost - současný stav a výhled, přehled správců informací, způsoby validace, způsoby a periodicita aktualizace, smlouvy o přístupu / předání dat</t>
  </si>
  <si>
    <t>OP - Katalog legislativy</t>
  </si>
  <si>
    <t>Přehled platné legislativy pro všechny zúčastněné strany (zákony, interní předpisy apod.), jejich plná znění, výklad, aplikace v procesech složek, jejich aktualizace a promítání do procesů, zveřejňování změn</t>
  </si>
  <si>
    <t>OP - Informační a datové toky CIP</t>
  </si>
  <si>
    <t>Model informačních toků a dat v rámci CIP, definice práv k užívání technologických i datových struktur jednotlivými složkami IZS.</t>
  </si>
  <si>
    <t>OP - Katalog modelů řešení MU / KS</t>
  </si>
  <si>
    <t>Realizace a využívání katalogu standardizovaných řešení mimořádných událostí v objektech zařazených dle zákona č. 353/1999 Sb.</t>
  </si>
  <si>
    <t>OP - Katalog služeb</t>
  </si>
  <si>
    <t>Definice a základní souvislosti poskytovaných služeb, vazba na ISLA nebo SLA, podmínyk a parametry služby, technologická podpora služby.</t>
  </si>
  <si>
    <t>Průřezové oblasti</t>
  </si>
  <si>
    <t>Název:</t>
  </si>
  <si>
    <t>Popis:</t>
  </si>
  <si>
    <t>Přehled oblastí a domén opatření - 1 - Informační základna</t>
  </si>
  <si>
    <t>Přehled oblastí a domén opatření - 2 Provoz</t>
  </si>
  <si>
    <t>OP - Statistiky plnění úkolů složek IZS a KŘ</t>
  </si>
  <si>
    <t>Evidence množství a úrovně plnění úkolů složek IZS a krizového řízení ve vazbě na platnou legislativu, přehled povinností / úkolů plynoucích z legislativy, vazba na procesy v jednotlivých složkách, statistické zpracování, příprava metodiky statistik, interpretace výstupů ze statistik, zveřejňování výstupů ze statistik</t>
  </si>
  <si>
    <t>OP - Evidence majetkoprávních vztahů a nakládání s majetkem</t>
  </si>
  <si>
    <t>Základní evidence majetkoprávních vztahů v rámci CIP, definice vztahů k pořízování materiálního vybavení CIP a nakládání s ním.</t>
  </si>
  <si>
    <t>OP - Finanční plánování</t>
  </si>
  <si>
    <t>Přehled postupů pro finanční plánování a sdružování finančních prostředků (investice, provoz).</t>
  </si>
  <si>
    <t>Výběr a doporučení varianty postupu</t>
  </si>
  <si>
    <t xml:space="preserve"> Je třeba vytvořit podmínky pro parametrizaci jednotlivých možných postupů, případně projektů a na základě toho hledatoptimální variantu, která bude reprezentovat nejvhodnější dosahování stanovených parametrů. Jde tedy o výběr varianty řešení a postupu na základě parametrizace, posouzení jednotlivých aspektů a doporučení postupu pro realizaci. Obdobným způsobem je třeba přistupovat k řešení vlastních realizačních projektů."</t>
  </si>
  <si>
    <t>Financování projektů v oblasti IZS a KŘ</t>
  </si>
  <si>
    <t>Problémy spojené s financováním jednotlivých projektů a jejich částí, současně volba a použití zdrojů (ČR, EU, regiony), uznatelné položky, investiční a provozní náklady.</t>
  </si>
  <si>
    <t>Podmínky pro financování</t>
  </si>
  <si>
    <t>Vytváření podmínek pro využití dostupných finančních zdrojů jak na úrovni kraje, tak státní správy a zdrojů z EU. V té souvislosti vytváření systému synergie jednotlivých projektů pro CIP IZS a Správní centrum kraje.</t>
  </si>
  <si>
    <t>Vyhodnocování ekonomických dopadů řešení TIV</t>
  </si>
  <si>
    <t>Služba má své náklady, je třeba vidět ekonomický dopad nebo špatně provedené služby = automatizační podporaa v jednotlivých blocích technologické podpory</t>
  </si>
  <si>
    <t>OP - Řízení ISLA a SLA</t>
  </si>
  <si>
    <t>Systémová podpora pro definování, nastavení a monitoring ISLA a SLA. Procesy pro jejich naplnění, Aplikační podpora a monitoring, dohledová pracoviště.</t>
  </si>
  <si>
    <t>Provozně řídící model</t>
  </si>
  <si>
    <t xml:space="preserve"> Vytváření a využívání základního konceptu provozně řídícího modelu a využití základních metrik. Základní metrikou je kvalita služby, návazně se vztahuje k dostupnosti služby a dalším. Často vytváří neřešitelné vazby ke zdrojům (zejména finančním). Proto je třeba vytvořit a využívat koordinační mechanismy zejména proti protichůdným požadavkům a nedostatečné koordinaci (informační podpora)."</t>
  </si>
  <si>
    <t>Na základu robustního konsolidovaného a sjednoceného HW a s využitím konsolidovaných prvků SW řešení na úrovni midlleware jsou vytvořeny podmínky pro prostorovou integraci. Prostorová integrace je zaměřena na vytvoření podmínek pro práci smíšených dipečerských týmú v návaznostia na operační pracoviště (příp. předsunutá operační pracoviště). Rozšířená funkcionalita pro podporu vytěžení TIV, koordinace na úrovni přímé komunikace dispečerů, rozšíření průchodnosti v rámci příjmu TIV. Vyšší podpora vytěžení a předávání TIV. Kvalitnější vnitřní komunikace. Kvalitnější systémové řízení.</t>
  </si>
  <si>
    <t>Základní metriky posuzování</t>
  </si>
  <si>
    <t xml:space="preserve"> Z jednotlivých metrik a jejich definic je třeba stanovit rozumný realistický kompromis pro jejich vzájemné nastavení ve vztahu ke globálním parametrům (ekonomika, čas. V současné době není takto řešeno a posuzováno (alespoň ne v průřezu všech složek)."</t>
  </si>
  <si>
    <t>Standary postupu a zpracování</t>
  </si>
  <si>
    <t>Jsou definovány jasné standardy postupu a zpracování informací, jejich návaznost, prametrizace a technologická návaznost.</t>
  </si>
  <si>
    <t>OP - Monitoring ekonomiky služeb</t>
  </si>
  <si>
    <t>Evidence a její systémová podpora zaměřená na sledování ekonomických parametrů a dopadů stavu a poskytování služeb v oblasti bezpečnosi v teritoriu.</t>
  </si>
  <si>
    <t>Dopady špatné lokalizace</t>
  </si>
  <si>
    <t xml:space="preserve"> Popis a lokalizace MU je nejvýznamnější částí řešení TIV. Z tohoto pohledu jsou pravidla a technologická podpora pro jednotlivé složky zásadní. Jejich stav je třeba orientovat na stajný způsob automatizované podpory lokalizace volání, validace obsahu volání, vytěžení skutkové podstaty, její klasifikace a předání informací do OŘ příslušné složky. V případě nejasností s lokalizací nemusí být místo MU vůbec nalezeno a to vede k planému výjezdu, dlouhé upřesňování lokalizace místa MU vede k blokaci přístupu ke službám IZS."</t>
  </si>
  <si>
    <t>Řešení majetkových vztahů</t>
  </si>
  <si>
    <t>Ve vazbě na statutární postavení pracoviště CIP ( pracoviště v majetku kraje zapůjčené k užívání dalším složkám) je třeba mít podchycené a dopracované evidence majetku a výkaznictví nákladů (komunikační poplatky, elektřina, ...). Jde o formu pronájmu nebo naakádání se svěřeným majetkem.</t>
  </si>
  <si>
    <t>Řízení podle cílů a rizik</t>
  </si>
  <si>
    <t xml:space="preserve"> Zpracování SWOT analýzy a výsledky pro vybranou variantu využít pro projektové řízení na základě cílů a rizik. Obdobně přistupovat k celkové informační strategii v ostatních podpůrných částech systému a jejich přípravy postupů realizace."</t>
  </si>
  <si>
    <t>Přehled oblastí a domén opatření - 3 Řízení kvality</t>
  </si>
  <si>
    <t>Přehled oblastí a domén opatření - 4 Výstavba</t>
  </si>
  <si>
    <t>Přehled oblastí a domén opatření - 5 Struktura, organizace a řízení</t>
  </si>
  <si>
    <t>Přehled oblastí a domén opatření - 6 Rozvoj a koordinace</t>
  </si>
  <si>
    <t>Přehled oblastí a domén opatření - 7 Výkon a rozsah</t>
  </si>
  <si>
    <t>Dosažitelnost služby</t>
  </si>
  <si>
    <t xml:space="preserve"> Vytvoření a implementace základních podmínek pro dosažitelnost služby v rámci ředšní MU (klíč k řešení technologické i organizační infrastruktury)."</t>
  </si>
  <si>
    <t>Rychlost odezvy</t>
  </si>
  <si>
    <t>Kontrola:</t>
  </si>
  <si>
    <t>Užití základního parametr sloužícího jako metrika pro hodnocení nastavení procesů zpracování TIV a operačního řízení.</t>
  </si>
  <si>
    <t>Vysoké kvality dispečera</t>
  </si>
  <si>
    <t>Stav a podmínky pro zabezpečení pracoviště kvalitním personálem schopným maximálně využít stávající techniku a postupy tak, aby byla služba úspěšně naplněna.</t>
  </si>
  <si>
    <t>Organizace týmu dispečerů</t>
  </si>
  <si>
    <t>Zabezpečení přechodu na přímý kontakt mezi dispečery pro nabírání TIV. V rámci týmu dispečerů je třeba nejen sdílení informací obsažených v systému, ale i vizuální kontakt pro možnost lepšího zpracování získaných informací a jejich předávání.</t>
  </si>
  <si>
    <t>Parametrické posuzování kvality služby</t>
  </si>
  <si>
    <t xml:space="preserve"> Vytvoření a nastavení kvalitativních a kvantitativních ukazatelů a jejich váhování. Pole nich je možné stanovovat priority v postupu zpracování informací."</t>
  </si>
  <si>
    <t>Sdružování rolí</t>
  </si>
  <si>
    <t>Zavedení sdružených rolí souvisí s integrací , s využíváním společných prvků podpory a společných mechanismů pro zabezpečení výkonu služby. Jedná se o nadstavbové prvky nad výkonem služby (správa IT systémů, správa sítě, správa centrálních databází a číselníků, správa GIS vrstvy Vysočina a pod.)</t>
  </si>
  <si>
    <t>Orientace na přidanou hodnotu</t>
  </si>
  <si>
    <t xml:space="preserve"> Řešení CIP je třeba orientovat na vytváření podmínek pro hledání, využívání a hodnocení přidané hodnoty jednotlivých služeb. Z tohoto pohledu je třeba klasifikovat i prostorovou integraci dispečerských pracovišť. Kvalita společného provozu vytváří v přímém kontaktu jednotlivých dispečerů podmínky pro kvalitnější poskytování služeb příslušné složky, bez omezení základních pravidel jejího vnitřního fungování. To se týká i součinnosti mezi pracovištěm dispečera složky a pracovištěm operačního důstojníka, který realizuje zásah a spolupracuje na něm."</t>
  </si>
  <si>
    <t>Synergie složek v teritoriu</t>
  </si>
  <si>
    <t>Pro úspěšný postup v realizaci (pilotáži) je třeba sjednocený postup složek v teritoriu = je třeba, aby se domluvili (byť by lokálně) na jednotném přístupu a koordinace řešení.</t>
  </si>
  <si>
    <t>Další použití podkladů CIP</t>
  </si>
  <si>
    <t xml:space="preserve"> Na základě připravených variant a jejich rozboru je možné připravit podklady pro další složky (krajské i státní) jako cestu / námět pro řešení koordinace jednotlivých informačních podkladů pro kvalitnější poskytování služeb na základě TIV. Z toho plynou i konsekvence pro rajonizaci, prostorové uspořádání a restrukturalizaci."</t>
  </si>
  <si>
    <t>Analýzy nad TIV / MU</t>
  </si>
  <si>
    <t>Předpokládaná cena:</t>
  </si>
  <si>
    <t>Stabilizace současného stavu</t>
  </si>
  <si>
    <t>Rozvoj dle státních projektů</t>
  </si>
  <si>
    <t>Rozvoj dle státních a regionálních projektů</t>
  </si>
  <si>
    <t>Technologická integrace pro IZS a KŘ</t>
  </si>
  <si>
    <t>Technologická integrace a integrace týmů</t>
  </si>
  <si>
    <t>Technologická, prostorová a systémová integrace</t>
  </si>
  <si>
    <t>Varianta:</t>
  </si>
  <si>
    <t>Obsah:</t>
  </si>
  <si>
    <t>Nárůst ceny Vn+1 - Vn :</t>
  </si>
  <si>
    <t>Nárůst ceny Vn - V0 :</t>
  </si>
  <si>
    <t>Výsledné parametry variant</t>
  </si>
  <si>
    <t>Koeficienty:</t>
  </si>
  <si>
    <t>Domény</t>
  </si>
  <si>
    <t>Předp. délka řešení (ČM):</t>
  </si>
  <si>
    <t>Obsah řešení:</t>
  </si>
  <si>
    <t>Pokrytí:</t>
  </si>
  <si>
    <t>Pokrytí oblastí:</t>
  </si>
  <si>
    <t>Předpokládaný objem řešení (ČM):</t>
  </si>
  <si>
    <t>Předpokládaná délka projektu (R):</t>
  </si>
  <si>
    <t>Automatizační podpora vytěžování metainformací - (telef. čísla, ze kterých je neustále voláno, zlomyslná volání a pod.) odtud statistiky, plánování, odhalování příčin, řešení důsledků.</t>
  </si>
  <si>
    <t>OP - Řízení kvality služeb</t>
  </si>
  <si>
    <t>Sběr, zpracování a vyhodnocování informací a podnětů vedoucích ke zlepšení poskytovaných služeb.</t>
  </si>
  <si>
    <t>Využití synergie mezi složkami pro dosažení vyšších efektů při zachování stávajících zdrojů, kvalitativní nárůst přidané hodnoty při zachování současných zdrojú.</t>
  </si>
  <si>
    <t xml:space="preserve"> </t>
  </si>
  <si>
    <t>OP - Využívání synergie v práci složek IZS a KŘ</t>
  </si>
  <si>
    <t>Prostorová integrace</t>
  </si>
  <si>
    <t>Prostorová integrace představuje přínosy v oblasti nabrání TIV a jeho vytěžení a hodnocení. Ostatní zabezpečení spočívá v předání obsahu k řešení OŘ a případné eskalaci do oblasti KŘ. Podstatou přínosu prostorové integrace dispečerských pracovišť je vyšší synergie aa koordinace při řešení MU.</t>
  </si>
  <si>
    <t>Řešení CIP</t>
  </si>
  <si>
    <t xml:space="preserve"> Od řešení CIP se očekává, že jednotlivé složky a IZS jako celek posune dál,   v kvalitě služeb,   v technologiích a v koordinaci. Tento přínos by neměl být jen dílčí, ale radikální."</t>
  </si>
  <si>
    <t>Stav odbavování TIV (ZZS)</t>
  </si>
  <si>
    <t xml:space="preserve"> Stav zabezpečení TIV v případě volání na ZZS (vytěžení - lékařská asistence - lokalizace volání), v případě volání na 112 - vytěžení a lokalizace, okamžité předání na ZZS. V případě volání na národní číslo - problém s lokalizací, problém s obsazením linky v případě zdravotní asistence okamžitého zásahu."</t>
  </si>
  <si>
    <t>OP - Harmonogram výstavby CIP</t>
  </si>
  <si>
    <t>Sestavení a validace harmonogramu realizace CIP, tracking harmonogramu, vyhodnocování efektivity výstavby a provozu CIP (jednotlivé fáze, rozvojové projekty apod.)</t>
  </si>
  <si>
    <t>OP - Definování provozního uspořádání CIP</t>
  </si>
  <si>
    <t>Definice a vytvoření potřebného počtu pracovišť pro příjem tísňových volání (dispečerská pracoviště), potřebného počtu pracovišť operačního řízení ložek IZS, dostatečně dimenzované zázemí pro regeneraci a odpočinek (nepřetržitý provoz CIP), možnost fyzicky oddělit místnosti operačního řízení složek IZS od místnosti pro příjem tísňových volání, fyzicky oddělené chráněné pracoviště PČR pro řešení událostí bez součinnosti dalších složek IZS, fyzicky oddělené místnosti pro stupně utajení pro každou složku zvlášť, fyzické oddělení místností s technologickým vybavením složek IZS (servery, disková pole, databázové systémy apod.), fyzicky oddělené místa pro vysílače/přijímače analogového rádiového signálu – s důrazem na oddělení rádiového přenosu (vzájemné rušení), přítomnost videoprojekce pro okamžitý přehled o stavech řešených mimořádných  událostí, vytíženosti operátorů CIP, dimenzování technologických místností CIP,</t>
  </si>
  <si>
    <t>OP - Projekt stavby a technologií stavby</t>
  </si>
  <si>
    <t>Návrh a schválení stavby s ohledem na dimenzování slaboproudých a silnoproudých vedení, klimatizační zařízení pro technologické místnosti, zajištění dodávek elektrické energie při výpadku (záložní zdroje elektrické energie, dohledovatelné UPS systémy), zajištění zázemí pro obsluhy CIP pro nepřetržitý provoz (stravování, šatny, kuchyňky apod.), klimatizační zařízení pro jednotlivá pracoviště a prostory CIP, umístění kritické infrastruktury pod zakrytou částí CIP (technologické místnosti, garáže, nouzový příjem tísňových linek, nouzový systém spojení, vysílání sil a prostředků složek IZS při krizových stavech (vyhlášení stavu nebezpeční, nouze nebo stavu ohrožení státu). Definování bezpečnostních prvků stavby (inteligentní budova) , EZS, EPS.</t>
  </si>
  <si>
    <t>Stav blokování služby</t>
  </si>
  <si>
    <t>Číslo domény:</t>
  </si>
  <si>
    <t>Číslo oblasti:</t>
  </si>
  <si>
    <t>SWOT:</t>
  </si>
  <si>
    <t>Hrozby</t>
  </si>
  <si>
    <t xml:space="preserve"> Příležitosti"</t>
  </si>
  <si>
    <t>Příležitosti</t>
  </si>
  <si>
    <t xml:space="preserve"> Hrozby"</t>
  </si>
  <si>
    <t>Celostátní koncepce IZS</t>
  </si>
  <si>
    <t>Silné stránky</t>
  </si>
  <si>
    <t>Rozvoj a podpora informačních služeb</t>
  </si>
  <si>
    <t xml:space="preserve"> Silné stránky"</t>
  </si>
  <si>
    <t>Standardy postupu a zpracování</t>
  </si>
  <si>
    <t>Užití jednotné technologie JSTPTV</t>
  </si>
  <si>
    <t>Dopad národního řešení</t>
  </si>
  <si>
    <t>Slabé stránky</t>
  </si>
  <si>
    <t>Čas</t>
  </si>
  <si>
    <t>Čas domény</t>
  </si>
  <si>
    <t>Pořadí:</t>
  </si>
  <si>
    <t>Vyhodnocování a dokladování v rámci IZS a KŘ</t>
  </si>
  <si>
    <t>CL-01</t>
  </si>
  <si>
    <t>technologická integrace</t>
  </si>
  <si>
    <t>prostorová integrace</t>
  </si>
  <si>
    <t>integrace pracovních týmů</t>
  </si>
  <si>
    <t>informační integrace</t>
  </si>
  <si>
    <t>systémový rozvoj</t>
  </si>
  <si>
    <t>V0</t>
  </si>
  <si>
    <t>Abychom mohli něco dělat, je třeba se zaměřit na Skupiny domén opatření:</t>
  </si>
  <si>
    <t>OP - Informační základna</t>
  </si>
  <si>
    <t>OP - Provoz</t>
  </si>
  <si>
    <t>OP - Řízení kvality</t>
  </si>
  <si>
    <t>OP - Využívání synergie v práci složek IZS</t>
  </si>
  <si>
    <t>OP - Výstavba</t>
  </si>
  <si>
    <t>OP - Struktura, organizace a řízení</t>
  </si>
  <si>
    <t>OP - Rozvoj a koordinace</t>
  </si>
  <si>
    <t>OP - Plán rozvoje IZS a KŘ do r. 2015</t>
  </si>
  <si>
    <t>OP - Výkon, rozsah</t>
  </si>
  <si>
    <t>Blokování přístupu k poskytování služby, případně blokace vlastního poskytování služby. Při poskytování služby se mohou vytvořit technické, provozní nebo organizační problémy, které brání použití (nebo vícenásobnému užití) služby. Podstatou řešení je vytváření a hledání takových podmínek a opatření, které umožní maximální průchodnost k poskytování a dostupnosti služby.</t>
  </si>
  <si>
    <t>Standardizované postupy</t>
  </si>
  <si>
    <t xml:space="preserve"> Vytvoření a užívání standardizovaných a schválených postupů. Vytvoření a implementace postupů, které akceptují jednotlivé povinnosti vyplývající z výkonu služby a jsou průřezového charakteru. Současně splňují povinné části (odbornost, utajení). K tomu rovněž vytvořit systém školení a certifikací."</t>
  </si>
  <si>
    <t>Koordinace GIS řešení</t>
  </si>
  <si>
    <t>Systémová koordinace v rámci GIS směřuje k systému GŘHZS s celostátní působností. Tento systém budou akceptovat všechny složky. V té souvislosti je vytvářen jednotný přístup ze strany aplikační podpory pro jednotlivá pracoviště všech složek IZS.</t>
  </si>
  <si>
    <t>Nesourodá správa systémů</t>
  </si>
  <si>
    <t>KS</t>
  </si>
  <si>
    <t>V1</t>
  </si>
  <si>
    <t>V2</t>
  </si>
  <si>
    <t>V3</t>
  </si>
  <si>
    <t>V4</t>
  </si>
  <si>
    <t>Čas:</t>
  </si>
  <si>
    <t>Náklady:</t>
  </si>
  <si>
    <t>HW</t>
  </si>
  <si>
    <t>SW</t>
  </si>
  <si>
    <t>Implementace</t>
  </si>
  <si>
    <t>Celkem:</t>
  </si>
  <si>
    <t>Celkem</t>
  </si>
  <si>
    <t>ČD:</t>
  </si>
  <si>
    <t>8 – plnohodnotných pracovišť pro příjem 150 a 112 (obsluha příslušníci HZS)</t>
  </si>
  <si>
    <t>12 – plnohodnotných pracovišť pro vysílání SaP  (obsluha příslušníci HZS)</t>
  </si>
  <si>
    <t>1 – pracoviště pro varování a vyrozumění  (obsluha příslušníci HZS)</t>
  </si>
  <si>
    <t>1 – pracoviště pro technologické signály  (obsluha příslušníci HZS)</t>
  </si>
  <si>
    <t>1 – fyzicky oddělené pracoviště pro meteoanalýzu  (obsluha příslušníci HZS)</t>
  </si>
  <si>
    <t>1 – fyzicky oddělené pracoviště pro dohled  (obsluha příslušníci HZS)</t>
  </si>
  <si>
    <t>2 - fyzicky oddělené pracoviště pro řešení specifických MU – EDU, přeprava RA (obsluha příslušníci HZS)</t>
  </si>
  <si>
    <t>2 – fyzicky oddělené pracoviště GIS – org. řízení</t>
  </si>
  <si>
    <t>1 – fyzicky oddělené pracoviště statistiky a analýz – org. řízení</t>
  </si>
  <si>
    <t>3 – fyzicky oddělené pracoviště správy technologií HZS – org. řízení</t>
  </si>
  <si>
    <t>Přehled koncových pracovišť:</t>
  </si>
  <si>
    <t>celkem:</t>
  </si>
  <si>
    <t>Označení:</t>
  </si>
  <si>
    <t>Místnost:</t>
  </si>
  <si>
    <t>Počet pracovišť:</t>
  </si>
  <si>
    <t>Poznámka:</t>
  </si>
  <si>
    <t>Dispečerská pracoviště složek:</t>
  </si>
  <si>
    <t>celkem</t>
  </si>
  <si>
    <t>DP HZS</t>
  </si>
  <si>
    <t>DP PČR</t>
  </si>
  <si>
    <t>DP ZZS</t>
  </si>
  <si>
    <t>DP Záloha</t>
  </si>
  <si>
    <t>DP Nouzový příjem</t>
  </si>
  <si>
    <t>Operační pracoviště složek:</t>
  </si>
  <si>
    <t>OP HZS</t>
  </si>
  <si>
    <t>OP PČR</t>
  </si>
  <si>
    <t>OP ZZS</t>
  </si>
  <si>
    <t>OP DD</t>
  </si>
  <si>
    <t>OP CS</t>
  </si>
  <si>
    <t>OP AČR</t>
  </si>
  <si>
    <t>OP Signály</t>
  </si>
  <si>
    <t>Pracoviště ZZS:</t>
  </si>
  <si>
    <t>Vedoucí SZP stanice</t>
  </si>
  <si>
    <t>Sestra RLP RV</t>
  </si>
  <si>
    <t>Lékař RLP RV</t>
  </si>
  <si>
    <t>Řidič ŘLP RV</t>
  </si>
  <si>
    <t>Řidič + záchranář RZP</t>
  </si>
  <si>
    <t>Sestra RZP</t>
  </si>
  <si>
    <t xml:space="preserve">Lékař RLP </t>
  </si>
  <si>
    <t>Sestra RLP</t>
  </si>
  <si>
    <t>Řidič + záchranář RLP</t>
  </si>
  <si>
    <t>Operační pracoviště KŘ (kraj, město):</t>
  </si>
  <si>
    <t>Pracoviště správy systému a specializovaná pracoviště:</t>
  </si>
  <si>
    <t>Sysadmin ZZS</t>
  </si>
  <si>
    <t>AV režie</t>
  </si>
  <si>
    <t>Kancelářská pracoviště:</t>
  </si>
  <si>
    <t>Recepce</t>
  </si>
  <si>
    <t>Tiskové středisko</t>
  </si>
  <si>
    <t>pro AV</t>
  </si>
  <si>
    <t>Oddělení technic. zabezpečení a GIS</t>
  </si>
  <si>
    <t>Podle složek:</t>
  </si>
  <si>
    <t>DP</t>
  </si>
  <si>
    <t>OP</t>
  </si>
  <si>
    <t>KP</t>
  </si>
  <si>
    <t>pracoviště ZZS</t>
  </si>
  <si>
    <t>HZS</t>
  </si>
  <si>
    <t>PČR</t>
  </si>
  <si>
    <t>ZZS</t>
  </si>
  <si>
    <t>Tísňové signály</t>
  </si>
  <si>
    <t>Nouzový příjem</t>
  </si>
  <si>
    <t xml:space="preserve">Ostatní složky </t>
  </si>
  <si>
    <t>SYSADMIN</t>
  </si>
  <si>
    <t>Provoz a administrativa</t>
  </si>
  <si>
    <t>Budova:</t>
  </si>
  <si>
    <t>1. p.p.</t>
  </si>
  <si>
    <t>1. n.p</t>
  </si>
  <si>
    <t>2. n.p.</t>
  </si>
  <si>
    <t>3. n.p.</t>
  </si>
  <si>
    <t>4. n.p.</t>
  </si>
  <si>
    <t>DP MP</t>
  </si>
  <si>
    <t>OP MP</t>
  </si>
  <si>
    <t>OP CIP</t>
  </si>
  <si>
    <t>Kancelář zástupce ředitele</t>
  </si>
  <si>
    <t xml:space="preserve">Kancelář </t>
  </si>
  <si>
    <t xml:space="preserve">Ředitel </t>
  </si>
  <si>
    <t>Sekretariát KŠ Jihlava</t>
  </si>
  <si>
    <t>Zasedací sál KŠ Jihlava</t>
  </si>
  <si>
    <t>Sekretariát KŠ Vysočina</t>
  </si>
  <si>
    <t>Zasedací sál KŠ Vysočina/učebna</t>
  </si>
  <si>
    <t>KŠ Vysočina analýzy a nasazení/učebna</t>
  </si>
  <si>
    <t>KŠ Vysočina skupina pro spojení a komunikaci/učebna</t>
  </si>
  <si>
    <t>KŠ Vysočina skupina týlového zabezpečení/učebna</t>
  </si>
  <si>
    <t>KŠ Vysočina skupina ochrany obyvatelstva/učebna</t>
  </si>
  <si>
    <t>KŠ Jihlava skupiny analýzy a nasazení</t>
  </si>
  <si>
    <t>KŠ Jihlava skupina pro spojení a komunikaci</t>
  </si>
  <si>
    <t>KŠ Jihlava skupina týlového zabezpečení a ochrany obyvatelstva</t>
  </si>
  <si>
    <t>MP</t>
  </si>
  <si>
    <t>KŘ Vysočina</t>
  </si>
  <si>
    <t>KŘ Jihlava</t>
  </si>
  <si>
    <t>CIP</t>
  </si>
  <si>
    <t>Sysadmin CIP + GIS</t>
  </si>
  <si>
    <t>KŠ Vysočina analýzy a nasazení</t>
  </si>
  <si>
    <t>KŠ Vysočina skupina pro spojení a komunikaci</t>
  </si>
  <si>
    <t>KŠ Vysočina skupina týlového zabezpečení</t>
  </si>
  <si>
    <t>KŠ Vysočina skupina ochrany obyvatelstva</t>
  </si>
  <si>
    <t>Sysadmin MP</t>
  </si>
  <si>
    <t>DP+OP</t>
  </si>
  <si>
    <t>Ostatní OP</t>
  </si>
  <si>
    <t>KŘ</t>
  </si>
  <si>
    <t>AV systémy</t>
  </si>
  <si>
    <t>Racky + Jádro technologie</t>
  </si>
  <si>
    <t>GIS</t>
  </si>
  <si>
    <t>Záznam</t>
  </si>
  <si>
    <t>Vnitřní systémy</t>
  </si>
  <si>
    <t>Stálé hasicí zařízení</t>
  </si>
  <si>
    <t>Tiskárny</t>
  </si>
  <si>
    <t>Cena implementace a dalších prací</t>
  </si>
  <si>
    <t>OP Signály, Meteo, VaV</t>
  </si>
  <si>
    <t>OP CIP - MU/EDU, RA</t>
  </si>
  <si>
    <t>DVS</t>
  </si>
  <si>
    <t>Sekretariát CIP</t>
  </si>
  <si>
    <t>Přehled:</t>
  </si>
  <si>
    <t>HW+SW</t>
  </si>
  <si>
    <t>Varianta: Koncový stav (plná varianta)</t>
  </si>
  <si>
    <t>Systémové řízení</t>
  </si>
  <si>
    <t>(Provozní technologie)</t>
  </si>
  <si>
    <t xml:space="preserve"> Stav konsolidace HW a ZSW jako společnách základů pro podporu a automatizaci služeb jednotlivých složek IZS. Z hlediska konsolidace není možné zabezpečit společnou vrstvu služeb pro řešení automatizační podpory jednotlivých služeb složky IZS (služba na základě TIV o MU). Tím se komplikuje a časově i ekonomicky zabraňuje možnostem vytváření konsolidovaných společně sdílených informací (př. adresář, telefonní seznam a jejich aktualizace, místopis, obdobné případy MU z téže lokality a pod.) vytvářených na stejném technologickém základu. Důsledkem toho je existence několika instancí pro danou informační rovinu."</t>
  </si>
  <si>
    <t>Zabezpečení OŘ IZS a KŘ</t>
  </si>
  <si>
    <t xml:space="preserve"> Současná dislokace je z hlediska prostorového uspořádání pro OS IZS nevyhovující = nedostatečný prostor pro technologické zázemí, nemožnost koordinace OŘ a KŘ = nedostatečné zázemí a vybavení. Obdobně jsou na tom jednotlivé složky IZS a pracoviště KrU (zejména jejich technologická podpora)."</t>
  </si>
  <si>
    <t>Odbavování TIV</t>
  </si>
  <si>
    <t xml:space="preserve"> Odbavování TIV ve vztahu k standardnímu zpracování volání, zpracování volání s podporou JSTPTV, vytvoření a využití datové věty."</t>
  </si>
  <si>
    <t>Součinnosti řešení problematiky</t>
  </si>
  <si>
    <t xml:space="preserve"> Užívání součinnosti řešení jednotlivých agend a správních činností v návaznosti na výkon služby včetně realizace součinnostních projektů. Je možné řešit pouze ty projekty, ke kterým jsou vytvořeny ekonomické, provozní a organizační podmínky. Projekty musí zapadat do celkového rámce koordinace zabezpečení jednotlivých správních agend a jejich využívání v rámci teritoria kraje."</t>
  </si>
  <si>
    <t>Scénáře postupů</t>
  </si>
  <si>
    <t>U HZS jsou v rámci IZS stanoveny scénáře postupů, ale jsou na úrovni scénářů na likvidační práce a obnovu stavu. Pro ostatní složky je třeba doplnit řadu dalších scénářů (- př. pro PČR - scénáře na vyšetřování, dokládání). Podobně pro ZZS a MP.</t>
  </si>
  <si>
    <t>Odborná podpora pracovišť</t>
  </si>
  <si>
    <t xml:space="preserve"> Ve vztahu k rozvoji odborné podpory jednotlivých pracovišť složek IZS je třeba definovat a implementovat společné části (koordinace, postupy, technologická podpora) a návazně na to technologicky podpořit společné funkcionality pro IZS a KŘ."</t>
  </si>
  <si>
    <t>IZS - běžný výkon služby</t>
  </si>
  <si>
    <t xml:space="preserve"> Popis systémového řešení u jednotlivých složek pro běžný výkon služby včetně součinností s ostatními. Aktualizace a užití tohoto popisu pro koordinaci dalšího postupu jak v rámci informační infrastruktury kraje, tak v rámci řešení organizovaných státní správou."</t>
  </si>
  <si>
    <t>Společná podpora služeb IZS a KŘ</t>
  </si>
  <si>
    <t xml:space="preserve"> Vytvoření, podpora a rozvoj systémového řešení zabezpečení podpory KŘ v součinnosti s OŘ v rámci IZS."</t>
  </si>
  <si>
    <t>Technologická podpora</t>
  </si>
  <si>
    <t xml:space="preserve"> Technologická podpora IZS je založena na jednotlivých technologických celcích, jejichž návrh, rozvoj implementace, provoz a údržba vyžaduje samostatné projektové řešení (při úzké součinnosti se současnými dodavateli aplikačního SW). Návrh jednotlivých variant řešení v rámci technologických a dislokačních možností vyžaduje systémovou integraci spočívající v koordinaci základních (zejména společných) služeb. Př. číselníky, adresář - kontaktní adresy subjektů a pod.."</t>
  </si>
  <si>
    <t>Konsolidace HW</t>
  </si>
  <si>
    <t>Stav konsolidace HW vrstvy. Tato konsolidace vytváří základní předpoklady systémového rozvoje. Není vhodné vytvářet několik instancí téhož, z hlediska správy systémů, jejich údržby a zálohování, jejich profilakxe ( plánované odstávky) a jejch upgrade. To je významná část ekonomicky i provozně zatěžující poskytovatele služeb a zřizovatele.</t>
  </si>
  <si>
    <t>Technologické a koordinační problémy při lokaci volání</t>
  </si>
  <si>
    <t>Nejsou dopracovány (a technologicky podpořeny) způsoby lokace volání v členité aglomeraci a návazně na to nejsou propracovány operační postupy.</t>
  </si>
  <si>
    <t>Technologické problémy v provázání GIS dat a popisných dat</t>
  </si>
  <si>
    <t>Různé rejstříky, různé podpůrné funkcionality, různé způsoby vyhodnocování.</t>
  </si>
  <si>
    <t>Výhody použití jednotné technologie pro podporu volání na národní čísla.</t>
  </si>
  <si>
    <t>Využití stávajících technologií</t>
  </si>
  <si>
    <t>Využití stávaajících technologií, jejichž koncepce, realizace a využívání předstaavuje rezervy do budoucna (z hlediska dalšího využití).</t>
  </si>
  <si>
    <t>Technologická podpora rozhodování</t>
  </si>
  <si>
    <t>Jednotný přístup k řešení technologické podpory pro přehledovou situaci operačního řízení a podporu rozhodování ve vztahu k řešení koordinace MU jak ve složkách tak v jejich součinnosti.</t>
  </si>
  <si>
    <t>Technologie radiového spojení</t>
  </si>
  <si>
    <t>Lokalizace místa volání</t>
  </si>
  <si>
    <t xml:space="preserve"> Lokalizace místa volání není u všech složek podporována stejně. Dochází k časové prodlevě při vytěžování lokace místa události z volajícího. Dochází k časovým ztrátám při vyhledávání v poisných datech GIS vrstvy. Tyto skutečnosti mají přímý dopad na organizaci a úspěšnost zásahu. Úroveň potřeby detailnosti popisu místa MU se liší dle složek."</t>
  </si>
  <si>
    <t>Vytváření GIS vrstvy Vysočina</t>
  </si>
  <si>
    <t xml:space="preserve"> Vrstva musí být řešen v rámci GIS pracovišť IZS, v koordinaci s KrU a distribuována s využitím standardizace přes centrum GŘ HZS (Bohdaneč) směrem ke správním celkům kraje,složkám IZS a KŘ."</t>
  </si>
  <si>
    <t>Přehledová situace teritoria</t>
  </si>
  <si>
    <t>Jednotný systém pro všechny zainteresované složky umožňující vytvářet přehledové informace o stavu teritoria a jejich provázání.</t>
  </si>
  <si>
    <t>Příjem TIV</t>
  </si>
  <si>
    <t xml:space="preserve"> Vytvoření podmínek pro lepší práci a součinnost jednotlivých dispečerů přijímajících TIV, jejich podíl a součinnost na řešení části poskytovaných služeb IZS, které pokrývají zachycení a vytěžení TIV."</t>
  </si>
  <si>
    <t>Stav a rozvoj systému IZS</t>
  </si>
  <si>
    <t xml:space="preserve"> Systém zpracování TIV se stále vyvíjí, systém fungování jednotlivých složek z hlediska jejich kompetencí v současné době vyhovuje cílům IZS, ve vztahu ke změnám ve společnosti se mění i požadavyk na služby související s přehledovou bezpečnostní situací v teritoriu a charakterem MU a KS. Ke standardům pro řešeníje třeba řadit provázání jednotlivých funkcionalit a standardizace zabezpečení jejich technologické podpory.  </t>
  </si>
  <si>
    <t>Současný stav pracovišť</t>
  </si>
  <si>
    <t xml:space="preserve"> Stav jednotlivých pracovišť IZS, jejich vybavenost, jejich systémová podpora, systémová správa a rozvoj. Z pohledu orgánů zodpovědných za celkový stav bezpečnostní situace v teritoriu je třeba zlepšovat a zdokonalovat provázanost jak IZS a jeho složek, tak systému KŘ a jeho složek tak, aby byly na srovnatelné úrovni s možností integrace lokálních systémových celků. Tato integrace je podmíněna ekonomickou efektivností a přidanou hodnotou poskytovaných služeb."</t>
  </si>
  <si>
    <t>Předpoklady řešení</t>
  </si>
  <si>
    <t xml:space="preserve"> Priority řešení představují oblasti odbavení TIV, role pro jednotlivá pracoviště, přepady a předávání TIV, způsob řešení MU, jazyková podpora pro poskytnutí a podporu služby."</t>
  </si>
  <si>
    <t>Cíle integrace</t>
  </si>
  <si>
    <t xml:space="preserve"> Základní otázkou je, co se vlastně bude integrovat:   budoucnost - o 10% se zvětší počet operátorů,   TV nebude více,   TV nebudou delší. Jde tedy o současný a budoucí stav podmínek poskytování služeb IZS, kvalitu těchto služeb a ekonomické a provozní podmínky jejich realizace. To je dnes rozděleno do několika částí, které fungují samostatně, pouze s omezenou výměnou informací."</t>
  </si>
  <si>
    <t>Posouzení řešení a vazeb IZS</t>
  </si>
  <si>
    <t xml:space="preserve"> Stav řešení zpracování TIV v ostatních krajích, případně v okolních státech. Sledování a posuzování stavu souvisejících projektů ve státní správě."</t>
  </si>
  <si>
    <t>Přebírání datové věty</t>
  </si>
  <si>
    <t xml:space="preserve"> Stav přebírání datové věty v plnohodnotném rozsahu v jednotlivých složkách."</t>
  </si>
  <si>
    <t>Koordinace s NIS</t>
  </si>
  <si>
    <t xml:space="preserve"> Je třeba zabezpečit provázání systému s jednotlivými NIS v teritoriu. Jedná se zejména o přehledy o volných lůžkách, specializovaná pracoviště, zdravotnický materiál a pod.. Systém musí pracovat v reálném čase. Nyní musí každý den obvolávat jednotlivá pracoviště a zjišťovat stav."</t>
  </si>
  <si>
    <t>Rozvoj IZS</t>
  </si>
  <si>
    <t xml:space="preserve"> Stav připravenosti a rozvoje IZS v teritoriu.Připravenost a rozvoj má čtaři základní pilíře. První - rozvoj práce s GIS (tj. mapová díla a popisná data, návazně jejich aktualizace a validace) a její užití v systému IZS. Druhý - užití technologické podpory příjmu a lokalizace TIV ( prostředky JSTPTV) s oboustrannou komunikací na výsledné úrovni datové věty. Třetí - rozvoj ASW respektující funkcionální požadavyk na práci jednotlivých složek a na přehledovou bezpečnostní situaci teritoria. Další rovinu tvoří samostatný průřezový systém radiových komunikací, jejich technologické podpory a správy. Mezi těmito základními částmi je řada vnitřních vazeb s dopadem jak na funkcionality ostatních skupin, tak na technologickou podporu obsahových a provozních informačních toků a jejich obhospodařování."</t>
  </si>
  <si>
    <t>Cíl řešení</t>
  </si>
  <si>
    <t xml:space="preserve"> Cílem je maximální vytěžení hovoru a na jeho základě rychlé a účinné poskytnutí potřebné služby. To je podmíněno současným a budoucím stavem technologií, organizace práce a kooperace složek. Návazně na to plánováním, vyhodnocováním a výkaznictvím."</t>
  </si>
  <si>
    <t>Zabezpečení lokalizace TIV</t>
  </si>
  <si>
    <t>Zabezpečení lokalizace TIV, detailnost GIS vrstvy a možnost užití detailních orientačních bodů, jednotný místopis (adresy), upřesnění lokalizace při volání z mobilu. Současně zabezpečení ztotožnění události s místem volání a jeho zobrazení na mapě.</t>
  </si>
  <si>
    <t>Sledování mobilních prostředků</t>
  </si>
  <si>
    <t xml:space="preserve"> Umožnit v rímci IZS sledovat ve vztahu k řešeným TIV statusy MU, pozice a statusy vozidel složek zasahujících u součinnostních akcí. Současně řešit napojení na sledování průjezdnosti silnic."</t>
  </si>
  <si>
    <t>Celostátní koncepce IZS a KŘ</t>
  </si>
  <si>
    <t>Popis varianty řešení</t>
  </si>
  <si>
    <t>Stabilizace systémového řešení v souvislosti s rozvojem společnosti, bez prostorové integrace, bez smíšených týmů, každá složka na svém systému, s výměnou povinných dat, bez aktivit ve vlastním rozvoji, pouze v návaznosti na státní / resortní rozvoj technologií a legislativy.</t>
  </si>
  <si>
    <t>Na úrovni kraje jsou řešeny požadavky vyplývající z koordinace státních projektů, plánování a využívání dosažitelných zdrojů, plánování a nasazování výsledků řešení státních projektů. Potřebné požadavky z toho vyplývající pro oblast OŘ a KŘ zajišťovat v souladu se stávající praxi - prostřednictvím správních agend, řízením finančních a tedy i koncepčních plánů organizací patřících do složek a do kritické infrastruktury.</t>
  </si>
  <si>
    <t>Na úrovni kraje řešit koordinaci regionálních projektů ve shodě s Informační strategií kraaje navarující na Strategii rozvoje kraje. Jednotlivé úkoly zajišťovat z hlediska zdrojů a řešení koordinovaně v návaznosti na státní projekty a návazně na jednotlivé regionální projekty. Koordinovat i vnitřní vazby mezi jednotlivýmí projekty jak z hlediska obsahového, tak z hlediska technologického. Koordinovat jednotlivé složky IZS v pravomoci kraje návazně na koncepční postupy státních složek.</t>
  </si>
  <si>
    <t>Koordinace rozvoje regionálních i státních projektů (Informační infrastruktura kraje, monitoring ekonomický, monitoring teritoria, sběr a vyhodnocování informací v teritoriu,  ISKŘ, JSDI, eCall, eCheckPoint apod.), bez prostorové integrace, bez smíšených týmů, každý ze složek na svém systému, s výměnou povinných dat, s aktivitami ve vlastním rozvoji, avšak pouze v rámci jednotlivých orgánů a organizací.</t>
  </si>
  <si>
    <t>Vytvoření robustního sjednoceného HW základu s využitím shodných prvků SW řešení na úrovni midlleware. Shodný způsob poskytování základních systémových a provozních služeb. Vytvoření hommogenního prostředí s vysokou integritou dat a možností jejich validace. Udržení základních principů systémového rozvoje v souvislosti s koordinací regionálních řešení a jejich návaznosti na státní projekty rozvoje informační infrastruktury.</t>
  </si>
  <si>
    <t>Vytvoření organizačních a provozních podmínek pro technologické provozy takového rozsahu. Vytvoření systémové podpory a služeb souvisejících s technologickými provozy takového rozsahu. Vytvoření podmínek bezpečnosti provozu a důvěrnosti informací pro jednotlivé participující složky. Vytvoření podmínek fyzického oddělení systémů při zachování primcipů konsolidace HW a ZSW.</t>
  </si>
  <si>
    <t>Řešeno:</t>
  </si>
  <si>
    <t>Ekonomická náročnost celkem:</t>
  </si>
  <si>
    <t>Rozvoj funkcionalit systému</t>
  </si>
  <si>
    <t>Na úrovni kraje neřešit nic kromě legislativních povinností. Ty zajišťovat v souladu se stávající praxi - prostřednictvím správních agend, řízením finančních a tedy i koncepčních plánů organizací patřících do složek a do kritické infrastruktury.</t>
  </si>
  <si>
    <t>Celostátní koncepci IZS a KŘ zastřešuje GŘ HZS. Je v konceptu zpracována a předložena ministrovi. Její jádro je zaměřeno na tři hlavní pilíře JSTPTV, GIS, provázání OŘ a KŘ. Má důležité aspekty investičního a provozního financování a zavádění. aspekty</t>
  </si>
  <si>
    <t>Celostátní koncepce PČR</t>
  </si>
  <si>
    <t>Připravovaná koncepce pro organizaci činností PČR ve smyslu naplňování jednotlivých částí výkonnu služby ve vztahu k bezpečnosti a ochraně pořádku.</t>
  </si>
  <si>
    <t>Zařazení a využití MP pro součinnost v IZS a KŘ</t>
  </si>
  <si>
    <t>Vize, koncepce a podmínky pro využití MP pro součinnost v IZS a KŘ.</t>
  </si>
  <si>
    <t>Koordinace obsahu projektů v oblasti OŘ a KŘ</t>
  </si>
  <si>
    <t>Nejsou vytvořeny podmínky pro koordinaci jednotlivých obsahových částí řešených v různých projektech.</t>
  </si>
  <si>
    <t>Koordinované řízení projektů</t>
  </si>
  <si>
    <t xml:space="preserve"> Podpora, definování požadavků a koordinované řízení projektů pro implementaci, modifikace, př. vývoj SW aplikací a jejich nasazení. Využívání standarizovaných metodik a nástrojů pro koordinaci a řízení rozvoje systémového řešení technologické podpory správního centra kraje Vysočina a specificky systémů vázaných na bezpečnostní situaci v teritoriu. Spojení výstupů z koordinace s užitím pro plánovaní a řízení zdrojů pro informační infrastrukturu kraje a současn pro koordinované zadání požadavků na jednotlivé dílčí systémy a jejich rozvoj (návrh, vývoj, implementaci a provoz)."</t>
  </si>
  <si>
    <t>Nebezpečí monopolizace ASW</t>
  </si>
  <si>
    <t>Jednotliví tvůrci aplikací pro IZS se stanou na trhu monopolními = závislost v dalším postupu při rozvoji systému.</t>
  </si>
  <si>
    <t>Stav a rozvoj MP</t>
  </si>
  <si>
    <t>Současný stav a rozvoj MP je veden koncepčními záměry jednotlivých měst v kraji. MP jsou poměrně dobře vybaveni, jak personálně (6500 kvalifikovaných pracovníků), tak technologicky ( kamerové systémy, systémy pro evidenci MU).</t>
  </si>
  <si>
    <t>Strategie pořádku a bezpečnosti teritoria</t>
  </si>
  <si>
    <t>Ve vztaahu k synergii jednotlivých složek je třebaa zabezpečovat koncepční řešení použití bezpečnostních složek pro spolupráci nad problematikou bezpečnosti a pořádku. Z toho pohledu je třeba definovat pravidla kooperace jednotlivých MP mezi sebou a jejich spolupráce se složkami.</t>
  </si>
  <si>
    <t>Rozvoj KŘ</t>
  </si>
  <si>
    <t>Stav připravenosti a rozvoje KŘ v teritoriu.Připravenost a rozvoj má čtyři základní pilíře. První - rozvoj práce s GIS (tj. mapová díla a popisná data, návazně jejich aktualizace a validace) a její užití v systému ISKŘ. Druhý - návaznost na OŘ z IZS s oboustrannou komunikací na výsledné úrovni. Třetí - rozvoj ASW respektující funkcionální požadavyk na práci jednotlivých pracovních skupin a na přehledovou bezpečnostní situaci teritoria. Další rovinu tvoří samostatný průřezový systém radiových komunikací, jejich technologické podpory a správy. Mezi těmito základními částmi je řada vnitřních vazeb s dopadem jak na funkcionality ostatních skupin, tak na technologickou podporu obsahových a provozních informačních toků a jejich obhospodařování.</t>
  </si>
  <si>
    <t>Celkový plán rozvoje IZS a KŘ do r. 2015, možnosti postupné konsolidace technologické a informační základny, výstavby výjezdových stanovišť složek IZS, analýzy možnosti rozvoje centrálních řídících a monitorovacích pracovišť, vytvoření regionálního výcvikového polygonu pro složky IZS</t>
  </si>
  <si>
    <t>OP - Definice datové věty a její rozvoj</t>
  </si>
  <si>
    <t>Nové definování formátu a obsahu datové věty pro integrované podmínky datová věta IZS (DVIZS).</t>
  </si>
  <si>
    <t>OP - Plán, rozvoj a Integrace komunikační sítě</t>
  </si>
  <si>
    <t>Plán řízení linkových i rádiových terminálů národní sítě PEGAS pro všechny složky IZS, rozvoj a integrace této sítě</t>
  </si>
  <si>
    <t>OP - Řízení audiovizuálního prostoru</t>
  </si>
  <si>
    <t>Postupy, technologie a řízení integrované audiovizuální techniky v rámci CIP</t>
  </si>
  <si>
    <t>OP - Lokalizace mobilních prostředků a datová komunikace s nimi</t>
  </si>
  <si>
    <t>Návrh, zabezpečení a realizace celkové integrace lokalizace vozidel IZS (s využitím dostupných systémů GPS, GLONASS, GALILEO – kombinace systémů), zpracování, návrh a zabezpečení obousměrné datové komunikace s mobilními prostředky IZS.</t>
  </si>
  <si>
    <t>OP - Vnitřní systémy řízení a komunikace</t>
  </si>
  <si>
    <t>Zabezpečení systémové podpory pro docházkový systém, režimy vstupů, monitoring objektu, videosystémů S3, zavedení IP telefonie,</t>
  </si>
  <si>
    <t>OP - Vývoj systémového řešení</t>
  </si>
  <si>
    <t>ID oblasti:</t>
  </si>
  <si>
    <t>ID domény OP:</t>
  </si>
  <si>
    <t>Příprava, zabezpečení a realizace vývoje softwaru řešícího příjem tísňových volání, vytvoření plnohodnotné platformy TCTV 112 s Call Centrem, pro příjem tísňových hovorů, volání eCall, příjem tísňových volání z IP telefonie, operační řízení, statistických výstupů, komunikace s externími systémy (pojišťovny, JSDI, ČHMÚ, SÚRO apod.) a s výstupy pro strategické řízení.</t>
  </si>
  <si>
    <t>OP - Koordinace s celostátníni projekty</t>
  </si>
  <si>
    <t>Zabezpečení koordinace a synchronizace s celostátními projekty a projekty EU obdobného charakteru.</t>
  </si>
  <si>
    <t>OP - Řízení regionálních projektů</t>
  </si>
  <si>
    <t>Příprava a řízení rozvojových projektů v oblasti informační infrasruktury kraje.</t>
  </si>
  <si>
    <t>OP - GIS kraje</t>
  </si>
  <si>
    <t>Základní rámec realizace GIS vrstvy kraje s přihlédnutím k lokálním specifikám, požadavkům ZZS, KSUS a vazeb na celostátní systémy HZS a PČR.</t>
  </si>
  <si>
    <t>OP - Plán rozvoje IZS a KŘ kraje do r. 2015</t>
  </si>
  <si>
    <t>Užití ověřovacího provozu</t>
  </si>
  <si>
    <t xml:space="preserve"> Vytváření podmínek pro zkoušení a ověření jednotlivých systémových celků a z nich odvozené poznatky ukládat v příslušném datovém skladu pro další vytěžení. Zaměřit se na konkrétní situace v teritoriu (př. příprava popory teritoria pro olympiádu)."</t>
  </si>
  <si>
    <t>OP - Statistické údaje TIV, MU a KS</t>
  </si>
  <si>
    <t>Systematické sledování a vyhodnocování příjmu tísňových linek (statistické údaje složek IZS monitorující prodlevy v předávání informací dalším složkám IZS), analýzy výsledných informací, zpětné zlepšování stávajících procesů, postupů a technologií</t>
  </si>
  <si>
    <t>OP - Integrace informačních a provozních plánů ostatních složek IZS</t>
  </si>
  <si>
    <t>Z hlediska vytvořených podmínek pro poskytování služeb na základě konsolidovaných technologických prostředků, integrací technologických částí, které jsou pro ně společné a s využitím prostorové integrace jsou vytvořeny podmínky pro integraci systémovou. Ta představuje zavedení monitoringu, vyhodnocování a zdokonalování jednotlivých postupů, funkcionalit a služeb tak, aby ve vztahu ke kvalitativním ukazatelům umožňovaly jejich rozvoj. Současně s tím umožňuje rychlou, kvalitní a komplexní (Technologie, prostory, zdroje) reakci na stav a jevy ve společnosti.</t>
  </si>
  <si>
    <t>Vytvoření organizačních a provozních podmínek pro smíšené týmy a návazně na podmínky práce předsunutých operačních pracovišť. Vytvoření systémové podpory a služeb souvisejících s prostorovou integrací jak z hlediska týmové práce, tak z hlediska její technologické podpory. Zdokonalení podmínek bezpečnosti provozu a důvěrnosti informací pro jednotlivé participující složky. Vytvoření podmínek fyzického oddělení systémů při zachování primcipů konsolidace HW, ZSW a ASW.</t>
  </si>
  <si>
    <t>Zavedení systému pro kontinuální zdokonalování poskytovaných služeb na základě průniku těchto poznatků ze a do všech složek. Vytvoření systémové podpory tohoto zdokonalování jak z hlediska týmové práce se službami, tak z hlediska  jejich technologické podpory. Návazně na to zdokonalení komunikační infrastruktury kraje, zdokonalení podmínek bezpečnosti provozu a důvěrnosti informací pro jednotlivé participující složky.</t>
  </si>
  <si>
    <t>Pravidla výměny informací, metodiky plánování a podíly na účasti při řešení MU / KS (statistické údaje, odpovědnosti ze zákona – SÚS, SSÚD, SÚJB, ČHMU, EDU adalší).</t>
  </si>
  <si>
    <t>OP - Datová konektivita</t>
  </si>
  <si>
    <t>OP - Dimenzování provozů CIP</t>
  </si>
  <si>
    <t>Zpracování a použití metodiky a postupů pro stanovení minimálních počtů obsluh, stanovení počtu techniků komunikačních a informačních systémů CIP,</t>
  </si>
  <si>
    <t>Vytvoření podmínek pro datovou konektivitu do sítí národního významu, datová konektivita do metropolitní sítě kraj a měst na Vysočině, datová konektivita s pracovišti KŠ a povodňových komisí ORP v kraji Vysočina, datová konektivita do Jednotného systému dopravních informací (využití a poskytování informací o dopravní dostupnosti), datová konektivita do vybraných sítí institucí, statistický úřad, Ministerstvo práce a sociálních věcí, ČHMÚ – stanice s limnigrafy apod., datová konektivita do sítě HZS ČR – síť MPLS, datová konektivita do sítě resortu Ministerstva vnitra, datová konektivita k informačnímu systému krizového řízení ČR,</t>
  </si>
  <si>
    <t>Základní prvky radiového spojení a jejich stav ve vazbě na potřeby přenášení informací a datové spojení s mobilními prostředky, stav pokrytí teritoria signálem, vybavení jednotlivých složek radiovými stanicemi.</t>
  </si>
  <si>
    <t>Radiová síť a její využívání</t>
  </si>
  <si>
    <t>Vybudování radiové sítě, rozdělení základních počtů jednotlivých prvků (pevné základny, mobilní, ručky), vytvoření plánu pokrytí, vytvoření plánů přenosu dat, vytvoření scénářů pro spojení pro standardizované postupy, proces vytvoření skupin spojení.</t>
  </si>
  <si>
    <t>Automatizační podpora národních čísel</t>
  </si>
  <si>
    <t>Vytvoření technologické podpory národních čísel ve vztahu k lokalizaci volajícího, ve vztahu k  vytěžení TIV.</t>
  </si>
  <si>
    <t>Bezpečnostní rizika IZS</t>
  </si>
  <si>
    <t>V souvislosti se správou tak rozsáhlého systému a takové šíře zpracovávaných informací je třeba zpracovat bezpečnostní politiku pro celou oblast IZS  s vazbou na oblast KŘ.</t>
  </si>
  <si>
    <t>Robustnost a stabilita systémů</t>
  </si>
  <si>
    <t>Pro jednotlivé složky a v rímci systému IZS a návazně ISKŘ je třeba mít k dispozici robustní řešení vhodně dimenzované. Od potenciálních rizik se situací v teritoriu a ve vztahu k statistikám provozu je třebaa dimenzovat jk konektivitu, tak zabezpečení ASW. S tím souvisí i zabezpečování servisu.</t>
  </si>
  <si>
    <t>Rozvoj užití DVS</t>
  </si>
  <si>
    <t>Rovzvoj využití kamerových systémů pro dohledový systém v teritoriu. Přímá vazba na systémy S3.</t>
  </si>
  <si>
    <t>OP - Procesní postupy DP</t>
  </si>
  <si>
    <t>Přidaná hodnota (ČM)</t>
  </si>
  <si>
    <t>Poměr výkon/cena</t>
  </si>
  <si>
    <t>pp</t>
  </si>
  <si>
    <t>Předpokládaná cena systém. řízení:</t>
  </si>
  <si>
    <t>Celkový objem řešení pro KS na domény (ČM):</t>
  </si>
  <si>
    <t>Objem řešení pro danou variantu odpovídající potřebám HW, SW a Systémového řešení</t>
  </si>
  <si>
    <t>Relativní potenciál rozvoje:</t>
  </si>
  <si>
    <t>Rozdím mezi hodnocením strategických nůžek současného stavu a posuzované varianty</t>
  </si>
  <si>
    <t xml:space="preserve">Kapacity pro řešení předpokládaného objemu řešení vztažené na celkovou kapacitu řešení všech domén oblastí </t>
  </si>
  <si>
    <t>Procentuální vyjádření pokrytí oblastí k řešení příslušnou variantou</t>
  </si>
  <si>
    <t>Předpokládaná délka řešení odvozená od celkového časového rámce projektu koncového stavu a potřebné kapacity pro řešení</t>
  </si>
  <si>
    <t>A</t>
  </si>
  <si>
    <t>B</t>
  </si>
  <si>
    <t>C</t>
  </si>
  <si>
    <t>D</t>
  </si>
  <si>
    <t>E</t>
  </si>
  <si>
    <t>F</t>
  </si>
  <si>
    <t>G</t>
  </si>
  <si>
    <t>Výpočet:</t>
  </si>
  <si>
    <t>E = (G /B*D*12)*C</t>
  </si>
  <si>
    <t>Poměr přidaná hodnota / cena:</t>
  </si>
  <si>
    <t>Poměr součinitele předpokládané délky řešení, kapacity pro řešení předpokládaného objemu násobený procentuálním pokrytím oblastí v posuzované variantě</t>
  </si>
  <si>
    <t>Přidaná hodnota (Kč)</t>
  </si>
  <si>
    <t>Kč</t>
  </si>
  <si>
    <t>něco = oblast pokrytí * cena jednotky času</t>
  </si>
  <si>
    <t>něco</t>
  </si>
  <si>
    <t>ČD na Kč</t>
  </si>
  <si>
    <t>přidaná hodnota Nebo výkon = délka řešení * potřebné kapacity /*cena jednotky času  (</t>
  </si>
  <si>
    <t>Podíl potřebných kapacit na domény:</t>
  </si>
  <si>
    <t>jednotkový výkon vzhledem k profilu domén</t>
  </si>
  <si>
    <t>přepočet z peněz na čas a domény (1/Kč) (ČM)</t>
  </si>
  <si>
    <t>pracovníci</t>
  </si>
  <si>
    <t>Zpracování, aktualizace a validační postupy pro procesy dispečerských pracovišť, přehled a analýza norem pro tvorbu a užívání dispečerských pracovišť</t>
  </si>
  <si>
    <t>OP - Procesní postupy OP</t>
  </si>
  <si>
    <t>Zpracování, aktualizace a validační postupy pro procesy operačních pracovišť, přehled a analýza norem pro tvorbu a užívání operačních pracovišť</t>
  </si>
  <si>
    <t>OP - Bezpečnostní politika IZS a KŘ</t>
  </si>
  <si>
    <t>Zpracování a aktualizace bezpečnostní politiky pro IZS a KŘ, analýza stavu plnění bezpečnostní politiky, vnitřní bezpečnostní audity, evidence a vyhodnocování výsledků vnitřních bezpečnostních auditů, vedení historie vývoje vnitřních bezpečnostních auditů, vytvoření krizových scénářů v případě neplánovaných výpadků technologií CIP a dalších možných výpadků (pracovníci, konektivita a pod.).</t>
  </si>
  <si>
    <t>OP - Provozně řídící model IZS</t>
  </si>
  <si>
    <t>Zpracování KPI a metrik pro jednotlivé procesy IZS , zpracování CSF a jejich hodnocení</t>
  </si>
  <si>
    <t>OP - Provozně řídící model KŘ</t>
  </si>
  <si>
    <t>Zpracování KPI a metrik pro jednotlivé procesy KŘ, zpracování CSF a jejich hodnocení</t>
  </si>
  <si>
    <t>OP - Provozní řád CIP</t>
  </si>
  <si>
    <t>Provozní řád CIS s definováním pravomocí a odpovědnosti za provoz CIP. Popis organizačního zajištění chodu objektu (zajištění služeb, provozní řády, vnitřní směrnice).</t>
  </si>
  <si>
    <t>OP - Definice rolí v CIP</t>
  </si>
  <si>
    <t>Základní evidence rolí s definováním jejich povinností a  odpovědností v rámci CIP (všechny složky).</t>
  </si>
  <si>
    <t>OP - Provozní uspořádání CIP pro KŘ</t>
  </si>
  <si>
    <t>Zabezpečení podmínek pro činnosti pracovních skupin krizových štábů, povodňových komisí, zasedání bezpečnostních rad apod., Zajistis využití technologií a prostor pro odbornou přípravu a součinnostní řešení mimořádných událostí, které si svým charakterem vynutí takovouto součinnost (plošné události jako jsou kalamitní stavy na dálničním tělese, povodně, letecká nehoda, útok z použití B-Agens, teroristické útoky, sebevražedné úmysly apod.)</t>
  </si>
  <si>
    <t>OP - Provozní uspořádání technologických celků CIP</t>
  </si>
  <si>
    <t>Vytvoření podmínek pro dostatečně dimenzované databázových systémů (data, audiozáznamy, videozáznamy apod.),</t>
  </si>
  <si>
    <t>OP - Provozní uspořádání CIP pro IZS</t>
  </si>
  <si>
    <t>Realizace a zajištění servisních služeb pro provoz CIP, stanovení režimu služeb.</t>
  </si>
  <si>
    <t>OP - Procesní postupy KŘ</t>
  </si>
  <si>
    <t>Zpracování, aktualizace a validační postupy pro procesy krizového řízení, přehled a analýza norem pro tvorbu a užívání pracovišť krizového řízení.</t>
  </si>
  <si>
    <t>OP - Provozně řídící model CIP</t>
  </si>
  <si>
    <t>Zpracování KPI a metrik pro jednotlivé procesy provozu a řízení budovy, zpracování CSF a jejich hodnocení</t>
  </si>
  <si>
    <t>Využití synergie týmů v IZS</t>
  </si>
  <si>
    <t>Definováním scénářů se zapouzdření postupy jednotlivých složek. Interface mezi nimi bude jen na úrovni datové výměny, lidská komunikace má více složek někdy obtížně pokrývaných daty.</t>
  </si>
  <si>
    <t>Kvalitativní parametry služeb</t>
  </si>
</sst>
</file>

<file path=xl/styles.xml><?xml version="1.0" encoding="utf-8"?>
<styleSheet xmlns="http://schemas.openxmlformats.org/spreadsheetml/2006/main">
  <numFmts count="2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 numFmtId="167" formatCode="#,##0.0"/>
    <numFmt numFmtId="168" formatCode="0.0000000"/>
    <numFmt numFmtId="169" formatCode="0.00000000"/>
    <numFmt numFmtId="170" formatCode="0.000000"/>
    <numFmt numFmtId="171" formatCode="0.00000"/>
    <numFmt numFmtId="172" formatCode="0.0000"/>
    <numFmt numFmtId="173" formatCode="0.000"/>
    <numFmt numFmtId="174" formatCode="0.0"/>
    <numFmt numFmtId="175" formatCode="#,##0.000"/>
    <numFmt numFmtId="176" formatCode="#,##0.0000"/>
    <numFmt numFmtId="177" formatCode="0.0%"/>
    <numFmt numFmtId="178" formatCode="#,##0.00000"/>
    <numFmt numFmtId="179" formatCode="#,##0.000000"/>
    <numFmt numFmtId="180" formatCode="#,##0.0000000"/>
    <numFmt numFmtId="181" formatCode="#,##0.00000000"/>
    <numFmt numFmtId="182" formatCode="#,##0.000000000"/>
  </numFmts>
  <fonts count="21">
    <font>
      <sz val="10"/>
      <name val="Arial"/>
      <family val="0"/>
    </font>
    <font>
      <sz val="8"/>
      <name val="Arial"/>
      <family val="0"/>
    </font>
    <font>
      <b/>
      <sz val="10"/>
      <name val="Arial"/>
      <family val="2"/>
    </font>
    <font>
      <b/>
      <sz val="16"/>
      <color indexed="12"/>
      <name val="Arial"/>
      <family val="2"/>
    </font>
    <font>
      <u val="single"/>
      <sz val="10"/>
      <color indexed="12"/>
      <name val="Arial"/>
      <family val="0"/>
    </font>
    <font>
      <u val="single"/>
      <sz val="10"/>
      <color indexed="36"/>
      <name val="Arial"/>
      <family val="0"/>
    </font>
    <font>
      <sz val="11"/>
      <name val="Times"/>
      <family val="1"/>
    </font>
    <font>
      <b/>
      <sz val="14"/>
      <color indexed="12"/>
      <name val="Times New Roman"/>
      <family val="1"/>
    </font>
    <font>
      <b/>
      <sz val="10"/>
      <color indexed="12"/>
      <name val="Arial"/>
      <family val="0"/>
    </font>
    <font>
      <b/>
      <sz val="12"/>
      <color indexed="12"/>
      <name val="Arial"/>
      <family val="2"/>
    </font>
    <font>
      <b/>
      <sz val="10"/>
      <color indexed="12"/>
      <name val="Times New Roman"/>
      <family val="1"/>
    </font>
    <font>
      <b/>
      <sz val="10"/>
      <name val="Times New Roman"/>
      <family val="1"/>
    </font>
    <font>
      <sz val="10"/>
      <name val="Times New Roman"/>
      <family val="1"/>
    </font>
    <font>
      <i/>
      <sz val="10"/>
      <color indexed="10"/>
      <name val="Times New Roman"/>
      <family val="1"/>
    </font>
    <font>
      <sz val="8"/>
      <name val="Tahoma"/>
      <family val="2"/>
    </font>
    <font>
      <sz val="11"/>
      <color indexed="8"/>
      <name val="Times New Roman"/>
      <family val="1"/>
    </font>
    <font>
      <b/>
      <sz val="10"/>
      <name val="Arial CE"/>
      <family val="0"/>
    </font>
    <font>
      <b/>
      <sz val="8"/>
      <name val="Arial"/>
      <family val="2"/>
    </font>
    <font>
      <sz val="10"/>
      <name val="Arial CE"/>
      <family val="0"/>
    </font>
    <font>
      <b/>
      <sz val="10"/>
      <color indexed="10"/>
      <name val="Arial"/>
      <family val="0"/>
    </font>
    <font>
      <sz val="10"/>
      <color indexed="10"/>
      <name val="Arial"/>
      <family val="0"/>
    </font>
  </fonts>
  <fills count="11">
    <fill>
      <patternFill/>
    </fill>
    <fill>
      <patternFill patternType="gray125"/>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46"/>
        <bgColor indexed="64"/>
      </patternFill>
    </fill>
    <fill>
      <patternFill patternType="solid">
        <fgColor indexed="11"/>
        <bgColor indexed="64"/>
      </patternFill>
    </fill>
    <fill>
      <patternFill patternType="solid">
        <fgColor indexed="13"/>
        <bgColor indexed="64"/>
      </patternFill>
    </fill>
    <fill>
      <patternFill patternType="solid">
        <fgColor indexed="44"/>
        <bgColor indexed="64"/>
      </patternFill>
    </fill>
    <fill>
      <patternFill patternType="solid">
        <fgColor indexed="50"/>
        <bgColor indexed="64"/>
      </patternFill>
    </fill>
  </fills>
  <borders count="77">
    <border>
      <left/>
      <right/>
      <top/>
      <bottom/>
      <diagonal/>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style="medium"/>
    </border>
    <border>
      <left style="thin"/>
      <right style="thin"/>
      <top style="medium"/>
      <bottom style="medium"/>
    </border>
    <border>
      <left style="medium"/>
      <right style="thin"/>
      <top>
        <color indexed="63"/>
      </top>
      <bottom style="thin"/>
    </border>
    <border>
      <left style="thin"/>
      <right style="thin"/>
      <top>
        <color indexed="63"/>
      </top>
      <bottom style="thin"/>
    </border>
    <border>
      <left style="medium"/>
      <right style="thin"/>
      <top style="thin"/>
      <bottom>
        <color indexed="63"/>
      </bottom>
    </border>
    <border>
      <left style="thin"/>
      <right style="thin"/>
      <top style="thin"/>
      <bottom>
        <color indexed="63"/>
      </bottom>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color indexed="63"/>
      </bottom>
    </border>
    <border>
      <left style="thin"/>
      <right style="thin"/>
      <top>
        <color indexed="63"/>
      </top>
      <bottom>
        <color indexed="63"/>
      </bottom>
    </border>
    <border>
      <left style="thin"/>
      <right>
        <color indexed="63"/>
      </right>
      <top style="medium"/>
      <bottom style="medium"/>
    </border>
    <border>
      <left style="thin"/>
      <right>
        <color indexed="63"/>
      </right>
      <top>
        <color indexed="63"/>
      </top>
      <bottom style="thin"/>
    </border>
    <border>
      <left style="thin"/>
      <right>
        <color indexed="63"/>
      </right>
      <top style="thin"/>
      <bottom>
        <color indexed="63"/>
      </bottom>
    </border>
    <border>
      <left style="thin"/>
      <right>
        <color indexed="63"/>
      </right>
      <top style="thin"/>
      <bottom style="thin"/>
    </border>
    <border>
      <left style="thin"/>
      <right>
        <color indexed="63"/>
      </right>
      <top style="thin"/>
      <bottom style="medium"/>
    </border>
    <border>
      <left style="thin"/>
      <right>
        <color indexed="63"/>
      </right>
      <top>
        <color indexed="63"/>
      </top>
      <bottom>
        <color indexed="63"/>
      </bottom>
    </border>
    <border>
      <left style="thin"/>
      <right>
        <color indexed="63"/>
      </right>
      <top style="medium"/>
      <bottom>
        <color indexed="63"/>
      </bottom>
    </border>
    <border>
      <left style="thin"/>
      <right style="medium"/>
      <top style="thin"/>
      <bottom style="thin"/>
    </border>
    <border>
      <left style="thin"/>
      <right style="medium"/>
      <top style="thin"/>
      <bottom style="medium"/>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medium"/>
      <top>
        <color indexed="63"/>
      </top>
      <bottom>
        <color indexed="63"/>
      </bottom>
    </border>
    <border>
      <left style="thin"/>
      <right>
        <color indexed="63"/>
      </right>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color indexed="63"/>
      </left>
      <right style="medium"/>
      <top style="medium"/>
      <bottom style="medium"/>
    </border>
    <border>
      <left>
        <color indexed="63"/>
      </left>
      <right style="thin"/>
      <top style="medium"/>
      <bottom>
        <color indexed="63"/>
      </bottom>
    </border>
    <border>
      <left>
        <color indexed="63"/>
      </left>
      <right style="thin"/>
      <top style="medium"/>
      <bottom style="medium"/>
    </border>
    <border>
      <left>
        <color indexed="63"/>
      </left>
      <right style="thin"/>
      <top>
        <color indexed="63"/>
      </top>
      <bottom style="thin"/>
    </border>
    <border>
      <left>
        <color indexed="63"/>
      </left>
      <right style="thin"/>
      <top style="thin"/>
      <bottom>
        <color indexed="63"/>
      </bottom>
    </border>
    <border>
      <left>
        <color indexed="63"/>
      </left>
      <right style="thin"/>
      <top style="thin"/>
      <bottom style="thin"/>
    </border>
    <border>
      <left>
        <color indexed="63"/>
      </left>
      <right style="thin"/>
      <top style="thin"/>
      <bottom style="medium"/>
    </border>
    <border>
      <left style="medium"/>
      <right>
        <color indexed="63"/>
      </right>
      <top style="thin"/>
      <bottom style="thin"/>
    </border>
    <border>
      <left style="medium"/>
      <right>
        <color indexed="63"/>
      </right>
      <top style="thin"/>
      <bottom style="medium"/>
    </border>
    <border>
      <left style="medium"/>
      <right style="medium"/>
      <top style="thin"/>
      <bottom style="medium"/>
    </border>
    <border>
      <left style="medium"/>
      <right>
        <color indexed="63"/>
      </right>
      <top>
        <color indexed="63"/>
      </top>
      <bottom style="thin"/>
    </border>
    <border>
      <left style="medium"/>
      <right>
        <color indexed="63"/>
      </right>
      <top style="thin"/>
      <bottom>
        <color indexed="63"/>
      </bottom>
    </border>
    <border>
      <left style="medium"/>
      <right>
        <color indexed="63"/>
      </right>
      <top style="medium"/>
      <bottom style="medium"/>
    </border>
    <border>
      <left>
        <color indexed="63"/>
      </left>
      <right style="thin"/>
      <top>
        <color indexed="63"/>
      </top>
      <bottom>
        <color indexed="63"/>
      </bottom>
    </border>
    <border>
      <left style="medium"/>
      <right>
        <color indexed="63"/>
      </right>
      <top style="medium"/>
      <bottom>
        <color indexed="63"/>
      </bottom>
    </border>
    <border>
      <left style="medium"/>
      <right style="medium"/>
      <top style="medium"/>
      <bottom>
        <color indexed="63"/>
      </bottom>
    </border>
    <border>
      <left>
        <color indexed="63"/>
      </left>
      <right style="thin"/>
      <top style="medium"/>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color indexed="63"/>
      </top>
      <bottom>
        <color indexed="63"/>
      </bottom>
    </border>
    <border>
      <left>
        <color indexed="63"/>
      </left>
      <right>
        <color indexed="63"/>
      </right>
      <top style="medium"/>
      <bottom style="medium"/>
    </border>
    <border>
      <left>
        <color indexed="63"/>
      </left>
      <right>
        <color indexed="63"/>
      </right>
      <top style="medium"/>
      <bottom>
        <color indexed="63"/>
      </bottom>
    </border>
    <border>
      <left style="medium"/>
      <right style="medium"/>
      <top style="medium"/>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style="thin"/>
      <bottom>
        <color indexed="63"/>
      </bottom>
    </border>
    <border>
      <left style="medium"/>
      <right style="thin"/>
      <top>
        <color indexed="63"/>
      </top>
      <bottom style="medium"/>
    </border>
    <border>
      <left style="medium"/>
      <right>
        <color indexed="63"/>
      </right>
      <top style="medium"/>
      <bottom style="thin"/>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color indexed="63"/>
      </right>
      <top>
        <color indexed="63"/>
      </top>
      <bottom style="medium"/>
    </border>
    <border>
      <left style="medium"/>
      <right style="medium"/>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color indexed="63"/>
      </top>
      <bottom style="medium"/>
    </border>
    <border>
      <left>
        <color indexed="63"/>
      </left>
      <right>
        <color indexed="63"/>
      </right>
      <top>
        <color indexed="63"/>
      </top>
      <bottom style="medium"/>
    </border>
    <border>
      <left style="thin"/>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cellStyleXfs>
  <cellXfs count="695">
    <xf numFmtId="0" fontId="0" fillId="0" borderId="0" xfId="0" applyAlignment="1">
      <alignment/>
    </xf>
    <xf numFmtId="0" fontId="2" fillId="0" borderId="0" xfId="0" applyFont="1" applyAlignment="1">
      <alignment horizontal="center"/>
    </xf>
    <xf numFmtId="0" fontId="0" fillId="0" borderId="0" xfId="0" applyAlignment="1">
      <alignment vertical="top" wrapText="1"/>
    </xf>
    <xf numFmtId="0" fontId="2" fillId="2" borderId="1" xfId="0" applyFont="1" applyFill="1" applyBorder="1" applyAlignment="1">
      <alignment horizontal="center" vertical="top" wrapText="1"/>
    </xf>
    <xf numFmtId="0" fontId="2" fillId="2" borderId="2" xfId="0" applyFont="1" applyFill="1" applyBorder="1" applyAlignment="1">
      <alignment horizontal="center" vertical="top" wrapText="1"/>
    </xf>
    <xf numFmtId="0" fontId="2" fillId="2" borderId="3" xfId="0" applyFont="1" applyFill="1" applyBorder="1" applyAlignment="1">
      <alignment horizontal="center" vertical="top" wrapText="1"/>
    </xf>
    <xf numFmtId="0" fontId="0" fillId="3" borderId="4" xfId="0" applyFill="1" applyBorder="1" applyAlignment="1">
      <alignment vertical="top" wrapText="1"/>
    </xf>
    <xf numFmtId="0" fontId="0" fillId="3" borderId="5" xfId="0" applyFill="1"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3" fillId="0" borderId="0" xfId="0" applyFont="1" applyAlignment="1">
      <alignment vertical="top"/>
    </xf>
    <xf numFmtId="0" fontId="2" fillId="0" borderId="0" xfId="0" applyFont="1" applyFill="1" applyBorder="1" applyAlignment="1">
      <alignment horizontal="center"/>
    </xf>
    <xf numFmtId="0" fontId="0" fillId="0" borderId="0" xfId="0" applyFill="1" applyBorder="1" applyAlignment="1">
      <alignment vertical="top" wrapText="1"/>
    </xf>
    <xf numFmtId="0" fontId="0" fillId="0" borderId="0" xfId="0" applyFill="1" applyBorder="1" applyAlignment="1">
      <alignment/>
    </xf>
    <xf numFmtId="0" fontId="0" fillId="0" borderId="14" xfId="0" applyBorder="1" applyAlignment="1">
      <alignment vertical="top" wrapText="1"/>
    </xf>
    <xf numFmtId="0" fontId="0" fillId="0" borderId="15" xfId="0" applyBorder="1" applyAlignment="1">
      <alignment vertical="top" wrapText="1"/>
    </xf>
    <xf numFmtId="0" fontId="2" fillId="2" borderId="4" xfId="0" applyFont="1" applyFill="1" applyBorder="1" applyAlignment="1">
      <alignment horizontal="center" vertical="top" wrapText="1"/>
    </xf>
    <xf numFmtId="0" fontId="2" fillId="2" borderId="5" xfId="0" applyFont="1" applyFill="1" applyBorder="1" applyAlignment="1">
      <alignment horizontal="center" vertical="top" wrapText="1"/>
    </xf>
    <xf numFmtId="0" fontId="0" fillId="3" borderId="6" xfId="0" applyFill="1" applyBorder="1" applyAlignment="1">
      <alignment vertical="top" wrapText="1"/>
    </xf>
    <xf numFmtId="0" fontId="0" fillId="3" borderId="7" xfId="0" applyFill="1" applyBorder="1" applyAlignment="1">
      <alignment vertical="top" wrapText="1"/>
    </xf>
    <xf numFmtId="0" fontId="0" fillId="3" borderId="8" xfId="0" applyFill="1" applyBorder="1" applyAlignment="1">
      <alignment vertical="top" wrapText="1"/>
    </xf>
    <xf numFmtId="0" fontId="0" fillId="3" borderId="9" xfId="0" applyFill="1" applyBorder="1" applyAlignment="1">
      <alignment vertical="top" wrapText="1"/>
    </xf>
    <xf numFmtId="0" fontId="0" fillId="0" borderId="4" xfId="0" applyFill="1" applyBorder="1" applyAlignment="1">
      <alignment vertical="top" wrapText="1"/>
    </xf>
    <xf numFmtId="0" fontId="0" fillId="0" borderId="5" xfId="0" applyFill="1" applyBorder="1" applyAlignment="1">
      <alignment vertical="top" wrapText="1"/>
    </xf>
    <xf numFmtId="0" fontId="0" fillId="3" borderId="16" xfId="0" applyFill="1"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6" xfId="0" applyFill="1" applyBorder="1" applyAlignment="1">
      <alignment vertical="top" wrapText="1"/>
    </xf>
    <xf numFmtId="0" fontId="0" fillId="3" borderId="17" xfId="0" applyFill="1" applyBorder="1" applyAlignment="1">
      <alignment vertical="top" wrapText="1"/>
    </xf>
    <xf numFmtId="0" fontId="0" fillId="3" borderId="18" xfId="0" applyFill="1" applyBorder="1" applyAlignment="1">
      <alignment vertical="top" wrapText="1"/>
    </xf>
    <xf numFmtId="0" fontId="0" fillId="0" borderId="21" xfId="0" applyBorder="1" applyAlignment="1">
      <alignment vertical="top" wrapText="1"/>
    </xf>
    <xf numFmtId="0" fontId="2" fillId="2" borderId="22" xfId="0" applyFont="1" applyFill="1" applyBorder="1" applyAlignment="1">
      <alignment horizontal="center" vertical="top" wrapText="1"/>
    </xf>
    <xf numFmtId="0" fontId="0" fillId="0" borderId="11" xfId="0" applyBorder="1" applyAlignment="1">
      <alignment/>
    </xf>
    <xf numFmtId="0" fontId="0" fillId="0" borderId="10" xfId="0" applyBorder="1" applyAlignment="1">
      <alignment/>
    </xf>
    <xf numFmtId="0" fontId="0" fillId="0" borderId="23" xfId="0" applyBorder="1" applyAlignment="1">
      <alignment/>
    </xf>
    <xf numFmtId="0" fontId="0" fillId="0" borderId="12" xfId="0" applyBorder="1" applyAlignment="1">
      <alignment/>
    </xf>
    <xf numFmtId="0" fontId="0" fillId="0" borderId="24" xfId="0" applyBorder="1" applyAlignment="1">
      <alignment/>
    </xf>
    <xf numFmtId="0" fontId="0" fillId="0" borderId="6" xfId="0" applyBorder="1" applyAlignment="1">
      <alignment/>
    </xf>
    <xf numFmtId="0" fontId="0" fillId="0" borderId="25" xfId="0" applyBorder="1" applyAlignment="1">
      <alignment/>
    </xf>
    <xf numFmtId="0" fontId="2" fillId="4" borderId="3" xfId="0" applyFont="1" applyFill="1" applyBorder="1" applyAlignment="1">
      <alignment horizontal="center"/>
    </xf>
    <xf numFmtId="0" fontId="0" fillId="0" borderId="11" xfId="0" applyFill="1" applyBorder="1" applyAlignment="1">
      <alignment/>
    </xf>
    <xf numFmtId="0" fontId="0" fillId="0" borderId="10" xfId="0" applyFill="1" applyBorder="1" applyAlignment="1">
      <alignment/>
    </xf>
    <xf numFmtId="0" fontId="0" fillId="0" borderId="23" xfId="0" applyFill="1" applyBorder="1" applyAlignment="1">
      <alignment/>
    </xf>
    <xf numFmtId="0" fontId="0" fillId="0" borderId="12" xfId="0" applyFill="1" applyBorder="1" applyAlignment="1">
      <alignment/>
    </xf>
    <xf numFmtId="0" fontId="0" fillId="0" borderId="24" xfId="0" applyFill="1" applyBorder="1" applyAlignment="1">
      <alignment/>
    </xf>
    <xf numFmtId="0" fontId="0" fillId="0" borderId="6" xfId="0" applyFill="1" applyBorder="1" applyAlignment="1">
      <alignment/>
    </xf>
    <xf numFmtId="0" fontId="0" fillId="0" borderId="25" xfId="0" applyFill="1" applyBorder="1" applyAlignment="1">
      <alignment/>
    </xf>
    <xf numFmtId="0" fontId="0" fillId="0" borderId="7" xfId="0" applyFill="1" applyBorder="1" applyAlignment="1">
      <alignment/>
    </xf>
    <xf numFmtId="0" fontId="0" fillId="0" borderId="0" xfId="0" applyAlignment="1">
      <alignment horizontal="right"/>
    </xf>
    <xf numFmtId="0" fontId="0" fillId="0" borderId="25" xfId="0" applyBorder="1" applyAlignment="1">
      <alignment horizontal="right"/>
    </xf>
    <xf numFmtId="0" fontId="0" fillId="0" borderId="26" xfId="0" applyBorder="1" applyAlignment="1">
      <alignment horizontal="right"/>
    </xf>
    <xf numFmtId="0" fontId="0" fillId="0" borderId="23" xfId="0" applyBorder="1" applyAlignment="1">
      <alignment horizontal="right"/>
    </xf>
    <xf numFmtId="0" fontId="0" fillId="0" borderId="6" xfId="0" applyBorder="1" applyAlignment="1">
      <alignment horizontal="right"/>
    </xf>
    <xf numFmtId="0" fontId="0" fillId="0" borderId="8" xfId="0" applyBorder="1" applyAlignment="1">
      <alignment horizontal="right"/>
    </xf>
    <xf numFmtId="0" fontId="0" fillId="0" borderId="10" xfId="0" applyBorder="1" applyAlignment="1">
      <alignment horizontal="right"/>
    </xf>
    <xf numFmtId="0" fontId="2" fillId="4" borderId="22" xfId="0" applyFont="1" applyFill="1" applyBorder="1" applyAlignment="1">
      <alignment horizontal="center"/>
    </xf>
    <xf numFmtId="0" fontId="2" fillId="4" borderId="16" xfId="0" applyFont="1" applyFill="1" applyBorder="1" applyAlignment="1">
      <alignment horizontal="right"/>
    </xf>
    <xf numFmtId="0" fontId="0" fillId="0" borderId="17" xfId="0" applyBorder="1" applyAlignment="1">
      <alignment horizontal="right"/>
    </xf>
    <xf numFmtId="0" fontId="0" fillId="0" borderId="18" xfId="0" applyBorder="1" applyAlignment="1">
      <alignment horizontal="right"/>
    </xf>
    <xf numFmtId="0" fontId="0" fillId="4" borderId="16" xfId="0" applyFill="1" applyBorder="1" applyAlignment="1">
      <alignment horizontal="right"/>
    </xf>
    <xf numFmtId="0" fontId="0" fillId="0" borderId="19" xfId="0" applyBorder="1" applyAlignment="1">
      <alignment horizontal="right"/>
    </xf>
    <xf numFmtId="0" fontId="0" fillId="0" borderId="13" xfId="0" applyBorder="1" applyAlignment="1">
      <alignment/>
    </xf>
    <xf numFmtId="0" fontId="2" fillId="5" borderId="4" xfId="0" applyFont="1" applyFill="1" applyBorder="1" applyAlignment="1">
      <alignment horizontal="center"/>
    </xf>
    <xf numFmtId="0" fontId="2" fillId="5" borderId="5" xfId="0" applyFont="1" applyFill="1" applyBorder="1" applyAlignment="1">
      <alignment horizontal="center"/>
    </xf>
    <xf numFmtId="0" fontId="2" fillId="5" borderId="27" xfId="0" applyFont="1" applyFill="1" applyBorder="1" applyAlignment="1">
      <alignment horizontal="center"/>
    </xf>
    <xf numFmtId="0" fontId="0" fillId="0" borderId="7" xfId="0" applyBorder="1" applyAlignment="1">
      <alignment/>
    </xf>
    <xf numFmtId="0" fontId="0" fillId="0" borderId="17" xfId="0" applyFill="1" applyBorder="1" applyAlignment="1">
      <alignment/>
    </xf>
    <xf numFmtId="0" fontId="0" fillId="0" borderId="19" xfId="0" applyFill="1" applyBorder="1" applyAlignment="1">
      <alignment/>
    </xf>
    <xf numFmtId="0" fontId="0" fillId="0" borderId="20" xfId="0" applyFill="1" applyBorder="1" applyAlignment="1">
      <alignment/>
    </xf>
    <xf numFmtId="0" fontId="2" fillId="5" borderId="1" xfId="0" applyFont="1" applyFill="1" applyBorder="1" applyAlignment="1">
      <alignment horizontal="center"/>
    </xf>
    <xf numFmtId="0" fontId="2" fillId="5" borderId="2" xfId="0" applyFont="1" applyFill="1" applyBorder="1" applyAlignment="1">
      <alignment horizontal="center"/>
    </xf>
    <xf numFmtId="0" fontId="2" fillId="5" borderId="3" xfId="0" applyFont="1" applyFill="1" applyBorder="1" applyAlignment="1">
      <alignment horizontal="center"/>
    </xf>
    <xf numFmtId="0" fontId="0" fillId="0" borderId="13" xfId="0" applyFill="1" applyBorder="1" applyAlignment="1">
      <alignment/>
    </xf>
    <xf numFmtId="0" fontId="0" fillId="0" borderId="19" xfId="0" applyBorder="1" applyAlignment="1">
      <alignment/>
    </xf>
    <xf numFmtId="0" fontId="0" fillId="0" borderId="20" xfId="0" applyBorder="1" applyAlignment="1">
      <alignment/>
    </xf>
    <xf numFmtId="0" fontId="0" fillId="0" borderId="17" xfId="0" applyFill="1" applyBorder="1" applyAlignment="1">
      <alignment horizontal="right"/>
    </xf>
    <xf numFmtId="0" fontId="0" fillId="0" borderId="19" xfId="0" applyFill="1" applyBorder="1" applyAlignment="1">
      <alignment horizontal="right"/>
    </xf>
    <xf numFmtId="0" fontId="0" fillId="0" borderId="18" xfId="0" applyFill="1" applyBorder="1" applyAlignment="1">
      <alignment horizontal="right"/>
    </xf>
    <xf numFmtId="0" fontId="0" fillId="0" borderId="21" xfId="0" applyFill="1" applyBorder="1" applyAlignment="1">
      <alignment horizontal="right"/>
    </xf>
    <xf numFmtId="0" fontId="0" fillId="0" borderId="20" xfId="0" applyFill="1" applyBorder="1" applyAlignment="1">
      <alignment horizontal="right"/>
    </xf>
    <xf numFmtId="0" fontId="0" fillId="0" borderId="0" xfId="0" applyFill="1" applyBorder="1" applyAlignment="1">
      <alignment horizontal="right"/>
    </xf>
    <xf numFmtId="0" fontId="0" fillId="0" borderId="6" xfId="0" applyFill="1" applyBorder="1" applyAlignment="1">
      <alignment horizontal="right"/>
    </xf>
    <xf numFmtId="0" fontId="0" fillId="0" borderId="10" xfId="0" applyFill="1" applyBorder="1" applyAlignment="1">
      <alignment horizontal="right"/>
    </xf>
    <xf numFmtId="0" fontId="0" fillId="0" borderId="8" xfId="0" applyFill="1" applyBorder="1" applyAlignment="1">
      <alignment horizontal="right"/>
    </xf>
    <xf numFmtId="0" fontId="0" fillId="0" borderId="14" xfId="0" applyFill="1" applyBorder="1" applyAlignment="1">
      <alignment horizontal="right"/>
    </xf>
    <xf numFmtId="0" fontId="2" fillId="5" borderId="4" xfId="0" applyFont="1" applyFill="1" applyBorder="1" applyAlignment="1">
      <alignment horizontal="right"/>
    </xf>
    <xf numFmtId="0" fontId="2" fillId="5" borderId="5" xfId="0" applyFont="1" applyFill="1" applyBorder="1" applyAlignment="1">
      <alignment horizontal="right"/>
    </xf>
    <xf numFmtId="0" fontId="2" fillId="5" borderId="27" xfId="0" applyFont="1" applyFill="1" applyBorder="1" applyAlignment="1">
      <alignment horizontal="right"/>
    </xf>
    <xf numFmtId="0" fontId="0" fillId="0" borderId="7" xfId="0" applyFill="1" applyBorder="1" applyAlignment="1">
      <alignment horizontal="right"/>
    </xf>
    <xf numFmtId="0" fontId="0" fillId="0" borderId="25" xfId="0" applyFill="1" applyBorder="1" applyAlignment="1">
      <alignment horizontal="right"/>
    </xf>
    <xf numFmtId="0" fontId="0" fillId="0" borderId="11" xfId="0" applyFill="1" applyBorder="1" applyAlignment="1">
      <alignment horizontal="right"/>
    </xf>
    <xf numFmtId="0" fontId="0" fillId="0" borderId="23" xfId="0" applyFill="1" applyBorder="1" applyAlignment="1">
      <alignment horizontal="right"/>
    </xf>
    <xf numFmtId="0" fontId="0" fillId="0" borderId="9" xfId="0" applyFill="1" applyBorder="1" applyAlignment="1">
      <alignment horizontal="right"/>
    </xf>
    <xf numFmtId="0" fontId="0" fillId="0" borderId="26" xfId="0" applyFill="1" applyBorder="1" applyAlignment="1">
      <alignment horizontal="right"/>
    </xf>
    <xf numFmtId="0" fontId="0" fillId="5" borderId="4" xfId="0" applyFill="1" applyBorder="1" applyAlignment="1">
      <alignment horizontal="right"/>
    </xf>
    <xf numFmtId="0" fontId="0" fillId="5" borderId="5" xfId="0" applyFill="1" applyBorder="1" applyAlignment="1">
      <alignment horizontal="right"/>
    </xf>
    <xf numFmtId="0" fontId="0" fillId="5" borderId="27" xfId="0" applyFill="1" applyBorder="1" applyAlignment="1">
      <alignment horizontal="right"/>
    </xf>
    <xf numFmtId="0" fontId="0" fillId="0" borderId="15" xfId="0" applyFill="1" applyBorder="1" applyAlignment="1">
      <alignment horizontal="right"/>
    </xf>
    <xf numFmtId="0" fontId="0" fillId="0" borderId="28" xfId="0" applyFill="1" applyBorder="1" applyAlignment="1">
      <alignment horizontal="right"/>
    </xf>
    <xf numFmtId="0" fontId="0" fillId="0" borderId="7" xfId="0" applyBorder="1" applyAlignment="1">
      <alignment horizontal="right"/>
    </xf>
    <xf numFmtId="0" fontId="0" fillId="0" borderId="9" xfId="0" applyBorder="1" applyAlignment="1">
      <alignment horizontal="right"/>
    </xf>
    <xf numFmtId="0" fontId="0" fillId="0" borderId="11" xfId="0" applyBorder="1" applyAlignment="1">
      <alignment horizontal="right"/>
    </xf>
    <xf numFmtId="0" fontId="0" fillId="5" borderId="10" xfId="0" applyFill="1" applyBorder="1" applyAlignment="1">
      <alignment horizontal="right"/>
    </xf>
    <xf numFmtId="0" fontId="0" fillId="5" borderId="11" xfId="0" applyFill="1" applyBorder="1" applyAlignment="1">
      <alignment horizontal="right"/>
    </xf>
    <xf numFmtId="0" fontId="0" fillId="5" borderId="23" xfId="0" applyFill="1" applyBorder="1" applyAlignment="1">
      <alignment horizontal="right"/>
    </xf>
    <xf numFmtId="0" fontId="0" fillId="4" borderId="27" xfId="0" applyFont="1" applyFill="1" applyBorder="1" applyAlignment="1">
      <alignment horizontal="right"/>
    </xf>
    <xf numFmtId="0" fontId="0" fillId="5" borderId="4" xfId="0" applyFont="1" applyFill="1" applyBorder="1" applyAlignment="1">
      <alignment horizontal="right"/>
    </xf>
    <xf numFmtId="0" fontId="0" fillId="5" borderId="5" xfId="0" applyFont="1" applyFill="1" applyBorder="1" applyAlignment="1">
      <alignment horizontal="right"/>
    </xf>
    <xf numFmtId="0" fontId="0" fillId="5" borderId="27" xfId="0" applyFont="1" applyFill="1" applyBorder="1" applyAlignment="1">
      <alignment horizontal="right"/>
    </xf>
    <xf numFmtId="0" fontId="0" fillId="0" borderId="14" xfId="0" applyFont="1" applyFill="1" applyBorder="1" applyAlignment="1">
      <alignment horizontal="right"/>
    </xf>
    <xf numFmtId="0" fontId="0" fillId="0" borderId="28" xfId="0" applyFont="1" applyFill="1" applyBorder="1" applyAlignment="1">
      <alignment horizontal="right"/>
    </xf>
    <xf numFmtId="0" fontId="0" fillId="0" borderId="15" xfId="0" applyFont="1" applyFill="1" applyBorder="1" applyAlignment="1">
      <alignment horizontal="right"/>
    </xf>
    <xf numFmtId="0" fontId="0" fillId="4" borderId="16" xfId="0" applyFont="1" applyFill="1" applyBorder="1" applyAlignment="1">
      <alignment horizontal="right"/>
    </xf>
    <xf numFmtId="0" fontId="0" fillId="0" borderId="6" xfId="0" applyFont="1" applyFill="1" applyBorder="1" applyAlignment="1">
      <alignment horizontal="right"/>
    </xf>
    <xf numFmtId="0" fontId="0" fillId="0" borderId="17" xfId="0" applyFont="1" applyFill="1" applyBorder="1" applyAlignment="1">
      <alignment horizontal="right"/>
    </xf>
    <xf numFmtId="0" fontId="0" fillId="0" borderId="7" xfId="0" applyFont="1" applyFill="1" applyBorder="1" applyAlignment="1">
      <alignment horizontal="right"/>
    </xf>
    <xf numFmtId="0" fontId="0" fillId="0" borderId="25" xfId="0" applyFont="1" applyFill="1" applyBorder="1" applyAlignment="1">
      <alignment horizontal="right"/>
    </xf>
    <xf numFmtId="0" fontId="0" fillId="0" borderId="10" xfId="0" applyFont="1" applyFill="1" applyBorder="1" applyAlignment="1">
      <alignment horizontal="right"/>
    </xf>
    <xf numFmtId="0" fontId="0" fillId="0" borderId="19" xfId="0" applyFont="1" applyFill="1" applyBorder="1" applyAlignment="1">
      <alignment horizontal="right"/>
    </xf>
    <xf numFmtId="0" fontId="0" fillId="0" borderId="11" xfId="0" applyFont="1" applyFill="1" applyBorder="1" applyAlignment="1">
      <alignment horizontal="right"/>
    </xf>
    <xf numFmtId="0" fontId="0" fillId="0" borderId="23" xfId="0" applyFont="1" applyFill="1" applyBorder="1" applyAlignment="1">
      <alignment horizontal="right"/>
    </xf>
    <xf numFmtId="0" fontId="0" fillId="0" borderId="8" xfId="0" applyFont="1" applyFill="1" applyBorder="1" applyAlignment="1">
      <alignment horizontal="right"/>
    </xf>
    <xf numFmtId="0" fontId="0" fillId="0" borderId="18" xfId="0" applyFont="1" applyFill="1" applyBorder="1" applyAlignment="1">
      <alignment horizontal="right"/>
    </xf>
    <xf numFmtId="0" fontId="0" fillId="0" borderId="9" xfId="0" applyFont="1" applyFill="1" applyBorder="1" applyAlignment="1">
      <alignment horizontal="right"/>
    </xf>
    <xf numFmtId="0" fontId="0" fillId="0" borderId="26" xfId="0" applyFont="1" applyFill="1" applyBorder="1" applyAlignment="1">
      <alignment horizontal="right"/>
    </xf>
    <xf numFmtId="0" fontId="0" fillId="0" borderId="21" xfId="0" applyFont="1" applyFill="1" applyBorder="1" applyAlignment="1">
      <alignment horizontal="right"/>
    </xf>
    <xf numFmtId="0" fontId="0" fillId="4" borderId="29" xfId="0" applyFont="1" applyFill="1" applyBorder="1" applyAlignment="1">
      <alignment horizontal="right"/>
    </xf>
    <xf numFmtId="0" fontId="0" fillId="4" borderId="20" xfId="0" applyFont="1" applyFill="1" applyBorder="1" applyAlignment="1">
      <alignment horizontal="right"/>
    </xf>
    <xf numFmtId="0" fontId="0" fillId="5" borderId="6" xfId="0" applyFont="1" applyFill="1" applyBorder="1" applyAlignment="1">
      <alignment horizontal="right"/>
    </xf>
    <xf numFmtId="0" fontId="0" fillId="5" borderId="7" xfId="0" applyFont="1" applyFill="1" applyBorder="1" applyAlignment="1">
      <alignment horizontal="right"/>
    </xf>
    <xf numFmtId="0" fontId="0" fillId="5" borderId="25" xfId="0" applyFont="1" applyFill="1" applyBorder="1" applyAlignment="1">
      <alignment horizontal="right"/>
    </xf>
    <xf numFmtId="3" fontId="0" fillId="0" borderId="0" xfId="0" applyNumberFormat="1" applyAlignment="1">
      <alignment/>
    </xf>
    <xf numFmtId="0" fontId="0" fillId="3" borderId="4" xfId="0" applyFill="1" applyBorder="1" applyAlignment="1">
      <alignment/>
    </xf>
    <xf numFmtId="0" fontId="0" fillId="3" borderId="27" xfId="0" applyFill="1" applyBorder="1" applyAlignment="1">
      <alignment/>
    </xf>
    <xf numFmtId="0" fontId="6" fillId="0" borderId="0" xfId="0" applyFont="1" applyAlignment="1">
      <alignment horizontal="justify"/>
    </xf>
    <xf numFmtId="0" fontId="7" fillId="0" borderId="0" xfId="0" applyFont="1" applyAlignment="1">
      <alignment vertical="top" wrapText="1"/>
    </xf>
    <xf numFmtId="3" fontId="0" fillId="0" borderId="11" xfId="0" applyNumberFormat="1" applyBorder="1" applyAlignment="1">
      <alignment/>
    </xf>
    <xf numFmtId="3" fontId="0" fillId="0" borderId="23" xfId="0" applyNumberFormat="1" applyBorder="1" applyAlignment="1">
      <alignment/>
    </xf>
    <xf numFmtId="3" fontId="0" fillId="0" borderId="24" xfId="0" applyNumberFormat="1" applyBorder="1" applyAlignment="1">
      <alignment/>
    </xf>
    <xf numFmtId="3" fontId="8" fillId="0" borderId="27" xfId="0" applyNumberFormat="1" applyFont="1" applyBorder="1" applyAlignment="1">
      <alignment/>
    </xf>
    <xf numFmtId="0" fontId="2" fillId="3" borderId="10" xfId="0" applyFont="1" applyFill="1" applyBorder="1" applyAlignment="1">
      <alignment horizontal="left"/>
    </xf>
    <xf numFmtId="0" fontId="2" fillId="3" borderId="6" xfId="0" applyFont="1" applyFill="1" applyBorder="1" applyAlignment="1">
      <alignment/>
    </xf>
    <xf numFmtId="0" fontId="2" fillId="3" borderId="10" xfId="0" applyFont="1" applyFill="1" applyBorder="1" applyAlignment="1">
      <alignment/>
    </xf>
    <xf numFmtId="3" fontId="0" fillId="0" borderId="13" xfId="0" applyNumberFormat="1" applyBorder="1" applyAlignment="1">
      <alignment/>
    </xf>
    <xf numFmtId="3" fontId="0" fillId="0" borderId="7" xfId="0" applyNumberFormat="1" applyBorder="1" applyAlignment="1">
      <alignment/>
    </xf>
    <xf numFmtId="3" fontId="0" fillId="0" borderId="25" xfId="0" applyNumberFormat="1" applyBorder="1" applyAlignment="1">
      <alignment/>
    </xf>
    <xf numFmtId="0" fontId="2" fillId="2" borderId="4" xfId="0" applyFont="1" applyFill="1" applyBorder="1" applyAlignment="1">
      <alignment horizontal="center"/>
    </xf>
    <xf numFmtId="3" fontId="2" fillId="2" borderId="5" xfId="0" applyNumberFormat="1" applyFont="1" applyFill="1" applyBorder="1" applyAlignment="1">
      <alignment horizontal="center"/>
    </xf>
    <xf numFmtId="0" fontId="8" fillId="0" borderId="0" xfId="0" applyFont="1" applyAlignment="1">
      <alignment horizontal="center"/>
    </xf>
    <xf numFmtId="0" fontId="11" fillId="0" borderId="0" xfId="0" applyFont="1" applyAlignment="1">
      <alignment horizontal="center"/>
    </xf>
    <xf numFmtId="0" fontId="11" fillId="0" borderId="0" xfId="0" applyFont="1" applyAlignment="1">
      <alignment/>
    </xf>
    <xf numFmtId="0" fontId="12" fillId="0" borderId="0" xfId="0" applyFont="1" applyAlignment="1">
      <alignment/>
    </xf>
    <xf numFmtId="0" fontId="12" fillId="0" borderId="0" xfId="0" applyFont="1" applyAlignment="1">
      <alignment vertical="top" wrapText="1"/>
    </xf>
    <xf numFmtId="0" fontId="12" fillId="0" borderId="0" xfId="0" applyFont="1" applyAlignment="1">
      <alignment horizontal="center"/>
    </xf>
    <xf numFmtId="0" fontId="11" fillId="2" borderId="1" xfId="0" applyFont="1" applyFill="1" applyBorder="1" applyAlignment="1">
      <alignment horizontal="center" vertical="top" wrapText="1"/>
    </xf>
    <xf numFmtId="0" fontId="11" fillId="2" borderId="2" xfId="0" applyFont="1" applyFill="1" applyBorder="1" applyAlignment="1">
      <alignment horizontal="center"/>
    </xf>
    <xf numFmtId="0" fontId="11" fillId="2" borderId="3" xfId="0" applyFont="1" applyFill="1" applyBorder="1" applyAlignment="1">
      <alignment horizontal="center"/>
    </xf>
    <xf numFmtId="0" fontId="11" fillId="3" borderId="4" xfId="0" applyFont="1" applyFill="1" applyBorder="1" applyAlignment="1">
      <alignment vertical="top" wrapText="1"/>
    </xf>
    <xf numFmtId="0" fontId="11" fillId="3" borderId="5" xfId="0" applyFont="1" applyFill="1" applyBorder="1" applyAlignment="1">
      <alignment horizontal="center"/>
    </xf>
    <xf numFmtId="0" fontId="11" fillId="3" borderId="5" xfId="0" applyFont="1" applyFill="1" applyBorder="1" applyAlignment="1">
      <alignment/>
    </xf>
    <xf numFmtId="0" fontId="11" fillId="3" borderId="27" xfId="0" applyFont="1" applyFill="1" applyBorder="1" applyAlignment="1">
      <alignment/>
    </xf>
    <xf numFmtId="0" fontId="12" fillId="0" borderId="6" xfId="0" applyFont="1" applyBorder="1" applyAlignment="1">
      <alignment vertical="top" wrapText="1"/>
    </xf>
    <xf numFmtId="0" fontId="12" fillId="0" borderId="7" xfId="0" applyFont="1" applyBorder="1" applyAlignment="1">
      <alignment horizontal="center"/>
    </xf>
    <xf numFmtId="0" fontId="12" fillId="0" borderId="7" xfId="0" applyFont="1" applyFill="1" applyBorder="1" applyAlignment="1">
      <alignment/>
    </xf>
    <xf numFmtId="0" fontId="12" fillId="0" borderId="25" xfId="0" applyFont="1" applyBorder="1" applyAlignment="1">
      <alignment/>
    </xf>
    <xf numFmtId="0" fontId="12" fillId="0" borderId="10" xfId="0" applyFont="1" applyBorder="1" applyAlignment="1">
      <alignment vertical="top" wrapText="1"/>
    </xf>
    <xf numFmtId="0" fontId="12" fillId="0" borderId="11" xfId="0" applyFont="1" applyBorder="1" applyAlignment="1">
      <alignment horizontal="center"/>
    </xf>
    <xf numFmtId="0" fontId="12" fillId="0" borderId="11" xfId="0" applyFont="1" applyFill="1" applyBorder="1" applyAlignment="1">
      <alignment/>
    </xf>
    <xf numFmtId="0" fontId="12" fillId="0" borderId="23" xfId="0" applyFont="1" applyBorder="1" applyAlignment="1">
      <alignment/>
    </xf>
    <xf numFmtId="0" fontId="12" fillId="0" borderId="8" xfId="0" applyFont="1" applyBorder="1" applyAlignment="1">
      <alignment vertical="top" wrapText="1"/>
    </xf>
    <xf numFmtId="0" fontId="12" fillId="0" borderId="9" xfId="0" applyFont="1" applyBorder="1" applyAlignment="1">
      <alignment horizontal="center"/>
    </xf>
    <xf numFmtId="0" fontId="12" fillId="0" borderId="9" xfId="0" applyFont="1" applyFill="1" applyBorder="1" applyAlignment="1">
      <alignment/>
    </xf>
    <xf numFmtId="0" fontId="13" fillId="0" borderId="26" xfId="0" applyFont="1" applyBorder="1" applyAlignment="1">
      <alignment/>
    </xf>
    <xf numFmtId="0" fontId="10" fillId="0" borderId="4" xfId="0" applyFont="1" applyBorder="1" applyAlignment="1">
      <alignment/>
    </xf>
    <xf numFmtId="0" fontId="12" fillId="0" borderId="23" xfId="0" applyFont="1" applyBorder="1" applyAlignment="1">
      <alignment vertical="top" wrapText="1"/>
    </xf>
    <xf numFmtId="0" fontId="12" fillId="0" borderId="26" xfId="0" applyFont="1" applyBorder="1" applyAlignment="1">
      <alignment vertical="top" wrapText="1"/>
    </xf>
    <xf numFmtId="0" fontId="12" fillId="0" borderId="6" xfId="0" applyFont="1" applyBorder="1" applyAlignment="1">
      <alignment vertical="top"/>
    </xf>
    <xf numFmtId="0" fontId="12" fillId="0" borderId="7" xfId="0" applyFont="1" applyBorder="1" applyAlignment="1">
      <alignment/>
    </xf>
    <xf numFmtId="0" fontId="12" fillId="0" borderId="10" xfId="0" applyFont="1" applyBorder="1" applyAlignment="1">
      <alignment vertical="top"/>
    </xf>
    <xf numFmtId="0" fontId="12" fillId="0" borderId="11" xfId="0" applyFont="1" applyBorder="1" applyAlignment="1">
      <alignment/>
    </xf>
    <xf numFmtId="0" fontId="12" fillId="0" borderId="26" xfId="0" applyFont="1" applyBorder="1" applyAlignment="1">
      <alignment/>
    </xf>
    <xf numFmtId="0" fontId="12" fillId="0" borderId="6" xfId="0" applyFont="1" applyFill="1" applyBorder="1" applyAlignment="1">
      <alignment vertical="top" wrapText="1"/>
    </xf>
    <xf numFmtId="0" fontId="12" fillId="0" borderId="7" xfId="0" applyFont="1" applyFill="1" applyBorder="1" applyAlignment="1">
      <alignment horizontal="center"/>
    </xf>
    <xf numFmtId="0" fontId="12" fillId="0" borderId="10" xfId="0" applyFont="1" applyFill="1" applyBorder="1" applyAlignment="1">
      <alignment vertical="top" wrapText="1"/>
    </xf>
    <xf numFmtId="0" fontId="12" fillId="0" borderId="11" xfId="0" applyFont="1" applyFill="1" applyBorder="1" applyAlignment="1">
      <alignment horizontal="center"/>
    </xf>
    <xf numFmtId="0" fontId="12" fillId="0" borderId="8" xfId="0" applyFont="1" applyFill="1" applyBorder="1" applyAlignment="1">
      <alignment vertical="top" wrapText="1"/>
    </xf>
    <xf numFmtId="0" fontId="12" fillId="0" borderId="9" xfId="0" applyFont="1" applyFill="1" applyBorder="1" applyAlignment="1">
      <alignment horizontal="center"/>
    </xf>
    <xf numFmtId="0" fontId="12" fillId="0" borderId="30" xfId="0" applyFont="1" applyFill="1" applyBorder="1" applyAlignment="1">
      <alignment vertical="top" wrapText="1"/>
    </xf>
    <xf numFmtId="0" fontId="12" fillId="0" borderId="31" xfId="0" applyFont="1" applyFill="1" applyBorder="1" applyAlignment="1">
      <alignment horizontal="center"/>
    </xf>
    <xf numFmtId="0" fontId="12" fillId="0" borderId="31" xfId="0" applyFont="1" applyFill="1" applyBorder="1" applyAlignment="1">
      <alignment/>
    </xf>
    <xf numFmtId="0" fontId="12" fillId="0" borderId="32" xfId="0" applyFont="1" applyBorder="1" applyAlignment="1">
      <alignment/>
    </xf>
    <xf numFmtId="0" fontId="11" fillId="3" borderId="12" xfId="0" applyFont="1" applyFill="1" applyBorder="1" applyAlignment="1">
      <alignment vertical="top" wrapText="1"/>
    </xf>
    <xf numFmtId="0" fontId="11" fillId="3" borderId="13" xfId="0" applyFont="1" applyFill="1" applyBorder="1" applyAlignment="1">
      <alignment horizontal="center"/>
    </xf>
    <xf numFmtId="0" fontId="11" fillId="3" borderId="13" xfId="0" applyFont="1" applyFill="1" applyBorder="1" applyAlignment="1">
      <alignment/>
    </xf>
    <xf numFmtId="0" fontId="11" fillId="3" borderId="24" xfId="0" applyFont="1" applyFill="1" applyBorder="1" applyAlignment="1">
      <alignment/>
    </xf>
    <xf numFmtId="0" fontId="12" fillId="0" borderId="12" xfId="0" applyFont="1" applyBorder="1" applyAlignment="1">
      <alignment vertical="top" wrapText="1"/>
    </xf>
    <xf numFmtId="0" fontId="12" fillId="0" borderId="13" xfId="0" applyFont="1" applyBorder="1" applyAlignment="1">
      <alignment horizontal="center"/>
    </xf>
    <xf numFmtId="0" fontId="12" fillId="0" borderId="13" xfId="0" applyFont="1" applyBorder="1" applyAlignment="1">
      <alignment/>
    </xf>
    <xf numFmtId="0" fontId="12" fillId="0" borderId="24" xfId="0" applyFont="1" applyBorder="1" applyAlignment="1">
      <alignment/>
    </xf>
    <xf numFmtId="0" fontId="11" fillId="3" borderId="5" xfId="0" applyFont="1" applyFill="1" applyBorder="1" applyAlignment="1">
      <alignment horizontal="center" vertical="top"/>
    </xf>
    <xf numFmtId="0" fontId="11" fillId="3" borderId="5" xfId="0" applyFont="1" applyFill="1" applyBorder="1" applyAlignment="1">
      <alignment vertical="top"/>
    </xf>
    <xf numFmtId="0" fontId="11" fillId="3" borderId="16" xfId="0" applyFont="1" applyFill="1" applyBorder="1" applyAlignment="1">
      <alignment horizontal="center" vertical="top" wrapText="1"/>
    </xf>
    <xf numFmtId="0" fontId="11" fillId="3" borderId="33" xfId="0" applyFont="1" applyFill="1" applyBorder="1" applyAlignment="1">
      <alignment vertical="top"/>
    </xf>
    <xf numFmtId="0" fontId="12" fillId="2" borderId="6" xfId="0" applyFont="1" applyFill="1" applyBorder="1" applyAlignment="1">
      <alignment vertical="top" wrapText="1"/>
    </xf>
    <xf numFmtId="0" fontId="12" fillId="0" borderId="7" xfId="0" applyFont="1" applyBorder="1" applyAlignment="1">
      <alignment horizontal="right"/>
    </xf>
    <xf numFmtId="0" fontId="12" fillId="0" borderId="34" xfId="0" applyFont="1" applyBorder="1" applyAlignment="1">
      <alignment/>
    </xf>
    <xf numFmtId="0" fontId="12" fillId="2" borderId="10" xfId="0" applyFont="1" applyFill="1" applyBorder="1" applyAlignment="1">
      <alignment vertical="top" wrapText="1"/>
    </xf>
    <xf numFmtId="0" fontId="12" fillId="0" borderId="11" xfId="0" applyFont="1" applyBorder="1" applyAlignment="1">
      <alignment horizontal="right"/>
    </xf>
    <xf numFmtId="0" fontId="12" fillId="0" borderId="34" xfId="0" applyFont="1" applyFill="1" applyBorder="1" applyAlignment="1">
      <alignment/>
    </xf>
    <xf numFmtId="0" fontId="12" fillId="0" borderId="19" xfId="0" applyFont="1" applyBorder="1" applyAlignment="1">
      <alignment/>
    </xf>
    <xf numFmtId="0" fontId="12" fillId="2" borderId="8" xfId="0" applyFont="1" applyFill="1" applyBorder="1" applyAlignment="1">
      <alignment vertical="top" wrapText="1"/>
    </xf>
    <xf numFmtId="0" fontId="12" fillId="0" borderId="9" xfId="0" applyFont="1" applyBorder="1" applyAlignment="1">
      <alignment horizontal="right"/>
    </xf>
    <xf numFmtId="0" fontId="12" fillId="0" borderId="9" xfId="0" applyFont="1" applyBorder="1" applyAlignment="1">
      <alignment/>
    </xf>
    <xf numFmtId="0" fontId="11" fillId="3" borderId="5" xfId="0" applyFont="1" applyFill="1" applyBorder="1" applyAlignment="1">
      <alignment horizontal="right"/>
    </xf>
    <xf numFmtId="0" fontId="11" fillId="3" borderId="16" xfId="0" applyFont="1" applyFill="1" applyBorder="1" applyAlignment="1">
      <alignment horizontal="right"/>
    </xf>
    <xf numFmtId="0" fontId="10" fillId="0" borderId="33" xfId="0" applyFont="1" applyBorder="1" applyAlignment="1">
      <alignment horizontal="right"/>
    </xf>
    <xf numFmtId="0" fontId="11" fillId="3" borderId="4" xfId="0" applyFont="1" applyFill="1" applyBorder="1" applyAlignment="1">
      <alignment horizontal="center" vertical="top" wrapText="1"/>
    </xf>
    <xf numFmtId="0" fontId="11" fillId="3" borderId="33" xfId="0" applyFont="1" applyFill="1" applyBorder="1" applyAlignment="1">
      <alignment horizontal="center" vertical="top"/>
    </xf>
    <xf numFmtId="0" fontId="12" fillId="0" borderId="34" xfId="0" applyFont="1" applyBorder="1" applyAlignment="1">
      <alignment horizontal="right"/>
    </xf>
    <xf numFmtId="0" fontId="12" fillId="0" borderId="19" xfId="0" applyFont="1" applyBorder="1" applyAlignment="1">
      <alignment horizontal="right"/>
    </xf>
    <xf numFmtId="0" fontId="12" fillId="0" borderId="35" xfId="0" applyFont="1" applyBorder="1" applyAlignment="1">
      <alignment horizontal="right"/>
    </xf>
    <xf numFmtId="0" fontId="12" fillId="0" borderId="36" xfId="0" applyFont="1" applyBorder="1" applyAlignment="1">
      <alignment horizontal="right"/>
    </xf>
    <xf numFmtId="0" fontId="10" fillId="3" borderId="33" xfId="0" applyFont="1" applyFill="1" applyBorder="1" applyAlignment="1">
      <alignment horizontal="right"/>
    </xf>
    <xf numFmtId="0" fontId="2" fillId="3" borderId="12" xfId="0" applyFont="1" applyFill="1" applyBorder="1" applyAlignment="1">
      <alignment/>
    </xf>
    <xf numFmtId="0" fontId="9" fillId="2" borderId="4" xfId="0" applyFont="1" applyFill="1" applyBorder="1" applyAlignment="1">
      <alignment/>
    </xf>
    <xf numFmtId="3" fontId="9" fillId="2" borderId="37" xfId="0" applyNumberFormat="1" applyFont="1" applyFill="1" applyBorder="1" applyAlignment="1">
      <alignment/>
    </xf>
    <xf numFmtId="3" fontId="2" fillId="4" borderId="1" xfId="0" applyNumberFormat="1" applyFont="1" applyFill="1" applyBorder="1" applyAlignment="1">
      <alignment horizontal="center"/>
    </xf>
    <xf numFmtId="3" fontId="2" fillId="4" borderId="4" xfId="0" applyNumberFormat="1" applyFont="1" applyFill="1" applyBorder="1" applyAlignment="1">
      <alignment horizontal="right"/>
    </xf>
    <xf numFmtId="3" fontId="0" fillId="0" borderId="6" xfId="0" applyNumberFormat="1" applyBorder="1" applyAlignment="1">
      <alignment horizontal="right"/>
    </xf>
    <xf numFmtId="3" fontId="0" fillId="4" borderId="4" xfId="0" applyNumberFormat="1" applyFill="1" applyBorder="1" applyAlignment="1">
      <alignment horizontal="right"/>
    </xf>
    <xf numFmtId="3" fontId="2" fillId="0" borderId="0" xfId="0" applyNumberFormat="1" applyFont="1" applyAlignment="1">
      <alignment/>
    </xf>
    <xf numFmtId="0" fontId="0" fillId="0" borderId="24" xfId="0" applyBorder="1" applyAlignment="1">
      <alignment horizontal="right"/>
    </xf>
    <xf numFmtId="0" fontId="2" fillId="2" borderId="38" xfId="0" applyFont="1" applyFill="1" applyBorder="1" applyAlignment="1">
      <alignment horizontal="center" vertical="top" wrapText="1"/>
    </xf>
    <xf numFmtId="0" fontId="0" fillId="3" borderId="39" xfId="0" applyFill="1" applyBorder="1" applyAlignment="1">
      <alignment vertical="top" wrapText="1"/>
    </xf>
    <xf numFmtId="0" fontId="0" fillId="0" borderId="40" xfId="0" applyBorder="1" applyAlignment="1">
      <alignment vertical="top" wrapText="1"/>
    </xf>
    <xf numFmtId="0" fontId="0" fillId="0" borderId="41" xfId="0" applyBorder="1" applyAlignment="1">
      <alignment vertical="top" wrapText="1"/>
    </xf>
    <xf numFmtId="0" fontId="0" fillId="0" borderId="42" xfId="0" applyBorder="1" applyAlignment="1">
      <alignment vertical="top" wrapText="1"/>
    </xf>
    <xf numFmtId="0" fontId="0" fillId="0" borderId="43" xfId="0" applyBorder="1" applyAlignment="1">
      <alignment vertical="top" wrapText="1"/>
    </xf>
    <xf numFmtId="0" fontId="0" fillId="0" borderId="44" xfId="0" applyBorder="1" applyAlignment="1">
      <alignment/>
    </xf>
    <xf numFmtId="0" fontId="0" fillId="0" borderId="45" xfId="0" applyBorder="1" applyAlignment="1">
      <alignment/>
    </xf>
    <xf numFmtId="0" fontId="0" fillId="0" borderId="35" xfId="0" applyBorder="1" applyAlignment="1">
      <alignment/>
    </xf>
    <xf numFmtId="0" fontId="0" fillId="0" borderId="46" xfId="0" applyBorder="1" applyAlignment="1">
      <alignment/>
    </xf>
    <xf numFmtId="0" fontId="0" fillId="0" borderId="47" xfId="0" applyBorder="1" applyAlignment="1">
      <alignment/>
    </xf>
    <xf numFmtId="0" fontId="0" fillId="0" borderId="34" xfId="0" applyBorder="1" applyAlignment="1">
      <alignment/>
    </xf>
    <xf numFmtId="0" fontId="0" fillId="0" borderId="48" xfId="0" applyBorder="1" applyAlignment="1">
      <alignment/>
    </xf>
    <xf numFmtId="0" fontId="0" fillId="0" borderId="36" xfId="0" applyBorder="1" applyAlignment="1">
      <alignment/>
    </xf>
    <xf numFmtId="0" fontId="0" fillId="3" borderId="49" xfId="0" applyFill="1" applyBorder="1" applyAlignment="1">
      <alignment/>
    </xf>
    <xf numFmtId="0" fontId="0" fillId="3" borderId="33" xfId="0" applyFill="1" applyBorder="1" applyAlignment="1">
      <alignment/>
    </xf>
    <xf numFmtId="0" fontId="0" fillId="3" borderId="49" xfId="0" applyFont="1" applyFill="1" applyBorder="1" applyAlignment="1">
      <alignment horizontal="right"/>
    </xf>
    <xf numFmtId="0" fontId="2" fillId="3" borderId="33" xfId="0" applyFont="1" applyFill="1" applyBorder="1" applyAlignment="1">
      <alignment horizontal="center"/>
    </xf>
    <xf numFmtId="0" fontId="2" fillId="2" borderId="49" xfId="0" applyFont="1" applyFill="1" applyBorder="1" applyAlignment="1">
      <alignment horizontal="center"/>
    </xf>
    <xf numFmtId="0" fontId="2" fillId="2" borderId="33" xfId="0" applyFont="1" applyFill="1" applyBorder="1" applyAlignment="1">
      <alignment horizontal="center"/>
    </xf>
    <xf numFmtId="0" fontId="0" fillId="0" borderId="50" xfId="0" applyBorder="1" applyAlignment="1">
      <alignment vertical="top" wrapText="1"/>
    </xf>
    <xf numFmtId="0" fontId="2" fillId="2" borderId="51" xfId="0" applyFont="1" applyFill="1" applyBorder="1" applyAlignment="1">
      <alignment horizontal="center"/>
    </xf>
    <xf numFmtId="0" fontId="2" fillId="2" borderId="52" xfId="0" applyFont="1" applyFill="1" applyBorder="1" applyAlignment="1">
      <alignment horizontal="center"/>
    </xf>
    <xf numFmtId="0" fontId="2" fillId="3" borderId="27" xfId="0" applyFont="1" applyFill="1" applyBorder="1" applyAlignment="1">
      <alignment horizontal="center"/>
    </xf>
    <xf numFmtId="0" fontId="0" fillId="0" borderId="8" xfId="0" applyFill="1" applyBorder="1" applyAlignment="1">
      <alignment/>
    </xf>
    <xf numFmtId="0" fontId="0" fillId="0" borderId="26" xfId="0" applyFill="1" applyBorder="1" applyAlignment="1">
      <alignment/>
    </xf>
    <xf numFmtId="0" fontId="0" fillId="0" borderId="14" xfId="0" applyFill="1" applyBorder="1" applyAlignment="1">
      <alignment/>
    </xf>
    <xf numFmtId="0" fontId="0" fillId="0" borderId="28" xfId="0" applyFill="1" applyBorder="1" applyAlignment="1">
      <alignment/>
    </xf>
    <xf numFmtId="0" fontId="2" fillId="3" borderId="4" xfId="0" applyFont="1" applyFill="1" applyBorder="1" applyAlignment="1">
      <alignment horizontal="right"/>
    </xf>
    <xf numFmtId="0" fontId="0" fillId="3" borderId="4" xfId="0" applyFont="1" applyFill="1" applyBorder="1" applyAlignment="1">
      <alignment horizontal="right"/>
    </xf>
    <xf numFmtId="3" fontId="0" fillId="0" borderId="6" xfId="0" applyNumberFormat="1" applyFill="1" applyBorder="1" applyAlignment="1">
      <alignment/>
    </xf>
    <xf numFmtId="3" fontId="0" fillId="0" borderId="12" xfId="0" applyNumberFormat="1" applyFill="1" applyBorder="1" applyAlignment="1">
      <alignment/>
    </xf>
    <xf numFmtId="3" fontId="0" fillId="0" borderId="0" xfId="0" applyNumberFormat="1" applyFill="1" applyBorder="1" applyAlignment="1">
      <alignment/>
    </xf>
    <xf numFmtId="4" fontId="0" fillId="0" borderId="28" xfId="0" applyNumberFormat="1" applyFont="1" applyFill="1" applyBorder="1" applyAlignment="1">
      <alignment horizontal="right"/>
    </xf>
    <xf numFmtId="3" fontId="0" fillId="4" borderId="4" xfId="0" applyNumberFormat="1" applyFont="1" applyFill="1" applyBorder="1" applyAlignment="1">
      <alignment horizontal="right"/>
    </xf>
    <xf numFmtId="3" fontId="0" fillId="0" borderId="14" xfId="0" applyNumberFormat="1" applyFont="1" applyFill="1" applyBorder="1" applyAlignment="1">
      <alignment horizontal="right"/>
    </xf>
    <xf numFmtId="3" fontId="0" fillId="0" borderId="10" xfId="0" applyNumberFormat="1" applyFill="1" applyBorder="1" applyAlignment="1">
      <alignment/>
    </xf>
    <xf numFmtId="4" fontId="2" fillId="0" borderId="0" xfId="0" applyNumberFormat="1" applyFont="1" applyFill="1" applyBorder="1" applyAlignment="1">
      <alignment horizontal="center"/>
    </xf>
    <xf numFmtId="0" fontId="2" fillId="0" borderId="6" xfId="0" applyFont="1" applyFill="1" applyBorder="1" applyAlignment="1">
      <alignment horizontal="center"/>
    </xf>
    <xf numFmtId="0" fontId="2" fillId="0" borderId="14" xfId="0" applyFont="1" applyFill="1" applyBorder="1" applyAlignment="1">
      <alignment horizontal="center"/>
    </xf>
    <xf numFmtId="0" fontId="0" fillId="3" borderId="10" xfId="0" applyFill="1" applyBorder="1" applyAlignment="1">
      <alignment/>
    </xf>
    <xf numFmtId="0" fontId="0" fillId="3" borderId="23" xfId="0" applyFill="1" applyBorder="1" applyAlignment="1">
      <alignment/>
    </xf>
    <xf numFmtId="0" fontId="0" fillId="3" borderId="14" xfId="0" applyFill="1" applyBorder="1" applyAlignment="1">
      <alignment/>
    </xf>
    <xf numFmtId="0" fontId="0" fillId="3" borderId="28" xfId="0" applyFill="1" applyBorder="1" applyAlignment="1">
      <alignment/>
    </xf>
    <xf numFmtId="3" fontId="0" fillId="0" borderId="6" xfId="0" applyNumberFormat="1" applyFont="1" applyFill="1" applyBorder="1" applyAlignment="1">
      <alignment horizontal="right"/>
    </xf>
    <xf numFmtId="0" fontId="0" fillId="0" borderId="39" xfId="0" applyFill="1" applyBorder="1" applyAlignment="1">
      <alignment vertical="top" wrapText="1"/>
    </xf>
    <xf numFmtId="0" fontId="0" fillId="3" borderId="40" xfId="0" applyFill="1" applyBorder="1" applyAlignment="1">
      <alignment vertical="top" wrapText="1"/>
    </xf>
    <xf numFmtId="0" fontId="0" fillId="3" borderId="41" xfId="0" applyFill="1" applyBorder="1" applyAlignment="1">
      <alignment vertical="top" wrapText="1"/>
    </xf>
    <xf numFmtId="0" fontId="0" fillId="0" borderId="4" xfId="0" applyFill="1" applyBorder="1" applyAlignment="1">
      <alignment/>
    </xf>
    <xf numFmtId="0" fontId="0" fillId="0" borderId="27" xfId="0" applyFill="1" applyBorder="1" applyAlignment="1">
      <alignment/>
    </xf>
    <xf numFmtId="0" fontId="0" fillId="0" borderId="4" xfId="0" applyFont="1" applyFill="1" applyBorder="1" applyAlignment="1">
      <alignment horizontal="right"/>
    </xf>
    <xf numFmtId="0" fontId="2" fillId="3" borderId="33" xfId="0" applyFont="1" applyFill="1" applyBorder="1" applyAlignment="1">
      <alignment horizontal="center" vertical="top" wrapText="1"/>
    </xf>
    <xf numFmtId="0" fontId="2" fillId="3" borderId="38" xfId="0" applyFont="1" applyFill="1" applyBorder="1" applyAlignment="1">
      <alignment horizontal="center" vertical="top" wrapText="1"/>
    </xf>
    <xf numFmtId="0" fontId="2" fillId="3" borderId="2" xfId="0" applyFont="1" applyFill="1" applyBorder="1" applyAlignment="1">
      <alignment horizontal="center" vertical="top" wrapText="1"/>
    </xf>
    <xf numFmtId="0" fontId="2" fillId="3" borderId="3" xfId="0" applyFont="1" applyFill="1" applyBorder="1" applyAlignment="1">
      <alignment horizontal="center" vertical="top" wrapText="1"/>
    </xf>
    <xf numFmtId="0" fontId="0" fillId="0" borderId="53" xfId="0" applyBorder="1" applyAlignment="1">
      <alignment vertical="top" wrapText="1"/>
    </xf>
    <xf numFmtId="0" fontId="0" fillId="0" borderId="31" xfId="0" applyBorder="1" applyAlignment="1">
      <alignment vertical="top" wrapText="1"/>
    </xf>
    <xf numFmtId="0" fontId="0" fillId="0" borderId="32" xfId="0" applyBorder="1" applyAlignment="1">
      <alignment vertical="top" wrapText="1"/>
    </xf>
    <xf numFmtId="0" fontId="0" fillId="0" borderId="24" xfId="0" applyBorder="1" applyAlignment="1">
      <alignment vertical="top" wrapText="1"/>
    </xf>
    <xf numFmtId="0" fontId="0" fillId="0" borderId="23" xfId="0" applyBorder="1" applyAlignment="1">
      <alignment vertical="top" wrapText="1"/>
    </xf>
    <xf numFmtId="0" fontId="0" fillId="0" borderId="39" xfId="0" applyBorder="1" applyAlignment="1">
      <alignment vertical="top" wrapText="1"/>
    </xf>
    <xf numFmtId="0" fontId="0" fillId="0" borderId="5" xfId="0" applyBorder="1" applyAlignment="1">
      <alignment vertical="top" wrapText="1"/>
    </xf>
    <xf numFmtId="0" fontId="0" fillId="0" borderId="27" xfId="0" applyBorder="1" applyAlignment="1">
      <alignment vertical="top" wrapText="1"/>
    </xf>
    <xf numFmtId="4" fontId="0" fillId="0" borderId="23" xfId="0" applyNumberFormat="1" applyBorder="1" applyAlignment="1">
      <alignment vertical="top" wrapText="1"/>
    </xf>
    <xf numFmtId="4" fontId="0" fillId="0" borderId="0" xfId="0" applyNumberFormat="1" applyAlignment="1">
      <alignment/>
    </xf>
    <xf numFmtId="4" fontId="2" fillId="3" borderId="3" xfId="0" applyNumberFormat="1" applyFont="1" applyFill="1" applyBorder="1" applyAlignment="1">
      <alignment horizontal="center" vertical="top" wrapText="1"/>
    </xf>
    <xf numFmtId="4" fontId="0" fillId="0" borderId="32" xfId="0" applyNumberFormat="1" applyBorder="1" applyAlignment="1">
      <alignment vertical="top" wrapText="1"/>
    </xf>
    <xf numFmtId="4" fontId="0" fillId="0" borderId="24" xfId="0" applyNumberFormat="1" applyBorder="1" applyAlignment="1">
      <alignment vertical="top" wrapText="1"/>
    </xf>
    <xf numFmtId="4" fontId="0" fillId="0" borderId="27" xfId="0" applyNumberFormat="1" applyBorder="1" applyAlignment="1">
      <alignment vertical="top" wrapText="1"/>
    </xf>
    <xf numFmtId="3" fontId="0" fillId="0" borderId="11" xfId="0" applyNumberFormat="1" applyFill="1" applyBorder="1" applyAlignment="1">
      <alignment/>
    </xf>
    <xf numFmtId="3" fontId="0" fillId="0" borderId="11" xfId="0" applyNumberFormat="1" applyFont="1" applyFill="1" applyBorder="1" applyAlignment="1">
      <alignment horizontal="right"/>
    </xf>
    <xf numFmtId="3" fontId="0" fillId="0" borderId="13" xfId="0" applyNumberFormat="1" applyFill="1" applyBorder="1" applyAlignment="1">
      <alignment/>
    </xf>
    <xf numFmtId="3" fontId="0" fillId="0" borderId="13" xfId="0" applyNumberFormat="1" applyFont="1" applyFill="1" applyBorder="1" applyAlignment="1">
      <alignment horizontal="right"/>
    </xf>
    <xf numFmtId="0" fontId="2" fillId="2" borderId="1" xfId="0" applyFont="1" applyFill="1" applyBorder="1" applyAlignment="1">
      <alignment horizontal="center"/>
    </xf>
    <xf numFmtId="3" fontId="2" fillId="4" borderId="2" xfId="0" applyNumberFormat="1" applyFont="1" applyFill="1" applyBorder="1" applyAlignment="1">
      <alignment horizontal="center"/>
    </xf>
    <xf numFmtId="0" fontId="0" fillId="0" borderId="30" xfId="0" applyBorder="1" applyAlignment="1">
      <alignment/>
    </xf>
    <xf numFmtId="3" fontId="0" fillId="0" borderId="31" xfId="0" applyNumberFormat="1" applyBorder="1" applyAlignment="1">
      <alignment horizontal="right"/>
    </xf>
    <xf numFmtId="0" fontId="0" fillId="0" borderId="32" xfId="0" applyBorder="1" applyAlignment="1">
      <alignment horizontal="right"/>
    </xf>
    <xf numFmtId="0" fontId="0" fillId="0" borderId="54" xfId="0" applyBorder="1" applyAlignment="1">
      <alignment/>
    </xf>
    <xf numFmtId="0" fontId="0" fillId="0" borderId="55" xfId="0" applyBorder="1" applyAlignment="1">
      <alignment/>
    </xf>
    <xf numFmtId="0" fontId="0" fillId="0" borderId="56" xfId="0" applyBorder="1" applyAlignment="1">
      <alignment/>
    </xf>
    <xf numFmtId="3" fontId="0" fillId="0" borderId="5" xfId="0" applyNumberFormat="1" applyFill="1" applyBorder="1" applyAlignment="1">
      <alignment/>
    </xf>
    <xf numFmtId="0" fontId="0" fillId="0" borderId="27" xfId="0" applyFill="1" applyBorder="1" applyAlignment="1">
      <alignment horizontal="right"/>
    </xf>
    <xf numFmtId="0" fontId="0" fillId="0" borderId="37" xfId="0" applyBorder="1" applyAlignment="1">
      <alignment/>
    </xf>
    <xf numFmtId="3" fontId="0" fillId="0" borderId="31" xfId="0" applyNumberFormat="1" applyFont="1" applyFill="1" applyBorder="1" applyAlignment="1">
      <alignment horizontal="right"/>
    </xf>
    <xf numFmtId="0" fontId="0" fillId="0" borderId="32" xfId="0" applyBorder="1" applyAlignment="1">
      <alignment/>
    </xf>
    <xf numFmtId="3" fontId="0" fillId="0" borderId="5" xfId="0" applyNumberFormat="1" applyFont="1" applyFill="1" applyBorder="1" applyAlignment="1">
      <alignment horizontal="right"/>
    </xf>
    <xf numFmtId="0" fontId="0" fillId="0" borderId="27" xfId="0" applyFont="1" applyFill="1" applyBorder="1" applyAlignment="1">
      <alignment horizontal="right"/>
    </xf>
    <xf numFmtId="0" fontId="0" fillId="0" borderId="4" xfId="0" applyBorder="1" applyAlignment="1">
      <alignment/>
    </xf>
    <xf numFmtId="3" fontId="0" fillId="0" borderId="5" xfId="0" applyNumberFormat="1" applyBorder="1" applyAlignment="1">
      <alignment horizontal="right"/>
    </xf>
    <xf numFmtId="0" fontId="0" fillId="0" borderId="27" xfId="0" applyBorder="1" applyAlignment="1">
      <alignment horizontal="right"/>
    </xf>
    <xf numFmtId="0" fontId="0" fillId="0" borderId="57" xfId="0" applyBorder="1" applyAlignment="1">
      <alignment/>
    </xf>
    <xf numFmtId="0" fontId="0" fillId="0" borderId="1" xfId="0" applyBorder="1" applyAlignment="1">
      <alignment vertical="top" wrapText="1"/>
    </xf>
    <xf numFmtId="3" fontId="0" fillId="0" borderId="2" xfId="0" applyNumberFormat="1" applyBorder="1" applyAlignment="1">
      <alignment horizontal="right"/>
    </xf>
    <xf numFmtId="0" fontId="0" fillId="0" borderId="3" xfId="0" applyBorder="1" applyAlignment="1">
      <alignment horizontal="right"/>
    </xf>
    <xf numFmtId="0" fontId="0" fillId="0" borderId="30" xfId="0" applyFill="1" applyBorder="1" applyAlignment="1">
      <alignment/>
    </xf>
    <xf numFmtId="0" fontId="0" fillId="0" borderId="31" xfId="0" applyFill="1" applyBorder="1" applyAlignment="1">
      <alignment/>
    </xf>
    <xf numFmtId="0" fontId="0" fillId="0" borderId="32" xfId="0" applyFill="1" applyBorder="1" applyAlignment="1">
      <alignment horizontal="right"/>
    </xf>
    <xf numFmtId="3" fontId="0" fillId="0" borderId="31" xfId="0" applyNumberFormat="1" applyFill="1" applyBorder="1" applyAlignment="1">
      <alignment/>
    </xf>
    <xf numFmtId="0" fontId="0" fillId="0" borderId="32" xfId="0" applyFill="1" applyBorder="1" applyAlignment="1">
      <alignment/>
    </xf>
    <xf numFmtId="0" fontId="0" fillId="0" borderId="24" xfId="0" applyFill="1" applyBorder="1" applyAlignment="1">
      <alignment horizontal="right"/>
    </xf>
    <xf numFmtId="0" fontId="0" fillId="0" borderId="5" xfId="0" applyFill="1" applyBorder="1" applyAlignment="1">
      <alignment/>
    </xf>
    <xf numFmtId="4" fontId="0" fillId="0" borderId="27" xfId="0" applyNumberFormat="1" applyFont="1" applyFill="1" applyBorder="1" applyAlignment="1">
      <alignment horizontal="right"/>
    </xf>
    <xf numFmtId="0" fontId="0" fillId="0" borderId="30" xfId="0" applyBorder="1" applyAlignment="1">
      <alignment vertical="top" wrapText="1"/>
    </xf>
    <xf numFmtId="0" fontId="0" fillId="0" borderId="48" xfId="0" applyFill="1" applyBorder="1" applyAlignment="1">
      <alignment/>
    </xf>
    <xf numFmtId="3" fontId="0" fillId="0" borderId="9" xfId="0" applyNumberFormat="1" applyFont="1" applyFill="1" applyBorder="1" applyAlignment="1">
      <alignment horizontal="right"/>
    </xf>
    <xf numFmtId="0" fontId="0" fillId="0" borderId="27" xfId="0" applyBorder="1" applyAlignment="1">
      <alignment/>
    </xf>
    <xf numFmtId="0" fontId="0" fillId="0" borderId="57" xfId="0" applyFill="1" applyBorder="1" applyAlignment="1">
      <alignment/>
    </xf>
    <xf numFmtId="3" fontId="0" fillId="0" borderId="2" xfId="0" applyNumberFormat="1" applyFont="1" applyFill="1" applyBorder="1" applyAlignment="1">
      <alignment horizontal="right"/>
    </xf>
    <xf numFmtId="0" fontId="0" fillId="0" borderId="3" xfId="0" applyFill="1" applyBorder="1" applyAlignment="1">
      <alignment/>
    </xf>
    <xf numFmtId="4" fontId="0" fillId="0" borderId="37" xfId="0" applyNumberFormat="1" applyBorder="1" applyAlignment="1">
      <alignment/>
    </xf>
    <xf numFmtId="3" fontId="2" fillId="0" borderId="0" xfId="0" applyNumberFormat="1" applyFont="1" applyFill="1" applyBorder="1" applyAlignment="1">
      <alignment/>
    </xf>
    <xf numFmtId="3" fontId="2" fillId="2" borderId="2" xfId="0" applyNumberFormat="1" applyFont="1" applyFill="1" applyBorder="1" applyAlignment="1">
      <alignment horizontal="center"/>
    </xf>
    <xf numFmtId="3" fontId="0" fillId="0" borderId="30" xfId="0" applyNumberFormat="1" applyBorder="1" applyAlignment="1">
      <alignment/>
    </xf>
    <xf numFmtId="3" fontId="0" fillId="0" borderId="31" xfId="0" applyNumberFormat="1" applyBorder="1" applyAlignment="1">
      <alignment/>
    </xf>
    <xf numFmtId="3" fontId="0" fillId="0" borderId="32" xfId="0" applyNumberFormat="1" applyBorder="1" applyAlignment="1">
      <alignment/>
    </xf>
    <xf numFmtId="3" fontId="9" fillId="0" borderId="0" xfId="0" applyNumberFormat="1" applyFont="1" applyAlignment="1">
      <alignment/>
    </xf>
    <xf numFmtId="0" fontId="8" fillId="0" borderId="0" xfId="0" applyFont="1" applyAlignment="1">
      <alignment/>
    </xf>
    <xf numFmtId="0" fontId="15" fillId="0" borderId="0" xfId="0" applyFont="1" applyAlignment="1">
      <alignment horizontal="justify"/>
    </xf>
    <xf numFmtId="0" fontId="0" fillId="2" borderId="4" xfId="0" applyFill="1" applyBorder="1" applyAlignment="1">
      <alignment vertical="top" wrapText="1"/>
    </xf>
    <xf numFmtId="0" fontId="0" fillId="6" borderId="19" xfId="0" applyFill="1" applyBorder="1" applyAlignment="1">
      <alignment/>
    </xf>
    <xf numFmtId="0" fontId="0" fillId="6" borderId="0" xfId="0" applyFill="1" applyBorder="1" applyAlignment="1">
      <alignment/>
    </xf>
    <xf numFmtId="0" fontId="3" fillId="7" borderId="33" xfId="0" applyFont="1" applyFill="1" applyBorder="1" applyAlignment="1">
      <alignment horizontal="center" vertical="top" wrapText="1"/>
    </xf>
    <xf numFmtId="0" fontId="3" fillId="0" borderId="0" xfId="0" applyFont="1" applyBorder="1" applyAlignment="1">
      <alignment vertical="top"/>
    </xf>
    <xf numFmtId="0" fontId="0" fillId="0" borderId="0" xfId="0" applyBorder="1" applyAlignment="1">
      <alignment vertical="top" wrapText="1"/>
    </xf>
    <xf numFmtId="0" fontId="0" fillId="0" borderId="0" xfId="0" applyBorder="1" applyAlignment="1">
      <alignment horizontal="center" vertical="top" wrapText="1"/>
    </xf>
    <xf numFmtId="0" fontId="2" fillId="0" borderId="0" xfId="0" applyFont="1" applyBorder="1" applyAlignment="1">
      <alignment vertical="top" wrapText="1"/>
    </xf>
    <xf numFmtId="0" fontId="2" fillId="0" borderId="0" xfId="0" applyFont="1" applyFill="1" applyBorder="1" applyAlignment="1">
      <alignment horizontal="center" vertical="top" wrapText="1"/>
    </xf>
    <xf numFmtId="0" fontId="0" fillId="0" borderId="11" xfId="0" applyFill="1" applyBorder="1" applyAlignment="1">
      <alignment vertical="top" wrapText="1"/>
    </xf>
    <xf numFmtId="0" fontId="0" fillId="3" borderId="11" xfId="0" applyFill="1" applyBorder="1" applyAlignment="1">
      <alignment vertical="top" wrapText="1"/>
    </xf>
    <xf numFmtId="0" fontId="0" fillId="0" borderId="0" xfId="0" applyFill="1" applyAlignment="1">
      <alignment vertical="top" wrapText="1"/>
    </xf>
    <xf numFmtId="0" fontId="16" fillId="0" borderId="0" xfId="0" applyFont="1" applyFill="1" applyBorder="1" applyAlignment="1">
      <alignment vertical="top" wrapText="1"/>
    </xf>
    <xf numFmtId="1" fontId="0" fillId="0" borderId="0" xfId="0" applyNumberFormat="1" applyAlignment="1">
      <alignment/>
    </xf>
    <xf numFmtId="0" fontId="2" fillId="0" borderId="0" xfId="0" applyFont="1" applyAlignment="1">
      <alignment horizontal="center" vertical="top" wrapText="1"/>
    </xf>
    <xf numFmtId="3" fontId="8" fillId="0" borderId="33" xfId="0" applyNumberFormat="1" applyFont="1" applyBorder="1" applyAlignment="1">
      <alignment vertical="top" wrapText="1"/>
    </xf>
    <xf numFmtId="3" fontId="0" fillId="0" borderId="19" xfId="0" applyNumberFormat="1" applyBorder="1" applyAlignment="1">
      <alignment/>
    </xf>
    <xf numFmtId="3" fontId="0" fillId="0" borderId="18" xfId="0" applyNumberFormat="1" applyBorder="1" applyAlignment="1">
      <alignment/>
    </xf>
    <xf numFmtId="0" fontId="2" fillId="0" borderId="0" xfId="0" applyFont="1" applyAlignment="1">
      <alignment/>
    </xf>
    <xf numFmtId="3" fontId="0" fillId="0" borderId="33" xfId="0" applyNumberFormat="1" applyBorder="1" applyAlignment="1">
      <alignment/>
    </xf>
    <xf numFmtId="3" fontId="8" fillId="0" borderId="33" xfId="0" applyNumberFormat="1" applyFont="1" applyBorder="1" applyAlignment="1">
      <alignment/>
    </xf>
    <xf numFmtId="0" fontId="0" fillId="0" borderId="26" xfId="0" applyBorder="1" applyAlignment="1">
      <alignment vertical="top" wrapText="1"/>
    </xf>
    <xf numFmtId="4" fontId="0" fillId="0" borderId="26" xfId="0" applyNumberFormat="1" applyBorder="1" applyAlignment="1">
      <alignment vertical="top" wrapText="1"/>
    </xf>
    <xf numFmtId="0" fontId="2" fillId="0" borderId="4" xfId="0" applyFont="1" applyFill="1" applyBorder="1" applyAlignment="1">
      <alignment vertical="top" wrapText="1"/>
    </xf>
    <xf numFmtId="0" fontId="2" fillId="0" borderId="58" xfId="0" applyFont="1" applyBorder="1" applyAlignment="1">
      <alignment/>
    </xf>
    <xf numFmtId="4" fontId="2" fillId="0" borderId="33" xfId="0" applyNumberFormat="1" applyFont="1" applyBorder="1" applyAlignment="1">
      <alignment/>
    </xf>
    <xf numFmtId="0" fontId="0" fillId="5" borderId="31" xfId="0" applyFill="1" applyBorder="1" applyAlignment="1">
      <alignment vertical="top" wrapText="1"/>
    </xf>
    <xf numFmtId="0" fontId="0" fillId="5" borderId="32" xfId="0" applyFill="1" applyBorder="1" applyAlignment="1">
      <alignment vertical="top" wrapText="1"/>
    </xf>
    <xf numFmtId="4" fontId="0" fillId="5" borderId="32" xfId="0" applyNumberFormat="1" applyFill="1" applyBorder="1" applyAlignment="1">
      <alignment vertical="top" wrapText="1"/>
    </xf>
    <xf numFmtId="0" fontId="0" fillId="5" borderId="11" xfId="0" applyFill="1" applyBorder="1" applyAlignment="1">
      <alignment vertical="top" wrapText="1"/>
    </xf>
    <xf numFmtId="0" fontId="0" fillId="5" borderId="13" xfId="0" applyFill="1" applyBorder="1" applyAlignment="1">
      <alignment vertical="top" wrapText="1"/>
    </xf>
    <xf numFmtId="1" fontId="2" fillId="3" borderId="59" xfId="0" applyNumberFormat="1" applyFont="1" applyFill="1" applyBorder="1" applyAlignment="1">
      <alignment horizontal="center" vertical="top" wrapText="1"/>
    </xf>
    <xf numFmtId="0" fontId="2" fillId="3" borderId="38" xfId="0" applyFont="1" applyFill="1" applyBorder="1" applyAlignment="1">
      <alignment horizontal="center" vertical="top"/>
    </xf>
    <xf numFmtId="0" fontId="2" fillId="3" borderId="2" xfId="0" applyFont="1" applyFill="1" applyBorder="1" applyAlignment="1">
      <alignment horizontal="center" vertical="top"/>
    </xf>
    <xf numFmtId="0" fontId="2" fillId="3" borderId="3" xfId="0" applyFont="1" applyFill="1" applyBorder="1" applyAlignment="1">
      <alignment horizontal="center" vertical="top"/>
    </xf>
    <xf numFmtId="1" fontId="0" fillId="5" borderId="11" xfId="0" applyNumberFormat="1" applyFill="1" applyBorder="1" applyAlignment="1">
      <alignment vertical="top" wrapText="1"/>
    </xf>
    <xf numFmtId="1" fontId="0" fillId="5" borderId="10" xfId="0" applyNumberFormat="1" applyFill="1" applyBorder="1" applyAlignment="1">
      <alignment vertical="top" wrapText="1"/>
    </xf>
    <xf numFmtId="1" fontId="0" fillId="5" borderId="23" xfId="0" applyNumberFormat="1" applyFill="1" applyBorder="1" applyAlignment="1">
      <alignment vertical="top" wrapText="1"/>
    </xf>
    <xf numFmtId="0" fontId="0" fillId="5" borderId="5" xfId="0" applyFill="1" applyBorder="1" applyAlignment="1">
      <alignment vertical="top" wrapText="1"/>
    </xf>
    <xf numFmtId="0" fontId="0" fillId="5" borderId="24" xfId="0" applyFill="1" applyBorder="1" applyAlignment="1">
      <alignment vertical="top" wrapText="1"/>
    </xf>
    <xf numFmtId="4" fontId="0" fillId="5" borderId="24" xfId="0" applyNumberFormat="1" applyFill="1" applyBorder="1" applyAlignment="1">
      <alignment vertical="top" wrapText="1"/>
    </xf>
    <xf numFmtId="0" fontId="2" fillId="3" borderId="5" xfId="0" applyFont="1" applyFill="1" applyBorder="1" applyAlignment="1">
      <alignment horizontal="center" vertical="top" wrapText="1"/>
    </xf>
    <xf numFmtId="0" fontId="0" fillId="0" borderId="24" xfId="0" applyFill="1" applyBorder="1" applyAlignment="1">
      <alignment vertical="top" wrapText="1"/>
    </xf>
    <xf numFmtId="4" fontId="0" fillId="0" borderId="24" xfId="0" applyNumberFormat="1" applyFill="1" applyBorder="1" applyAlignment="1">
      <alignment vertical="top" wrapText="1"/>
    </xf>
    <xf numFmtId="0" fontId="0" fillId="8" borderId="35" xfId="0" applyFill="1" applyBorder="1" applyAlignment="1">
      <alignment vertical="top" wrapText="1"/>
    </xf>
    <xf numFmtId="0" fontId="0" fillId="8" borderId="11" xfId="0" applyFill="1" applyBorder="1" applyAlignment="1">
      <alignment vertical="top" wrapText="1"/>
    </xf>
    <xf numFmtId="1" fontId="0" fillId="8" borderId="10" xfId="0" applyNumberFormat="1" applyFill="1" applyBorder="1" applyAlignment="1">
      <alignment vertical="top" wrapText="1"/>
    </xf>
    <xf numFmtId="1" fontId="0" fillId="8" borderId="11" xfId="0" applyNumberFormat="1" applyFill="1" applyBorder="1" applyAlignment="1">
      <alignment vertical="top" wrapText="1"/>
    </xf>
    <xf numFmtId="1" fontId="0" fillId="8" borderId="23" xfId="0" applyNumberFormat="1" applyFill="1" applyBorder="1" applyAlignment="1">
      <alignment vertical="top" wrapText="1"/>
    </xf>
    <xf numFmtId="0" fontId="0" fillId="8" borderId="46" xfId="0" applyFill="1" applyBorder="1" applyAlignment="1">
      <alignment vertical="top" wrapText="1"/>
    </xf>
    <xf numFmtId="0" fontId="0" fillId="8" borderId="13" xfId="0" applyFill="1" applyBorder="1" applyAlignment="1">
      <alignment vertical="top" wrapText="1"/>
    </xf>
    <xf numFmtId="0" fontId="0" fillId="5" borderId="46" xfId="0" applyFill="1" applyBorder="1" applyAlignment="1">
      <alignment vertical="top" wrapText="1"/>
    </xf>
    <xf numFmtId="0" fontId="0" fillId="5" borderId="35" xfId="0" applyFill="1" applyBorder="1" applyAlignment="1">
      <alignment vertical="top" wrapText="1"/>
    </xf>
    <xf numFmtId="0" fontId="0" fillId="5" borderId="60" xfId="0" applyFill="1" applyBorder="1" applyAlignment="1">
      <alignment vertical="top" wrapText="1"/>
    </xf>
    <xf numFmtId="0" fontId="0" fillId="5" borderId="33" xfId="0" applyFill="1" applyBorder="1" applyAlignment="1">
      <alignment vertical="top" wrapText="1"/>
    </xf>
    <xf numFmtId="0" fontId="0" fillId="4" borderId="35" xfId="0" applyFill="1" applyBorder="1" applyAlignment="1">
      <alignment vertical="top" wrapText="1"/>
    </xf>
    <xf numFmtId="0" fontId="0" fillId="4" borderId="11" xfId="0" applyFill="1" applyBorder="1" applyAlignment="1">
      <alignment vertical="top" wrapText="1"/>
    </xf>
    <xf numFmtId="1" fontId="0" fillId="4" borderId="10" xfId="0" applyNumberFormat="1" applyFill="1" applyBorder="1" applyAlignment="1">
      <alignment vertical="top" wrapText="1"/>
    </xf>
    <xf numFmtId="1" fontId="0" fillId="4" borderId="11" xfId="0" applyNumberFormat="1" applyFill="1" applyBorder="1" applyAlignment="1">
      <alignment vertical="top" wrapText="1"/>
    </xf>
    <xf numFmtId="1" fontId="0" fillId="4" borderId="23" xfId="0" applyNumberFormat="1" applyFill="1" applyBorder="1" applyAlignment="1">
      <alignment vertical="top" wrapText="1"/>
    </xf>
    <xf numFmtId="0" fontId="0" fillId="4" borderId="46" xfId="0" applyFill="1" applyBorder="1" applyAlignment="1">
      <alignment vertical="top" wrapText="1"/>
    </xf>
    <xf numFmtId="0" fontId="0" fillId="4" borderId="13" xfId="0" applyFill="1" applyBorder="1" applyAlignment="1">
      <alignment vertical="top" wrapText="1"/>
    </xf>
    <xf numFmtId="0" fontId="0" fillId="4" borderId="60" xfId="0" applyFill="1" applyBorder="1" applyAlignment="1">
      <alignment vertical="top" wrapText="1"/>
    </xf>
    <xf numFmtId="0" fontId="0" fillId="4" borderId="31" xfId="0" applyFill="1" applyBorder="1" applyAlignment="1">
      <alignment vertical="top" wrapText="1"/>
    </xf>
    <xf numFmtId="0" fontId="0" fillId="9" borderId="35" xfId="0" applyFill="1" applyBorder="1" applyAlignment="1">
      <alignment vertical="top" wrapText="1"/>
    </xf>
    <xf numFmtId="0" fontId="0" fillId="9" borderId="11" xfId="0" applyFill="1" applyBorder="1" applyAlignment="1">
      <alignment vertical="top" wrapText="1"/>
    </xf>
    <xf numFmtId="1" fontId="0" fillId="9" borderId="10" xfId="0" applyNumberFormat="1" applyFill="1" applyBorder="1" applyAlignment="1">
      <alignment vertical="top" wrapText="1"/>
    </xf>
    <xf numFmtId="1" fontId="0" fillId="9" borderId="11" xfId="0" applyNumberFormat="1" applyFill="1" applyBorder="1" applyAlignment="1">
      <alignment vertical="top" wrapText="1"/>
    </xf>
    <xf numFmtId="1" fontId="0" fillId="9" borderId="23" xfId="0" applyNumberFormat="1" applyFill="1" applyBorder="1" applyAlignment="1">
      <alignment vertical="top" wrapText="1"/>
    </xf>
    <xf numFmtId="0" fontId="0" fillId="9" borderId="60" xfId="0" applyFill="1" applyBorder="1" applyAlignment="1">
      <alignment vertical="top" wrapText="1"/>
    </xf>
    <xf numFmtId="0" fontId="0" fillId="9" borderId="31" xfId="0" applyFill="1" applyBorder="1" applyAlignment="1">
      <alignment vertical="top" wrapText="1"/>
    </xf>
    <xf numFmtId="0" fontId="0" fillId="9" borderId="33" xfId="0" applyFill="1" applyBorder="1" applyAlignment="1">
      <alignment vertical="top" wrapText="1"/>
    </xf>
    <xf numFmtId="0" fontId="0" fillId="9" borderId="5" xfId="0" applyFill="1" applyBorder="1" applyAlignment="1">
      <alignment vertical="top" wrapText="1"/>
    </xf>
    <xf numFmtId="0" fontId="0" fillId="6" borderId="60" xfId="0" applyFill="1" applyBorder="1" applyAlignment="1">
      <alignment vertical="top" wrapText="1"/>
    </xf>
    <xf numFmtId="0" fontId="0" fillId="6" borderId="31" xfId="0" applyFill="1" applyBorder="1" applyAlignment="1">
      <alignment vertical="top" wrapText="1"/>
    </xf>
    <xf numFmtId="1" fontId="0" fillId="6" borderId="10" xfId="0" applyNumberFormat="1" applyFill="1" applyBorder="1" applyAlignment="1">
      <alignment vertical="top" wrapText="1"/>
    </xf>
    <xf numFmtId="1" fontId="0" fillId="6" borderId="11" xfId="0" applyNumberFormat="1" applyFill="1" applyBorder="1" applyAlignment="1">
      <alignment vertical="top" wrapText="1"/>
    </xf>
    <xf numFmtId="1" fontId="0" fillId="6" borderId="23" xfId="0" applyNumberFormat="1" applyFill="1" applyBorder="1" applyAlignment="1">
      <alignment vertical="top" wrapText="1"/>
    </xf>
    <xf numFmtId="0" fontId="0" fillId="6" borderId="46" xfId="0" applyFill="1" applyBorder="1" applyAlignment="1">
      <alignment vertical="top" wrapText="1"/>
    </xf>
    <xf numFmtId="0" fontId="0" fillId="6" borderId="13" xfId="0" applyFill="1" applyBorder="1" applyAlignment="1">
      <alignment vertical="top" wrapText="1"/>
    </xf>
    <xf numFmtId="0" fontId="0" fillId="6" borderId="35" xfId="0" applyFill="1" applyBorder="1" applyAlignment="1">
      <alignment vertical="top" wrapText="1"/>
    </xf>
    <xf numFmtId="0" fontId="0" fillId="6" borderId="11" xfId="0" applyFill="1" applyBorder="1" applyAlignment="1">
      <alignment vertical="top" wrapText="1"/>
    </xf>
    <xf numFmtId="0" fontId="0" fillId="10" borderId="46" xfId="0" applyFill="1" applyBorder="1" applyAlignment="1">
      <alignment vertical="top" wrapText="1"/>
    </xf>
    <xf numFmtId="0" fontId="0" fillId="10" borderId="9" xfId="0" applyFill="1" applyBorder="1" applyAlignment="1">
      <alignment vertical="top" wrapText="1"/>
    </xf>
    <xf numFmtId="0" fontId="0" fillId="10" borderId="35" xfId="0" applyFill="1" applyBorder="1" applyAlignment="1">
      <alignment vertical="top" wrapText="1"/>
    </xf>
    <xf numFmtId="0" fontId="0" fillId="10" borderId="11" xfId="0" applyFill="1" applyBorder="1" applyAlignment="1">
      <alignment vertical="top" wrapText="1"/>
    </xf>
    <xf numFmtId="1" fontId="0" fillId="10" borderId="10" xfId="0" applyNumberFormat="1" applyFill="1" applyBorder="1" applyAlignment="1">
      <alignment vertical="top" wrapText="1"/>
    </xf>
    <xf numFmtId="1" fontId="0" fillId="10" borderId="11" xfId="0" applyNumberFormat="1" applyFill="1" applyBorder="1" applyAlignment="1">
      <alignment vertical="top" wrapText="1"/>
    </xf>
    <xf numFmtId="1" fontId="0" fillId="10" borderId="23" xfId="0" applyNumberFormat="1" applyFill="1" applyBorder="1" applyAlignment="1">
      <alignment vertical="top" wrapText="1"/>
    </xf>
    <xf numFmtId="0" fontId="0" fillId="10" borderId="13" xfId="0" applyFill="1" applyBorder="1" applyAlignment="1">
      <alignment vertical="top" wrapText="1"/>
    </xf>
    <xf numFmtId="0" fontId="0" fillId="10" borderId="60" xfId="0" applyFill="1" applyBorder="1" applyAlignment="1">
      <alignment vertical="top" wrapText="1"/>
    </xf>
    <xf numFmtId="0" fontId="0" fillId="10" borderId="31" xfId="0" applyFill="1" applyBorder="1" applyAlignment="1">
      <alignment vertical="top" wrapText="1"/>
    </xf>
    <xf numFmtId="1" fontId="0" fillId="4" borderId="30" xfId="0" applyNumberFormat="1" applyFill="1" applyBorder="1" applyAlignment="1">
      <alignment vertical="top" wrapText="1"/>
    </xf>
    <xf numFmtId="1" fontId="0" fillId="4" borderId="31" xfId="0" applyNumberFormat="1" applyFill="1" applyBorder="1" applyAlignment="1">
      <alignment vertical="top" wrapText="1"/>
    </xf>
    <xf numFmtId="1" fontId="0" fillId="4" borderId="32" xfId="0" applyNumberFormat="1" applyFill="1" applyBorder="1" applyAlignment="1">
      <alignment vertical="top" wrapText="1"/>
    </xf>
    <xf numFmtId="0" fontId="3" fillId="0" borderId="0" xfId="0" applyFont="1" applyAlignment="1">
      <alignment/>
    </xf>
    <xf numFmtId="0" fontId="2" fillId="3" borderId="22" xfId="0" applyFont="1" applyFill="1" applyBorder="1" applyAlignment="1">
      <alignment horizontal="center" vertical="top"/>
    </xf>
    <xf numFmtId="1" fontId="0" fillId="0" borderId="17" xfId="0" applyNumberFormat="1" applyFill="1" applyBorder="1" applyAlignment="1">
      <alignment vertical="top" wrapText="1"/>
    </xf>
    <xf numFmtId="3" fontId="0" fillId="2" borderId="30" xfId="0" applyNumberFormat="1" applyFill="1" applyBorder="1" applyAlignment="1">
      <alignment vertical="top" wrapText="1"/>
    </xf>
    <xf numFmtId="3" fontId="0" fillId="2" borderId="31" xfId="0" applyNumberFormat="1" applyFill="1" applyBorder="1" applyAlignment="1">
      <alignment vertical="top" wrapText="1"/>
    </xf>
    <xf numFmtId="3" fontId="0" fillId="2" borderId="32" xfId="0" applyNumberFormat="1" applyFill="1" applyBorder="1" applyAlignment="1">
      <alignment vertical="top" wrapText="1"/>
    </xf>
    <xf numFmtId="0" fontId="0" fillId="0" borderId="23" xfId="0" applyFill="1" applyBorder="1" applyAlignment="1">
      <alignment vertical="top" wrapText="1"/>
    </xf>
    <xf numFmtId="4" fontId="0" fillId="0" borderId="23" xfId="0" applyNumberFormat="1" applyFill="1" applyBorder="1" applyAlignment="1">
      <alignment vertical="top" wrapText="1"/>
    </xf>
    <xf numFmtId="0" fontId="2" fillId="3" borderId="16" xfId="0" applyFont="1" applyFill="1" applyBorder="1" applyAlignment="1">
      <alignment horizontal="center" vertical="top" wrapText="1"/>
    </xf>
    <xf numFmtId="0" fontId="0" fillId="0" borderId="61" xfId="0" applyFill="1" applyBorder="1" applyAlignment="1">
      <alignment vertical="top" wrapText="1"/>
    </xf>
    <xf numFmtId="0" fontId="0" fillId="0" borderId="62" xfId="0" applyFill="1" applyBorder="1" applyAlignment="1">
      <alignment vertical="top" wrapText="1"/>
    </xf>
    <xf numFmtId="0" fontId="0" fillId="0" borderId="63" xfId="0" applyFill="1" applyBorder="1" applyAlignment="1">
      <alignment vertical="top" wrapText="1"/>
    </xf>
    <xf numFmtId="3" fontId="0" fillId="0" borderId="35" xfId="0" applyNumberFormat="1" applyBorder="1" applyAlignment="1">
      <alignment/>
    </xf>
    <xf numFmtId="3" fontId="0" fillId="0" borderId="46" xfId="0" applyNumberFormat="1" applyBorder="1" applyAlignment="1">
      <alignment/>
    </xf>
    <xf numFmtId="3" fontId="0" fillId="0" borderId="34" xfId="0" applyNumberFormat="1" applyBorder="1" applyAlignment="1">
      <alignment/>
    </xf>
    <xf numFmtId="3" fontId="2" fillId="3" borderId="33" xfId="0" applyNumberFormat="1" applyFont="1" applyFill="1" applyBorder="1" applyAlignment="1">
      <alignment horizontal="center" vertical="top" wrapText="1"/>
    </xf>
    <xf numFmtId="4" fontId="2" fillId="0" borderId="49" xfId="0" applyNumberFormat="1" applyFont="1" applyBorder="1" applyAlignment="1">
      <alignment/>
    </xf>
    <xf numFmtId="1" fontId="0" fillId="10" borderId="8" xfId="0" applyNumberFormat="1" applyFill="1" applyBorder="1" applyAlignment="1">
      <alignment vertical="top" wrapText="1"/>
    </xf>
    <xf numFmtId="1" fontId="0" fillId="10" borderId="9" xfId="0" applyNumberFormat="1" applyFill="1" applyBorder="1" applyAlignment="1">
      <alignment vertical="top" wrapText="1"/>
    </xf>
    <xf numFmtId="1" fontId="0" fillId="10" borderId="26" xfId="0" applyNumberFormat="1" applyFill="1" applyBorder="1" applyAlignment="1">
      <alignment vertical="top" wrapText="1"/>
    </xf>
    <xf numFmtId="1" fontId="0" fillId="0" borderId="21" xfId="0" applyNumberFormat="1" applyFill="1" applyBorder="1" applyAlignment="1">
      <alignment vertical="top" wrapText="1"/>
    </xf>
    <xf numFmtId="1" fontId="2" fillId="0" borderId="4" xfId="0" applyNumberFormat="1" applyFont="1" applyBorder="1" applyAlignment="1">
      <alignment/>
    </xf>
    <xf numFmtId="1" fontId="2" fillId="0" borderId="5" xfId="0" applyNumberFormat="1" applyFont="1" applyBorder="1" applyAlignment="1">
      <alignment/>
    </xf>
    <xf numFmtId="1" fontId="2" fillId="0" borderId="27" xfId="0" applyNumberFormat="1" applyFont="1" applyBorder="1" applyAlignment="1">
      <alignment/>
    </xf>
    <xf numFmtId="3" fontId="2" fillId="3" borderId="2" xfId="0" applyNumberFormat="1" applyFont="1" applyFill="1" applyBorder="1" applyAlignment="1">
      <alignment horizontal="center" vertical="top" wrapText="1"/>
    </xf>
    <xf numFmtId="3" fontId="0" fillId="2" borderId="11" xfId="0" applyNumberFormat="1" applyFill="1" applyBorder="1" applyAlignment="1">
      <alignment vertical="top" wrapText="1"/>
    </xf>
    <xf numFmtId="3" fontId="0" fillId="2" borderId="10" xfId="0" applyNumberFormat="1" applyFill="1" applyBorder="1" applyAlignment="1">
      <alignment vertical="top" wrapText="1"/>
    </xf>
    <xf numFmtId="3" fontId="0" fillId="2" borderId="23" xfId="0" applyNumberFormat="1" applyFill="1" applyBorder="1" applyAlignment="1">
      <alignment vertical="top" wrapText="1"/>
    </xf>
    <xf numFmtId="3" fontId="0" fillId="2" borderId="12" xfId="0" applyNumberFormat="1" applyFill="1" applyBorder="1" applyAlignment="1">
      <alignment vertical="top" wrapText="1"/>
    </xf>
    <xf numFmtId="3" fontId="0" fillId="2" borderId="13" xfId="0" applyNumberFormat="1" applyFill="1" applyBorder="1" applyAlignment="1">
      <alignment vertical="top" wrapText="1"/>
    </xf>
    <xf numFmtId="3" fontId="0" fillId="2" borderId="24" xfId="0" applyNumberFormat="1" applyFill="1" applyBorder="1" applyAlignment="1">
      <alignment vertical="top" wrapText="1"/>
    </xf>
    <xf numFmtId="0" fontId="17" fillId="8" borderId="11" xfId="0" applyFont="1" applyFill="1" applyBorder="1" applyAlignment="1">
      <alignment horizontal="center"/>
    </xf>
    <xf numFmtId="0" fontId="17" fillId="4" borderId="11" xfId="0" applyFont="1" applyFill="1" applyBorder="1" applyAlignment="1">
      <alignment horizontal="center"/>
    </xf>
    <xf numFmtId="0" fontId="17" fillId="9" borderId="11" xfId="0" applyFont="1" applyFill="1" applyBorder="1" applyAlignment="1">
      <alignment horizontal="center"/>
    </xf>
    <xf numFmtId="0" fontId="17" fillId="6" borderId="11" xfId="0" applyFont="1" applyFill="1" applyBorder="1" applyAlignment="1">
      <alignment horizontal="center"/>
    </xf>
    <xf numFmtId="0" fontId="17" fillId="5" borderId="31" xfId="0" applyFont="1" applyFill="1" applyBorder="1" applyAlignment="1">
      <alignment horizontal="center"/>
    </xf>
    <xf numFmtId="0" fontId="2" fillId="0" borderId="4" xfId="0" applyFont="1" applyBorder="1" applyAlignment="1">
      <alignment vertical="top" wrapText="1"/>
    </xf>
    <xf numFmtId="0" fontId="17" fillId="10" borderId="13" xfId="0" applyFont="1" applyFill="1" applyBorder="1" applyAlignment="1">
      <alignment horizontal="center"/>
    </xf>
    <xf numFmtId="3" fontId="0" fillId="0" borderId="0" xfId="0" applyNumberFormat="1" applyBorder="1" applyAlignment="1">
      <alignment/>
    </xf>
    <xf numFmtId="3" fontId="0" fillId="0" borderId="27" xfId="0" applyNumberFormat="1" applyBorder="1" applyAlignment="1">
      <alignment/>
    </xf>
    <xf numFmtId="3" fontId="8" fillId="0" borderId="0" xfId="0" applyNumberFormat="1" applyFont="1" applyAlignment="1">
      <alignment/>
    </xf>
    <xf numFmtId="0" fontId="0" fillId="0" borderId="11" xfId="0" applyFont="1" applyFill="1" applyBorder="1" applyAlignment="1">
      <alignment vertical="top" wrapText="1"/>
    </xf>
    <xf numFmtId="0" fontId="0" fillId="3" borderId="11" xfId="0" applyFont="1" applyFill="1" applyBorder="1" applyAlignment="1">
      <alignment vertical="top" wrapText="1"/>
    </xf>
    <xf numFmtId="0" fontId="18" fillId="0" borderId="11" xfId="0" applyFont="1" applyFill="1" applyBorder="1" applyAlignment="1">
      <alignment vertical="top" wrapText="1"/>
    </xf>
    <xf numFmtId="0" fontId="0" fillId="3" borderId="11" xfId="0" applyFont="1" applyFill="1" applyBorder="1" applyAlignment="1">
      <alignment vertical="top" wrapText="1"/>
    </xf>
    <xf numFmtId="0" fontId="0" fillId="0" borderId="11" xfId="0" applyFont="1" applyFill="1" applyBorder="1" applyAlignment="1">
      <alignment vertical="top" wrapText="1"/>
    </xf>
    <xf numFmtId="0" fontId="0" fillId="0" borderId="11" xfId="0" applyFont="1" applyBorder="1" applyAlignment="1">
      <alignment vertical="top" wrapText="1"/>
    </xf>
    <xf numFmtId="0" fontId="0" fillId="0" borderId="0" xfId="0" applyFont="1" applyFill="1" applyBorder="1" applyAlignment="1">
      <alignment vertical="top" wrapText="1"/>
    </xf>
    <xf numFmtId="0" fontId="18" fillId="0" borderId="0" xfId="0" applyFont="1" applyFill="1" applyBorder="1" applyAlignment="1">
      <alignment vertical="top" wrapText="1"/>
    </xf>
    <xf numFmtId="0" fontId="0" fillId="0" borderId="0" xfId="0" applyFont="1" applyFill="1" applyBorder="1" applyAlignment="1">
      <alignment vertical="top" wrapText="1"/>
    </xf>
    <xf numFmtId="0" fontId="0" fillId="0" borderId="0" xfId="0" applyBorder="1" applyAlignment="1">
      <alignment/>
    </xf>
    <xf numFmtId="0" fontId="0" fillId="3" borderId="10" xfId="0" applyFill="1" applyBorder="1" applyAlignment="1">
      <alignment vertical="top" wrapText="1"/>
    </xf>
    <xf numFmtId="0" fontId="0" fillId="3" borderId="23" xfId="0" applyFont="1" applyFill="1" applyBorder="1" applyAlignment="1">
      <alignment vertical="top" wrapText="1"/>
    </xf>
    <xf numFmtId="0" fontId="0" fillId="0" borderId="10" xfId="0" applyFill="1" applyBorder="1" applyAlignment="1">
      <alignment vertical="top" wrapText="1"/>
    </xf>
    <xf numFmtId="0" fontId="0" fillId="0" borderId="23" xfId="0" applyFont="1" applyFill="1" applyBorder="1" applyAlignment="1">
      <alignment vertical="top" wrapText="1"/>
    </xf>
    <xf numFmtId="0" fontId="18" fillId="0" borderId="23" xfId="0" applyFont="1" applyFill="1" applyBorder="1" applyAlignment="1">
      <alignment vertical="top" wrapText="1"/>
    </xf>
    <xf numFmtId="0" fontId="0" fillId="3" borderId="23" xfId="0" applyFont="1" applyFill="1" applyBorder="1" applyAlignment="1">
      <alignment vertical="top" wrapText="1"/>
    </xf>
    <xf numFmtId="0" fontId="0" fillId="0" borderId="23" xfId="0" applyFont="1" applyFill="1" applyBorder="1" applyAlignment="1">
      <alignment vertical="top" wrapText="1"/>
    </xf>
    <xf numFmtId="0" fontId="0" fillId="0" borderId="23" xfId="0" applyFont="1" applyBorder="1" applyAlignment="1">
      <alignment vertical="top" wrapText="1"/>
    </xf>
    <xf numFmtId="0" fontId="0" fillId="3" borderId="25" xfId="0" applyFont="1" applyFill="1" applyBorder="1" applyAlignment="1">
      <alignment vertical="top" wrapText="1"/>
    </xf>
    <xf numFmtId="0" fontId="2" fillId="0" borderId="5" xfId="0" applyFont="1" applyBorder="1" applyAlignment="1">
      <alignment vertical="top" wrapText="1"/>
    </xf>
    <xf numFmtId="0" fontId="2" fillId="0" borderId="27" xfId="0" applyFont="1" applyBorder="1" applyAlignment="1">
      <alignment vertical="top" wrapText="1"/>
    </xf>
    <xf numFmtId="0" fontId="0" fillId="0" borderId="10" xfId="0" applyFont="1" applyFill="1" applyBorder="1" applyAlignment="1">
      <alignment vertical="top" wrapText="1"/>
    </xf>
    <xf numFmtId="0" fontId="0" fillId="3" borderId="10" xfId="0" applyFont="1" applyFill="1" applyBorder="1" applyAlignment="1">
      <alignment vertical="top" wrapText="1"/>
    </xf>
    <xf numFmtId="0" fontId="18" fillId="0" borderId="10" xfId="0" applyFont="1" applyFill="1" applyBorder="1" applyAlignment="1">
      <alignment vertical="top" wrapText="1"/>
    </xf>
    <xf numFmtId="0" fontId="0" fillId="3" borderId="10" xfId="0" applyFont="1" applyFill="1" applyBorder="1" applyAlignment="1">
      <alignment vertical="top" wrapText="1"/>
    </xf>
    <xf numFmtId="0" fontId="0" fillId="0" borderId="10" xfId="0" applyFont="1" applyFill="1" applyBorder="1" applyAlignment="1">
      <alignment vertical="top" wrapText="1"/>
    </xf>
    <xf numFmtId="0" fontId="0" fillId="0" borderId="10" xfId="0" applyFont="1" applyBorder="1" applyAlignment="1">
      <alignment vertical="top" wrapText="1"/>
    </xf>
    <xf numFmtId="0" fontId="0" fillId="0" borderId="12" xfId="0" applyFont="1" applyBorder="1" applyAlignment="1">
      <alignment vertical="top" wrapText="1"/>
    </xf>
    <xf numFmtId="0" fontId="0" fillId="0" borderId="13" xfId="0" applyFont="1" applyBorder="1" applyAlignment="1">
      <alignment vertical="top" wrapText="1"/>
    </xf>
    <xf numFmtId="0" fontId="0" fillId="0" borderId="24" xfId="0" applyFont="1" applyBorder="1" applyAlignment="1">
      <alignment vertical="top" wrapText="1"/>
    </xf>
    <xf numFmtId="0" fontId="2" fillId="2" borderId="52" xfId="0" applyFont="1" applyFill="1" applyBorder="1" applyAlignment="1">
      <alignment horizontal="center" vertical="top" wrapText="1"/>
    </xf>
    <xf numFmtId="0" fontId="0" fillId="3" borderId="30" xfId="0" applyFill="1" applyBorder="1" applyAlignment="1">
      <alignment vertical="top" wrapText="1"/>
    </xf>
    <xf numFmtId="0" fontId="0" fillId="3" borderId="31" xfId="0" applyFill="1" applyBorder="1" applyAlignment="1">
      <alignment vertical="top" wrapText="1"/>
    </xf>
    <xf numFmtId="0" fontId="0" fillId="3" borderId="32" xfId="0" applyFill="1" applyBorder="1" applyAlignment="1">
      <alignment vertical="top" wrapText="1"/>
    </xf>
    <xf numFmtId="0" fontId="2" fillId="3" borderId="5" xfId="0" applyFont="1" applyFill="1" applyBorder="1" applyAlignment="1">
      <alignment horizontal="center"/>
    </xf>
    <xf numFmtId="3" fontId="0" fillId="0" borderId="9" xfId="0" applyNumberFormat="1" applyBorder="1" applyAlignment="1">
      <alignment/>
    </xf>
    <xf numFmtId="0" fontId="0" fillId="0" borderId="4" xfId="0" applyBorder="1" applyAlignment="1">
      <alignment horizontal="right"/>
    </xf>
    <xf numFmtId="3" fontId="2" fillId="0" borderId="5" xfId="0" applyNumberFormat="1" applyFont="1" applyBorder="1" applyAlignment="1">
      <alignment/>
    </xf>
    <xf numFmtId="0" fontId="2" fillId="3" borderId="16" xfId="0" applyFont="1" applyFill="1" applyBorder="1" applyAlignment="1">
      <alignment horizontal="center"/>
    </xf>
    <xf numFmtId="3" fontId="0" fillId="0" borderId="17" xfId="0" applyNumberFormat="1" applyBorder="1" applyAlignment="1">
      <alignment/>
    </xf>
    <xf numFmtId="3" fontId="2" fillId="0" borderId="16" xfId="0" applyNumberFormat="1" applyFont="1" applyBorder="1" applyAlignment="1">
      <alignment/>
    </xf>
    <xf numFmtId="3" fontId="2" fillId="0" borderId="46" xfId="0" applyNumberFormat="1" applyFont="1" applyBorder="1" applyAlignment="1">
      <alignment/>
    </xf>
    <xf numFmtId="3" fontId="0" fillId="0" borderId="10" xfId="0" applyNumberFormat="1" applyFill="1" applyBorder="1" applyAlignment="1">
      <alignment vertical="top" wrapText="1"/>
    </xf>
    <xf numFmtId="9" fontId="0" fillId="0" borderId="23" xfId="20" applyFill="1" applyBorder="1" applyAlignment="1">
      <alignment vertical="top" wrapText="1"/>
    </xf>
    <xf numFmtId="3" fontId="0" fillId="0" borderId="8" xfId="0" applyNumberFormat="1" applyBorder="1" applyAlignment="1">
      <alignment vertical="top" wrapText="1"/>
    </xf>
    <xf numFmtId="9" fontId="0" fillId="0" borderId="26" xfId="20" applyFill="1" applyBorder="1" applyAlignment="1">
      <alignment vertical="top" wrapText="1"/>
    </xf>
    <xf numFmtId="3" fontId="0" fillId="0" borderId="6" xfId="0" applyNumberFormat="1" applyFill="1" applyBorder="1" applyAlignment="1">
      <alignment vertical="top" wrapText="1"/>
    </xf>
    <xf numFmtId="9" fontId="0" fillId="0" borderId="25" xfId="20" applyFill="1" applyBorder="1" applyAlignment="1">
      <alignment vertical="top" wrapText="1"/>
    </xf>
    <xf numFmtId="3" fontId="0" fillId="2" borderId="4" xfId="0" applyNumberFormat="1" applyFill="1" applyBorder="1" applyAlignment="1">
      <alignment vertical="top" wrapText="1"/>
    </xf>
    <xf numFmtId="9" fontId="0" fillId="2" borderId="27" xfId="20" applyFill="1" applyBorder="1" applyAlignment="1">
      <alignment vertical="top" wrapText="1"/>
    </xf>
    <xf numFmtId="3" fontId="8" fillId="0" borderId="0" xfId="0" applyNumberFormat="1" applyFont="1" applyBorder="1" applyAlignment="1">
      <alignment/>
    </xf>
    <xf numFmtId="0" fontId="0" fillId="2" borderId="0" xfId="0" applyFill="1" applyBorder="1" applyAlignment="1">
      <alignment vertical="top" wrapText="1"/>
    </xf>
    <xf numFmtId="0" fontId="11" fillId="3" borderId="5" xfId="0" applyFont="1" applyFill="1" applyBorder="1" applyAlignment="1">
      <alignment horizontal="center" vertical="top" wrapText="1"/>
    </xf>
    <xf numFmtId="0" fontId="2" fillId="3" borderId="5" xfId="0" applyFont="1" applyFill="1" applyBorder="1" applyAlignment="1">
      <alignment horizontal="center" vertical="top" wrapText="1"/>
    </xf>
    <xf numFmtId="0" fontId="2" fillId="3" borderId="27" xfId="0" applyFont="1" applyFill="1" applyBorder="1" applyAlignment="1">
      <alignment horizontal="center" vertical="top" wrapText="1"/>
    </xf>
    <xf numFmtId="0" fontId="2" fillId="5" borderId="6" xfId="0" applyFont="1" applyFill="1" applyBorder="1" applyAlignment="1">
      <alignment horizontal="center"/>
    </xf>
    <xf numFmtId="1" fontId="0" fillId="5" borderId="7" xfId="0" applyNumberFormat="1" applyFont="1" applyFill="1" applyBorder="1" applyAlignment="1">
      <alignment/>
    </xf>
    <xf numFmtId="3" fontId="0" fillId="0" borderId="7" xfId="0" applyNumberFormat="1" applyFont="1" applyBorder="1" applyAlignment="1">
      <alignment/>
    </xf>
    <xf numFmtId="0" fontId="2" fillId="8" borderId="10" xfId="0" applyFont="1" applyFill="1" applyBorder="1" applyAlignment="1">
      <alignment horizontal="center"/>
    </xf>
    <xf numFmtId="0" fontId="0" fillId="8" borderId="11" xfId="0" applyFont="1" applyFill="1" applyBorder="1" applyAlignment="1">
      <alignment/>
    </xf>
    <xf numFmtId="0" fontId="2" fillId="4" borderId="10" xfId="0" applyFont="1" applyFill="1" applyBorder="1" applyAlignment="1">
      <alignment horizontal="center"/>
    </xf>
    <xf numFmtId="0" fontId="0" fillId="4" borderId="11" xfId="0" applyFont="1" applyFill="1" applyBorder="1" applyAlignment="1">
      <alignment/>
    </xf>
    <xf numFmtId="0" fontId="2" fillId="9" borderId="10" xfId="0" applyFont="1" applyFill="1" applyBorder="1" applyAlignment="1">
      <alignment horizontal="center"/>
    </xf>
    <xf numFmtId="0" fontId="0" fillId="9" borderId="11" xfId="0" applyFont="1" applyFill="1" applyBorder="1" applyAlignment="1">
      <alignment/>
    </xf>
    <xf numFmtId="0" fontId="2" fillId="6" borderId="10" xfId="0" applyFont="1" applyFill="1" applyBorder="1" applyAlignment="1">
      <alignment horizontal="center"/>
    </xf>
    <xf numFmtId="0" fontId="0" fillId="6" borderId="11" xfId="0" applyFont="1" applyFill="1" applyBorder="1" applyAlignment="1">
      <alignment/>
    </xf>
    <xf numFmtId="0" fontId="2" fillId="10" borderId="12" xfId="0" applyFont="1" applyFill="1" applyBorder="1" applyAlignment="1">
      <alignment horizontal="center"/>
    </xf>
    <xf numFmtId="0" fontId="0" fillId="10" borderId="13" xfId="0" applyFont="1" applyFill="1" applyBorder="1" applyAlignment="1">
      <alignment/>
    </xf>
    <xf numFmtId="3" fontId="0" fillId="0" borderId="11" xfId="0" applyNumberFormat="1" applyFont="1" applyBorder="1" applyAlignment="1">
      <alignment/>
    </xf>
    <xf numFmtId="3" fontId="0" fillId="0" borderId="13" xfId="0" applyNumberFormat="1" applyFont="1" applyBorder="1" applyAlignment="1">
      <alignment/>
    </xf>
    <xf numFmtId="0" fontId="11" fillId="2" borderId="0" xfId="0" applyFont="1" applyFill="1" applyBorder="1" applyAlignment="1">
      <alignment horizontal="center"/>
    </xf>
    <xf numFmtId="0" fontId="11" fillId="3" borderId="0" xfId="0" applyFont="1" applyFill="1" applyBorder="1" applyAlignment="1">
      <alignment/>
    </xf>
    <xf numFmtId="0" fontId="12" fillId="0" borderId="0" xfId="0" applyFont="1" applyBorder="1" applyAlignment="1">
      <alignment/>
    </xf>
    <xf numFmtId="0" fontId="13" fillId="0" borderId="0" xfId="0" applyFont="1" applyBorder="1" applyAlignment="1">
      <alignment/>
    </xf>
    <xf numFmtId="0" fontId="12" fillId="0" borderId="0" xfId="0" applyFont="1" applyBorder="1" applyAlignment="1">
      <alignment vertical="top" wrapText="1"/>
    </xf>
    <xf numFmtId="0" fontId="12" fillId="0" borderId="61" xfId="0" applyFont="1" applyBorder="1" applyAlignment="1">
      <alignment/>
    </xf>
    <xf numFmtId="0" fontId="12" fillId="0" borderId="62" xfId="0" applyFont="1" applyBorder="1" applyAlignment="1">
      <alignment/>
    </xf>
    <xf numFmtId="0" fontId="12" fillId="0" borderId="64" xfId="0" applyFont="1" applyBorder="1" applyAlignment="1">
      <alignment/>
    </xf>
    <xf numFmtId="0" fontId="11" fillId="3" borderId="16" xfId="0" applyFont="1" applyFill="1" applyBorder="1" applyAlignment="1">
      <alignment vertical="top"/>
    </xf>
    <xf numFmtId="0" fontId="11" fillId="3" borderId="16" xfId="0" applyFont="1" applyFill="1" applyBorder="1" applyAlignment="1">
      <alignment horizontal="center" vertical="top"/>
    </xf>
    <xf numFmtId="0" fontId="11" fillId="0" borderId="0" xfId="0" applyFont="1" applyFill="1" applyBorder="1" applyAlignment="1">
      <alignment/>
    </xf>
    <xf numFmtId="3" fontId="2" fillId="0" borderId="0" xfId="0" applyNumberFormat="1" applyFont="1" applyFill="1" applyBorder="1" applyAlignment="1">
      <alignment/>
    </xf>
    <xf numFmtId="0" fontId="0" fillId="0" borderId="65" xfId="0" applyBorder="1" applyAlignment="1">
      <alignment/>
    </xf>
    <xf numFmtId="0" fontId="0" fillId="0" borderId="1" xfId="0" applyBorder="1" applyAlignment="1">
      <alignment/>
    </xf>
    <xf numFmtId="0" fontId="0" fillId="0" borderId="14" xfId="0" applyBorder="1" applyAlignment="1">
      <alignment/>
    </xf>
    <xf numFmtId="0" fontId="2" fillId="7" borderId="66" xfId="0" applyFont="1" applyFill="1" applyBorder="1" applyAlignment="1">
      <alignment horizontal="left"/>
    </xf>
    <xf numFmtId="0" fontId="2" fillId="5" borderId="44" xfId="0" applyFont="1" applyFill="1" applyBorder="1" applyAlignment="1">
      <alignment horizontal="left"/>
    </xf>
    <xf numFmtId="0" fontId="2" fillId="6" borderId="44" xfId="0" applyFont="1" applyFill="1" applyBorder="1" applyAlignment="1">
      <alignment horizontal="left"/>
    </xf>
    <xf numFmtId="0" fontId="2" fillId="8" borderId="44" xfId="0" applyFont="1" applyFill="1" applyBorder="1" applyAlignment="1">
      <alignment horizontal="left"/>
    </xf>
    <xf numFmtId="0" fontId="2" fillId="2" borderId="48" xfId="0" applyFont="1" applyFill="1" applyBorder="1" applyAlignment="1">
      <alignment horizontal="left"/>
    </xf>
    <xf numFmtId="0" fontId="11" fillId="3" borderId="49" xfId="0" applyFont="1" applyFill="1" applyBorder="1" applyAlignment="1">
      <alignment/>
    </xf>
    <xf numFmtId="0" fontId="2" fillId="2" borderId="47" xfId="0" applyFont="1" applyFill="1" applyBorder="1" applyAlignment="1">
      <alignment/>
    </xf>
    <xf numFmtId="0" fontId="2" fillId="2" borderId="44" xfId="0" applyFont="1" applyFill="1" applyBorder="1" applyAlignment="1">
      <alignment/>
    </xf>
    <xf numFmtId="0" fontId="2" fillId="2" borderId="48" xfId="0" applyFont="1" applyFill="1" applyBorder="1" applyAlignment="1">
      <alignment/>
    </xf>
    <xf numFmtId="0" fontId="2" fillId="0" borderId="0" xfId="0" applyFont="1" applyFill="1" applyBorder="1" applyAlignment="1">
      <alignment horizontal="center" vertical="top" wrapText="1"/>
    </xf>
    <xf numFmtId="0" fontId="2" fillId="3" borderId="3" xfId="0" applyFont="1" applyFill="1" applyBorder="1" applyAlignment="1">
      <alignment horizontal="center" vertical="top" wrapText="1"/>
    </xf>
    <xf numFmtId="0" fontId="2" fillId="3" borderId="54" xfId="0" applyFont="1" applyFill="1" applyBorder="1" applyAlignment="1">
      <alignment horizontal="center" vertical="top" wrapText="1"/>
    </xf>
    <xf numFmtId="3" fontId="0" fillId="0" borderId="67" xfId="0" applyNumberFormat="1" applyBorder="1" applyAlignment="1">
      <alignment/>
    </xf>
    <xf numFmtId="3" fontId="0" fillId="0" borderId="68" xfId="0" applyNumberFormat="1" applyBorder="1" applyAlignment="1">
      <alignment/>
    </xf>
    <xf numFmtId="3" fontId="0" fillId="0" borderId="69" xfId="0" applyNumberFormat="1" applyBorder="1" applyAlignment="1">
      <alignment/>
    </xf>
    <xf numFmtId="0" fontId="0" fillId="3" borderId="0" xfId="0" applyFill="1" applyAlignment="1">
      <alignment/>
    </xf>
    <xf numFmtId="1" fontId="0" fillId="5" borderId="17" xfId="0" applyNumberFormat="1" applyFont="1" applyFill="1" applyBorder="1" applyAlignment="1">
      <alignment/>
    </xf>
    <xf numFmtId="0" fontId="0" fillId="8" borderId="19" xfId="0" applyFont="1" applyFill="1" applyBorder="1" applyAlignment="1">
      <alignment/>
    </xf>
    <xf numFmtId="0" fontId="0" fillId="4" borderId="19" xfId="0" applyFont="1" applyFill="1" applyBorder="1" applyAlignment="1">
      <alignment/>
    </xf>
    <xf numFmtId="0" fontId="0" fillId="9" borderId="19" xfId="0" applyFont="1" applyFill="1" applyBorder="1" applyAlignment="1">
      <alignment/>
    </xf>
    <xf numFmtId="0" fontId="0" fillId="6" borderId="19" xfId="0" applyFont="1" applyFill="1" applyBorder="1" applyAlignment="1">
      <alignment/>
    </xf>
    <xf numFmtId="0" fontId="0" fillId="10" borderId="20" xfId="0" applyFont="1" applyFill="1" applyBorder="1" applyAlignment="1">
      <alignment/>
    </xf>
    <xf numFmtId="0" fontId="2" fillId="3" borderId="39" xfId="0" applyFont="1" applyFill="1" applyBorder="1" applyAlignment="1">
      <alignment horizontal="center" vertical="top" wrapText="1"/>
    </xf>
    <xf numFmtId="3" fontId="0" fillId="0" borderId="40" xfId="0" applyNumberFormat="1" applyFont="1" applyBorder="1" applyAlignment="1">
      <alignment/>
    </xf>
    <xf numFmtId="3" fontId="0" fillId="0" borderId="42" xfId="0" applyNumberFormat="1" applyFont="1" applyBorder="1" applyAlignment="1">
      <alignment/>
    </xf>
    <xf numFmtId="3" fontId="0" fillId="0" borderId="43" xfId="0" applyNumberFormat="1" applyFont="1" applyBorder="1" applyAlignment="1">
      <alignment/>
    </xf>
    <xf numFmtId="0" fontId="2" fillId="3" borderId="33" xfId="0" applyFont="1" applyFill="1" applyBorder="1" applyAlignment="1">
      <alignment horizontal="center" vertical="top" wrapText="1"/>
    </xf>
    <xf numFmtId="3" fontId="0" fillId="0" borderId="34" xfId="0" applyNumberFormat="1" applyFont="1" applyBorder="1" applyAlignment="1">
      <alignment/>
    </xf>
    <xf numFmtId="3" fontId="0" fillId="0" borderId="35" xfId="0" applyNumberFormat="1" applyFont="1" applyBorder="1" applyAlignment="1">
      <alignment/>
    </xf>
    <xf numFmtId="3" fontId="0" fillId="0" borderId="46" xfId="0" applyNumberFormat="1" applyFont="1" applyBorder="1" applyAlignment="1">
      <alignment/>
    </xf>
    <xf numFmtId="10" fontId="0" fillId="0" borderId="11" xfId="20" applyNumberFormat="1" applyBorder="1" applyAlignment="1">
      <alignment/>
    </xf>
    <xf numFmtId="1" fontId="1" fillId="5" borderId="29" xfId="0" applyNumberFormat="1" applyFont="1" applyFill="1" applyBorder="1" applyAlignment="1">
      <alignment/>
    </xf>
    <xf numFmtId="0" fontId="1" fillId="8" borderId="19" xfId="0" applyFont="1" applyFill="1" applyBorder="1" applyAlignment="1">
      <alignment/>
    </xf>
    <xf numFmtId="0" fontId="1" fillId="4" borderId="19" xfId="0" applyFont="1" applyFill="1" applyBorder="1" applyAlignment="1">
      <alignment/>
    </xf>
    <xf numFmtId="0" fontId="1" fillId="9" borderId="19" xfId="0" applyFont="1" applyFill="1" applyBorder="1" applyAlignment="1">
      <alignment/>
    </xf>
    <xf numFmtId="0" fontId="1" fillId="6" borderId="19" xfId="0" applyFont="1" applyFill="1" applyBorder="1" applyAlignment="1">
      <alignment/>
    </xf>
    <xf numFmtId="0" fontId="1" fillId="10" borderId="20" xfId="0" applyFont="1" applyFill="1" applyBorder="1" applyAlignment="1">
      <alignment/>
    </xf>
    <xf numFmtId="0" fontId="2" fillId="0" borderId="70" xfId="0" applyFont="1" applyBorder="1" applyAlignment="1">
      <alignment vertical="top" wrapText="1"/>
    </xf>
    <xf numFmtId="10" fontId="0" fillId="0" borderId="67" xfId="20" applyNumberFormat="1" applyBorder="1" applyAlignment="1">
      <alignment/>
    </xf>
    <xf numFmtId="10" fontId="0" fillId="0" borderId="68" xfId="20" applyNumberFormat="1" applyBorder="1" applyAlignment="1">
      <alignment/>
    </xf>
    <xf numFmtId="3" fontId="2" fillId="5" borderId="60" xfId="0" applyNumberFormat="1" applyFont="1" applyFill="1" applyBorder="1" applyAlignment="1">
      <alignment/>
    </xf>
    <xf numFmtId="3" fontId="2" fillId="8" borderId="35" xfId="0" applyNumberFormat="1" applyFont="1" applyFill="1" applyBorder="1" applyAlignment="1">
      <alignment/>
    </xf>
    <xf numFmtId="3" fontId="2" fillId="4" borderId="35" xfId="0" applyNumberFormat="1" applyFont="1" applyFill="1" applyBorder="1" applyAlignment="1">
      <alignment/>
    </xf>
    <xf numFmtId="3" fontId="2" fillId="9" borderId="35" xfId="0" applyNumberFormat="1" applyFont="1" applyFill="1" applyBorder="1" applyAlignment="1">
      <alignment/>
    </xf>
    <xf numFmtId="3" fontId="2" fillId="6" borderId="35" xfId="0" applyNumberFormat="1" applyFont="1" applyFill="1" applyBorder="1" applyAlignment="1">
      <alignment/>
    </xf>
    <xf numFmtId="3" fontId="2" fillId="10" borderId="46" xfId="0" applyNumberFormat="1" applyFont="1" applyFill="1" applyBorder="1" applyAlignment="1">
      <alignment/>
    </xf>
    <xf numFmtId="3" fontId="2" fillId="0" borderId="71" xfId="0" applyNumberFormat="1" applyFont="1" applyBorder="1" applyAlignment="1">
      <alignment vertical="top" wrapText="1"/>
    </xf>
    <xf numFmtId="10" fontId="0" fillId="2" borderId="69" xfId="20" applyNumberFormat="1" applyFill="1" applyBorder="1" applyAlignment="1">
      <alignment/>
    </xf>
    <xf numFmtId="10" fontId="0" fillId="0" borderId="7" xfId="20" applyNumberFormat="1" applyBorder="1" applyAlignment="1">
      <alignment/>
    </xf>
    <xf numFmtId="10" fontId="0" fillId="0" borderId="13" xfId="20" applyNumberFormat="1" applyBorder="1" applyAlignment="1">
      <alignment/>
    </xf>
    <xf numFmtId="2" fontId="0" fillId="3" borderId="0" xfId="0" applyNumberFormat="1" applyFill="1" applyAlignment="1">
      <alignment/>
    </xf>
    <xf numFmtId="1" fontId="0" fillId="3" borderId="0" xfId="0" applyNumberFormat="1" applyFill="1" applyAlignment="1">
      <alignment/>
    </xf>
    <xf numFmtId="0" fontId="19" fillId="3" borderId="27" xfId="0" applyFont="1" applyFill="1" applyBorder="1" applyAlignment="1">
      <alignment horizontal="center" vertical="top" wrapText="1"/>
    </xf>
    <xf numFmtId="176" fontId="20" fillId="0" borderId="23" xfId="0" applyNumberFormat="1" applyFont="1" applyBorder="1" applyAlignment="1">
      <alignment/>
    </xf>
    <xf numFmtId="0" fontId="19" fillId="3" borderId="0" xfId="0" applyFont="1" applyFill="1" applyBorder="1" applyAlignment="1">
      <alignment horizontal="center" vertical="top" wrapText="1"/>
    </xf>
    <xf numFmtId="0" fontId="20" fillId="0" borderId="0" xfId="0" applyFont="1" applyAlignment="1">
      <alignment/>
    </xf>
    <xf numFmtId="4" fontId="20" fillId="0" borderId="0" xfId="20" applyNumberFormat="1" applyFont="1" applyAlignment="1">
      <alignment/>
    </xf>
    <xf numFmtId="168" fontId="20" fillId="0" borderId="0" xfId="0" applyNumberFormat="1" applyFont="1" applyAlignment="1">
      <alignment/>
    </xf>
    <xf numFmtId="167" fontId="20" fillId="0" borderId="0" xfId="0" applyNumberFormat="1" applyFont="1" applyAlignment="1">
      <alignment/>
    </xf>
    <xf numFmtId="3" fontId="0" fillId="0" borderId="37" xfId="0" applyNumberFormat="1" applyBorder="1" applyAlignment="1">
      <alignment/>
    </xf>
    <xf numFmtId="3" fontId="0" fillId="7" borderId="66" xfId="0" applyNumberFormat="1" applyFill="1" applyBorder="1" applyAlignment="1">
      <alignment/>
    </xf>
    <xf numFmtId="3" fontId="0" fillId="5" borderId="44" xfId="0" applyNumberFormat="1" applyFill="1" applyBorder="1" applyAlignment="1">
      <alignment/>
    </xf>
    <xf numFmtId="3" fontId="0" fillId="6" borderId="44" xfId="0" applyNumberFormat="1" applyFill="1" applyBorder="1" applyAlignment="1">
      <alignment/>
    </xf>
    <xf numFmtId="3" fontId="0" fillId="8" borderId="44" xfId="0" applyNumberFormat="1" applyFill="1" applyBorder="1" applyAlignment="1">
      <alignment/>
    </xf>
    <xf numFmtId="3" fontId="0" fillId="2" borderId="48" xfId="0" applyNumberFormat="1" applyFill="1" applyBorder="1" applyAlignment="1">
      <alignment/>
    </xf>
    <xf numFmtId="3" fontId="2" fillId="3" borderId="49" xfId="0" applyNumberFormat="1" applyFont="1" applyFill="1" applyBorder="1" applyAlignment="1">
      <alignment/>
    </xf>
    <xf numFmtId="3" fontId="0" fillId="0" borderId="47" xfId="0" applyNumberFormat="1" applyFill="1" applyBorder="1" applyAlignment="1">
      <alignment/>
    </xf>
    <xf numFmtId="3" fontId="0" fillId="0" borderId="44" xfId="0" applyNumberFormat="1" applyBorder="1" applyAlignment="1">
      <alignment/>
    </xf>
    <xf numFmtId="3" fontId="0" fillId="0" borderId="45" xfId="0" applyNumberFormat="1" applyBorder="1" applyAlignment="1">
      <alignment/>
    </xf>
    <xf numFmtId="0" fontId="2" fillId="0" borderId="60" xfId="0" applyFont="1" applyBorder="1" applyAlignment="1">
      <alignment/>
    </xf>
    <xf numFmtId="3" fontId="1" fillId="0" borderId="7" xfId="0" applyNumberFormat="1" applyFont="1" applyBorder="1" applyAlignment="1">
      <alignment/>
    </xf>
    <xf numFmtId="3" fontId="1" fillId="0" borderId="17" xfId="0" applyNumberFormat="1" applyFont="1" applyBorder="1" applyAlignment="1">
      <alignment/>
    </xf>
    <xf numFmtId="3" fontId="1" fillId="0" borderId="60" xfId="0" applyNumberFormat="1" applyFont="1" applyBorder="1" applyAlignment="1">
      <alignment/>
    </xf>
    <xf numFmtId="3" fontId="1" fillId="0" borderId="11" xfId="0" applyNumberFormat="1" applyFont="1" applyBorder="1" applyAlignment="1">
      <alignment/>
    </xf>
    <xf numFmtId="3" fontId="1" fillId="0" borderId="19" xfId="0" applyNumberFormat="1" applyFont="1" applyBorder="1" applyAlignment="1">
      <alignment/>
    </xf>
    <xf numFmtId="3" fontId="1" fillId="0" borderId="35" xfId="0" applyNumberFormat="1" applyFont="1" applyBorder="1" applyAlignment="1">
      <alignment/>
    </xf>
    <xf numFmtId="3" fontId="1" fillId="0" borderId="13" xfId="0" applyNumberFormat="1" applyFont="1" applyBorder="1" applyAlignment="1">
      <alignment/>
    </xf>
    <xf numFmtId="3" fontId="1" fillId="0" borderId="20" xfId="0" applyNumberFormat="1" applyFont="1" applyBorder="1" applyAlignment="1">
      <alignment/>
    </xf>
    <xf numFmtId="3" fontId="1" fillId="0" borderId="46" xfId="0" applyNumberFormat="1" applyFont="1" applyBorder="1" applyAlignment="1">
      <alignment/>
    </xf>
    <xf numFmtId="0" fontId="2" fillId="3" borderId="0" xfId="0" applyFont="1" applyFill="1" applyBorder="1" applyAlignment="1">
      <alignment horizontal="center" vertical="top" wrapText="1"/>
    </xf>
    <xf numFmtId="4" fontId="0" fillId="0" borderId="11" xfId="0" applyNumberFormat="1" applyFont="1" applyBorder="1" applyAlignment="1">
      <alignment/>
    </xf>
    <xf numFmtId="4" fontId="0" fillId="0" borderId="7" xfId="0" applyNumberFormat="1" applyFont="1" applyBorder="1" applyAlignment="1">
      <alignment/>
    </xf>
    <xf numFmtId="4" fontId="0" fillId="0" borderId="13" xfId="0" applyNumberFormat="1" applyFont="1" applyBorder="1" applyAlignment="1">
      <alignment/>
    </xf>
    <xf numFmtId="4" fontId="0" fillId="0" borderId="25" xfId="0" applyNumberFormat="1" applyBorder="1" applyAlignment="1">
      <alignment/>
    </xf>
    <xf numFmtId="4" fontId="0" fillId="0" borderId="24" xfId="0" applyNumberFormat="1" applyBorder="1" applyAlignment="1">
      <alignment/>
    </xf>
    <xf numFmtId="0" fontId="11" fillId="3" borderId="49" xfId="0" applyFont="1" applyFill="1" applyBorder="1" applyAlignment="1">
      <alignment horizontal="center" vertical="top" wrapText="1"/>
    </xf>
    <xf numFmtId="0" fontId="2" fillId="5" borderId="47" xfId="0" applyFont="1" applyFill="1" applyBorder="1" applyAlignment="1">
      <alignment horizontal="center"/>
    </xf>
    <xf numFmtId="0" fontId="2" fillId="8" borderId="44" xfId="0" applyFont="1" applyFill="1" applyBorder="1" applyAlignment="1">
      <alignment horizontal="center"/>
    </xf>
    <xf numFmtId="0" fontId="2" fillId="4" borderId="44" xfId="0" applyFont="1" applyFill="1" applyBorder="1" applyAlignment="1">
      <alignment horizontal="center"/>
    </xf>
    <xf numFmtId="0" fontId="2" fillId="9" borderId="44" xfId="0" applyFont="1" applyFill="1" applyBorder="1" applyAlignment="1">
      <alignment horizontal="center"/>
    </xf>
    <xf numFmtId="0" fontId="2" fillId="6" borderId="44" xfId="0" applyFont="1" applyFill="1" applyBorder="1" applyAlignment="1">
      <alignment horizontal="center"/>
    </xf>
    <xf numFmtId="0" fontId="2" fillId="10" borderId="45" xfId="0" applyFont="1" applyFill="1" applyBorder="1" applyAlignment="1">
      <alignment horizontal="center"/>
    </xf>
    <xf numFmtId="10" fontId="0" fillId="0" borderId="25" xfId="20" applyNumberFormat="1" applyBorder="1" applyAlignment="1">
      <alignment/>
    </xf>
    <xf numFmtId="10" fontId="0" fillId="0" borderId="23" xfId="20" applyNumberFormat="1" applyBorder="1" applyAlignment="1">
      <alignment/>
    </xf>
    <xf numFmtId="10" fontId="0" fillId="0" borderId="24" xfId="20" applyNumberFormat="1" applyBorder="1" applyAlignment="1">
      <alignment/>
    </xf>
    <xf numFmtId="0" fontId="2" fillId="3" borderId="72" xfId="0" applyFont="1" applyFill="1" applyBorder="1" applyAlignment="1">
      <alignment horizontal="center" vertical="top" wrapText="1"/>
    </xf>
    <xf numFmtId="0" fontId="2" fillId="3" borderId="73" xfId="0" applyFont="1" applyFill="1" applyBorder="1" applyAlignment="1">
      <alignment horizontal="center" vertical="top" wrapText="1"/>
    </xf>
    <xf numFmtId="0" fontId="2" fillId="9" borderId="4" xfId="0" applyFont="1" applyFill="1" applyBorder="1" applyAlignment="1">
      <alignment/>
    </xf>
    <xf numFmtId="0" fontId="2" fillId="9" borderId="5" xfId="0" applyFont="1" applyFill="1" applyBorder="1" applyAlignment="1">
      <alignment/>
    </xf>
    <xf numFmtId="0" fontId="2" fillId="9" borderId="27" xfId="0" applyFont="1" applyFill="1" applyBorder="1" applyAlignment="1">
      <alignment/>
    </xf>
    <xf numFmtId="0" fontId="2" fillId="9" borderId="33" xfId="0" applyFont="1" applyFill="1" applyBorder="1" applyAlignment="1">
      <alignment/>
    </xf>
    <xf numFmtId="3" fontId="0" fillId="0" borderId="70" xfId="0" applyNumberFormat="1" applyFont="1" applyBorder="1" applyAlignment="1">
      <alignment/>
    </xf>
    <xf numFmtId="3" fontId="0" fillId="0" borderId="74" xfId="0" applyNumberFormat="1" applyFont="1" applyBorder="1" applyAlignment="1">
      <alignment/>
    </xf>
    <xf numFmtId="3" fontId="0" fillId="0" borderId="75" xfId="0" applyNumberFormat="1" applyBorder="1" applyAlignment="1">
      <alignment/>
    </xf>
    <xf numFmtId="10" fontId="0" fillId="0" borderId="72" xfId="20" applyNumberFormat="1" applyBorder="1" applyAlignment="1">
      <alignment/>
    </xf>
    <xf numFmtId="10" fontId="0" fillId="0" borderId="76" xfId="20" applyNumberFormat="1" applyBorder="1" applyAlignment="1">
      <alignment/>
    </xf>
    <xf numFmtId="4" fontId="0" fillId="0" borderId="0" xfId="0" applyNumberFormat="1" applyBorder="1" applyAlignment="1">
      <alignment/>
    </xf>
    <xf numFmtId="176" fontId="20" fillId="0" borderId="0" xfId="0" applyNumberFormat="1" applyFont="1" applyBorder="1" applyAlignment="1">
      <alignment/>
    </xf>
    <xf numFmtId="0" fontId="0" fillId="0" borderId="0" xfId="0" applyFont="1" applyFill="1" applyBorder="1" applyAlignment="1">
      <alignment/>
    </xf>
    <xf numFmtId="0" fontId="2" fillId="3" borderId="52" xfId="0" applyFont="1" applyFill="1" applyBorder="1" applyAlignment="1">
      <alignment horizontal="center" vertical="top" wrapText="1"/>
    </xf>
    <xf numFmtId="1" fontId="2" fillId="3" borderId="33" xfId="0" applyNumberFormat="1" applyFont="1" applyFill="1" applyBorder="1" applyAlignment="1">
      <alignment horizontal="center" vertical="top" wrapText="1"/>
    </xf>
    <xf numFmtId="4" fontId="2" fillId="3" borderId="4" xfId="0" applyNumberFormat="1" applyFont="1" applyFill="1" applyBorder="1" applyAlignment="1">
      <alignment horizontal="center" vertical="top" wrapText="1"/>
    </xf>
    <xf numFmtId="4" fontId="2" fillId="3" borderId="27" xfId="0" applyNumberFormat="1" applyFont="1" applyFill="1" applyBorder="1" applyAlignment="1">
      <alignment horizontal="center" vertical="top" wrapText="1"/>
    </xf>
    <xf numFmtId="3" fontId="12" fillId="0" borderId="0" xfId="0" applyNumberFormat="1" applyFont="1" applyAlignment="1">
      <alignment/>
    </xf>
    <xf numFmtId="0" fontId="12" fillId="8" borderId="0" xfId="0" applyFont="1" applyFill="1" applyAlignment="1">
      <alignment/>
    </xf>
  </cellXfs>
  <cellStyles count="8">
    <cellStyle name="Normal" xfId="0"/>
    <cellStyle name="Comma" xfId="15"/>
    <cellStyle name="Comma [0]" xfId="16"/>
    <cellStyle name="Hyperlink" xfId="17"/>
    <cellStyle name="Currency" xfId="18"/>
    <cellStyle name="Currency [0]"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AI137"/>
  <sheetViews>
    <sheetView tabSelected="1" workbookViewId="0" topLeftCell="A1">
      <selection activeCell="E72" sqref="E72"/>
    </sheetView>
  </sheetViews>
  <sheetFormatPr defaultColWidth="9.140625" defaultRowHeight="12.75" outlineLevelRow="1"/>
  <cols>
    <col min="1" max="1" width="9.7109375" style="2" customWidth="1"/>
    <col min="2" max="2" width="34.7109375" style="2" customWidth="1"/>
    <col min="3" max="3" width="63.7109375" style="2" customWidth="1"/>
    <col min="4" max="4" width="8.8515625" style="2" customWidth="1"/>
    <col min="5" max="5" width="16.28125" style="2" customWidth="1"/>
    <col min="6" max="6" width="4.140625" style="2" customWidth="1"/>
    <col min="7" max="7" width="4.28125" style="2" customWidth="1"/>
    <col min="8" max="8" width="4.00390625" style="2" customWidth="1"/>
    <col min="9" max="9" width="4.28125" style="2" customWidth="1"/>
    <col min="10" max="10" width="3.57421875" style="2" customWidth="1"/>
    <col min="11" max="12" width="4.140625" style="2" customWidth="1"/>
    <col min="13" max="15" width="8.8515625" style="2" customWidth="1"/>
  </cols>
  <sheetData>
    <row r="1" spans="1:5" ht="39.75" thickBot="1">
      <c r="A1" s="362" t="s">
        <v>267</v>
      </c>
      <c r="B1" s="363" t="s">
        <v>473</v>
      </c>
      <c r="C1" s="364"/>
      <c r="E1" s="373" t="s">
        <v>481</v>
      </c>
    </row>
    <row r="2" spans="1:3" ht="13.5" thickBot="1">
      <c r="A2" s="365"/>
      <c r="B2" s="364"/>
      <c r="C2" s="364"/>
    </row>
    <row r="3" spans="1:5" ht="53.25" thickBot="1">
      <c r="A3" s="365"/>
      <c r="B3" s="366" t="s">
        <v>144</v>
      </c>
      <c r="C3" s="13" t="s">
        <v>474</v>
      </c>
      <c r="E3" s="374">
        <f>'Počty pracovišť'!M15+'Náklady oblastí'!E3</f>
        <v>11547900</v>
      </c>
    </row>
    <row r="4" spans="1:3" ht="52.5">
      <c r="A4" s="365"/>
      <c r="B4" s="364"/>
      <c r="C4" s="9" t="s">
        <v>483</v>
      </c>
    </row>
    <row r="5" spans="4:6" ht="13.5" thickBot="1">
      <c r="D5" s="18"/>
      <c r="E5" s="18"/>
      <c r="F5" s="18"/>
    </row>
    <row r="6" spans="1:12" ht="27" thickBot="1">
      <c r="A6" s="367"/>
      <c r="B6" s="3" t="s">
        <v>66</v>
      </c>
      <c r="C6" s="5" t="s">
        <v>67</v>
      </c>
      <c r="D6" s="525" t="s">
        <v>68</v>
      </c>
      <c r="E6" s="18"/>
      <c r="F6" s="18"/>
      <c r="G6" s="490" t="s">
        <v>267</v>
      </c>
      <c r="H6" s="514" t="s">
        <v>285</v>
      </c>
      <c r="I6" s="514" t="s">
        <v>286</v>
      </c>
      <c r="J6" s="514" t="s">
        <v>287</v>
      </c>
      <c r="K6" s="514" t="s">
        <v>288</v>
      </c>
      <c r="L6" s="515" t="s">
        <v>4</v>
      </c>
    </row>
    <row r="7" spans="1:12" ht="12.75" collapsed="1">
      <c r="A7" s="365"/>
      <c r="B7" s="526" t="s">
        <v>229</v>
      </c>
      <c r="C7" s="527" t="s">
        <v>69</v>
      </c>
      <c r="D7" s="528"/>
      <c r="E7" s="18"/>
      <c r="F7" s="18"/>
      <c r="G7" s="24"/>
      <c r="H7" s="25"/>
      <c r="I7" s="25"/>
      <c r="J7" s="25"/>
      <c r="K7" s="25"/>
      <c r="L7" s="513"/>
    </row>
    <row r="8" spans="1:12" ht="39" hidden="1" outlineLevel="1">
      <c r="A8" s="365"/>
      <c r="B8" s="507" t="s">
        <v>70</v>
      </c>
      <c r="C8" s="13" t="s">
        <v>71</v>
      </c>
      <c r="D8" s="508">
        <f>G$8</f>
        <v>0</v>
      </c>
      <c r="E8" s="18"/>
      <c r="F8" s="18"/>
      <c r="G8" s="516">
        <v>0</v>
      </c>
      <c r="H8" s="495">
        <v>0</v>
      </c>
      <c r="I8" s="495">
        <v>0</v>
      </c>
      <c r="J8" s="495">
        <v>1</v>
      </c>
      <c r="K8" s="495">
        <v>1</v>
      </c>
      <c r="L8" s="508">
        <v>1</v>
      </c>
    </row>
    <row r="9" spans="1:12" ht="26.25" hidden="1" outlineLevel="1">
      <c r="A9" s="365"/>
      <c r="B9" s="507" t="s">
        <v>72</v>
      </c>
      <c r="C9" s="13" t="s">
        <v>73</v>
      </c>
      <c r="D9" s="508">
        <f>G$9</f>
        <v>1</v>
      </c>
      <c r="E9" s="18"/>
      <c r="F9" s="18"/>
      <c r="G9" s="516">
        <v>1</v>
      </c>
      <c r="H9" s="495">
        <v>1</v>
      </c>
      <c r="I9" s="495">
        <v>1</v>
      </c>
      <c r="J9" s="495">
        <v>1</v>
      </c>
      <c r="K9" s="495">
        <v>1</v>
      </c>
      <c r="L9" s="508">
        <v>1</v>
      </c>
    </row>
    <row r="10" spans="1:12" ht="12.75" collapsed="1">
      <c r="A10" s="365"/>
      <c r="B10" s="505" t="s">
        <v>74</v>
      </c>
      <c r="C10" s="369" t="s">
        <v>75</v>
      </c>
      <c r="D10" s="506"/>
      <c r="E10" s="18"/>
      <c r="F10" s="18"/>
      <c r="G10" s="517"/>
      <c r="H10" s="496"/>
      <c r="I10" s="496"/>
      <c r="J10" s="496"/>
      <c r="K10" s="496"/>
      <c r="L10" s="506"/>
    </row>
    <row r="11" spans="1:12" ht="26.25" hidden="1" outlineLevel="1">
      <c r="A11" s="365"/>
      <c r="B11" s="507" t="s">
        <v>76</v>
      </c>
      <c r="C11" s="13" t="s">
        <v>77</v>
      </c>
      <c r="D11" s="508">
        <f>G$11</f>
        <v>0</v>
      </c>
      <c r="E11" s="18"/>
      <c r="F11" s="18"/>
      <c r="G11" s="516">
        <v>0</v>
      </c>
      <c r="H11" s="495">
        <v>0</v>
      </c>
      <c r="I11" s="495">
        <v>0</v>
      </c>
      <c r="J11" s="495">
        <v>0</v>
      </c>
      <c r="K11" s="495">
        <v>1</v>
      </c>
      <c r="L11" s="508">
        <v>1</v>
      </c>
    </row>
    <row r="12" spans="1:12" ht="26.25" hidden="1" outlineLevel="1">
      <c r="A12" s="365"/>
      <c r="B12" s="507" t="s">
        <v>78</v>
      </c>
      <c r="C12" s="13" t="s">
        <v>79</v>
      </c>
      <c r="D12" s="508">
        <f>G$12</f>
        <v>1</v>
      </c>
      <c r="E12" s="18"/>
      <c r="F12" s="18"/>
      <c r="G12" s="516">
        <v>1</v>
      </c>
      <c r="H12" s="495">
        <v>1</v>
      </c>
      <c r="I12" s="495">
        <v>1</v>
      </c>
      <c r="J12" s="495">
        <v>1</v>
      </c>
      <c r="K12" s="495">
        <v>0</v>
      </c>
      <c r="L12" s="508">
        <v>0</v>
      </c>
    </row>
    <row r="13" spans="1:12" ht="26.25" collapsed="1">
      <c r="A13" s="364"/>
      <c r="B13" s="505" t="s">
        <v>80</v>
      </c>
      <c r="C13" s="369" t="s">
        <v>81</v>
      </c>
      <c r="D13" s="506"/>
      <c r="E13" s="370"/>
      <c r="F13" s="370"/>
      <c r="G13" s="517"/>
      <c r="H13" s="496"/>
      <c r="I13" s="496"/>
      <c r="J13" s="496"/>
      <c r="K13" s="496"/>
      <c r="L13" s="506"/>
    </row>
    <row r="14" spans="1:12" ht="12.75" hidden="1" outlineLevel="1">
      <c r="A14" s="364"/>
      <c r="B14" s="507" t="s">
        <v>82</v>
      </c>
      <c r="C14" s="368"/>
      <c r="D14" s="508">
        <f>G$14</f>
        <v>0</v>
      </c>
      <c r="E14" s="370"/>
      <c r="F14" s="370"/>
      <c r="G14" s="516">
        <v>0</v>
      </c>
      <c r="H14" s="495">
        <v>0</v>
      </c>
      <c r="I14" s="495">
        <v>0</v>
      </c>
      <c r="J14" s="495">
        <v>1</v>
      </c>
      <c r="K14" s="495">
        <v>1</v>
      </c>
      <c r="L14" s="508">
        <v>1</v>
      </c>
    </row>
    <row r="15" spans="1:12" ht="12.75" hidden="1" outlineLevel="1">
      <c r="A15" s="364"/>
      <c r="B15" s="507" t="s">
        <v>83</v>
      </c>
      <c r="C15" s="368"/>
      <c r="D15" s="509">
        <f>G$15</f>
        <v>1</v>
      </c>
      <c r="E15" s="371"/>
      <c r="F15" s="371"/>
      <c r="G15" s="518">
        <v>1</v>
      </c>
      <c r="H15" s="497">
        <v>1</v>
      </c>
      <c r="I15" s="497">
        <v>1</v>
      </c>
      <c r="J15" s="497">
        <v>0</v>
      </c>
      <c r="K15" s="497">
        <v>0</v>
      </c>
      <c r="L15" s="509">
        <v>0</v>
      </c>
    </row>
    <row r="16" spans="1:12" ht="12.75" collapsed="1">
      <c r="A16" s="364"/>
      <c r="B16" s="505" t="s">
        <v>84</v>
      </c>
      <c r="C16" s="369" t="s">
        <v>85</v>
      </c>
      <c r="D16" s="510"/>
      <c r="E16" s="370"/>
      <c r="F16" s="370"/>
      <c r="G16" s="519"/>
      <c r="H16" s="498"/>
      <c r="I16" s="498"/>
      <c r="J16" s="498"/>
      <c r="K16" s="498"/>
      <c r="L16" s="510"/>
    </row>
    <row r="17" spans="1:12" ht="12.75" hidden="1" outlineLevel="1">
      <c r="A17" s="364"/>
      <c r="B17" s="507" t="s">
        <v>86</v>
      </c>
      <c r="C17" s="13"/>
      <c r="D17" s="511">
        <f>G$17</f>
        <v>1</v>
      </c>
      <c r="E17" s="370"/>
      <c r="F17" s="370"/>
      <c r="G17" s="520">
        <v>1</v>
      </c>
      <c r="H17" s="499">
        <v>1</v>
      </c>
      <c r="I17" s="499">
        <v>1</v>
      </c>
      <c r="J17" s="499">
        <v>1</v>
      </c>
      <c r="K17" s="499">
        <v>1</v>
      </c>
      <c r="L17" s="511">
        <v>0</v>
      </c>
    </row>
    <row r="18" spans="1:12" ht="12.75" hidden="1" outlineLevel="1">
      <c r="A18" s="364"/>
      <c r="B18" s="507" t="s">
        <v>87</v>
      </c>
      <c r="C18" s="13"/>
      <c r="D18" s="512">
        <f>G$18</f>
        <v>0</v>
      </c>
      <c r="G18" s="521">
        <v>0</v>
      </c>
      <c r="H18" s="500">
        <v>0</v>
      </c>
      <c r="I18" s="500">
        <v>0</v>
      </c>
      <c r="J18" s="500">
        <v>0</v>
      </c>
      <c r="K18" s="500">
        <v>0</v>
      </c>
      <c r="L18" s="512">
        <v>1</v>
      </c>
    </row>
    <row r="19" spans="1:12" ht="12.75" collapsed="1">
      <c r="A19" s="364"/>
      <c r="B19" s="505" t="s">
        <v>88</v>
      </c>
      <c r="C19" s="369" t="s">
        <v>482</v>
      </c>
      <c r="D19" s="510"/>
      <c r="G19" s="519"/>
      <c r="H19" s="498"/>
      <c r="I19" s="498"/>
      <c r="J19" s="498"/>
      <c r="K19" s="498"/>
      <c r="L19" s="510"/>
    </row>
    <row r="20" spans="1:35" ht="12.75" hidden="1" outlineLevel="1">
      <c r="A20" s="364"/>
      <c r="B20" s="12" t="s">
        <v>89</v>
      </c>
      <c r="C20" s="13"/>
      <c r="D20" s="512">
        <f>G$20</f>
        <v>0</v>
      </c>
      <c r="G20" s="521">
        <v>0</v>
      </c>
      <c r="H20" s="500">
        <v>0</v>
      </c>
      <c r="I20" s="500">
        <v>0</v>
      </c>
      <c r="J20" s="500">
        <v>1</v>
      </c>
      <c r="K20" s="500">
        <v>1</v>
      </c>
      <c r="L20" s="512">
        <v>1</v>
      </c>
      <c r="M20" s="364"/>
      <c r="N20" s="364"/>
      <c r="O20" s="364"/>
      <c r="P20" s="364"/>
      <c r="Q20" s="364"/>
      <c r="R20" s="504"/>
      <c r="S20" s="364"/>
      <c r="T20" s="364"/>
      <c r="U20" s="364"/>
      <c r="V20" s="364"/>
      <c r="W20" s="364"/>
      <c r="X20" s="504"/>
      <c r="Y20" s="364"/>
      <c r="Z20" s="364"/>
      <c r="AA20" s="364"/>
      <c r="AB20" s="364"/>
      <c r="AC20" s="364"/>
      <c r="AD20" s="504"/>
      <c r="AE20" s="364"/>
      <c r="AF20" s="364"/>
      <c r="AG20" s="364"/>
      <c r="AH20" s="364"/>
      <c r="AI20" s="364"/>
    </row>
    <row r="21" spans="1:35" ht="26.25" hidden="1" outlineLevel="1">
      <c r="A21" s="364"/>
      <c r="B21" s="12" t="s">
        <v>90</v>
      </c>
      <c r="C21" s="13"/>
      <c r="D21" s="512">
        <f>G$21</f>
        <v>0</v>
      </c>
      <c r="G21" s="521">
        <v>0</v>
      </c>
      <c r="H21" s="500">
        <v>1</v>
      </c>
      <c r="I21" s="500">
        <v>1</v>
      </c>
      <c r="J21" s="500">
        <v>1</v>
      </c>
      <c r="K21" s="500">
        <v>1</v>
      </c>
      <c r="L21" s="512">
        <v>1</v>
      </c>
      <c r="M21" s="364"/>
      <c r="N21" s="364"/>
      <c r="O21" s="364"/>
      <c r="P21" s="364"/>
      <c r="Q21" s="364"/>
      <c r="R21" s="504"/>
      <c r="S21" s="364"/>
      <c r="T21" s="364"/>
      <c r="U21" s="364"/>
      <c r="V21" s="364"/>
      <c r="W21" s="364"/>
      <c r="X21" s="504"/>
      <c r="Y21" s="364"/>
      <c r="Z21" s="364"/>
      <c r="AA21" s="364"/>
      <c r="AB21" s="364"/>
      <c r="AC21" s="364"/>
      <c r="AD21" s="504"/>
      <c r="AE21" s="364"/>
      <c r="AF21" s="364"/>
      <c r="AG21" s="364"/>
      <c r="AH21" s="364"/>
      <c r="AI21" s="364"/>
    </row>
    <row r="22" spans="2:35" ht="27" hidden="1" outlineLevel="1" thickBot="1">
      <c r="B22" s="14" t="s">
        <v>98</v>
      </c>
      <c r="C22" s="15"/>
      <c r="D22" s="524">
        <f>G$22</f>
        <v>0</v>
      </c>
      <c r="G22" s="522">
        <v>0</v>
      </c>
      <c r="H22" s="523">
        <v>0</v>
      </c>
      <c r="I22" s="523">
        <v>1</v>
      </c>
      <c r="J22" s="523">
        <v>1</v>
      </c>
      <c r="K22" s="523">
        <v>1</v>
      </c>
      <c r="L22" s="524">
        <v>1</v>
      </c>
      <c r="M22" s="364"/>
      <c r="N22" s="364"/>
      <c r="O22" s="364"/>
      <c r="P22" s="364"/>
      <c r="Q22" s="364"/>
      <c r="R22" s="504"/>
      <c r="S22" s="364"/>
      <c r="T22" s="364"/>
      <c r="U22" s="364"/>
      <c r="V22" s="364"/>
      <c r="W22" s="364"/>
      <c r="X22" s="504"/>
      <c r="Y22" s="364"/>
      <c r="Z22" s="364"/>
      <c r="AA22" s="364"/>
      <c r="AB22" s="364"/>
      <c r="AC22" s="364"/>
      <c r="AD22" s="504"/>
      <c r="AE22" s="364"/>
      <c r="AF22" s="364"/>
      <c r="AG22" s="364"/>
      <c r="AH22" s="364"/>
      <c r="AI22" s="364"/>
    </row>
    <row r="23" spans="13:35" ht="13.5" thickBot="1">
      <c r="M23" s="364"/>
      <c r="N23" s="364"/>
      <c r="O23" s="364"/>
      <c r="P23" s="504"/>
      <c r="Q23" s="504"/>
      <c r="R23" s="504"/>
      <c r="S23" s="504"/>
      <c r="T23" s="504"/>
      <c r="U23" s="504"/>
      <c r="V23" s="504"/>
      <c r="W23" s="504"/>
      <c r="X23" s="504"/>
      <c r="Y23" s="504"/>
      <c r="Z23" s="504"/>
      <c r="AA23" s="504"/>
      <c r="AB23" s="504"/>
      <c r="AC23" s="504"/>
      <c r="AD23" s="504"/>
      <c r="AE23" s="504"/>
      <c r="AF23" s="504"/>
      <c r="AG23" s="504"/>
      <c r="AH23" s="504"/>
      <c r="AI23" s="504"/>
    </row>
    <row r="24" spans="1:5" ht="39.75" thickBot="1">
      <c r="A24" s="362" t="s">
        <v>285</v>
      </c>
      <c r="B24" s="363" t="s">
        <v>473</v>
      </c>
      <c r="C24" s="364"/>
      <c r="E24" s="373" t="s">
        <v>481</v>
      </c>
    </row>
    <row r="25" spans="1:3" ht="13.5" thickBot="1">
      <c r="A25" s="365"/>
      <c r="B25" s="364"/>
      <c r="C25" s="364"/>
    </row>
    <row r="26" spans="1:5" ht="53.25" thickBot="1">
      <c r="A26" s="365"/>
      <c r="B26" s="366" t="s">
        <v>144</v>
      </c>
      <c r="C26" s="13" t="s">
        <v>92</v>
      </c>
      <c r="E26" s="374">
        <f>'Počty pracovišť'!P15+'Náklady oblastí'!E3+'Náklady oblastí'!E4</f>
        <v>17683300</v>
      </c>
    </row>
    <row r="27" spans="1:3" ht="78.75">
      <c r="A27" s="365"/>
      <c r="B27" s="364"/>
      <c r="C27" s="9" t="s">
        <v>475</v>
      </c>
    </row>
    <row r="28" spans="4:6" ht="13.5" thickBot="1">
      <c r="D28" s="18"/>
      <c r="E28" s="18"/>
      <c r="F28" s="18"/>
    </row>
    <row r="29" spans="1:6" ht="27" thickBot="1">
      <c r="A29" s="367"/>
      <c r="B29" s="3" t="s">
        <v>66</v>
      </c>
      <c r="C29" s="5" t="s">
        <v>67</v>
      </c>
      <c r="D29" s="525" t="s">
        <v>68</v>
      </c>
      <c r="E29" s="18"/>
      <c r="F29" s="18"/>
    </row>
    <row r="30" spans="1:6" ht="12.75" collapsed="1">
      <c r="A30" s="365"/>
      <c r="B30" s="526" t="s">
        <v>229</v>
      </c>
      <c r="C30" s="527" t="s">
        <v>69</v>
      </c>
      <c r="D30" s="528"/>
      <c r="E30" s="18"/>
      <c r="F30" s="18"/>
    </row>
    <row r="31" spans="1:6" ht="39" hidden="1" outlineLevel="1">
      <c r="A31" s="365"/>
      <c r="B31" s="507" t="s">
        <v>70</v>
      </c>
      <c r="C31" s="13" t="s">
        <v>71</v>
      </c>
      <c r="D31" s="508">
        <f>H$8</f>
        <v>0</v>
      </c>
      <c r="E31" s="18"/>
      <c r="F31" s="18"/>
    </row>
    <row r="32" spans="1:6" ht="26.25" hidden="1" outlineLevel="1">
      <c r="A32" s="365"/>
      <c r="B32" s="507" t="s">
        <v>72</v>
      </c>
      <c r="C32" s="13" t="s">
        <v>73</v>
      </c>
      <c r="D32" s="508">
        <f>H$9</f>
        <v>1</v>
      </c>
      <c r="E32" s="18"/>
      <c r="F32" s="18"/>
    </row>
    <row r="33" spans="1:6" ht="12.75" collapsed="1">
      <c r="A33" s="365"/>
      <c r="B33" s="505" t="s">
        <v>74</v>
      </c>
      <c r="C33" s="369" t="s">
        <v>75</v>
      </c>
      <c r="D33" s="506"/>
      <c r="E33" s="18"/>
      <c r="F33" s="18"/>
    </row>
    <row r="34" spans="1:6" ht="26.25" hidden="1" outlineLevel="1">
      <c r="A34" s="365"/>
      <c r="B34" s="507" t="s">
        <v>76</v>
      </c>
      <c r="C34" s="13" t="s">
        <v>77</v>
      </c>
      <c r="D34" s="508">
        <f>H$11</f>
        <v>0</v>
      </c>
      <c r="E34" s="18"/>
      <c r="F34" s="18"/>
    </row>
    <row r="35" spans="1:6" ht="26.25" hidden="1" outlineLevel="1">
      <c r="A35" s="365"/>
      <c r="B35" s="507" t="s">
        <v>78</v>
      </c>
      <c r="C35" s="13" t="s">
        <v>79</v>
      </c>
      <c r="D35" s="508">
        <f>H$12</f>
        <v>1</v>
      </c>
      <c r="E35" s="18"/>
      <c r="F35" s="18"/>
    </row>
    <row r="36" spans="1:6" ht="26.25" collapsed="1">
      <c r="A36" s="364"/>
      <c r="B36" s="505" t="s">
        <v>80</v>
      </c>
      <c r="C36" s="369" t="s">
        <v>81</v>
      </c>
      <c r="D36" s="506"/>
      <c r="E36" s="370"/>
      <c r="F36" s="370"/>
    </row>
    <row r="37" spans="1:6" ht="12.75" hidden="1" outlineLevel="1">
      <c r="A37" s="364"/>
      <c r="B37" s="507" t="s">
        <v>82</v>
      </c>
      <c r="C37" s="368"/>
      <c r="D37" s="508">
        <f>H$14</f>
        <v>0</v>
      </c>
      <c r="E37" s="370"/>
      <c r="F37" s="370"/>
    </row>
    <row r="38" spans="1:6" ht="12.75" hidden="1" outlineLevel="1">
      <c r="A38" s="364"/>
      <c r="B38" s="507" t="s">
        <v>83</v>
      </c>
      <c r="C38" s="368"/>
      <c r="D38" s="509">
        <f>H$15</f>
        <v>1</v>
      </c>
      <c r="E38" s="371"/>
      <c r="F38" s="370"/>
    </row>
    <row r="39" spans="1:6" ht="12.75" collapsed="1">
      <c r="A39" s="364"/>
      <c r="B39" s="505" t="s">
        <v>84</v>
      </c>
      <c r="C39" s="369" t="s">
        <v>85</v>
      </c>
      <c r="D39" s="510"/>
      <c r="E39" s="370"/>
      <c r="F39" s="370"/>
    </row>
    <row r="40" spans="1:6" ht="12.75" hidden="1" outlineLevel="1">
      <c r="A40" s="364"/>
      <c r="B40" s="507" t="s">
        <v>86</v>
      </c>
      <c r="C40" s="13"/>
      <c r="D40" s="511">
        <f>H$17</f>
        <v>1</v>
      </c>
      <c r="E40" s="370"/>
      <c r="F40" s="370"/>
    </row>
    <row r="41" spans="1:4" ht="12.75" hidden="1" outlineLevel="1">
      <c r="A41" s="364"/>
      <c r="B41" s="507" t="s">
        <v>87</v>
      </c>
      <c r="C41" s="13"/>
      <c r="D41" s="512">
        <f>H$18</f>
        <v>0</v>
      </c>
    </row>
    <row r="42" spans="1:4" ht="12.75" collapsed="1">
      <c r="A42" s="364"/>
      <c r="B42" s="505" t="s">
        <v>88</v>
      </c>
      <c r="C42" s="369" t="s">
        <v>482</v>
      </c>
      <c r="D42" s="510"/>
    </row>
    <row r="43" spans="1:4" ht="12.75" hidden="1" outlineLevel="1">
      <c r="A43" s="364"/>
      <c r="B43" s="12" t="s">
        <v>89</v>
      </c>
      <c r="C43" s="13"/>
      <c r="D43" s="512">
        <f>H$20</f>
        <v>0</v>
      </c>
    </row>
    <row r="44" spans="1:4" ht="26.25" hidden="1" outlineLevel="1">
      <c r="A44" s="364"/>
      <c r="B44" s="12" t="s">
        <v>90</v>
      </c>
      <c r="C44" s="13"/>
      <c r="D44" s="512">
        <f>H$21</f>
        <v>1</v>
      </c>
    </row>
    <row r="45" spans="2:4" ht="27" hidden="1" outlineLevel="1" thickBot="1">
      <c r="B45" s="14" t="s">
        <v>91</v>
      </c>
      <c r="C45" s="15"/>
      <c r="D45" s="524">
        <f>H$22</f>
        <v>0</v>
      </c>
    </row>
    <row r="46" ht="13.5" thickBot="1"/>
    <row r="47" spans="1:5" ht="39.75" thickBot="1">
      <c r="A47" s="362" t="s">
        <v>286</v>
      </c>
      <c r="B47" s="363" t="s">
        <v>473</v>
      </c>
      <c r="C47" s="364"/>
      <c r="E47" s="373" t="s">
        <v>481</v>
      </c>
    </row>
    <row r="48" spans="1:3" ht="13.5" thickBot="1">
      <c r="A48" s="365"/>
      <c r="B48" s="364"/>
      <c r="C48" s="364"/>
    </row>
    <row r="49" spans="1:5" ht="79.5" thickBot="1">
      <c r="A49" s="365"/>
      <c r="B49" s="366" t="s">
        <v>144</v>
      </c>
      <c r="C49" s="13" t="s">
        <v>477</v>
      </c>
      <c r="E49" s="374">
        <f>'Počty pracovišť'!S15+'Náklady oblastí'!E3+'Náklady oblastí'!E4+'Náklady oblastí'!E5</f>
        <v>27662540</v>
      </c>
    </row>
    <row r="50" spans="1:3" ht="92.25">
      <c r="A50" s="365"/>
      <c r="B50" s="364"/>
      <c r="C50" s="9" t="s">
        <v>476</v>
      </c>
    </row>
    <row r="51" spans="4:5" ht="13.5" thickBot="1">
      <c r="D51" s="18"/>
      <c r="E51" s="18"/>
    </row>
    <row r="52" spans="1:5" ht="27" thickBot="1">
      <c r="A52" s="367"/>
      <c r="B52" s="3" t="s">
        <v>66</v>
      </c>
      <c r="C52" s="5" t="s">
        <v>67</v>
      </c>
      <c r="D52" s="525" t="s">
        <v>68</v>
      </c>
      <c r="E52" s="18"/>
    </row>
    <row r="53" spans="1:5" ht="12.75" collapsed="1">
      <c r="A53" s="365"/>
      <c r="B53" s="526" t="s">
        <v>229</v>
      </c>
      <c r="C53" s="527" t="s">
        <v>69</v>
      </c>
      <c r="D53" s="528"/>
      <c r="E53" s="18"/>
    </row>
    <row r="54" spans="1:5" ht="39" hidden="1" outlineLevel="1">
      <c r="A54" s="365"/>
      <c r="B54" s="507" t="s">
        <v>70</v>
      </c>
      <c r="C54" s="13" t="s">
        <v>71</v>
      </c>
      <c r="D54" s="508">
        <f>G$8</f>
        <v>0</v>
      </c>
      <c r="E54" s="18"/>
    </row>
    <row r="55" spans="1:5" ht="26.25" hidden="1" outlineLevel="1">
      <c r="A55" s="365"/>
      <c r="B55" s="507" t="s">
        <v>72</v>
      </c>
      <c r="C55" s="13" t="s">
        <v>73</v>
      </c>
      <c r="D55" s="508">
        <f>G$9</f>
        <v>1</v>
      </c>
      <c r="E55" s="18"/>
    </row>
    <row r="56" spans="1:5" ht="12.75" collapsed="1">
      <c r="A56" s="365"/>
      <c r="B56" s="505" t="s">
        <v>74</v>
      </c>
      <c r="C56" s="369" t="s">
        <v>75</v>
      </c>
      <c r="D56" s="506"/>
      <c r="E56" s="18"/>
    </row>
    <row r="57" spans="1:5" ht="26.25" hidden="1" outlineLevel="1">
      <c r="A57" s="365"/>
      <c r="B57" s="507" t="s">
        <v>76</v>
      </c>
      <c r="C57" s="13" t="s">
        <v>77</v>
      </c>
      <c r="D57" s="508">
        <f>G$11</f>
        <v>0</v>
      </c>
      <c r="E57" s="18"/>
    </row>
    <row r="58" spans="1:5" ht="26.25" hidden="1" outlineLevel="1">
      <c r="A58" s="365"/>
      <c r="B58" s="507" t="s">
        <v>78</v>
      </c>
      <c r="C58" s="13" t="s">
        <v>79</v>
      </c>
      <c r="D58" s="508">
        <f>G$12</f>
        <v>1</v>
      </c>
      <c r="E58" s="18"/>
    </row>
    <row r="59" spans="1:5" ht="26.25" collapsed="1">
      <c r="A59" s="364"/>
      <c r="B59" s="505" t="s">
        <v>80</v>
      </c>
      <c r="C59" s="369" t="s">
        <v>81</v>
      </c>
      <c r="D59" s="506"/>
      <c r="E59" s="370"/>
    </row>
    <row r="60" spans="1:5" ht="12.75" hidden="1" outlineLevel="1">
      <c r="A60" s="364"/>
      <c r="B60" s="507" t="s">
        <v>82</v>
      </c>
      <c r="C60" s="368"/>
      <c r="D60" s="508">
        <f>G$14</f>
        <v>0</v>
      </c>
      <c r="E60" s="370"/>
    </row>
    <row r="61" spans="1:5" ht="12.75" hidden="1" outlineLevel="1">
      <c r="A61" s="364"/>
      <c r="B61" s="507" t="s">
        <v>83</v>
      </c>
      <c r="C61" s="368"/>
      <c r="D61" s="509">
        <f>G$15</f>
        <v>1</v>
      </c>
      <c r="E61" s="371"/>
    </row>
    <row r="62" spans="1:5" ht="12.75" collapsed="1">
      <c r="A62" s="364"/>
      <c r="B62" s="505" t="s">
        <v>84</v>
      </c>
      <c r="C62" s="369" t="s">
        <v>85</v>
      </c>
      <c r="D62" s="510"/>
      <c r="E62" s="370"/>
    </row>
    <row r="63" spans="1:5" ht="12.75" hidden="1" outlineLevel="1">
      <c r="A63" s="364"/>
      <c r="B63" s="507" t="s">
        <v>86</v>
      </c>
      <c r="C63" s="13"/>
      <c r="D63" s="511">
        <f>G$17</f>
        <v>1</v>
      </c>
      <c r="E63" s="370"/>
    </row>
    <row r="64" spans="1:4" ht="12.75" hidden="1" outlineLevel="1">
      <c r="A64" s="364"/>
      <c r="B64" s="507" t="s">
        <v>87</v>
      </c>
      <c r="C64" s="13"/>
      <c r="D64" s="512">
        <f>G$18</f>
        <v>0</v>
      </c>
    </row>
    <row r="65" spans="1:4" ht="12.75" collapsed="1">
      <c r="A65" s="364"/>
      <c r="B65" s="505" t="s">
        <v>88</v>
      </c>
      <c r="C65" s="369" t="s">
        <v>482</v>
      </c>
      <c r="D65" s="510"/>
    </row>
    <row r="66" spans="1:4" ht="12.75" hidden="1" outlineLevel="1">
      <c r="A66" s="364"/>
      <c r="B66" s="12" t="s">
        <v>89</v>
      </c>
      <c r="C66" s="13"/>
      <c r="D66" s="512">
        <f>G$20</f>
        <v>0</v>
      </c>
    </row>
    <row r="67" spans="1:4" ht="26.25" hidden="1" outlineLevel="1">
      <c r="A67" s="364"/>
      <c r="B67" s="12" t="s">
        <v>90</v>
      </c>
      <c r="C67" s="13"/>
      <c r="D67" s="512">
        <f>G$21</f>
        <v>0</v>
      </c>
    </row>
    <row r="68" spans="2:4" ht="27" hidden="1" outlineLevel="1" thickBot="1">
      <c r="B68" s="14" t="s">
        <v>91</v>
      </c>
      <c r="C68" s="15"/>
      <c r="D68" s="524">
        <f>G$22</f>
        <v>0</v>
      </c>
    </row>
    <row r="69" ht="13.5" thickBot="1"/>
    <row r="70" spans="1:12" ht="39.75" thickBot="1">
      <c r="A70" s="362" t="s">
        <v>287</v>
      </c>
      <c r="B70" s="363" t="s">
        <v>473</v>
      </c>
      <c r="C70" s="364"/>
      <c r="E70" s="373" t="s">
        <v>481</v>
      </c>
      <c r="F70"/>
      <c r="L70"/>
    </row>
    <row r="71" spans="1:12" ht="13.5" thickBot="1">
      <c r="A71" s="365"/>
      <c r="B71" s="364"/>
      <c r="C71" s="364"/>
      <c r="F71"/>
      <c r="L71"/>
    </row>
    <row r="72" spans="1:12" ht="79.5" thickBot="1">
      <c r="A72" s="365"/>
      <c r="B72" s="366" t="s">
        <v>144</v>
      </c>
      <c r="C72" s="13" t="s">
        <v>478</v>
      </c>
      <c r="E72" s="374">
        <f>'Počty pracovišť'!M31+'Náklady oblastí'!E3+'Náklady oblastí'!E4+'Náklady oblastí'!E5+'Náklady oblastí'!E6</f>
        <v>125599529.65370926</v>
      </c>
      <c r="F72"/>
      <c r="L72"/>
    </row>
    <row r="73" spans="1:12" ht="78.75">
      <c r="A73" s="365"/>
      <c r="B73" s="364"/>
      <c r="C73" s="9" t="s">
        <v>479</v>
      </c>
      <c r="F73"/>
      <c r="L73"/>
    </row>
    <row r="74" spans="4:12" ht="13.5" thickBot="1">
      <c r="D74" s="18"/>
      <c r="E74" s="18"/>
      <c r="F74"/>
      <c r="K74" s="18"/>
      <c r="L74"/>
    </row>
    <row r="75" spans="1:12" ht="27" thickBot="1">
      <c r="A75" s="367"/>
      <c r="B75" s="3" t="s">
        <v>66</v>
      </c>
      <c r="C75" s="5" t="s">
        <v>67</v>
      </c>
      <c r="D75" s="525" t="s">
        <v>68</v>
      </c>
      <c r="E75" s="18"/>
      <c r="F75"/>
      <c r="K75" s="18"/>
      <c r="L75"/>
    </row>
    <row r="76" spans="1:12" ht="12.75" collapsed="1">
      <c r="A76" s="365"/>
      <c r="B76" s="526" t="s">
        <v>229</v>
      </c>
      <c r="C76" s="527" t="s">
        <v>69</v>
      </c>
      <c r="D76" s="528"/>
      <c r="E76" s="18"/>
      <c r="F76"/>
      <c r="K76" s="18"/>
      <c r="L76"/>
    </row>
    <row r="77" spans="1:12" ht="39" hidden="1" outlineLevel="1">
      <c r="A77" s="365"/>
      <c r="B77" s="507" t="s">
        <v>70</v>
      </c>
      <c r="C77" s="13" t="s">
        <v>71</v>
      </c>
      <c r="D77" s="508">
        <f>J$8</f>
        <v>1</v>
      </c>
      <c r="E77" s="501"/>
      <c r="F77"/>
      <c r="K77" s="18"/>
      <c r="L77"/>
    </row>
    <row r="78" spans="1:12" ht="26.25" hidden="1" outlineLevel="1">
      <c r="A78" s="365"/>
      <c r="B78" s="507" t="s">
        <v>72</v>
      </c>
      <c r="C78" s="13" t="s">
        <v>73</v>
      </c>
      <c r="D78" s="508">
        <f>J$9</f>
        <v>1</v>
      </c>
      <c r="E78" s="501"/>
      <c r="F78"/>
      <c r="K78" s="18"/>
      <c r="L78"/>
    </row>
    <row r="79" spans="1:12" ht="12.75" collapsed="1">
      <c r="A79" s="365"/>
      <c r="B79" s="505" t="s">
        <v>74</v>
      </c>
      <c r="C79" s="369" t="s">
        <v>75</v>
      </c>
      <c r="D79" s="506"/>
      <c r="E79" s="501"/>
      <c r="F79"/>
      <c r="K79" s="18"/>
      <c r="L79"/>
    </row>
    <row r="80" spans="1:12" ht="26.25" hidden="1" outlineLevel="1">
      <c r="A80" s="365"/>
      <c r="B80" s="507" t="s">
        <v>76</v>
      </c>
      <c r="C80" s="13" t="s">
        <v>77</v>
      </c>
      <c r="D80" s="508">
        <f>J$11</f>
        <v>0</v>
      </c>
      <c r="E80" s="501"/>
      <c r="F80"/>
      <c r="K80" s="18"/>
      <c r="L80"/>
    </row>
    <row r="81" spans="1:12" ht="26.25" hidden="1" outlineLevel="1">
      <c r="A81" s="365"/>
      <c r="B81" s="507" t="s">
        <v>78</v>
      </c>
      <c r="C81" s="13" t="s">
        <v>79</v>
      </c>
      <c r="D81" s="508">
        <f>J$12</f>
        <v>1</v>
      </c>
      <c r="E81" s="501"/>
      <c r="F81"/>
      <c r="K81" s="18"/>
      <c r="L81"/>
    </row>
    <row r="82" spans="1:12" ht="26.25" collapsed="1">
      <c r="A82" s="364"/>
      <c r="B82" s="505" t="s">
        <v>80</v>
      </c>
      <c r="C82" s="369" t="s">
        <v>81</v>
      </c>
      <c r="D82" s="506"/>
      <c r="E82" s="501"/>
      <c r="F82"/>
      <c r="K82" s="370"/>
      <c r="L82"/>
    </row>
    <row r="83" spans="1:12" ht="12.75" hidden="1" outlineLevel="1">
      <c r="A83" s="364"/>
      <c r="B83" s="507" t="s">
        <v>82</v>
      </c>
      <c r="C83" s="368"/>
      <c r="D83" s="508">
        <f>J$14</f>
        <v>1</v>
      </c>
      <c r="E83" s="501"/>
      <c r="F83"/>
      <c r="K83" s="370"/>
      <c r="L83"/>
    </row>
    <row r="84" spans="1:12" ht="12.75" hidden="1" outlineLevel="1">
      <c r="A84" s="364"/>
      <c r="B84" s="507" t="s">
        <v>83</v>
      </c>
      <c r="C84" s="368"/>
      <c r="D84" s="509">
        <f>J$15</f>
        <v>0</v>
      </c>
      <c r="E84" s="502"/>
      <c r="F84"/>
      <c r="K84" s="371"/>
      <c r="L84"/>
    </row>
    <row r="85" spans="1:12" ht="12.75" collapsed="1">
      <c r="A85" s="364"/>
      <c r="B85" s="505" t="s">
        <v>84</v>
      </c>
      <c r="C85" s="369" t="s">
        <v>85</v>
      </c>
      <c r="D85" s="510"/>
      <c r="E85" s="503"/>
      <c r="F85"/>
      <c r="K85" s="370"/>
      <c r="L85"/>
    </row>
    <row r="86" spans="1:12" ht="12.75" hidden="1" outlineLevel="1">
      <c r="A86" s="364"/>
      <c r="B86" s="507" t="s">
        <v>86</v>
      </c>
      <c r="C86" s="13"/>
      <c r="D86" s="511">
        <f>J$17</f>
        <v>1</v>
      </c>
      <c r="E86" s="503"/>
      <c r="F86"/>
      <c r="K86" s="370"/>
      <c r="L86"/>
    </row>
    <row r="87" spans="1:12" ht="12.75" hidden="1" outlineLevel="1">
      <c r="A87" s="364"/>
      <c r="B87" s="507" t="s">
        <v>87</v>
      </c>
      <c r="C87" s="13"/>
      <c r="D87" s="512">
        <f>J$18</f>
        <v>0</v>
      </c>
      <c r="E87" s="503"/>
      <c r="F87"/>
      <c r="L87"/>
    </row>
    <row r="88" spans="1:12" ht="12.75" collapsed="1">
      <c r="A88" s="364"/>
      <c r="B88" s="505" t="s">
        <v>88</v>
      </c>
      <c r="C88" s="369" t="s">
        <v>482</v>
      </c>
      <c r="D88" s="510"/>
      <c r="E88" s="503"/>
      <c r="F88"/>
      <c r="L88"/>
    </row>
    <row r="89" spans="1:12" ht="12.75" hidden="1" outlineLevel="1">
      <c r="A89" s="364"/>
      <c r="B89" s="12" t="s">
        <v>89</v>
      </c>
      <c r="C89" s="13"/>
      <c r="D89" s="512">
        <f>J$20</f>
        <v>1</v>
      </c>
      <c r="E89" s="503"/>
      <c r="F89"/>
      <c r="L89"/>
    </row>
    <row r="90" spans="1:12" ht="26.25" hidden="1" outlineLevel="1">
      <c r="A90" s="364"/>
      <c r="B90" s="12" t="s">
        <v>90</v>
      </c>
      <c r="C90" s="13"/>
      <c r="D90" s="512">
        <f>J$21</f>
        <v>1</v>
      </c>
      <c r="E90" s="503"/>
      <c r="F90"/>
      <c r="L90"/>
    </row>
    <row r="91" spans="2:12" ht="27" hidden="1" outlineLevel="1" thickBot="1">
      <c r="B91" s="14" t="s">
        <v>91</v>
      </c>
      <c r="C91" s="15"/>
      <c r="D91" s="524">
        <f>J$22</f>
        <v>1</v>
      </c>
      <c r="E91" s="503"/>
      <c r="F91"/>
      <c r="L91"/>
    </row>
    <row r="92" ht="13.5" thickBot="1"/>
    <row r="93" spans="1:5" ht="39.75" thickBot="1">
      <c r="A93" s="362" t="s">
        <v>288</v>
      </c>
      <c r="B93" s="363" t="s">
        <v>473</v>
      </c>
      <c r="C93" s="364"/>
      <c r="E93" s="373" t="s">
        <v>481</v>
      </c>
    </row>
    <row r="94" spans="1:3" ht="13.5" thickBot="1">
      <c r="A94" s="365"/>
      <c r="B94" s="364"/>
      <c r="C94" s="364"/>
    </row>
    <row r="95" spans="1:5" ht="119.25" thickBot="1">
      <c r="A95" s="365"/>
      <c r="B95" s="366" t="s">
        <v>144</v>
      </c>
      <c r="C95" s="13" t="s">
        <v>165</v>
      </c>
      <c r="E95" s="374">
        <f>'Počty pracovišť'!P31+'Náklady oblastí'!E3+'Náklady oblastí'!E4+'Náklady oblastí'!E5+'Náklady oblastí'!E6+'Náklady oblastí'!E7</f>
        <v>157123513.264095</v>
      </c>
    </row>
    <row r="96" spans="1:3" ht="92.25">
      <c r="A96" s="365"/>
      <c r="B96" s="364"/>
      <c r="C96" s="9" t="s">
        <v>529</v>
      </c>
    </row>
    <row r="97" ht="13.5" thickBot="1">
      <c r="D97" s="18"/>
    </row>
    <row r="98" spans="1:4" ht="27" thickBot="1">
      <c r="A98" s="367"/>
      <c r="B98" s="3" t="s">
        <v>66</v>
      </c>
      <c r="C98" s="5" t="s">
        <v>67</v>
      </c>
      <c r="D98" s="525" t="s">
        <v>68</v>
      </c>
    </row>
    <row r="99" spans="1:5" ht="12.75" collapsed="1">
      <c r="A99" s="365"/>
      <c r="B99" s="526" t="s">
        <v>229</v>
      </c>
      <c r="C99" s="527" t="s">
        <v>69</v>
      </c>
      <c r="D99" s="528"/>
      <c r="E99" s="501"/>
    </row>
    <row r="100" spans="1:5" ht="39" hidden="1" outlineLevel="1">
      <c r="A100" s="365"/>
      <c r="B100" s="507" t="s">
        <v>70</v>
      </c>
      <c r="C100" s="13" t="s">
        <v>71</v>
      </c>
      <c r="D100" s="508">
        <f>K$8</f>
        <v>1</v>
      </c>
      <c r="E100" s="501"/>
    </row>
    <row r="101" spans="1:5" ht="26.25" hidden="1" outlineLevel="1">
      <c r="A101" s="365"/>
      <c r="B101" s="507" t="s">
        <v>72</v>
      </c>
      <c r="C101" s="13" t="s">
        <v>73</v>
      </c>
      <c r="D101" s="508">
        <f>K$9</f>
        <v>1</v>
      </c>
      <c r="E101" s="501"/>
    </row>
    <row r="102" spans="1:5" ht="12.75" collapsed="1">
      <c r="A102" s="365"/>
      <c r="B102" s="505" t="s">
        <v>74</v>
      </c>
      <c r="C102" s="369" t="s">
        <v>75</v>
      </c>
      <c r="D102" s="506"/>
      <c r="E102" s="501"/>
    </row>
    <row r="103" spans="1:5" ht="26.25" hidden="1" outlineLevel="1">
      <c r="A103" s="365"/>
      <c r="B103" s="507" t="s">
        <v>76</v>
      </c>
      <c r="C103" s="13" t="s">
        <v>77</v>
      </c>
      <c r="D103" s="508">
        <f>K$11</f>
        <v>1</v>
      </c>
      <c r="E103" s="501"/>
    </row>
    <row r="104" spans="1:5" ht="26.25" hidden="1" outlineLevel="1">
      <c r="A104" s="365"/>
      <c r="B104" s="507" t="s">
        <v>78</v>
      </c>
      <c r="C104" s="13" t="s">
        <v>79</v>
      </c>
      <c r="D104" s="508">
        <f>K$12</f>
        <v>0</v>
      </c>
      <c r="E104" s="501"/>
    </row>
    <row r="105" spans="1:5" ht="26.25" collapsed="1">
      <c r="A105" s="364"/>
      <c r="B105" s="505" t="s">
        <v>80</v>
      </c>
      <c r="C105" s="369" t="s">
        <v>81</v>
      </c>
      <c r="D105" s="506"/>
      <c r="E105" s="501"/>
    </row>
    <row r="106" spans="1:5" ht="12.75" hidden="1" outlineLevel="1">
      <c r="A106" s="364"/>
      <c r="B106" s="507" t="s">
        <v>82</v>
      </c>
      <c r="C106" s="368"/>
      <c r="D106" s="508">
        <f>K$14</f>
        <v>1</v>
      </c>
      <c r="E106" s="501"/>
    </row>
    <row r="107" spans="1:5" ht="12.75" hidden="1" outlineLevel="1">
      <c r="A107" s="364"/>
      <c r="B107" s="507" t="s">
        <v>83</v>
      </c>
      <c r="C107" s="368"/>
      <c r="D107" s="509">
        <f>K$15</f>
        <v>0</v>
      </c>
      <c r="E107" s="502"/>
    </row>
    <row r="108" spans="1:5" ht="12.75" collapsed="1">
      <c r="A108" s="364"/>
      <c r="B108" s="505" t="s">
        <v>84</v>
      </c>
      <c r="C108" s="369" t="s">
        <v>85</v>
      </c>
      <c r="D108" s="510"/>
      <c r="E108" s="503"/>
    </row>
    <row r="109" spans="1:5" ht="12.75" hidden="1" outlineLevel="1">
      <c r="A109" s="364"/>
      <c r="B109" s="507" t="s">
        <v>86</v>
      </c>
      <c r="C109" s="13"/>
      <c r="D109" s="511">
        <f>K$17</f>
        <v>1</v>
      </c>
      <c r="E109" s="503"/>
    </row>
    <row r="110" spans="1:5" ht="12.75" hidden="1" outlineLevel="1">
      <c r="A110" s="364"/>
      <c r="B110" s="507" t="s">
        <v>87</v>
      </c>
      <c r="C110" s="13"/>
      <c r="D110" s="512">
        <f>K$18</f>
        <v>0</v>
      </c>
      <c r="E110" s="503"/>
    </row>
    <row r="111" spans="1:5" ht="12.75" collapsed="1">
      <c r="A111" s="364"/>
      <c r="B111" s="505" t="s">
        <v>88</v>
      </c>
      <c r="C111" s="369" t="s">
        <v>482</v>
      </c>
      <c r="D111" s="510"/>
      <c r="E111" s="503"/>
    </row>
    <row r="112" spans="1:5" ht="12.75" hidden="1" outlineLevel="1">
      <c r="A112" s="364"/>
      <c r="B112" s="12" t="s">
        <v>89</v>
      </c>
      <c r="C112" s="13"/>
      <c r="D112" s="512">
        <f>K$20</f>
        <v>1</v>
      </c>
      <c r="E112" s="503"/>
    </row>
    <row r="113" spans="1:5" ht="26.25" hidden="1" outlineLevel="1">
      <c r="A113" s="364"/>
      <c r="B113" s="12" t="s">
        <v>90</v>
      </c>
      <c r="C113" s="13"/>
      <c r="D113" s="512">
        <f>K$21</f>
        <v>1</v>
      </c>
      <c r="E113" s="503"/>
    </row>
    <row r="114" spans="2:5" ht="27" hidden="1" outlineLevel="1" thickBot="1">
      <c r="B114" s="14" t="s">
        <v>91</v>
      </c>
      <c r="C114" s="15"/>
      <c r="D114" s="524">
        <f>K$22</f>
        <v>1</v>
      </c>
      <c r="E114" s="503"/>
    </row>
    <row r="115" ht="13.5" thickBot="1"/>
    <row r="116" spans="1:5" ht="39.75" thickBot="1">
      <c r="A116" s="362" t="s">
        <v>4</v>
      </c>
      <c r="B116" s="363" t="s">
        <v>473</v>
      </c>
      <c r="C116" s="364"/>
      <c r="E116" s="373" t="s">
        <v>481</v>
      </c>
    </row>
    <row r="117" spans="1:3" ht="13.5" thickBot="1">
      <c r="A117" s="365"/>
      <c r="B117" s="364"/>
      <c r="C117" s="364"/>
    </row>
    <row r="118" spans="1:5" ht="108.75" customHeight="1" thickBot="1">
      <c r="A118" s="365"/>
      <c r="B118" s="366" t="s">
        <v>144</v>
      </c>
      <c r="C118" s="13" t="s">
        <v>528</v>
      </c>
      <c r="E118" s="374">
        <f>'Počty pracovišť'!S31+'Náklady oblastí'!E3+'Náklady oblastí'!E4+'Náklady oblastí'!E5+'Náklady oblastí'!E6+'Náklady oblastí'!E7+'Náklady oblastí'!E8</f>
        <v>188749113.264095</v>
      </c>
    </row>
    <row r="119" spans="1:3" ht="78.75">
      <c r="A119" s="365"/>
      <c r="B119" s="364"/>
      <c r="C119" s="9" t="s">
        <v>530</v>
      </c>
    </row>
    <row r="120" spans="4:5" ht="13.5" thickBot="1">
      <c r="D120" s="18"/>
      <c r="E120" s="18"/>
    </row>
    <row r="121" spans="1:5" ht="27" thickBot="1">
      <c r="A121" s="367"/>
      <c r="B121" s="3" t="s">
        <v>66</v>
      </c>
      <c r="C121" s="5" t="s">
        <v>67</v>
      </c>
      <c r="D121" s="525" t="s">
        <v>68</v>
      </c>
      <c r="E121" s="18"/>
    </row>
    <row r="122" spans="1:5" ht="12.75" collapsed="1">
      <c r="A122" s="365"/>
      <c r="B122" s="526" t="s">
        <v>229</v>
      </c>
      <c r="C122" s="527" t="s">
        <v>69</v>
      </c>
      <c r="D122" s="528"/>
      <c r="E122" s="18"/>
    </row>
    <row r="123" spans="1:5" ht="39" hidden="1" outlineLevel="1">
      <c r="A123" s="365"/>
      <c r="B123" s="507" t="s">
        <v>70</v>
      </c>
      <c r="C123" s="13" t="s">
        <v>71</v>
      </c>
      <c r="D123" s="508">
        <f>L$8</f>
        <v>1</v>
      </c>
      <c r="E123" s="18"/>
    </row>
    <row r="124" spans="1:5" ht="26.25" hidden="1" outlineLevel="1">
      <c r="A124" s="365"/>
      <c r="B124" s="507" t="s">
        <v>72</v>
      </c>
      <c r="C124" s="13" t="s">
        <v>73</v>
      </c>
      <c r="D124" s="508">
        <f>L$9</f>
        <v>1</v>
      </c>
      <c r="E124" s="18"/>
    </row>
    <row r="125" spans="1:5" ht="12.75" collapsed="1">
      <c r="A125" s="365"/>
      <c r="B125" s="505" t="s">
        <v>74</v>
      </c>
      <c r="C125" s="369" t="s">
        <v>75</v>
      </c>
      <c r="D125" s="506"/>
      <c r="E125" s="18"/>
    </row>
    <row r="126" spans="1:5" ht="26.25" hidden="1" outlineLevel="1">
      <c r="A126" s="365"/>
      <c r="B126" s="507" t="s">
        <v>76</v>
      </c>
      <c r="C126" s="13" t="s">
        <v>77</v>
      </c>
      <c r="D126" s="508">
        <f>L$11</f>
        <v>1</v>
      </c>
      <c r="E126" s="18"/>
    </row>
    <row r="127" spans="1:5" ht="26.25" hidden="1" outlineLevel="1">
      <c r="A127" s="365"/>
      <c r="B127" s="507" t="s">
        <v>78</v>
      </c>
      <c r="C127" s="13" t="s">
        <v>79</v>
      </c>
      <c r="D127" s="508">
        <f>L$12</f>
        <v>0</v>
      </c>
      <c r="E127" s="18"/>
    </row>
    <row r="128" spans="1:5" ht="26.25" collapsed="1">
      <c r="A128" s="364"/>
      <c r="B128" s="505" t="s">
        <v>80</v>
      </c>
      <c r="C128" s="369" t="s">
        <v>81</v>
      </c>
      <c r="D128" s="506"/>
      <c r="E128" s="370"/>
    </row>
    <row r="129" spans="1:5" ht="12.75" hidden="1" outlineLevel="1">
      <c r="A129" s="364"/>
      <c r="B129" s="507" t="s">
        <v>82</v>
      </c>
      <c r="C129" s="368"/>
      <c r="D129" s="508">
        <f>L$14</f>
        <v>1</v>
      </c>
      <c r="E129" s="370"/>
    </row>
    <row r="130" spans="1:5" ht="12.75" hidden="1" outlineLevel="1">
      <c r="A130" s="364"/>
      <c r="B130" s="507" t="s">
        <v>83</v>
      </c>
      <c r="C130" s="368"/>
      <c r="D130" s="509">
        <f>L$15</f>
        <v>0</v>
      </c>
      <c r="E130" s="371"/>
    </row>
    <row r="131" spans="1:5" ht="12.75" collapsed="1">
      <c r="A131" s="364"/>
      <c r="B131" s="505" t="s">
        <v>84</v>
      </c>
      <c r="C131" s="369" t="s">
        <v>85</v>
      </c>
      <c r="D131" s="510"/>
      <c r="E131" s="370"/>
    </row>
    <row r="132" spans="1:5" ht="12.75" hidden="1" outlineLevel="1">
      <c r="A132" s="364"/>
      <c r="B132" s="507" t="s">
        <v>86</v>
      </c>
      <c r="C132" s="13"/>
      <c r="D132" s="511">
        <f>L$17</f>
        <v>0</v>
      </c>
      <c r="E132" s="370"/>
    </row>
    <row r="133" spans="1:4" ht="12.75" hidden="1" outlineLevel="1">
      <c r="A133" s="364"/>
      <c r="B133" s="507" t="s">
        <v>87</v>
      </c>
      <c r="C133" s="13"/>
      <c r="D133" s="512">
        <f>L$18</f>
        <v>1</v>
      </c>
    </row>
    <row r="134" spans="1:4" ht="12.75" collapsed="1">
      <c r="A134" s="364"/>
      <c r="B134" s="505" t="s">
        <v>88</v>
      </c>
      <c r="C134" s="369" t="s">
        <v>482</v>
      </c>
      <c r="D134" s="510"/>
    </row>
    <row r="135" spans="1:4" ht="12.75" hidden="1" outlineLevel="1">
      <c r="A135" s="364"/>
      <c r="B135" s="12" t="s">
        <v>89</v>
      </c>
      <c r="C135" s="13"/>
      <c r="D135" s="512">
        <f>L$20</f>
        <v>1</v>
      </c>
    </row>
    <row r="136" spans="1:4" ht="26.25" hidden="1" outlineLevel="1">
      <c r="A136" s="364"/>
      <c r="B136" s="12" t="s">
        <v>90</v>
      </c>
      <c r="C136" s="13"/>
      <c r="D136" s="512">
        <f>L$21</f>
        <v>1</v>
      </c>
    </row>
    <row r="137" spans="2:4" ht="27" hidden="1" outlineLevel="1" thickBot="1">
      <c r="B137" s="14" t="s">
        <v>91</v>
      </c>
      <c r="C137" s="15"/>
      <c r="D137" s="524">
        <f>L$22</f>
        <v>1</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outlinePr summaryBelow="0" summaryRight="0"/>
  </sheetPr>
  <dimension ref="A1:P62"/>
  <sheetViews>
    <sheetView zoomScale="75" zoomScaleNormal="75" workbookViewId="0" topLeftCell="A1">
      <selection activeCell="A1" sqref="A1"/>
    </sheetView>
  </sheetViews>
  <sheetFormatPr defaultColWidth="9.140625" defaultRowHeight="12.75" outlineLevelRow="1"/>
  <cols>
    <col min="1" max="1" width="15.7109375" style="0" customWidth="1"/>
    <col min="2" max="2" width="12.421875" style="0" customWidth="1"/>
    <col min="3" max="3" width="38.7109375" style="2" customWidth="1"/>
    <col min="4" max="4" width="108.7109375" style="2" hidden="1" customWidth="1"/>
    <col min="5" max="5" width="12.28125" style="2" customWidth="1"/>
    <col min="6" max="6" width="6.8515625" style="2" customWidth="1"/>
    <col min="7" max="8" width="8.7109375" style="2" customWidth="1"/>
    <col min="9" max="9" width="8.00390625" style="2" customWidth="1"/>
    <col min="10" max="10" width="14.140625" style="139" customWidth="1"/>
    <col min="11" max="11" width="14.28125" style="0" customWidth="1"/>
    <col min="12" max="12" width="15.140625" style="0" customWidth="1"/>
    <col min="13" max="13" width="18.7109375" style="0" customWidth="1"/>
    <col min="14" max="14" width="18.28125" style="0" customWidth="1"/>
    <col min="16" max="16" width="12.28125" style="0" customWidth="1"/>
  </cols>
  <sheetData>
    <row r="1" ht="21">
      <c r="C1" s="16" t="s">
        <v>179</v>
      </c>
    </row>
    <row r="2" ht="13.5" thickBot="1"/>
    <row r="3" spans="1:14" s="17" customFormat="1" ht="13.5" thickBot="1">
      <c r="A3" s="261" t="s">
        <v>514</v>
      </c>
      <c r="B3" s="262" t="s">
        <v>513</v>
      </c>
      <c r="C3" s="3" t="s">
        <v>143</v>
      </c>
      <c r="D3" s="4" t="s">
        <v>144</v>
      </c>
      <c r="E3" s="4" t="s">
        <v>284</v>
      </c>
      <c r="F3" s="4" t="s">
        <v>285</v>
      </c>
      <c r="G3" s="4" t="s">
        <v>286</v>
      </c>
      <c r="H3" s="4" t="s">
        <v>287</v>
      </c>
      <c r="I3" s="39" t="s">
        <v>288</v>
      </c>
      <c r="J3" s="234" t="s">
        <v>290</v>
      </c>
      <c r="K3" s="47" t="s">
        <v>289</v>
      </c>
      <c r="L3" s="77" t="s">
        <v>291</v>
      </c>
      <c r="M3" s="78" t="s">
        <v>292</v>
      </c>
      <c r="N3" s="79" t="s">
        <v>293</v>
      </c>
    </row>
    <row r="4" spans="1:14" s="17" customFormat="1" ht="27" thickBot="1">
      <c r="A4" s="269">
        <v>18</v>
      </c>
      <c r="B4" s="263"/>
      <c r="C4" s="241" t="s">
        <v>235</v>
      </c>
      <c r="D4" s="30" t="s">
        <v>236</v>
      </c>
      <c r="E4" s="6">
        <v>1</v>
      </c>
      <c r="F4" s="7"/>
      <c r="G4" s="7"/>
      <c r="H4" s="7"/>
      <c r="I4" s="30"/>
      <c r="J4" s="235">
        <f>K4*Svodka!$J$1</f>
        <v>100000</v>
      </c>
      <c r="K4" s="64">
        <v>10</v>
      </c>
      <c r="L4" s="93"/>
      <c r="M4" s="94"/>
      <c r="N4" s="95"/>
    </row>
    <row r="5" spans="1:14" s="19" customFormat="1" ht="105.75" thickBot="1">
      <c r="A5" s="140">
        <v>20</v>
      </c>
      <c r="B5" s="141"/>
      <c r="C5" s="241" t="s">
        <v>237</v>
      </c>
      <c r="D5" s="30" t="s">
        <v>238</v>
      </c>
      <c r="E5" s="6">
        <v>1</v>
      </c>
      <c r="F5" s="7"/>
      <c r="G5" s="7"/>
      <c r="H5" s="7"/>
      <c r="I5" s="30"/>
      <c r="J5" s="235">
        <f>K5*Svodka!$J$1</f>
        <v>400000</v>
      </c>
      <c r="K5" s="67">
        <v>40</v>
      </c>
      <c r="L5" s="102"/>
      <c r="M5" s="103"/>
      <c r="N5" s="104"/>
    </row>
    <row r="6" spans="1:14" s="19" customFormat="1" ht="79.5" thickBot="1">
      <c r="A6" s="140"/>
      <c r="B6" s="141"/>
      <c r="C6" s="241" t="s">
        <v>239</v>
      </c>
      <c r="D6" s="30" t="s">
        <v>240</v>
      </c>
      <c r="E6" s="6">
        <v>1</v>
      </c>
      <c r="F6" s="7"/>
      <c r="G6" s="7"/>
      <c r="H6" s="7"/>
      <c r="I6" s="30"/>
      <c r="J6" s="235">
        <f>K6*Svodka!$J$1</f>
        <v>2000000</v>
      </c>
      <c r="K6" s="67">
        <v>200</v>
      </c>
      <c r="L6" s="102"/>
      <c r="M6" s="103"/>
      <c r="N6" s="104"/>
    </row>
    <row r="7" spans="1:14" s="19" customFormat="1" ht="13.5" collapsed="1" thickBot="1">
      <c r="A7" s="140"/>
      <c r="B7" s="141"/>
      <c r="C7" s="241" t="s">
        <v>142</v>
      </c>
      <c r="D7" s="30"/>
      <c r="E7" s="6"/>
      <c r="F7" s="7"/>
      <c r="G7" s="7"/>
      <c r="H7" s="7"/>
      <c r="I7" s="30"/>
      <c r="J7" s="237"/>
      <c r="K7" s="67"/>
      <c r="L7" s="102"/>
      <c r="M7" s="103"/>
      <c r="N7" s="104"/>
    </row>
    <row r="8" spans="1:14" s="19" customFormat="1" ht="12.75" hidden="1" outlineLevel="1">
      <c r="A8" s="53"/>
      <c r="B8" s="54">
        <v>41</v>
      </c>
      <c r="C8" s="242" t="s">
        <v>128</v>
      </c>
      <c r="D8" s="31" t="s">
        <v>129</v>
      </c>
      <c r="E8" s="8"/>
      <c r="F8" s="9"/>
      <c r="G8" s="9"/>
      <c r="H8" s="9"/>
      <c r="I8" s="31"/>
      <c r="J8" s="270">
        <f>K8*Svodka!$J$1</f>
        <v>1050000</v>
      </c>
      <c r="K8" s="74">
        <f>5+100</f>
        <v>105</v>
      </c>
      <c r="L8" s="53"/>
      <c r="M8" s="55"/>
      <c r="N8" s="54"/>
    </row>
    <row r="9" spans="1:16" s="19" customFormat="1" ht="26.25" hidden="1" outlineLevel="1">
      <c r="A9" s="49"/>
      <c r="B9" s="50">
        <v>14</v>
      </c>
      <c r="C9" s="244" t="s">
        <v>61</v>
      </c>
      <c r="D9" s="33" t="s">
        <v>62</v>
      </c>
      <c r="E9" s="12"/>
      <c r="F9" s="13"/>
      <c r="G9" s="13"/>
      <c r="H9" s="13"/>
      <c r="I9" s="33"/>
      <c r="J9" s="270">
        <f>K9*Svodka!$J$1</f>
        <v>150000</v>
      </c>
      <c r="K9" s="360">
        <f>5+10</f>
        <v>15</v>
      </c>
      <c r="L9" s="49"/>
      <c r="M9" s="48"/>
      <c r="N9" s="50"/>
      <c r="O9" s="361" t="s">
        <v>65</v>
      </c>
      <c r="P9" s="361"/>
    </row>
    <row r="10" spans="1:14" s="19" customFormat="1" ht="52.5" hidden="1" outlineLevel="1">
      <c r="A10" s="49"/>
      <c r="B10" s="50">
        <v>21</v>
      </c>
      <c r="C10" s="244" t="s">
        <v>153</v>
      </c>
      <c r="D10" s="33" t="s">
        <v>154</v>
      </c>
      <c r="E10" s="12"/>
      <c r="F10" s="13"/>
      <c r="G10" s="13"/>
      <c r="H10" s="13"/>
      <c r="I10" s="33"/>
      <c r="J10" s="270">
        <f>K10*Svodka!$J$1</f>
        <v>50000</v>
      </c>
      <c r="K10" s="75">
        <f>5</f>
        <v>5</v>
      </c>
      <c r="L10" s="49"/>
      <c r="M10" s="48"/>
      <c r="N10" s="50"/>
    </row>
    <row r="11" spans="1:14" s="19" customFormat="1" ht="26.25" hidden="1" outlineLevel="1">
      <c r="A11" s="49"/>
      <c r="B11" s="50">
        <v>25</v>
      </c>
      <c r="C11" s="244" t="s">
        <v>231</v>
      </c>
      <c r="D11" s="33" t="s">
        <v>232</v>
      </c>
      <c r="E11" s="12"/>
      <c r="F11" s="13"/>
      <c r="G11" s="13"/>
      <c r="H11" s="13"/>
      <c r="I11" s="33"/>
      <c r="J11" s="270">
        <f>K11*Svodka!$J$1</f>
        <v>1050000</v>
      </c>
      <c r="K11" s="75">
        <f>5+100</f>
        <v>105</v>
      </c>
      <c r="L11" s="49"/>
      <c r="M11" s="48"/>
      <c r="N11" s="50"/>
    </row>
    <row r="12" spans="1:14" s="19" customFormat="1" ht="39" hidden="1" outlineLevel="1">
      <c r="A12" s="49"/>
      <c r="B12" s="50">
        <v>24</v>
      </c>
      <c r="C12" s="244" t="s">
        <v>229</v>
      </c>
      <c r="D12" s="33" t="s">
        <v>230</v>
      </c>
      <c r="E12" s="12"/>
      <c r="F12" s="13"/>
      <c r="G12" s="13"/>
      <c r="H12" s="13"/>
      <c r="I12" s="33"/>
      <c r="J12" s="270">
        <f>K12*Svodka!$J$1</f>
        <v>50000</v>
      </c>
      <c r="K12" s="75">
        <f>5</f>
        <v>5</v>
      </c>
      <c r="L12" s="49"/>
      <c r="M12" s="48"/>
      <c r="N12" s="50"/>
    </row>
    <row r="13" spans="1:14" s="19" customFormat="1" ht="39" hidden="1" outlineLevel="1">
      <c r="A13" s="49"/>
      <c r="B13" s="50">
        <v>17</v>
      </c>
      <c r="C13" s="244" t="s">
        <v>233</v>
      </c>
      <c r="D13" s="33" t="s">
        <v>234</v>
      </c>
      <c r="E13" s="12"/>
      <c r="F13" s="13"/>
      <c r="G13" s="13"/>
      <c r="H13" s="13"/>
      <c r="I13" s="33"/>
      <c r="J13" s="270">
        <f>K13*Svodka!$J$1</f>
        <v>50000</v>
      </c>
      <c r="K13" s="75">
        <f>5</f>
        <v>5</v>
      </c>
      <c r="L13" s="49"/>
      <c r="M13" s="48"/>
      <c r="N13" s="50"/>
    </row>
    <row r="14" spans="1:14" s="19" customFormat="1" ht="39" hidden="1" outlineLevel="1">
      <c r="A14" s="49"/>
      <c r="B14" s="50">
        <v>9</v>
      </c>
      <c r="C14" s="244" t="s">
        <v>120</v>
      </c>
      <c r="D14" s="33" t="s">
        <v>121</v>
      </c>
      <c r="E14" s="12"/>
      <c r="F14" s="13"/>
      <c r="G14" s="13"/>
      <c r="H14" s="13"/>
      <c r="I14" s="33"/>
      <c r="J14" s="270">
        <f>K14*Svodka!$J$1</f>
        <v>50000</v>
      </c>
      <c r="K14" s="75">
        <f>5</f>
        <v>5</v>
      </c>
      <c r="L14" s="49"/>
      <c r="M14" s="48"/>
      <c r="N14" s="50"/>
    </row>
    <row r="15" spans="1:14" s="19" customFormat="1" ht="39.75" hidden="1" outlineLevel="1" thickBot="1">
      <c r="A15" s="51"/>
      <c r="B15" s="52">
        <v>13</v>
      </c>
      <c r="C15" s="245" t="s">
        <v>194</v>
      </c>
      <c r="D15" s="34" t="s">
        <v>195</v>
      </c>
      <c r="E15" s="14"/>
      <c r="F15" s="15"/>
      <c r="G15" s="15"/>
      <c r="H15" s="15"/>
      <c r="I15" s="34"/>
      <c r="J15" s="271">
        <f>K15*Svodka!$J$1</f>
        <v>50000</v>
      </c>
      <c r="K15" s="76">
        <f>5</f>
        <v>5</v>
      </c>
      <c r="L15" s="51"/>
      <c r="M15" s="80"/>
      <c r="N15" s="52"/>
    </row>
    <row r="16" spans="3:14" s="19" customFormat="1" ht="12.75">
      <c r="C16" s="18" t="s">
        <v>295</v>
      </c>
      <c r="D16" s="18"/>
      <c r="E16" s="18"/>
      <c r="F16" s="18"/>
      <c r="G16" s="18"/>
      <c r="H16" s="18"/>
      <c r="I16" s="18"/>
      <c r="J16" s="351">
        <f>J4+J5+J6</f>
        <v>2500000</v>
      </c>
      <c r="L16" s="19">
        <f>SUM(L4:L15)</f>
        <v>0</v>
      </c>
      <c r="M16" s="19">
        <f>SUM(M4:M15)</f>
        <v>0</v>
      </c>
      <c r="N16" s="19">
        <f>SUM(N4:N15)</f>
        <v>0</v>
      </c>
    </row>
    <row r="17" spans="3:10" s="19" customFormat="1" ht="12.75">
      <c r="C17" s="18"/>
      <c r="D17" s="18"/>
      <c r="E17" s="18"/>
      <c r="F17" s="18"/>
      <c r="G17" s="18"/>
      <c r="H17" s="18"/>
      <c r="I17" s="18"/>
      <c r="J17" s="272">
        <f>SUM(J4:J15)-J4-J5-J6</f>
        <v>2500000</v>
      </c>
    </row>
    <row r="18" spans="3:10" s="19" customFormat="1" ht="12.75">
      <c r="C18" s="18"/>
      <c r="D18" s="18"/>
      <c r="E18" s="18"/>
      <c r="F18" s="18"/>
      <c r="G18" s="18"/>
      <c r="H18" s="18"/>
      <c r="I18" s="18"/>
      <c r="J18" s="272"/>
    </row>
    <row r="19" spans="3:10" s="19" customFormat="1" ht="12.75">
      <c r="C19" s="18"/>
      <c r="D19" s="18"/>
      <c r="E19" s="18"/>
      <c r="F19" s="18"/>
      <c r="G19" s="18"/>
      <c r="H19" s="18"/>
      <c r="I19" s="18"/>
      <c r="J19" s="272"/>
    </row>
    <row r="20" spans="3:10" s="19" customFormat="1" ht="12.75">
      <c r="C20" s="18"/>
      <c r="D20" s="18"/>
      <c r="E20" s="18"/>
      <c r="F20" s="18"/>
      <c r="G20" s="18"/>
      <c r="H20" s="18"/>
      <c r="I20" s="18"/>
      <c r="J20" s="272"/>
    </row>
    <row r="21" spans="3:10" s="19" customFormat="1" ht="12.75">
      <c r="C21" s="18"/>
      <c r="D21" s="18"/>
      <c r="E21" s="18"/>
      <c r="F21" s="18"/>
      <c r="G21" s="18"/>
      <c r="H21" s="18"/>
      <c r="I21" s="18"/>
      <c r="J21" s="272"/>
    </row>
    <row r="22" spans="3:10" s="19" customFormat="1" ht="12.75">
      <c r="C22" s="18"/>
      <c r="D22" s="18"/>
      <c r="E22" s="18"/>
      <c r="F22" s="18"/>
      <c r="G22" s="18"/>
      <c r="H22" s="18"/>
      <c r="I22" s="18"/>
      <c r="J22" s="272"/>
    </row>
    <row r="23" spans="3:10" s="19" customFormat="1" ht="12.75">
      <c r="C23" s="18"/>
      <c r="D23" s="18"/>
      <c r="E23" s="18"/>
      <c r="F23" s="18"/>
      <c r="G23" s="18"/>
      <c r="H23" s="18"/>
      <c r="I23" s="18"/>
      <c r="J23" s="272"/>
    </row>
    <row r="24" spans="3:10" s="19" customFormat="1" ht="12.75">
      <c r="C24" s="18"/>
      <c r="D24" s="18"/>
      <c r="E24" s="18"/>
      <c r="F24" s="18"/>
      <c r="G24" s="18"/>
      <c r="H24" s="18"/>
      <c r="I24" s="18"/>
      <c r="J24" s="272"/>
    </row>
    <row r="25" spans="3:10" s="19" customFormat="1" ht="12.75">
      <c r="C25" s="18"/>
      <c r="D25" s="18"/>
      <c r="E25" s="18"/>
      <c r="F25" s="18"/>
      <c r="G25" s="18"/>
      <c r="H25" s="18"/>
      <c r="I25" s="18"/>
      <c r="J25" s="272"/>
    </row>
    <row r="26" spans="3:10" s="19" customFormat="1" ht="12.75">
      <c r="C26" s="18"/>
      <c r="D26" s="18"/>
      <c r="E26" s="18"/>
      <c r="F26" s="18"/>
      <c r="G26" s="18"/>
      <c r="H26" s="18"/>
      <c r="I26" s="18"/>
      <c r="J26" s="272"/>
    </row>
    <row r="27" spans="3:10" s="19" customFormat="1" ht="12.75">
      <c r="C27" s="18"/>
      <c r="D27" s="18"/>
      <c r="E27" s="18"/>
      <c r="F27" s="18"/>
      <c r="G27" s="18"/>
      <c r="H27" s="18"/>
      <c r="I27" s="18"/>
      <c r="J27" s="272"/>
    </row>
    <row r="28" spans="3:10" s="19" customFormat="1" ht="12.75">
      <c r="C28" s="18"/>
      <c r="D28" s="18"/>
      <c r="E28" s="18"/>
      <c r="F28" s="18"/>
      <c r="G28" s="18"/>
      <c r="H28" s="18"/>
      <c r="I28" s="18"/>
      <c r="J28" s="272"/>
    </row>
    <row r="29" spans="3:10" s="19" customFormat="1" ht="12.75">
      <c r="C29" s="18"/>
      <c r="D29" s="18"/>
      <c r="E29" s="18"/>
      <c r="F29" s="18"/>
      <c r="G29" s="18"/>
      <c r="H29" s="18"/>
      <c r="I29" s="18"/>
      <c r="J29" s="272"/>
    </row>
    <row r="30" spans="3:10" s="19" customFormat="1" ht="12.75">
      <c r="C30" s="18"/>
      <c r="D30" s="18"/>
      <c r="E30" s="18"/>
      <c r="F30" s="18"/>
      <c r="G30" s="18"/>
      <c r="H30" s="18"/>
      <c r="I30" s="18"/>
      <c r="J30" s="272"/>
    </row>
    <row r="31" spans="3:10" s="19" customFormat="1" ht="12.75">
      <c r="C31" s="18"/>
      <c r="D31" s="18"/>
      <c r="E31" s="18"/>
      <c r="F31" s="18"/>
      <c r="G31" s="18"/>
      <c r="H31" s="18"/>
      <c r="I31" s="18"/>
      <c r="J31" s="272"/>
    </row>
    <row r="32" spans="3:10" s="19" customFormat="1" ht="12.75">
      <c r="C32" s="18"/>
      <c r="D32" s="18"/>
      <c r="E32" s="18"/>
      <c r="F32" s="18"/>
      <c r="G32" s="18"/>
      <c r="H32" s="18"/>
      <c r="I32" s="18"/>
      <c r="J32" s="272"/>
    </row>
    <row r="33" spans="3:10" s="19" customFormat="1" ht="12.75">
      <c r="C33" s="18"/>
      <c r="D33" s="18"/>
      <c r="E33" s="18"/>
      <c r="F33" s="18"/>
      <c r="G33" s="18"/>
      <c r="H33" s="18"/>
      <c r="I33" s="18"/>
      <c r="J33" s="272"/>
    </row>
    <row r="34" spans="3:10" s="19" customFormat="1" ht="12.75">
      <c r="C34" s="18"/>
      <c r="D34" s="18"/>
      <c r="E34" s="18"/>
      <c r="F34" s="18"/>
      <c r="G34" s="18"/>
      <c r="H34" s="18"/>
      <c r="I34" s="18"/>
      <c r="J34" s="272"/>
    </row>
    <row r="35" spans="3:10" s="19" customFormat="1" ht="12.75">
      <c r="C35" s="18"/>
      <c r="D35" s="18"/>
      <c r="E35" s="18"/>
      <c r="F35" s="18"/>
      <c r="G35" s="18"/>
      <c r="H35" s="18"/>
      <c r="I35" s="18"/>
      <c r="J35" s="272"/>
    </row>
    <row r="36" spans="3:10" s="19" customFormat="1" ht="12.75">
      <c r="C36" s="18"/>
      <c r="D36" s="18"/>
      <c r="E36" s="18"/>
      <c r="F36" s="18"/>
      <c r="G36" s="18"/>
      <c r="H36" s="18"/>
      <c r="I36" s="18"/>
      <c r="J36" s="272"/>
    </row>
    <row r="37" spans="3:10" s="19" customFormat="1" ht="12.75">
      <c r="C37" s="18"/>
      <c r="D37" s="18"/>
      <c r="E37" s="18"/>
      <c r="F37" s="18"/>
      <c r="G37" s="18"/>
      <c r="H37" s="18"/>
      <c r="I37" s="18"/>
      <c r="J37" s="272"/>
    </row>
    <row r="38" spans="3:10" s="19" customFormat="1" ht="12.75">
      <c r="C38" s="18"/>
      <c r="D38" s="18"/>
      <c r="E38" s="18"/>
      <c r="F38" s="18"/>
      <c r="G38" s="18"/>
      <c r="H38" s="18"/>
      <c r="I38" s="18"/>
      <c r="J38" s="272"/>
    </row>
    <row r="39" spans="3:10" s="19" customFormat="1" ht="12.75">
      <c r="C39" s="18"/>
      <c r="D39" s="18"/>
      <c r="E39" s="18"/>
      <c r="F39" s="18"/>
      <c r="G39" s="18"/>
      <c r="H39" s="18"/>
      <c r="I39" s="18"/>
      <c r="J39" s="272"/>
    </row>
    <row r="40" spans="3:10" s="19" customFormat="1" ht="12.75">
      <c r="C40" s="18"/>
      <c r="D40" s="18"/>
      <c r="E40" s="18"/>
      <c r="F40" s="18"/>
      <c r="G40" s="18"/>
      <c r="H40" s="18"/>
      <c r="I40" s="18"/>
      <c r="J40" s="272"/>
    </row>
    <row r="41" spans="3:10" s="19" customFormat="1" ht="12.75">
      <c r="C41" s="18"/>
      <c r="D41" s="18"/>
      <c r="E41" s="18"/>
      <c r="F41" s="18"/>
      <c r="G41" s="18"/>
      <c r="H41" s="18"/>
      <c r="I41" s="18"/>
      <c r="J41" s="272"/>
    </row>
    <row r="42" spans="3:10" s="19" customFormat="1" ht="12.75">
      <c r="C42" s="18"/>
      <c r="D42" s="18"/>
      <c r="E42" s="18"/>
      <c r="F42" s="18"/>
      <c r="G42" s="18"/>
      <c r="H42" s="18"/>
      <c r="I42" s="18"/>
      <c r="J42" s="272"/>
    </row>
    <row r="43" spans="3:10" s="19" customFormat="1" ht="12.75">
      <c r="C43" s="18"/>
      <c r="D43" s="18"/>
      <c r="E43" s="18"/>
      <c r="F43" s="18"/>
      <c r="G43" s="18"/>
      <c r="H43" s="18"/>
      <c r="I43" s="18"/>
      <c r="J43" s="272"/>
    </row>
    <row r="44" spans="3:10" s="19" customFormat="1" ht="12.75">
      <c r="C44" s="18"/>
      <c r="D44" s="18"/>
      <c r="E44" s="18"/>
      <c r="F44" s="18"/>
      <c r="G44" s="18"/>
      <c r="H44" s="18"/>
      <c r="I44" s="18"/>
      <c r="J44" s="272"/>
    </row>
    <row r="45" spans="3:10" s="19" customFormat="1" ht="12.75">
      <c r="C45" s="18"/>
      <c r="D45" s="18"/>
      <c r="E45" s="18"/>
      <c r="F45" s="18"/>
      <c r="G45" s="18"/>
      <c r="H45" s="18"/>
      <c r="I45" s="18"/>
      <c r="J45" s="272"/>
    </row>
    <row r="46" spans="3:10" s="19" customFormat="1" ht="12.75">
      <c r="C46" s="18"/>
      <c r="D46" s="18"/>
      <c r="E46" s="18"/>
      <c r="F46" s="18"/>
      <c r="G46" s="18"/>
      <c r="H46" s="18"/>
      <c r="I46" s="18"/>
      <c r="J46" s="272"/>
    </row>
    <row r="47" spans="3:10" s="19" customFormat="1" ht="12.75">
      <c r="C47" s="18"/>
      <c r="D47" s="18"/>
      <c r="E47" s="18"/>
      <c r="F47" s="18"/>
      <c r="G47" s="18"/>
      <c r="H47" s="18"/>
      <c r="I47" s="18"/>
      <c r="J47" s="272"/>
    </row>
    <row r="48" spans="3:10" s="19" customFormat="1" ht="12.75">
      <c r="C48" s="18"/>
      <c r="D48" s="18"/>
      <c r="E48" s="18"/>
      <c r="F48" s="18"/>
      <c r="G48" s="18"/>
      <c r="H48" s="18"/>
      <c r="I48" s="18"/>
      <c r="J48" s="272"/>
    </row>
    <row r="49" spans="3:10" s="19" customFormat="1" ht="12.75">
      <c r="C49" s="18"/>
      <c r="D49" s="18"/>
      <c r="E49" s="18"/>
      <c r="F49" s="18"/>
      <c r="G49" s="18"/>
      <c r="H49" s="18"/>
      <c r="I49" s="18"/>
      <c r="J49" s="272"/>
    </row>
    <row r="50" spans="3:10" s="19" customFormat="1" ht="12.75">
      <c r="C50" s="18"/>
      <c r="D50" s="18"/>
      <c r="E50" s="18"/>
      <c r="F50" s="18"/>
      <c r="G50" s="18"/>
      <c r="H50" s="18"/>
      <c r="I50" s="18"/>
      <c r="J50" s="272"/>
    </row>
    <row r="51" spans="3:10" s="19" customFormat="1" ht="12.75">
      <c r="C51" s="18"/>
      <c r="D51" s="18"/>
      <c r="E51" s="18"/>
      <c r="F51" s="18"/>
      <c r="G51" s="18"/>
      <c r="H51" s="18"/>
      <c r="I51" s="18"/>
      <c r="J51" s="272"/>
    </row>
    <row r="52" spans="3:10" s="19" customFormat="1" ht="12.75">
      <c r="C52" s="18"/>
      <c r="D52" s="18"/>
      <c r="E52" s="18"/>
      <c r="F52" s="18"/>
      <c r="G52" s="18"/>
      <c r="H52" s="18"/>
      <c r="I52" s="18"/>
      <c r="J52" s="272"/>
    </row>
    <row r="53" spans="3:10" s="19" customFormat="1" ht="12.75">
      <c r="C53" s="18"/>
      <c r="D53" s="18"/>
      <c r="E53" s="18"/>
      <c r="F53" s="18"/>
      <c r="G53" s="18"/>
      <c r="H53" s="18"/>
      <c r="I53" s="18"/>
      <c r="J53" s="272"/>
    </row>
    <row r="54" spans="3:10" s="19" customFormat="1" ht="12.75">
      <c r="C54" s="18"/>
      <c r="D54" s="18"/>
      <c r="E54" s="18"/>
      <c r="F54" s="18"/>
      <c r="G54" s="18"/>
      <c r="H54" s="18"/>
      <c r="I54" s="18"/>
      <c r="J54" s="272"/>
    </row>
    <row r="55" spans="3:10" s="19" customFormat="1" ht="12.75">
      <c r="C55" s="18"/>
      <c r="D55" s="18"/>
      <c r="E55" s="18"/>
      <c r="F55" s="18"/>
      <c r="G55" s="18"/>
      <c r="H55" s="18"/>
      <c r="I55" s="18"/>
      <c r="J55" s="272"/>
    </row>
    <row r="56" spans="3:10" s="19" customFormat="1" ht="12.75">
      <c r="C56" s="18"/>
      <c r="D56" s="18"/>
      <c r="E56" s="18"/>
      <c r="F56" s="18"/>
      <c r="G56" s="18"/>
      <c r="H56" s="18"/>
      <c r="I56" s="18"/>
      <c r="J56" s="272"/>
    </row>
    <row r="57" spans="3:10" s="19" customFormat="1" ht="12.75">
      <c r="C57" s="18"/>
      <c r="D57" s="18"/>
      <c r="E57" s="18"/>
      <c r="F57" s="18"/>
      <c r="G57" s="18"/>
      <c r="H57" s="18"/>
      <c r="I57" s="18"/>
      <c r="J57" s="272"/>
    </row>
    <row r="58" spans="3:10" s="19" customFormat="1" ht="12.75">
      <c r="C58" s="18"/>
      <c r="D58" s="18"/>
      <c r="E58" s="18"/>
      <c r="F58" s="18"/>
      <c r="G58" s="18"/>
      <c r="H58" s="18"/>
      <c r="I58" s="18"/>
      <c r="J58" s="272"/>
    </row>
    <row r="59" spans="3:10" s="19" customFormat="1" ht="12.75">
      <c r="C59" s="18"/>
      <c r="D59" s="18"/>
      <c r="E59" s="18"/>
      <c r="F59" s="18"/>
      <c r="G59" s="18"/>
      <c r="H59" s="18"/>
      <c r="I59" s="18"/>
      <c r="J59" s="272"/>
    </row>
    <row r="60" spans="3:10" s="19" customFormat="1" ht="12.75">
      <c r="C60" s="18"/>
      <c r="D60" s="18"/>
      <c r="E60" s="18"/>
      <c r="F60" s="18"/>
      <c r="G60" s="18"/>
      <c r="H60" s="18"/>
      <c r="I60" s="18"/>
      <c r="J60" s="272"/>
    </row>
    <row r="61" spans="3:10" s="19" customFormat="1" ht="12.75">
      <c r="C61" s="18"/>
      <c r="D61" s="18"/>
      <c r="E61" s="18"/>
      <c r="F61" s="18"/>
      <c r="G61" s="18"/>
      <c r="H61" s="18"/>
      <c r="I61" s="18"/>
      <c r="J61" s="272"/>
    </row>
    <row r="62" spans="3:10" s="19" customFormat="1" ht="12.75">
      <c r="C62" s="18"/>
      <c r="D62" s="18"/>
      <c r="E62" s="18"/>
      <c r="F62" s="18"/>
      <c r="G62" s="18"/>
      <c r="H62" s="18"/>
      <c r="I62" s="18"/>
      <c r="J62" s="272"/>
    </row>
  </sheetData>
  <printOptions horizontalCentered="1"/>
  <pageMargins left="0.38" right="0.31" top="0.984251968503937" bottom="0.984251968503937"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outlinePr summaryBelow="0" summaryRight="0"/>
  </sheetPr>
  <dimension ref="A1:Q70"/>
  <sheetViews>
    <sheetView zoomScale="75" zoomScaleNormal="75" workbookViewId="0" topLeftCell="A1">
      <selection activeCell="A1" sqref="A1"/>
    </sheetView>
  </sheetViews>
  <sheetFormatPr defaultColWidth="9.140625" defaultRowHeight="12.75" outlineLevelRow="1"/>
  <cols>
    <col min="1" max="1" width="16.140625" style="0" customWidth="1"/>
    <col min="2" max="2" width="12.140625" style="0" customWidth="1"/>
    <col min="3" max="3" width="67.140625" style="2" customWidth="1"/>
    <col min="4" max="4" width="93.421875" style="2" hidden="1" customWidth="1"/>
    <col min="5" max="5" width="12.28125" style="2" customWidth="1"/>
    <col min="6" max="6" width="6.8515625" style="2" customWidth="1"/>
    <col min="7" max="9" width="8.7109375" style="2" customWidth="1"/>
    <col min="10" max="10" width="12.421875" style="139" customWidth="1"/>
    <col min="11" max="11" width="13.7109375" style="0" customWidth="1"/>
    <col min="12" max="12" width="18.28125" style="0" customWidth="1"/>
    <col min="13" max="13" width="17.28125" style="0" customWidth="1"/>
    <col min="14" max="14" width="17.7109375" style="0" customWidth="1"/>
  </cols>
  <sheetData>
    <row r="1" ht="21">
      <c r="C1" s="16" t="s">
        <v>180</v>
      </c>
    </row>
    <row r="2" ht="13.5" thickBot="1"/>
    <row r="3" spans="1:14" s="17" customFormat="1" ht="13.5" thickBot="1">
      <c r="A3" s="261" t="s">
        <v>514</v>
      </c>
      <c r="B3" s="262" t="s">
        <v>513</v>
      </c>
      <c r="C3" s="22" t="s">
        <v>143</v>
      </c>
      <c r="D3" s="23" t="s">
        <v>144</v>
      </c>
      <c r="E3" s="4" t="s">
        <v>284</v>
      </c>
      <c r="F3" s="4" t="s">
        <v>285</v>
      </c>
      <c r="G3" s="4" t="s">
        <v>286</v>
      </c>
      <c r="H3" s="4" t="s">
        <v>287</v>
      </c>
      <c r="I3" s="39" t="s">
        <v>288</v>
      </c>
      <c r="J3" s="234" t="s">
        <v>290</v>
      </c>
      <c r="K3" s="47" t="s">
        <v>289</v>
      </c>
      <c r="L3" s="77" t="s">
        <v>291</v>
      </c>
      <c r="M3" s="78" t="s">
        <v>292</v>
      </c>
      <c r="N3" s="79" t="s">
        <v>293</v>
      </c>
    </row>
    <row r="4" spans="1:17" s="17" customFormat="1" ht="27" collapsed="1" thickBot="1">
      <c r="A4" s="269">
        <v>5</v>
      </c>
      <c r="B4" s="263"/>
      <c r="C4" s="241" t="s">
        <v>547</v>
      </c>
      <c r="D4" s="30" t="s">
        <v>580</v>
      </c>
      <c r="E4" s="6">
        <v>1</v>
      </c>
      <c r="F4" s="7"/>
      <c r="G4" s="7"/>
      <c r="H4" s="7"/>
      <c r="I4" s="30"/>
      <c r="J4" s="274">
        <f>K4*Svodka!$J$1</f>
        <v>400000</v>
      </c>
      <c r="K4" s="113">
        <v>40</v>
      </c>
      <c r="L4" s="114"/>
      <c r="M4" s="115"/>
      <c r="N4" s="116"/>
      <c r="Q4" s="277"/>
    </row>
    <row r="5" spans="1:14" s="17" customFormat="1" ht="39.75" hidden="1" outlineLevel="1" thickBot="1">
      <c r="A5" s="279"/>
      <c r="B5" s="118">
        <v>18</v>
      </c>
      <c r="C5" s="260" t="s">
        <v>424</v>
      </c>
      <c r="D5" s="38" t="s">
        <v>425</v>
      </c>
      <c r="E5" s="20"/>
      <c r="F5" s="21"/>
      <c r="G5" s="21"/>
      <c r="H5" s="21"/>
      <c r="I5" s="38"/>
      <c r="J5" s="275">
        <f>K5*Svodka!$J$1</f>
        <v>68500</v>
      </c>
      <c r="K5" s="273">
        <f>2.85+4</f>
        <v>6.85</v>
      </c>
      <c r="L5" s="117"/>
      <c r="M5" s="119"/>
      <c r="N5" s="118"/>
    </row>
    <row r="6" spans="1:14" s="19" customFormat="1" ht="27" thickBot="1">
      <c r="A6" s="140">
        <v>6</v>
      </c>
      <c r="B6" s="141"/>
      <c r="C6" s="241" t="s">
        <v>581</v>
      </c>
      <c r="D6" s="30" t="s">
        <v>582</v>
      </c>
      <c r="E6" s="6">
        <v>1</v>
      </c>
      <c r="F6" s="7"/>
      <c r="G6" s="7"/>
      <c r="H6" s="7"/>
      <c r="I6" s="30"/>
      <c r="J6" s="274">
        <f>K6*Svodka!$J$1</f>
        <v>400000</v>
      </c>
      <c r="K6" s="113">
        <v>40</v>
      </c>
      <c r="L6" s="114"/>
      <c r="M6" s="115"/>
      <c r="N6" s="116"/>
    </row>
    <row r="7" spans="1:14" s="19" customFormat="1" ht="53.25" thickBot="1">
      <c r="A7" s="140">
        <v>7</v>
      </c>
      <c r="B7" s="141"/>
      <c r="C7" s="241" t="s">
        <v>583</v>
      </c>
      <c r="D7" s="30" t="s">
        <v>584</v>
      </c>
      <c r="E7" s="6">
        <v>1</v>
      </c>
      <c r="F7" s="7"/>
      <c r="G7" s="7"/>
      <c r="H7" s="7"/>
      <c r="I7" s="30"/>
      <c r="J7" s="274">
        <f>K7*Svodka!$J$1</f>
        <v>600000</v>
      </c>
      <c r="K7" s="113">
        <v>60</v>
      </c>
      <c r="L7" s="114"/>
      <c r="M7" s="115"/>
      <c r="N7" s="116"/>
    </row>
    <row r="8" spans="1:14" s="19" customFormat="1" ht="13.5" thickBot="1">
      <c r="A8" s="140">
        <v>8</v>
      </c>
      <c r="B8" s="141"/>
      <c r="C8" s="241" t="s">
        <v>585</v>
      </c>
      <c r="D8" s="30" t="s">
        <v>586</v>
      </c>
      <c r="E8" s="6">
        <v>1</v>
      </c>
      <c r="F8" s="7"/>
      <c r="G8" s="7"/>
      <c r="H8" s="7"/>
      <c r="I8" s="30"/>
      <c r="J8" s="274">
        <f>K8*Svodka!$J$1</f>
        <v>400000</v>
      </c>
      <c r="K8" s="113">
        <v>40</v>
      </c>
      <c r="L8" s="114"/>
      <c r="M8" s="115"/>
      <c r="N8" s="116"/>
    </row>
    <row r="9" spans="1:14" s="19" customFormat="1" ht="13.5" thickBot="1">
      <c r="A9" s="140">
        <v>9</v>
      </c>
      <c r="B9" s="141"/>
      <c r="C9" s="241" t="s">
        <v>587</v>
      </c>
      <c r="D9" s="30" t="s">
        <v>588</v>
      </c>
      <c r="E9" s="6">
        <v>1</v>
      </c>
      <c r="F9" s="7"/>
      <c r="G9" s="7"/>
      <c r="H9" s="7"/>
      <c r="I9" s="30"/>
      <c r="J9" s="274">
        <f>K9*Svodka!$J$1</f>
        <v>400000</v>
      </c>
      <c r="K9" s="113">
        <v>40</v>
      </c>
      <c r="L9" s="114"/>
      <c r="M9" s="115"/>
      <c r="N9" s="116"/>
    </row>
    <row r="10" spans="1:14" s="19" customFormat="1" ht="27" thickBot="1">
      <c r="A10" s="140">
        <v>14</v>
      </c>
      <c r="B10" s="141"/>
      <c r="C10" s="241" t="s">
        <v>589</v>
      </c>
      <c r="D10" s="30" t="s">
        <v>590</v>
      </c>
      <c r="E10" s="6">
        <v>1</v>
      </c>
      <c r="F10" s="7"/>
      <c r="G10" s="7"/>
      <c r="H10" s="7"/>
      <c r="I10" s="30"/>
      <c r="J10" s="274">
        <f>K10*Svodka!$J$1</f>
        <v>400000</v>
      </c>
      <c r="K10" s="113">
        <v>40</v>
      </c>
      <c r="L10" s="114"/>
      <c r="M10" s="115"/>
      <c r="N10" s="116"/>
    </row>
    <row r="11" spans="1:14" s="19" customFormat="1" ht="13.5" thickBot="1">
      <c r="A11" s="140">
        <v>15</v>
      </c>
      <c r="B11" s="141"/>
      <c r="C11" s="241" t="s">
        <v>591</v>
      </c>
      <c r="D11" s="30" t="s">
        <v>592</v>
      </c>
      <c r="E11" s="6">
        <v>1</v>
      </c>
      <c r="F11" s="7"/>
      <c r="G11" s="7"/>
      <c r="H11" s="7"/>
      <c r="I11" s="30"/>
      <c r="J11" s="274">
        <f>K11*Svodka!$J$1</f>
        <v>200000</v>
      </c>
      <c r="K11" s="113">
        <v>20</v>
      </c>
      <c r="L11" s="114"/>
      <c r="M11" s="115"/>
      <c r="N11" s="116"/>
    </row>
    <row r="12" spans="1:14" s="19" customFormat="1" ht="66" thickBot="1">
      <c r="A12" s="140">
        <v>25</v>
      </c>
      <c r="B12" s="141"/>
      <c r="C12" s="241" t="s">
        <v>593</v>
      </c>
      <c r="D12" s="30" t="s">
        <v>594</v>
      </c>
      <c r="E12" s="6">
        <v>1</v>
      </c>
      <c r="F12" s="7"/>
      <c r="G12" s="7"/>
      <c r="H12" s="7"/>
      <c r="I12" s="30"/>
      <c r="J12" s="274">
        <f>K12*Svodka!$J$1</f>
        <v>400000</v>
      </c>
      <c r="K12" s="113">
        <v>40</v>
      </c>
      <c r="L12" s="114"/>
      <c r="M12" s="115"/>
      <c r="N12" s="116"/>
    </row>
    <row r="13" spans="1:14" s="19" customFormat="1" ht="27" thickBot="1">
      <c r="A13" s="140">
        <v>27</v>
      </c>
      <c r="B13" s="141"/>
      <c r="C13" s="241" t="s">
        <v>595</v>
      </c>
      <c r="D13" s="30" t="s">
        <v>596</v>
      </c>
      <c r="E13" s="6">
        <v>1</v>
      </c>
      <c r="F13" s="7"/>
      <c r="G13" s="7"/>
      <c r="H13" s="7"/>
      <c r="I13" s="30"/>
      <c r="J13" s="274">
        <f>K13*Svodka!$J$1</f>
        <v>600000</v>
      </c>
      <c r="K13" s="113">
        <v>60</v>
      </c>
      <c r="L13" s="114"/>
      <c r="M13" s="115"/>
      <c r="N13" s="116"/>
    </row>
    <row r="14" spans="1:14" s="19" customFormat="1" ht="13.5" thickBot="1">
      <c r="A14" s="140">
        <v>32</v>
      </c>
      <c r="B14" s="141"/>
      <c r="C14" s="241" t="s">
        <v>597</v>
      </c>
      <c r="D14" s="30" t="s">
        <v>598</v>
      </c>
      <c r="E14" s="6">
        <v>1</v>
      </c>
      <c r="F14" s="7"/>
      <c r="G14" s="7"/>
      <c r="H14" s="7"/>
      <c r="I14" s="30"/>
      <c r="J14" s="274">
        <f>K14*Svodka!$J$1</f>
        <v>400000</v>
      </c>
      <c r="K14" s="113">
        <v>40</v>
      </c>
      <c r="L14" s="114"/>
      <c r="M14" s="115"/>
      <c r="N14" s="116"/>
    </row>
    <row r="15" spans="1:14" s="19" customFormat="1" ht="27" thickBot="1">
      <c r="A15" s="282">
        <v>34</v>
      </c>
      <c r="B15" s="283"/>
      <c r="C15" s="241" t="s">
        <v>599</v>
      </c>
      <c r="D15" s="30" t="s">
        <v>600</v>
      </c>
      <c r="E15" s="6">
        <v>1</v>
      </c>
      <c r="F15" s="7"/>
      <c r="G15" s="7"/>
      <c r="H15" s="7"/>
      <c r="I15" s="30"/>
      <c r="J15" s="274">
        <f>K15*Svodka!$J$1</f>
        <v>400000</v>
      </c>
      <c r="K15" s="113">
        <v>40</v>
      </c>
      <c r="L15" s="114"/>
      <c r="M15" s="115"/>
      <c r="N15" s="116"/>
    </row>
    <row r="16" spans="1:14" s="19" customFormat="1" ht="13.5" thickBot="1">
      <c r="A16" s="140">
        <v>37</v>
      </c>
      <c r="B16" s="141"/>
      <c r="C16" s="241" t="s">
        <v>601</v>
      </c>
      <c r="D16" s="30" t="s">
        <v>602</v>
      </c>
      <c r="E16" s="6">
        <v>1</v>
      </c>
      <c r="F16" s="7"/>
      <c r="G16" s="7"/>
      <c r="H16" s="7"/>
      <c r="I16" s="30"/>
      <c r="J16" s="274">
        <f>K16*Svodka!$J$1</f>
        <v>400000</v>
      </c>
      <c r="K16" s="113">
        <v>40</v>
      </c>
      <c r="L16" s="114"/>
      <c r="M16" s="115"/>
      <c r="N16" s="116"/>
    </row>
    <row r="17" spans="1:14" s="19" customFormat="1" ht="13.5" collapsed="1" thickBot="1">
      <c r="A17" s="140"/>
      <c r="B17" s="141"/>
      <c r="C17" s="241" t="s">
        <v>142</v>
      </c>
      <c r="D17" s="30"/>
      <c r="E17" s="6"/>
      <c r="F17" s="7"/>
      <c r="G17" s="7"/>
      <c r="H17" s="7"/>
      <c r="I17" s="30"/>
      <c r="J17" s="274"/>
      <c r="K17" s="113"/>
      <c r="L17" s="114"/>
      <c r="M17" s="115"/>
      <c r="N17" s="116"/>
    </row>
    <row r="18" spans="1:14" s="19" customFormat="1" ht="26.25" hidden="1" outlineLevel="1">
      <c r="A18" s="53"/>
      <c r="B18" s="54">
        <v>41</v>
      </c>
      <c r="C18" s="242" t="s">
        <v>128</v>
      </c>
      <c r="D18" s="31" t="s">
        <v>129</v>
      </c>
      <c r="E18" s="8"/>
      <c r="F18" s="9"/>
      <c r="G18" s="9"/>
      <c r="H18" s="9"/>
      <c r="I18" s="31"/>
      <c r="J18" s="275">
        <f>K18*Svodka!$J$1</f>
        <v>297000</v>
      </c>
      <c r="K18" s="54">
        <f>15+6.7+3.5+4.5</f>
        <v>29.7</v>
      </c>
      <c r="L18" s="53"/>
      <c r="M18" s="55"/>
      <c r="N18" s="54"/>
    </row>
    <row r="19" spans="1:14" s="19" customFormat="1" ht="26.25" hidden="1" outlineLevel="1">
      <c r="A19" s="49"/>
      <c r="B19" s="50">
        <v>14</v>
      </c>
      <c r="C19" s="244" t="s">
        <v>61</v>
      </c>
      <c r="D19" s="33" t="s">
        <v>62</v>
      </c>
      <c r="E19" s="12"/>
      <c r="F19" s="13"/>
      <c r="G19" s="13"/>
      <c r="H19" s="13"/>
      <c r="I19" s="33"/>
      <c r="J19" s="275">
        <f>K19*Svodka!$J$1</f>
        <v>112000</v>
      </c>
      <c r="K19" s="50">
        <f>6.7+4.5</f>
        <v>11.2</v>
      </c>
      <c r="L19" s="49"/>
      <c r="M19" s="48"/>
      <c r="N19" s="50"/>
    </row>
    <row r="20" spans="1:14" s="19" customFormat="1" ht="39" hidden="1" outlineLevel="1">
      <c r="A20" s="49"/>
      <c r="B20" s="50">
        <v>32</v>
      </c>
      <c r="C20" s="244" t="s">
        <v>126</v>
      </c>
      <c r="D20" s="33" t="s">
        <v>127</v>
      </c>
      <c r="E20" s="12"/>
      <c r="F20" s="13"/>
      <c r="G20" s="13"/>
      <c r="H20" s="13"/>
      <c r="I20" s="33"/>
      <c r="J20" s="275">
        <f>K20*Svodka!$J$1</f>
        <v>40000</v>
      </c>
      <c r="K20" s="50">
        <f>4</f>
        <v>4</v>
      </c>
      <c r="L20" s="49"/>
      <c r="M20" s="48"/>
      <c r="N20" s="50"/>
    </row>
    <row r="21" spans="1:14" s="19" customFormat="1" ht="52.5" hidden="1" outlineLevel="1">
      <c r="A21" s="49"/>
      <c r="B21" s="50">
        <v>5</v>
      </c>
      <c r="C21" s="244" t="s">
        <v>35</v>
      </c>
      <c r="D21" s="33" t="s">
        <v>36</v>
      </c>
      <c r="E21" s="12"/>
      <c r="F21" s="13"/>
      <c r="G21" s="13"/>
      <c r="H21" s="13"/>
      <c r="I21" s="33"/>
      <c r="J21" s="275">
        <f>K21*Svodka!$J$1</f>
        <v>219000</v>
      </c>
      <c r="K21" s="50">
        <f>4.5+5+5.7+6.7</f>
        <v>21.9</v>
      </c>
      <c r="L21" s="49"/>
      <c r="M21" s="48"/>
      <c r="N21" s="50"/>
    </row>
    <row r="22" spans="1:14" s="19" customFormat="1" ht="26.25" hidden="1" outlineLevel="1">
      <c r="A22" s="49"/>
      <c r="B22" s="50">
        <v>26</v>
      </c>
      <c r="C22" s="244" t="s">
        <v>111</v>
      </c>
      <c r="D22" s="33" t="s">
        <v>112</v>
      </c>
      <c r="E22" s="12"/>
      <c r="F22" s="13"/>
      <c r="G22" s="13"/>
      <c r="H22" s="13"/>
      <c r="I22" s="33"/>
      <c r="J22" s="275">
        <f>K22*Svodka!$J$1</f>
        <v>617000</v>
      </c>
      <c r="K22" s="50">
        <f>15+40+6.7</f>
        <v>61.7</v>
      </c>
      <c r="L22" s="49"/>
      <c r="M22" s="48"/>
      <c r="N22" s="50"/>
    </row>
    <row r="23" spans="1:14" s="19" customFormat="1" ht="52.5" hidden="1" outlineLevel="1">
      <c r="A23" s="49"/>
      <c r="B23" s="50">
        <v>19</v>
      </c>
      <c r="C23" s="244" t="s">
        <v>101</v>
      </c>
      <c r="D23" s="33" t="s">
        <v>102</v>
      </c>
      <c r="E23" s="12"/>
      <c r="F23" s="13"/>
      <c r="G23" s="13"/>
      <c r="H23" s="13"/>
      <c r="I23" s="33"/>
      <c r="J23" s="275">
        <f>K23*Svodka!$J$1</f>
        <v>50000</v>
      </c>
      <c r="K23" s="50">
        <f>5</f>
        <v>5</v>
      </c>
      <c r="L23" s="49"/>
      <c r="M23" s="48"/>
      <c r="N23" s="50"/>
    </row>
    <row r="24" spans="1:14" s="19" customFormat="1" ht="26.25" hidden="1" outlineLevel="1">
      <c r="A24" s="49"/>
      <c r="B24" s="50">
        <v>25</v>
      </c>
      <c r="C24" s="244" t="s">
        <v>231</v>
      </c>
      <c r="D24" s="33" t="s">
        <v>232</v>
      </c>
      <c r="E24" s="12"/>
      <c r="F24" s="13"/>
      <c r="G24" s="13"/>
      <c r="H24" s="13"/>
      <c r="I24" s="33"/>
      <c r="J24" s="275">
        <f>K24*Svodka!$J$1</f>
        <v>112000</v>
      </c>
      <c r="K24" s="50">
        <f>6.7+4.5</f>
        <v>11.2</v>
      </c>
      <c r="L24" s="49"/>
      <c r="M24" s="48"/>
      <c r="N24" s="50"/>
    </row>
    <row r="25" spans="1:14" s="19" customFormat="1" ht="39" hidden="1" outlineLevel="1">
      <c r="A25" s="49"/>
      <c r="B25" s="50">
        <v>24</v>
      </c>
      <c r="C25" s="244" t="s">
        <v>229</v>
      </c>
      <c r="D25" s="33" t="s">
        <v>230</v>
      </c>
      <c r="E25" s="12"/>
      <c r="F25" s="13"/>
      <c r="G25" s="13"/>
      <c r="H25" s="13"/>
      <c r="I25" s="33"/>
      <c r="J25" s="275">
        <f>K25*Svodka!$J$1</f>
        <v>45000</v>
      </c>
      <c r="K25" s="50">
        <f>4.5</f>
        <v>4.5</v>
      </c>
      <c r="L25" s="49"/>
      <c r="M25" s="48"/>
      <c r="N25" s="50"/>
    </row>
    <row r="26" spans="1:14" s="19" customFormat="1" ht="39" hidden="1" outlineLevel="1">
      <c r="A26" s="49"/>
      <c r="B26" s="50">
        <v>17</v>
      </c>
      <c r="C26" s="244" t="s">
        <v>233</v>
      </c>
      <c r="D26" s="33" t="s">
        <v>234</v>
      </c>
      <c r="E26" s="12"/>
      <c r="F26" s="13"/>
      <c r="G26" s="13"/>
      <c r="H26" s="13"/>
      <c r="I26" s="33"/>
      <c r="J26" s="275">
        <f>K26*Svodka!$J$1</f>
        <v>28500</v>
      </c>
      <c r="K26" s="50">
        <f>2.85</f>
        <v>2.85</v>
      </c>
      <c r="L26" s="49"/>
      <c r="M26" s="48"/>
      <c r="N26" s="50"/>
    </row>
    <row r="27" spans="1:14" s="19" customFormat="1" ht="52.5" hidden="1" outlineLevel="1">
      <c r="A27" s="49"/>
      <c r="B27" s="50">
        <v>10</v>
      </c>
      <c r="C27" s="244" t="s">
        <v>418</v>
      </c>
      <c r="D27" s="33" t="s">
        <v>419</v>
      </c>
      <c r="E27" s="12"/>
      <c r="F27" s="13"/>
      <c r="G27" s="13"/>
      <c r="H27" s="13"/>
      <c r="I27" s="33"/>
      <c r="J27" s="275">
        <f>K27*Svodka!$J$1</f>
        <v>67000</v>
      </c>
      <c r="K27" s="50">
        <f>6.7</f>
        <v>6.7</v>
      </c>
      <c r="L27" s="49"/>
      <c r="M27" s="48"/>
      <c r="N27" s="50"/>
    </row>
    <row r="28" spans="1:14" s="19" customFormat="1" ht="26.25" hidden="1" outlineLevel="1">
      <c r="A28" s="49"/>
      <c r="B28" s="50">
        <v>23</v>
      </c>
      <c r="C28" s="244" t="s">
        <v>441</v>
      </c>
      <c r="D28" s="33" t="s">
        <v>536</v>
      </c>
      <c r="E28" s="12"/>
      <c r="F28" s="13"/>
      <c r="G28" s="13"/>
      <c r="H28" s="13"/>
      <c r="I28" s="33"/>
      <c r="J28" s="275">
        <f>K28*Svodka!$J$1</f>
        <v>35000</v>
      </c>
      <c r="K28" s="50">
        <f>3.5</f>
        <v>3.5</v>
      </c>
      <c r="L28" s="49"/>
      <c r="M28" s="48"/>
      <c r="N28" s="50"/>
    </row>
    <row r="29" spans="1:14" s="19" customFormat="1" ht="12.75" hidden="1" outlineLevel="1">
      <c r="A29" s="49"/>
      <c r="B29" s="50">
        <v>40</v>
      </c>
      <c r="C29" s="244" t="s">
        <v>545</v>
      </c>
      <c r="D29" s="33" t="s">
        <v>546</v>
      </c>
      <c r="E29" s="12"/>
      <c r="F29" s="13"/>
      <c r="G29" s="13"/>
      <c r="H29" s="13"/>
      <c r="I29" s="33"/>
      <c r="J29" s="275">
        <f>K29*Svodka!$J$1</f>
        <v>35000</v>
      </c>
      <c r="K29" s="50">
        <f>3.5</f>
        <v>3.5</v>
      </c>
      <c r="L29" s="49"/>
      <c r="M29" s="48"/>
      <c r="N29" s="50"/>
    </row>
    <row r="30" spans="1:14" s="19" customFormat="1" ht="12.75" hidden="1" outlineLevel="1">
      <c r="A30" s="49"/>
      <c r="B30" s="50">
        <v>11</v>
      </c>
      <c r="C30" s="244" t="s">
        <v>254</v>
      </c>
      <c r="D30" s="33" t="s">
        <v>436</v>
      </c>
      <c r="E30" s="12"/>
      <c r="F30" s="13"/>
      <c r="G30" s="13"/>
      <c r="H30" s="13"/>
      <c r="I30" s="33"/>
      <c r="J30" s="275">
        <f>K30*Svodka!$J$1</f>
        <v>70000</v>
      </c>
      <c r="K30" s="50">
        <f>6.5+0.5</f>
        <v>7</v>
      </c>
      <c r="L30" s="49"/>
      <c r="M30" s="48"/>
      <c r="N30" s="50"/>
    </row>
    <row r="31" spans="1:14" s="19" customFormat="1" ht="39" hidden="1" outlineLevel="1">
      <c r="A31" s="49"/>
      <c r="B31" s="50">
        <v>16</v>
      </c>
      <c r="C31" s="244" t="s">
        <v>422</v>
      </c>
      <c r="D31" s="33" t="s">
        <v>423</v>
      </c>
      <c r="E31" s="12"/>
      <c r="F31" s="13"/>
      <c r="G31" s="13"/>
      <c r="H31" s="13"/>
      <c r="I31" s="33"/>
      <c r="J31" s="275">
        <f>K31*Svodka!$J$1</f>
        <v>35000</v>
      </c>
      <c r="K31" s="50">
        <f>3.5</f>
        <v>3.5</v>
      </c>
      <c r="L31" s="49"/>
      <c r="M31" s="48"/>
      <c r="N31" s="50"/>
    </row>
    <row r="32" spans="1:14" s="19" customFormat="1" ht="52.5" hidden="1" outlineLevel="1">
      <c r="A32" s="49"/>
      <c r="B32" s="50">
        <v>29</v>
      </c>
      <c r="C32" s="244" t="s">
        <v>430</v>
      </c>
      <c r="D32" s="33" t="s">
        <v>431</v>
      </c>
      <c r="E32" s="12"/>
      <c r="F32" s="13"/>
      <c r="G32" s="13"/>
      <c r="H32" s="13"/>
      <c r="I32" s="33"/>
      <c r="J32" s="275">
        <f>K32*Svodka!$J$1</f>
        <v>35000</v>
      </c>
      <c r="K32" s="50">
        <f>3.5</f>
        <v>3.5</v>
      </c>
      <c r="L32" s="49"/>
      <c r="M32" s="48"/>
      <c r="N32" s="50"/>
    </row>
    <row r="33" spans="1:14" s="19" customFormat="1" ht="12.75" hidden="1" outlineLevel="1">
      <c r="A33" s="49"/>
      <c r="B33" s="50">
        <v>21</v>
      </c>
      <c r="C33" s="244" t="s">
        <v>434</v>
      </c>
      <c r="D33" s="33" t="s">
        <v>435</v>
      </c>
      <c r="E33" s="12"/>
      <c r="F33" s="13"/>
      <c r="G33" s="13"/>
      <c r="H33" s="13"/>
      <c r="I33" s="33"/>
      <c r="J33" s="275">
        <f>K33*Svodka!$J$1</f>
        <v>35000</v>
      </c>
      <c r="K33" s="50">
        <f>3.5</f>
        <v>3.5</v>
      </c>
      <c r="L33" s="49"/>
      <c r="M33" s="48"/>
      <c r="N33" s="50"/>
    </row>
    <row r="34" spans="1:14" s="19" customFormat="1" ht="39" hidden="1" outlineLevel="1">
      <c r="A34" s="49"/>
      <c r="B34" s="50">
        <v>9</v>
      </c>
      <c r="C34" s="244" t="s">
        <v>414</v>
      </c>
      <c r="D34" s="33" t="s">
        <v>415</v>
      </c>
      <c r="E34" s="12"/>
      <c r="F34" s="13"/>
      <c r="G34" s="13"/>
      <c r="H34" s="13"/>
      <c r="I34" s="33"/>
      <c r="J34" s="275">
        <f>K34*Svodka!$J$1</f>
        <v>80000</v>
      </c>
      <c r="K34" s="50">
        <f>3.5+4.5</f>
        <v>8</v>
      </c>
      <c r="L34" s="49"/>
      <c r="M34" s="48"/>
      <c r="N34" s="50"/>
    </row>
    <row r="35" spans="1:14" s="19" customFormat="1" ht="26.25" hidden="1" outlineLevel="1">
      <c r="A35" s="49"/>
      <c r="B35" s="50">
        <v>20</v>
      </c>
      <c r="C35" s="244" t="s">
        <v>432</v>
      </c>
      <c r="D35" s="33" t="s">
        <v>433</v>
      </c>
      <c r="E35" s="12"/>
      <c r="F35" s="13"/>
      <c r="G35" s="13"/>
      <c r="H35" s="13"/>
      <c r="I35" s="33"/>
      <c r="J35" s="275">
        <f>K35*Svodka!$J$1</f>
        <v>35000</v>
      </c>
      <c r="K35" s="50">
        <f aca="true" t="shared" si="0" ref="K35:K43">3.5</f>
        <v>3.5</v>
      </c>
      <c r="L35" s="49"/>
      <c r="M35" s="48"/>
      <c r="N35" s="50"/>
    </row>
    <row r="36" spans="1:14" s="19" customFormat="1" ht="26.25" hidden="1" outlineLevel="1">
      <c r="A36" s="49"/>
      <c r="B36" s="50">
        <v>12</v>
      </c>
      <c r="C36" s="244" t="s">
        <v>437</v>
      </c>
      <c r="D36" s="33" t="s">
        <v>438</v>
      </c>
      <c r="E36" s="12"/>
      <c r="F36" s="13"/>
      <c r="G36" s="13"/>
      <c r="H36" s="13"/>
      <c r="I36" s="33"/>
      <c r="J36" s="275">
        <f>K36*Svodka!$J$1</f>
        <v>35000</v>
      </c>
      <c r="K36" s="50">
        <f t="shared" si="0"/>
        <v>3.5</v>
      </c>
      <c r="L36" s="49"/>
      <c r="M36" s="48"/>
      <c r="N36" s="50"/>
    </row>
    <row r="37" spans="1:14" s="19" customFormat="1" ht="39" hidden="1" outlineLevel="1">
      <c r="A37" s="49"/>
      <c r="B37" s="50">
        <v>36</v>
      </c>
      <c r="C37" s="244" t="s">
        <v>537</v>
      </c>
      <c r="D37" s="33" t="s">
        <v>538</v>
      </c>
      <c r="E37" s="12"/>
      <c r="F37" s="13"/>
      <c r="G37" s="13"/>
      <c r="H37" s="13"/>
      <c r="I37" s="33"/>
      <c r="J37" s="275">
        <f>K37*Svodka!$J$1</f>
        <v>35000</v>
      </c>
      <c r="K37" s="50">
        <f t="shared" si="0"/>
        <v>3.5</v>
      </c>
      <c r="L37" s="49"/>
      <c r="M37" s="48"/>
      <c r="N37" s="50"/>
    </row>
    <row r="38" spans="1:14" s="19" customFormat="1" ht="26.25" hidden="1" outlineLevel="1">
      <c r="A38" s="49"/>
      <c r="B38" s="50">
        <v>22</v>
      </c>
      <c r="C38" s="244" t="s">
        <v>439</v>
      </c>
      <c r="D38" s="33" t="s">
        <v>440</v>
      </c>
      <c r="E38" s="12"/>
      <c r="F38" s="13"/>
      <c r="G38" s="13"/>
      <c r="H38" s="13"/>
      <c r="I38" s="33"/>
      <c r="J38" s="275">
        <f>K38*Svodka!$J$1</f>
        <v>35000</v>
      </c>
      <c r="K38" s="50">
        <f t="shared" si="0"/>
        <v>3.5</v>
      </c>
      <c r="L38" s="49"/>
      <c r="M38" s="48"/>
      <c r="N38" s="50"/>
    </row>
    <row r="39" spans="1:14" s="19" customFormat="1" ht="39" hidden="1" outlineLevel="1">
      <c r="A39" s="49"/>
      <c r="B39" s="50">
        <v>25</v>
      </c>
      <c r="C39" s="244" t="s">
        <v>543</v>
      </c>
      <c r="D39" s="33" t="s">
        <v>544</v>
      </c>
      <c r="E39" s="12"/>
      <c r="F39" s="13"/>
      <c r="G39" s="13"/>
      <c r="H39" s="13"/>
      <c r="I39" s="33"/>
      <c r="J39" s="275">
        <f>K39*Svodka!$J$1</f>
        <v>35000</v>
      </c>
      <c r="K39" s="50">
        <f t="shared" si="0"/>
        <v>3.5</v>
      </c>
      <c r="L39" s="49"/>
      <c r="M39" s="48"/>
      <c r="N39" s="50"/>
    </row>
    <row r="40" spans="1:14" s="19" customFormat="1" ht="66" hidden="1" outlineLevel="1">
      <c r="A40" s="49"/>
      <c r="B40" s="50">
        <v>20</v>
      </c>
      <c r="C40" s="244" t="s">
        <v>428</v>
      </c>
      <c r="D40" s="33" t="s">
        <v>429</v>
      </c>
      <c r="E40" s="12"/>
      <c r="F40" s="13"/>
      <c r="G40" s="13"/>
      <c r="H40" s="13"/>
      <c r="I40" s="33"/>
      <c r="J40" s="275">
        <f>K40*Svodka!$J$1</f>
        <v>35000</v>
      </c>
      <c r="K40" s="50">
        <f t="shared" si="0"/>
        <v>3.5</v>
      </c>
      <c r="L40" s="49"/>
      <c r="M40" s="48"/>
      <c r="N40" s="50"/>
    </row>
    <row r="41" spans="1:14" s="19" customFormat="1" ht="39" hidden="1" outlineLevel="1">
      <c r="A41" s="49"/>
      <c r="B41" s="50">
        <v>3</v>
      </c>
      <c r="C41" s="244" t="s">
        <v>281</v>
      </c>
      <c r="D41" s="33" t="s">
        <v>282</v>
      </c>
      <c r="E41" s="12"/>
      <c r="F41" s="13"/>
      <c r="G41" s="13"/>
      <c r="H41" s="13"/>
      <c r="I41" s="33"/>
      <c r="J41" s="275">
        <f>K41*Svodka!$J$1</f>
        <v>35000</v>
      </c>
      <c r="K41" s="50">
        <f t="shared" si="0"/>
        <v>3.5</v>
      </c>
      <c r="L41" s="49"/>
      <c r="M41" s="48"/>
      <c r="N41" s="50"/>
    </row>
    <row r="42" spans="1:14" s="19" customFormat="1" ht="26.25" hidden="1" outlineLevel="1">
      <c r="A42" s="49"/>
      <c r="B42" s="50">
        <v>25</v>
      </c>
      <c r="C42" s="244" t="s">
        <v>109</v>
      </c>
      <c r="D42" s="33" t="s">
        <v>110</v>
      </c>
      <c r="E42" s="12"/>
      <c r="F42" s="13"/>
      <c r="G42" s="13"/>
      <c r="H42" s="13"/>
      <c r="I42" s="33"/>
      <c r="J42" s="275">
        <f>K42*Svodka!$J$1</f>
        <v>35000</v>
      </c>
      <c r="K42" s="50">
        <f t="shared" si="0"/>
        <v>3.5</v>
      </c>
      <c r="L42" s="49"/>
      <c r="M42" s="48"/>
      <c r="N42" s="50"/>
    </row>
    <row r="43" spans="1:14" s="19" customFormat="1" ht="26.25" hidden="1" outlineLevel="1">
      <c r="A43" s="49"/>
      <c r="B43" s="50">
        <v>31</v>
      </c>
      <c r="C43" s="244" t="s">
        <v>124</v>
      </c>
      <c r="D43" s="33" t="s">
        <v>125</v>
      </c>
      <c r="E43" s="12"/>
      <c r="F43" s="13"/>
      <c r="G43" s="13"/>
      <c r="H43" s="13"/>
      <c r="I43" s="33"/>
      <c r="J43" s="275">
        <f>K43*Svodka!$J$1</f>
        <v>35000</v>
      </c>
      <c r="K43" s="50">
        <f t="shared" si="0"/>
        <v>3.5</v>
      </c>
      <c r="L43" s="49"/>
      <c r="M43" s="48"/>
      <c r="N43" s="50"/>
    </row>
    <row r="44" spans="1:14" s="19" customFormat="1" ht="52.5" hidden="1" outlineLevel="1">
      <c r="A44" s="49"/>
      <c r="B44" s="50">
        <v>6</v>
      </c>
      <c r="C44" s="244" t="s">
        <v>51</v>
      </c>
      <c r="D44" s="33" t="s">
        <v>52</v>
      </c>
      <c r="E44" s="12"/>
      <c r="F44" s="13"/>
      <c r="G44" s="13"/>
      <c r="H44" s="13"/>
      <c r="I44" s="33"/>
      <c r="J44" s="275">
        <f>K44*Svodka!$J$1</f>
        <v>28500</v>
      </c>
      <c r="K44" s="50">
        <f>2.85</f>
        <v>2.85</v>
      </c>
      <c r="L44" s="49"/>
      <c r="M44" s="48"/>
      <c r="N44" s="50"/>
    </row>
    <row r="45" spans="1:14" s="19" customFormat="1" ht="39" hidden="1" outlineLevel="1">
      <c r="A45" s="49"/>
      <c r="B45" s="50">
        <v>8</v>
      </c>
      <c r="C45" s="244" t="s">
        <v>44</v>
      </c>
      <c r="D45" s="33" t="s">
        <v>45</v>
      </c>
      <c r="E45" s="12"/>
      <c r="F45" s="13"/>
      <c r="G45" s="13"/>
      <c r="H45" s="13"/>
      <c r="I45" s="33"/>
      <c r="J45" s="275">
        <f>K45*Svodka!$J$1</f>
        <v>45000</v>
      </c>
      <c r="K45" s="50">
        <f>4.5</f>
        <v>4.5</v>
      </c>
      <c r="L45" s="49"/>
      <c r="M45" s="48"/>
      <c r="N45" s="50"/>
    </row>
    <row r="46" spans="1:14" s="19" customFormat="1" ht="78.75" hidden="1" outlineLevel="1">
      <c r="A46" s="49"/>
      <c r="B46" s="50">
        <v>8</v>
      </c>
      <c r="C46" s="244" t="s">
        <v>283</v>
      </c>
      <c r="D46" s="33" t="s">
        <v>413</v>
      </c>
      <c r="E46" s="12"/>
      <c r="F46" s="13"/>
      <c r="G46" s="13"/>
      <c r="H46" s="13"/>
      <c r="I46" s="33"/>
      <c r="J46" s="275">
        <f>K46*Svodka!$J$1</f>
        <v>45000</v>
      </c>
      <c r="K46" s="50">
        <f>4.5</f>
        <v>4.5</v>
      </c>
      <c r="L46" s="49"/>
      <c r="M46" s="48"/>
      <c r="N46" s="50"/>
    </row>
    <row r="47" spans="1:14" s="19" customFormat="1" ht="26.25" hidden="1" outlineLevel="1">
      <c r="A47" s="49"/>
      <c r="B47" s="50">
        <v>11</v>
      </c>
      <c r="C47" s="244" t="s">
        <v>57</v>
      </c>
      <c r="D47" s="33" t="s">
        <v>58</v>
      </c>
      <c r="E47" s="12"/>
      <c r="F47" s="13"/>
      <c r="G47" s="13"/>
      <c r="H47" s="13"/>
      <c r="I47" s="33"/>
      <c r="J47" s="275">
        <f>K47*Svodka!$J$1</f>
        <v>40000</v>
      </c>
      <c r="K47" s="50">
        <f>4</f>
        <v>4</v>
      </c>
      <c r="L47" s="49"/>
      <c r="M47" s="48"/>
      <c r="N47" s="50"/>
    </row>
    <row r="48" spans="1:14" s="19" customFormat="1" ht="39" hidden="1" outlineLevel="1">
      <c r="A48" s="49"/>
      <c r="B48" s="50">
        <v>9</v>
      </c>
      <c r="C48" s="244" t="s">
        <v>120</v>
      </c>
      <c r="D48" s="33" t="s">
        <v>121</v>
      </c>
      <c r="E48" s="12"/>
      <c r="F48" s="13"/>
      <c r="G48" s="13"/>
      <c r="H48" s="13"/>
      <c r="I48" s="33"/>
      <c r="J48" s="275">
        <f>K48*Svodka!$J$1</f>
        <v>35000</v>
      </c>
      <c r="K48" s="50">
        <f>3.5</f>
        <v>3.5</v>
      </c>
      <c r="L48" s="49"/>
      <c r="M48" s="48"/>
      <c r="N48" s="50"/>
    </row>
    <row r="49" spans="1:14" s="19" customFormat="1" ht="66" hidden="1" outlineLevel="1">
      <c r="A49" s="49"/>
      <c r="B49" s="50">
        <v>3</v>
      </c>
      <c r="C49" s="244" t="s">
        <v>3</v>
      </c>
      <c r="D49" s="33" t="s">
        <v>28</v>
      </c>
      <c r="E49" s="12"/>
      <c r="F49" s="13"/>
      <c r="G49" s="13"/>
      <c r="H49" s="13"/>
      <c r="I49" s="33"/>
      <c r="J49" s="275">
        <f>K49*Svodka!$J$1</f>
        <v>45000</v>
      </c>
      <c r="K49" s="50">
        <f>4.5</f>
        <v>4.5</v>
      </c>
      <c r="L49" s="49"/>
      <c r="M49" s="48"/>
      <c r="N49" s="50"/>
    </row>
    <row r="50" spans="1:14" s="19" customFormat="1" ht="52.5" hidden="1" outlineLevel="1">
      <c r="A50" s="49"/>
      <c r="B50" s="50">
        <v>15</v>
      </c>
      <c r="C50" s="244" t="s">
        <v>122</v>
      </c>
      <c r="D50" s="33" t="s">
        <v>123</v>
      </c>
      <c r="E50" s="12"/>
      <c r="F50" s="13"/>
      <c r="G50" s="13"/>
      <c r="H50" s="13"/>
      <c r="I50" s="33"/>
      <c r="J50" s="275">
        <f>K50*Svodka!$J$1</f>
        <v>40000</v>
      </c>
      <c r="K50" s="50">
        <f>4</f>
        <v>4</v>
      </c>
      <c r="L50" s="49"/>
      <c r="M50" s="48"/>
      <c r="N50" s="50"/>
    </row>
    <row r="51" spans="1:14" s="19" customFormat="1" ht="12.75" hidden="1" outlineLevel="1">
      <c r="A51" s="49"/>
      <c r="B51" s="50">
        <v>2</v>
      </c>
      <c r="C51" s="244" t="s">
        <v>29</v>
      </c>
      <c r="D51" s="33" t="s">
        <v>30</v>
      </c>
      <c r="E51" s="12"/>
      <c r="F51" s="13"/>
      <c r="G51" s="13"/>
      <c r="H51" s="13"/>
      <c r="I51" s="33"/>
      <c r="J51" s="275">
        <f>K51*Svodka!$J$1</f>
        <v>174000</v>
      </c>
      <c r="K51" s="50">
        <f>5+5.7+6.7</f>
        <v>17.4</v>
      </c>
      <c r="L51" s="49"/>
      <c r="M51" s="48"/>
      <c r="N51" s="50"/>
    </row>
    <row r="52" spans="1:14" s="19" customFormat="1" ht="39" hidden="1" outlineLevel="1">
      <c r="A52" s="49"/>
      <c r="B52" s="50">
        <v>6</v>
      </c>
      <c r="C52" s="244" t="s">
        <v>37</v>
      </c>
      <c r="D52" s="33" t="s">
        <v>38</v>
      </c>
      <c r="E52" s="12"/>
      <c r="F52" s="13"/>
      <c r="G52" s="13"/>
      <c r="H52" s="13"/>
      <c r="I52" s="33"/>
      <c r="J52" s="275">
        <f>K52*Svodka!$J$1</f>
        <v>172000</v>
      </c>
      <c r="K52" s="50">
        <f>5+5.7+6.5</f>
        <v>17.2</v>
      </c>
      <c r="L52" s="49"/>
      <c r="M52" s="48"/>
      <c r="N52" s="50"/>
    </row>
    <row r="53" spans="1:14" s="19" customFormat="1" ht="66" hidden="1" outlineLevel="1">
      <c r="A53" s="49"/>
      <c r="B53" s="50">
        <v>4</v>
      </c>
      <c r="C53" s="244" t="s">
        <v>33</v>
      </c>
      <c r="D53" s="33" t="s">
        <v>34</v>
      </c>
      <c r="E53" s="12"/>
      <c r="F53" s="13"/>
      <c r="G53" s="13"/>
      <c r="H53" s="13"/>
      <c r="I53" s="33"/>
      <c r="J53" s="275">
        <f>K53*Svodka!$J$1</f>
        <v>28500</v>
      </c>
      <c r="K53" s="50">
        <f>2.85</f>
        <v>2.85</v>
      </c>
      <c r="L53" s="49"/>
      <c r="M53" s="48"/>
      <c r="N53" s="50"/>
    </row>
    <row r="54" spans="1:14" s="19" customFormat="1" ht="26.25" hidden="1" outlineLevel="1">
      <c r="A54" s="49"/>
      <c r="B54" s="50">
        <v>1</v>
      </c>
      <c r="C54" s="244" t="s">
        <v>1</v>
      </c>
      <c r="D54" s="33" t="s">
        <v>2</v>
      </c>
      <c r="E54" s="12"/>
      <c r="F54" s="13"/>
      <c r="G54" s="13"/>
      <c r="H54" s="13"/>
      <c r="I54" s="33"/>
      <c r="J54" s="275">
        <f>K54*Svodka!$J$1</f>
        <v>74500</v>
      </c>
      <c r="K54" s="50">
        <f>2.95+4.5</f>
        <v>7.45</v>
      </c>
      <c r="L54" s="49"/>
      <c r="M54" s="48"/>
      <c r="N54" s="50"/>
    </row>
    <row r="55" spans="1:14" s="19" customFormat="1" ht="26.25" hidden="1" outlineLevel="1">
      <c r="A55" s="49"/>
      <c r="B55" s="50">
        <v>3</v>
      </c>
      <c r="C55" s="244" t="s">
        <v>31</v>
      </c>
      <c r="D55" s="33" t="s">
        <v>32</v>
      </c>
      <c r="E55" s="12"/>
      <c r="F55" s="13"/>
      <c r="G55" s="13"/>
      <c r="H55" s="13"/>
      <c r="I55" s="33"/>
      <c r="J55" s="275">
        <f>K55*Svodka!$J$1</f>
        <v>174000</v>
      </c>
      <c r="K55" s="50">
        <f>5+5.7+6.7</f>
        <v>17.4</v>
      </c>
      <c r="L55" s="49"/>
      <c r="M55" s="48"/>
      <c r="N55" s="50"/>
    </row>
    <row r="56" spans="1:14" s="19" customFormat="1" ht="39" hidden="1" outlineLevel="1">
      <c r="A56" s="49"/>
      <c r="B56" s="50">
        <v>13</v>
      </c>
      <c r="C56" s="244" t="s">
        <v>194</v>
      </c>
      <c r="D56" s="33" t="s">
        <v>195</v>
      </c>
      <c r="E56" s="12"/>
      <c r="F56" s="13"/>
      <c r="G56" s="13"/>
      <c r="H56" s="13"/>
      <c r="I56" s="33"/>
      <c r="J56" s="275">
        <f>K56*Svodka!$J$1</f>
        <v>85000</v>
      </c>
      <c r="K56" s="50">
        <f>4+4.5</f>
        <v>8.5</v>
      </c>
      <c r="L56" s="49"/>
      <c r="M56" s="48"/>
      <c r="N56" s="50"/>
    </row>
    <row r="57" spans="1:14" s="19" customFormat="1" ht="39" hidden="1" outlineLevel="1">
      <c r="A57" s="49"/>
      <c r="B57" s="50">
        <v>8</v>
      </c>
      <c r="C57" s="244" t="s">
        <v>190</v>
      </c>
      <c r="D57" s="33" t="s">
        <v>191</v>
      </c>
      <c r="E57" s="12"/>
      <c r="F57" s="13"/>
      <c r="G57" s="13"/>
      <c r="H57" s="13"/>
      <c r="I57" s="33"/>
      <c r="J57" s="275">
        <f>K57*Svodka!$J$1</f>
        <v>40000</v>
      </c>
      <c r="K57" s="50">
        <v>4</v>
      </c>
      <c r="L57" s="49"/>
      <c r="M57" s="48"/>
      <c r="N57" s="50"/>
    </row>
    <row r="58" spans="1:14" s="19" customFormat="1" ht="26.25" hidden="1" outlineLevel="1">
      <c r="A58" s="49"/>
      <c r="B58" s="50">
        <v>2</v>
      </c>
      <c r="C58" s="244" t="s">
        <v>183</v>
      </c>
      <c r="D58" s="33" t="s">
        <v>184</v>
      </c>
      <c r="E58" s="12"/>
      <c r="F58" s="13"/>
      <c r="G58" s="13"/>
      <c r="H58" s="13"/>
      <c r="I58" s="33"/>
      <c r="J58" s="275">
        <f>K58*Svodka!$J$1</f>
        <v>153500</v>
      </c>
      <c r="K58" s="50">
        <f>2.85+4.5+8</f>
        <v>15.35</v>
      </c>
      <c r="L58" s="49"/>
      <c r="M58" s="48"/>
      <c r="N58" s="50"/>
    </row>
    <row r="59" spans="1:14" s="19" customFormat="1" ht="26.25" hidden="1" outlineLevel="1">
      <c r="A59" s="49"/>
      <c r="B59" s="50">
        <v>3</v>
      </c>
      <c r="C59" s="244" t="s">
        <v>185</v>
      </c>
      <c r="D59" s="33" t="s">
        <v>187</v>
      </c>
      <c r="E59" s="12"/>
      <c r="F59" s="13"/>
      <c r="G59" s="13"/>
      <c r="H59" s="13"/>
      <c r="I59" s="33"/>
      <c r="J59" s="275">
        <f>K59*Svodka!$J$1</f>
        <v>153500</v>
      </c>
      <c r="K59" s="50">
        <f>2.85+4.5+8</f>
        <v>15.35</v>
      </c>
      <c r="L59" s="49"/>
      <c r="M59" s="48"/>
      <c r="N59" s="50"/>
    </row>
    <row r="60" spans="1:14" s="19" customFormat="1" ht="52.5" hidden="1" outlineLevel="1">
      <c r="A60" s="49"/>
      <c r="B60" s="50">
        <v>12</v>
      </c>
      <c r="C60" s="244" t="s">
        <v>163</v>
      </c>
      <c r="D60" s="33" t="s">
        <v>164</v>
      </c>
      <c r="E60" s="12"/>
      <c r="F60" s="13"/>
      <c r="G60" s="13"/>
      <c r="H60" s="13"/>
      <c r="I60" s="33"/>
      <c r="J60" s="275">
        <f>K60*Svodka!$J$1</f>
        <v>175000</v>
      </c>
      <c r="K60" s="50">
        <f>5+5.8+6.7</f>
        <v>17.5</v>
      </c>
      <c r="L60" s="49"/>
      <c r="M60" s="48"/>
      <c r="N60" s="50"/>
    </row>
    <row r="61" spans="1:14" s="19" customFormat="1" ht="39" hidden="1" outlineLevel="1">
      <c r="A61" s="49"/>
      <c r="B61" s="50">
        <v>14</v>
      </c>
      <c r="C61" s="244" t="s">
        <v>166</v>
      </c>
      <c r="D61" s="33" t="s">
        <v>167</v>
      </c>
      <c r="E61" s="12"/>
      <c r="F61" s="13"/>
      <c r="G61" s="13"/>
      <c r="H61" s="13"/>
      <c r="I61" s="33"/>
      <c r="J61" s="275">
        <f>K61*Svodka!$J$1</f>
        <v>327500</v>
      </c>
      <c r="K61" s="50">
        <f>2.85+4.5+5+5.7+8+6.7</f>
        <v>32.75</v>
      </c>
      <c r="L61" s="49"/>
      <c r="M61" s="48"/>
      <c r="N61" s="50"/>
    </row>
    <row r="62" spans="1:14" s="19" customFormat="1" ht="26.25" hidden="1" outlineLevel="1">
      <c r="A62" s="49"/>
      <c r="B62" s="50">
        <v>9</v>
      </c>
      <c r="C62" s="244" t="s">
        <v>416</v>
      </c>
      <c r="D62" s="33" t="s">
        <v>417</v>
      </c>
      <c r="E62" s="12"/>
      <c r="F62" s="13"/>
      <c r="G62" s="13"/>
      <c r="H62" s="13"/>
      <c r="I62" s="33"/>
      <c r="J62" s="275">
        <f>K62*Svodka!$J$1</f>
        <v>28500</v>
      </c>
      <c r="K62" s="50">
        <f>2.85</f>
        <v>2.85</v>
      </c>
      <c r="L62" s="49"/>
      <c r="M62" s="48"/>
      <c r="N62" s="50"/>
    </row>
    <row r="63" spans="1:14" ht="12.75" hidden="1" outlineLevel="1">
      <c r="A63" s="41"/>
      <c r="B63" s="42">
        <v>38</v>
      </c>
      <c r="C63" s="244" t="s">
        <v>539</v>
      </c>
      <c r="D63" s="33" t="s">
        <v>540</v>
      </c>
      <c r="E63" s="12"/>
      <c r="F63" s="13"/>
      <c r="G63" s="13"/>
      <c r="H63" s="13"/>
      <c r="I63" s="33"/>
      <c r="J63" s="275">
        <f>K63*Svodka!$J$1</f>
        <v>28500</v>
      </c>
      <c r="K63" s="42">
        <f>2.85</f>
        <v>2.85</v>
      </c>
      <c r="L63" s="41"/>
      <c r="M63" s="40"/>
      <c r="N63" s="42"/>
    </row>
    <row r="64" spans="1:14" ht="12.75" hidden="1" outlineLevel="1">
      <c r="A64" s="41"/>
      <c r="B64" s="42">
        <v>19</v>
      </c>
      <c r="C64" s="244" t="s">
        <v>426</v>
      </c>
      <c r="D64" s="33" t="s">
        <v>427</v>
      </c>
      <c r="E64" s="12"/>
      <c r="F64" s="13"/>
      <c r="G64" s="13"/>
      <c r="H64" s="13"/>
      <c r="I64" s="33"/>
      <c r="J64" s="275">
        <f>K64*Svodka!$J$1</f>
        <v>108500</v>
      </c>
      <c r="K64" s="42">
        <f>2.85+8</f>
        <v>10.85</v>
      </c>
      <c r="L64" s="41"/>
      <c r="M64" s="40"/>
      <c r="N64" s="42"/>
    </row>
    <row r="65" spans="1:14" ht="39" hidden="1" outlineLevel="1">
      <c r="A65" s="41"/>
      <c r="B65" s="42">
        <v>5</v>
      </c>
      <c r="C65" s="244" t="s">
        <v>279</v>
      </c>
      <c r="D65" s="33" t="s">
        <v>280</v>
      </c>
      <c r="E65" s="12"/>
      <c r="F65" s="13"/>
      <c r="G65" s="13"/>
      <c r="H65" s="13"/>
      <c r="I65" s="33"/>
      <c r="J65" s="275">
        <f>K65*Svodka!$J$1</f>
        <v>193500</v>
      </c>
      <c r="K65" s="42">
        <f>2.85+4.5+4+8</f>
        <v>19.35</v>
      </c>
      <c r="L65" s="41"/>
      <c r="M65" s="40"/>
      <c r="N65" s="42"/>
    </row>
    <row r="66" spans="1:14" ht="39" hidden="1" outlineLevel="1">
      <c r="A66" s="41"/>
      <c r="B66" s="42">
        <v>10</v>
      </c>
      <c r="C66" s="244" t="s">
        <v>420</v>
      </c>
      <c r="D66" s="33" t="s">
        <v>421</v>
      </c>
      <c r="E66" s="12"/>
      <c r="F66" s="13"/>
      <c r="G66" s="13"/>
      <c r="H66" s="13"/>
      <c r="I66" s="33"/>
      <c r="J66" s="275">
        <f>K66*Svodka!$J$1</f>
        <v>180500</v>
      </c>
      <c r="K66" s="42">
        <f>2.85+4.5+5+5.7</f>
        <v>18.05</v>
      </c>
      <c r="L66" s="41"/>
      <c r="M66" s="40"/>
      <c r="N66" s="42"/>
    </row>
    <row r="67" spans="1:14" ht="52.5" hidden="1" outlineLevel="1">
      <c r="A67" s="41"/>
      <c r="B67" s="42">
        <v>4</v>
      </c>
      <c r="C67" s="244" t="s">
        <v>241</v>
      </c>
      <c r="D67" s="33" t="s">
        <v>278</v>
      </c>
      <c r="E67" s="12"/>
      <c r="F67" s="13"/>
      <c r="G67" s="13"/>
      <c r="H67" s="13"/>
      <c r="I67" s="33"/>
      <c r="J67" s="275">
        <f>K67*Svodka!$J$1</f>
        <v>178500</v>
      </c>
      <c r="K67" s="42">
        <f>2.85+15</f>
        <v>17.85</v>
      </c>
      <c r="L67" s="41"/>
      <c r="M67" s="40"/>
      <c r="N67" s="42"/>
    </row>
    <row r="68" spans="1:14" ht="27" hidden="1" outlineLevel="1" thickBot="1">
      <c r="A68" s="43"/>
      <c r="B68" s="44">
        <v>24</v>
      </c>
      <c r="C68" s="245" t="s">
        <v>541</v>
      </c>
      <c r="D68" s="34" t="s">
        <v>542</v>
      </c>
      <c r="E68" s="14"/>
      <c r="F68" s="15"/>
      <c r="G68" s="15"/>
      <c r="H68" s="15"/>
      <c r="I68" s="34"/>
      <c r="J68" s="275">
        <f>K68*Svodka!$J$1</f>
        <v>150000</v>
      </c>
      <c r="K68" s="44">
        <f>15</f>
        <v>15</v>
      </c>
      <c r="L68" s="43"/>
      <c r="M68" s="69"/>
      <c r="N68" s="44"/>
    </row>
    <row r="69" spans="3:14" ht="12.75">
      <c r="C69" s="2" t="s">
        <v>294</v>
      </c>
      <c r="J69" s="238">
        <f>J4+J6+J7+J8+J9+J10+J11+J12+J13+J14+J15+J16</f>
        <v>5000000</v>
      </c>
      <c r="L69">
        <f>SUM(L4:L17)</f>
        <v>0</v>
      </c>
      <c r="M69">
        <f>SUM(M4:M17)</f>
        <v>0</v>
      </c>
      <c r="N69">
        <f>SUM(N4:N17)</f>
        <v>0</v>
      </c>
    </row>
    <row r="70" ht="12.75">
      <c r="J70" s="139">
        <f>SUM(J4:J68)-J4-J6-J7-J8-J9-J10-J11-J12-J13-J14-J15-J16</f>
        <v>5000000</v>
      </c>
    </row>
  </sheetData>
  <autoFilter ref="A3:Q69"/>
  <printOptions horizontalCentered="1"/>
  <pageMargins left="0.38" right="0.31" top="0.984251968503937" bottom="0.984251968503937"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outlinePr summaryBelow="0" summaryRight="0"/>
  </sheetPr>
  <dimension ref="A1:N84"/>
  <sheetViews>
    <sheetView zoomScale="75" zoomScaleNormal="75" workbookViewId="0" topLeftCell="A1">
      <selection activeCell="A1" sqref="A1"/>
    </sheetView>
  </sheetViews>
  <sheetFormatPr defaultColWidth="9.140625" defaultRowHeight="12.75" outlineLevelRow="1"/>
  <cols>
    <col min="1" max="1" width="16.140625" style="0" customWidth="1"/>
    <col min="2" max="2" width="10.7109375" style="0" customWidth="1"/>
    <col min="3" max="3" width="66.7109375" style="2" customWidth="1"/>
    <col min="4" max="4" width="96.7109375" style="2" hidden="1" customWidth="1"/>
    <col min="5" max="5" width="8.7109375" style="2" customWidth="1"/>
    <col min="6" max="6" width="6.8515625" style="2" customWidth="1"/>
    <col min="7" max="7" width="8.7109375" style="2" customWidth="1"/>
    <col min="8" max="8" width="7.7109375" style="2" customWidth="1"/>
    <col min="9" max="9" width="6.7109375" style="2" customWidth="1"/>
    <col min="10" max="10" width="15.7109375" style="139" customWidth="1"/>
    <col min="11" max="11" width="13.28125" style="0" customWidth="1"/>
    <col min="12" max="12" width="20.140625" style="0" customWidth="1"/>
    <col min="13" max="13" width="20.421875" style="0" customWidth="1"/>
    <col min="14" max="14" width="15.28125" style="0" customWidth="1"/>
  </cols>
  <sheetData>
    <row r="1" ht="21">
      <c r="C1" s="16" t="s">
        <v>181</v>
      </c>
    </row>
    <row r="2" ht="13.5" thickBot="1"/>
    <row r="3" spans="1:14" s="17" customFormat="1" ht="13.5" thickBot="1">
      <c r="A3" s="261" t="s">
        <v>514</v>
      </c>
      <c r="B3" s="262" t="s">
        <v>513</v>
      </c>
      <c r="C3" s="22" t="s">
        <v>143</v>
      </c>
      <c r="D3" s="23" t="s">
        <v>144</v>
      </c>
      <c r="E3" s="4" t="s">
        <v>284</v>
      </c>
      <c r="F3" s="4" t="s">
        <v>285</v>
      </c>
      <c r="G3" s="4" t="s">
        <v>286</v>
      </c>
      <c r="H3" s="4" t="s">
        <v>287</v>
      </c>
      <c r="I3" s="39" t="s">
        <v>288</v>
      </c>
      <c r="J3" s="234" t="s">
        <v>290</v>
      </c>
      <c r="K3" s="47" t="s">
        <v>289</v>
      </c>
      <c r="L3" s="77" t="s">
        <v>291</v>
      </c>
      <c r="M3" s="78" t="s">
        <v>292</v>
      </c>
      <c r="N3" s="79" t="s">
        <v>293</v>
      </c>
    </row>
    <row r="4" spans="1:14" s="17" customFormat="1" ht="39.75" collapsed="1" thickBot="1">
      <c r="A4" s="269">
        <v>11</v>
      </c>
      <c r="B4" s="263"/>
      <c r="C4" s="241" t="s">
        <v>522</v>
      </c>
      <c r="D4" s="30" t="s">
        <v>501</v>
      </c>
      <c r="E4" s="6">
        <v>1</v>
      </c>
      <c r="F4" s="7"/>
      <c r="G4" s="7"/>
      <c r="H4" s="7"/>
      <c r="I4" s="30"/>
      <c r="J4" s="274">
        <f>K4*Svodka!$J$1</f>
        <v>400000</v>
      </c>
      <c r="K4" s="120">
        <v>40</v>
      </c>
      <c r="L4" s="114"/>
      <c r="M4" s="115"/>
      <c r="N4" s="116"/>
    </row>
    <row r="5" spans="1:14" s="17" customFormat="1" ht="26.25" hidden="1" outlineLevel="1">
      <c r="A5" s="278"/>
      <c r="B5" s="124">
        <v>15</v>
      </c>
      <c r="C5" s="242" t="s">
        <v>454</v>
      </c>
      <c r="D5" s="31" t="s">
        <v>455</v>
      </c>
      <c r="E5" s="8"/>
      <c r="F5" s="9"/>
      <c r="G5" s="9"/>
      <c r="H5" s="9"/>
      <c r="I5" s="31"/>
      <c r="J5" s="284">
        <f>K5*Svodka!$J$1</f>
        <v>13000</v>
      </c>
      <c r="K5" s="122">
        <f>1.3</f>
        <v>1.3</v>
      </c>
      <c r="L5" s="121"/>
      <c r="M5" s="123"/>
      <c r="N5" s="124"/>
    </row>
    <row r="6" spans="1:14" s="19" customFormat="1" ht="52.5" hidden="1" outlineLevel="1">
      <c r="A6" s="49"/>
      <c r="B6" s="50">
        <v>17</v>
      </c>
      <c r="C6" s="244" t="s">
        <v>456</v>
      </c>
      <c r="D6" s="33" t="s">
        <v>457</v>
      </c>
      <c r="E6" s="12"/>
      <c r="F6" s="13"/>
      <c r="G6" s="13"/>
      <c r="H6" s="13"/>
      <c r="I6" s="33"/>
      <c r="J6" s="284">
        <f>K6*Svodka!$J$1</f>
        <v>13000</v>
      </c>
      <c r="K6" s="126">
        <f>1.3</f>
        <v>1.3</v>
      </c>
      <c r="L6" s="125"/>
      <c r="M6" s="127"/>
      <c r="N6" s="128"/>
    </row>
    <row r="7" spans="1:14" s="19" customFormat="1" ht="39" hidden="1" outlineLevel="1">
      <c r="A7" s="49"/>
      <c r="B7" s="50">
        <v>28</v>
      </c>
      <c r="C7" s="244" t="s">
        <v>466</v>
      </c>
      <c r="D7" s="33" t="s">
        <v>467</v>
      </c>
      <c r="E7" s="12"/>
      <c r="F7" s="13"/>
      <c r="G7" s="13"/>
      <c r="H7" s="13"/>
      <c r="I7" s="33"/>
      <c r="J7" s="284">
        <f>K7*Svodka!$J$1</f>
        <v>13000</v>
      </c>
      <c r="K7" s="126">
        <f>1.3</f>
        <v>1.3</v>
      </c>
      <c r="L7" s="125"/>
      <c r="M7" s="127"/>
      <c r="N7" s="128"/>
    </row>
    <row r="8" spans="1:14" s="19" customFormat="1" ht="78.75" hidden="1" outlineLevel="1">
      <c r="A8" s="49"/>
      <c r="B8" s="50">
        <v>7</v>
      </c>
      <c r="C8" s="244" t="s">
        <v>491</v>
      </c>
      <c r="D8" s="33" t="s">
        <v>492</v>
      </c>
      <c r="E8" s="12"/>
      <c r="F8" s="13"/>
      <c r="G8" s="13"/>
      <c r="H8" s="13"/>
      <c r="I8" s="33"/>
      <c r="J8" s="284">
        <f>K8*Svodka!$J$1</f>
        <v>13000</v>
      </c>
      <c r="K8" s="126">
        <f>1.3</f>
        <v>1.3</v>
      </c>
      <c r="L8" s="125"/>
      <c r="M8" s="127"/>
      <c r="N8" s="128"/>
    </row>
    <row r="9" spans="1:14" s="19" customFormat="1" ht="93" hidden="1" outlineLevel="1" thickBot="1">
      <c r="A9" s="264"/>
      <c r="B9" s="265">
        <v>27</v>
      </c>
      <c r="C9" s="243" t="s">
        <v>499</v>
      </c>
      <c r="D9" s="32" t="s">
        <v>500</v>
      </c>
      <c r="E9" s="10"/>
      <c r="F9" s="11"/>
      <c r="G9" s="11"/>
      <c r="H9" s="11"/>
      <c r="I9" s="32"/>
      <c r="J9" s="284">
        <f>K9*Svodka!$J$1</f>
        <v>13000</v>
      </c>
      <c r="K9" s="130">
        <f>1.3</f>
        <v>1.3</v>
      </c>
      <c r="L9" s="129"/>
      <c r="M9" s="131"/>
      <c r="N9" s="132"/>
    </row>
    <row r="10" spans="1:14" s="19" customFormat="1" ht="13.5" collapsed="1" thickBot="1">
      <c r="A10" s="140">
        <v>19</v>
      </c>
      <c r="B10" s="141"/>
      <c r="C10" s="241" t="s">
        <v>502</v>
      </c>
      <c r="D10" s="30" t="s">
        <v>503</v>
      </c>
      <c r="E10" s="6">
        <v>1</v>
      </c>
      <c r="F10" s="7"/>
      <c r="G10" s="7"/>
      <c r="H10" s="7"/>
      <c r="I10" s="30"/>
      <c r="J10" s="274">
        <f>K10*Svodka!$J$1</f>
        <v>600000</v>
      </c>
      <c r="K10" s="120">
        <v>60</v>
      </c>
      <c r="L10" s="114"/>
      <c r="M10" s="115"/>
      <c r="N10" s="116"/>
    </row>
    <row r="11" spans="1:14" s="19" customFormat="1" ht="13.5" hidden="1" outlineLevel="1" thickBot="1">
      <c r="A11" s="266"/>
      <c r="B11" s="267">
        <v>26</v>
      </c>
      <c r="C11" s="285" t="s">
        <v>460</v>
      </c>
      <c r="D11" s="35" t="s">
        <v>461</v>
      </c>
      <c r="E11" s="28"/>
      <c r="F11" s="29"/>
      <c r="G11" s="29"/>
      <c r="H11" s="29"/>
      <c r="I11" s="35"/>
      <c r="J11" s="284">
        <f>K11*Svodka!$J$1</f>
        <v>85000</v>
      </c>
      <c r="K11" s="133">
        <f>8.5</f>
        <v>8.5</v>
      </c>
      <c r="L11" s="117"/>
      <c r="M11" s="119"/>
      <c r="N11" s="118"/>
    </row>
    <row r="12" spans="1:14" s="19" customFormat="1" ht="13.5" thickBot="1">
      <c r="A12" s="140">
        <v>21</v>
      </c>
      <c r="B12" s="141"/>
      <c r="C12" s="241" t="s">
        <v>504</v>
      </c>
      <c r="D12" s="30" t="s">
        <v>505</v>
      </c>
      <c r="E12" s="6">
        <v>1</v>
      </c>
      <c r="F12" s="7"/>
      <c r="G12" s="7"/>
      <c r="H12" s="7"/>
      <c r="I12" s="30"/>
      <c r="J12" s="274">
        <f>K12*Svodka!$J$1</f>
        <v>1200000</v>
      </c>
      <c r="K12" s="120">
        <v>120</v>
      </c>
      <c r="L12" s="114"/>
      <c r="M12" s="115"/>
      <c r="N12" s="116"/>
    </row>
    <row r="13" spans="1:14" s="19" customFormat="1" ht="13.5" thickBot="1">
      <c r="A13" s="140">
        <v>22</v>
      </c>
      <c r="B13" s="141"/>
      <c r="C13" s="286" t="s">
        <v>506</v>
      </c>
      <c r="D13" s="36" t="s">
        <v>507</v>
      </c>
      <c r="E13" s="24">
        <v>1</v>
      </c>
      <c r="F13" s="25"/>
      <c r="G13" s="25"/>
      <c r="H13" s="25"/>
      <c r="I13" s="36"/>
      <c r="J13" s="274">
        <f>K13*Svodka!$J$1</f>
        <v>1200000</v>
      </c>
      <c r="K13" s="134">
        <v>120</v>
      </c>
      <c r="L13" s="114"/>
      <c r="M13" s="115"/>
      <c r="N13" s="116"/>
    </row>
    <row r="14" spans="1:14" s="19" customFormat="1" ht="39.75" thickBot="1">
      <c r="A14" s="140">
        <v>23</v>
      </c>
      <c r="B14" s="141"/>
      <c r="C14" s="287" t="s">
        <v>508</v>
      </c>
      <c r="D14" s="37" t="s">
        <v>509</v>
      </c>
      <c r="E14" s="26">
        <v>1</v>
      </c>
      <c r="F14" s="27"/>
      <c r="G14" s="27"/>
      <c r="H14" s="27"/>
      <c r="I14" s="37"/>
      <c r="J14" s="274">
        <f>K14*Svodka!$J$1</f>
        <v>1200000</v>
      </c>
      <c r="K14" s="135">
        <v>120</v>
      </c>
      <c r="L14" s="114"/>
      <c r="M14" s="115"/>
      <c r="N14" s="116"/>
    </row>
    <row r="15" spans="1:14" s="19" customFormat="1" ht="27" thickBot="1">
      <c r="A15" s="140">
        <v>29</v>
      </c>
      <c r="B15" s="141"/>
      <c r="C15" s="241" t="s">
        <v>510</v>
      </c>
      <c r="D15" s="30" t="s">
        <v>511</v>
      </c>
      <c r="E15" s="6">
        <v>1</v>
      </c>
      <c r="F15" s="7"/>
      <c r="G15" s="7"/>
      <c r="H15" s="7"/>
      <c r="I15" s="30"/>
      <c r="J15" s="274">
        <f>K15*Svodka!$J$1</f>
        <v>1000000</v>
      </c>
      <c r="K15" s="120">
        <v>100</v>
      </c>
      <c r="L15" s="114"/>
      <c r="M15" s="115"/>
      <c r="N15" s="116"/>
    </row>
    <row r="16" spans="1:14" s="19" customFormat="1" ht="53.25" collapsed="1" thickBot="1">
      <c r="A16" s="140">
        <v>31</v>
      </c>
      <c r="B16" s="141"/>
      <c r="C16" s="241" t="s">
        <v>512</v>
      </c>
      <c r="D16" s="30" t="s">
        <v>515</v>
      </c>
      <c r="E16" s="6">
        <v>1</v>
      </c>
      <c r="F16" s="7"/>
      <c r="G16" s="7"/>
      <c r="H16" s="7"/>
      <c r="I16" s="30"/>
      <c r="J16" s="274">
        <f>K16*Svodka!$J$1</f>
        <v>2000000</v>
      </c>
      <c r="K16" s="120">
        <v>200</v>
      </c>
      <c r="L16" s="114"/>
      <c r="M16" s="115"/>
      <c r="N16" s="116"/>
    </row>
    <row r="17" spans="1:14" s="19" customFormat="1" ht="26.25" hidden="1" outlineLevel="1">
      <c r="A17" s="53"/>
      <c r="B17" s="54">
        <v>5</v>
      </c>
      <c r="C17" s="242" t="s">
        <v>448</v>
      </c>
      <c r="D17" s="31" t="s">
        <v>449</v>
      </c>
      <c r="E17" s="8"/>
      <c r="F17" s="9"/>
      <c r="G17" s="9"/>
      <c r="H17" s="9"/>
      <c r="I17" s="31"/>
      <c r="J17" s="284">
        <f>K17*Svodka!$J$1</f>
        <v>59000</v>
      </c>
      <c r="K17" s="122">
        <f>5.9</f>
        <v>5.9</v>
      </c>
      <c r="L17" s="121"/>
      <c r="M17" s="123"/>
      <c r="N17" s="124"/>
    </row>
    <row r="18" spans="1:14" s="19" customFormat="1" ht="39.75" hidden="1" outlineLevel="1" thickBot="1">
      <c r="A18" s="49"/>
      <c r="B18" s="50">
        <v>20</v>
      </c>
      <c r="C18" s="243" t="s">
        <v>468</v>
      </c>
      <c r="D18" s="32" t="s">
        <v>469</v>
      </c>
      <c r="E18" s="10"/>
      <c r="F18" s="11"/>
      <c r="G18" s="11"/>
      <c r="H18" s="11"/>
      <c r="I18" s="32"/>
      <c r="J18" s="284">
        <f>K18*Svodka!$J$1</f>
        <v>59000</v>
      </c>
      <c r="K18" s="130">
        <f>5.9</f>
        <v>5.9</v>
      </c>
      <c r="L18" s="129"/>
      <c r="M18" s="131"/>
      <c r="N18" s="132"/>
    </row>
    <row r="19" spans="1:14" s="19" customFormat="1" ht="13.5" collapsed="1" thickBot="1">
      <c r="A19" s="280">
        <v>39</v>
      </c>
      <c r="B19" s="281"/>
      <c r="C19" s="241" t="s">
        <v>516</v>
      </c>
      <c r="D19" s="30" t="s">
        <v>517</v>
      </c>
      <c r="E19" s="6">
        <v>1</v>
      </c>
      <c r="F19" s="7"/>
      <c r="G19" s="7"/>
      <c r="H19" s="7"/>
      <c r="I19" s="30"/>
      <c r="J19" s="274">
        <f>K19*Svodka!$J$1</f>
        <v>600000</v>
      </c>
      <c r="K19" s="120">
        <v>60</v>
      </c>
      <c r="L19" s="114"/>
      <c r="M19" s="115"/>
      <c r="N19" s="116"/>
    </row>
    <row r="20" spans="1:14" s="19" customFormat="1" ht="39" hidden="1" outlineLevel="1">
      <c r="A20" s="49"/>
      <c r="B20" s="50">
        <v>33</v>
      </c>
      <c r="C20" s="242" t="s">
        <v>472</v>
      </c>
      <c r="D20" s="31" t="s">
        <v>484</v>
      </c>
      <c r="E20" s="8"/>
      <c r="F20" s="9"/>
      <c r="G20" s="9"/>
      <c r="H20" s="9"/>
      <c r="I20" s="31"/>
      <c r="J20" s="284">
        <f>K20*Svodka!$J$1</f>
        <v>35000</v>
      </c>
      <c r="K20" s="122">
        <f>3.5</f>
        <v>3.5</v>
      </c>
      <c r="L20" s="121"/>
      <c r="M20" s="123"/>
      <c r="N20" s="124"/>
    </row>
    <row r="21" spans="1:14" s="19" customFormat="1" ht="27" hidden="1" outlineLevel="1" thickBot="1">
      <c r="A21" s="264"/>
      <c r="B21" s="265">
        <v>34</v>
      </c>
      <c r="C21" s="243" t="s">
        <v>485</v>
      </c>
      <c r="D21" s="32" t="s">
        <v>486</v>
      </c>
      <c r="E21" s="10"/>
      <c r="F21" s="11"/>
      <c r="G21" s="11"/>
      <c r="H21" s="11"/>
      <c r="I21" s="32"/>
      <c r="J21" s="284">
        <f>K21*Svodka!$J$1</f>
        <v>40000</v>
      </c>
      <c r="K21" s="130">
        <f>4</f>
        <v>4</v>
      </c>
      <c r="L21" s="129"/>
      <c r="M21" s="131"/>
      <c r="N21" s="132"/>
    </row>
    <row r="22" spans="1:14" s="19" customFormat="1" ht="13.5" collapsed="1" thickBot="1">
      <c r="A22" s="140">
        <v>40</v>
      </c>
      <c r="B22" s="141"/>
      <c r="C22" s="241" t="s">
        <v>518</v>
      </c>
      <c r="D22" s="30" t="s">
        <v>519</v>
      </c>
      <c r="E22" s="6">
        <v>1</v>
      </c>
      <c r="F22" s="7"/>
      <c r="G22" s="7"/>
      <c r="H22" s="7"/>
      <c r="I22" s="30"/>
      <c r="J22" s="274">
        <f>K22*Svodka!$J$1</f>
        <v>600000</v>
      </c>
      <c r="K22" s="120">
        <v>60</v>
      </c>
      <c r="L22" s="114"/>
      <c r="M22" s="115"/>
      <c r="N22" s="116"/>
    </row>
    <row r="23" spans="1:14" s="19" customFormat="1" ht="26.25" hidden="1" outlineLevel="1">
      <c r="A23" s="53"/>
      <c r="B23" s="54">
        <v>11</v>
      </c>
      <c r="C23" s="242" t="s">
        <v>458</v>
      </c>
      <c r="D23" s="31" t="s">
        <v>459</v>
      </c>
      <c r="E23" s="8"/>
      <c r="F23" s="9"/>
      <c r="G23" s="9"/>
      <c r="H23" s="9"/>
      <c r="I23" s="31"/>
      <c r="J23" s="284">
        <f>K23*Svodka!$J$1</f>
        <v>18200</v>
      </c>
      <c r="K23" s="122">
        <f>1.82</f>
        <v>1.82</v>
      </c>
      <c r="L23" s="121"/>
      <c r="M23" s="123"/>
      <c r="N23" s="124"/>
    </row>
    <row r="24" spans="1:14" s="19" customFormat="1" ht="12.75" hidden="1" outlineLevel="1">
      <c r="A24" s="49"/>
      <c r="B24" s="50">
        <v>17</v>
      </c>
      <c r="C24" s="244" t="s">
        <v>487</v>
      </c>
      <c r="D24" s="33" t="s">
        <v>488</v>
      </c>
      <c r="E24" s="12"/>
      <c r="F24" s="13"/>
      <c r="G24" s="13"/>
      <c r="H24" s="13"/>
      <c r="I24" s="33"/>
      <c r="J24" s="284">
        <f>K24*Svodka!$J$1</f>
        <v>18200</v>
      </c>
      <c r="K24" s="126">
        <f>1.82</f>
        <v>1.82</v>
      </c>
      <c r="L24" s="125"/>
      <c r="M24" s="127"/>
      <c r="N24" s="128"/>
    </row>
    <row r="25" spans="1:14" s="19" customFormat="1" ht="12.75" hidden="1" outlineLevel="1">
      <c r="A25" s="49"/>
      <c r="B25" s="50">
        <v>16</v>
      </c>
      <c r="C25" s="244" t="s">
        <v>493</v>
      </c>
      <c r="D25" s="33" t="s">
        <v>494</v>
      </c>
      <c r="E25" s="12"/>
      <c r="F25" s="13"/>
      <c r="G25" s="13"/>
      <c r="H25" s="13"/>
      <c r="I25" s="33"/>
      <c r="J25" s="284">
        <f>K25*Svodka!$J$1</f>
        <v>18200</v>
      </c>
      <c r="K25" s="126">
        <f>1.82</f>
        <v>1.82</v>
      </c>
      <c r="L25" s="125"/>
      <c r="M25" s="127"/>
      <c r="N25" s="128"/>
    </row>
    <row r="26" spans="1:14" s="19" customFormat="1" ht="39.75" hidden="1" outlineLevel="1" thickBot="1">
      <c r="A26" s="264"/>
      <c r="B26" s="265">
        <v>37</v>
      </c>
      <c r="C26" s="243" t="s">
        <v>497</v>
      </c>
      <c r="D26" s="32" t="s">
        <v>498</v>
      </c>
      <c r="E26" s="10"/>
      <c r="F26" s="11"/>
      <c r="G26" s="11"/>
      <c r="H26" s="11"/>
      <c r="I26" s="32"/>
      <c r="J26" s="284">
        <f>K26*Svodka!$J$1</f>
        <v>18200</v>
      </c>
      <c r="K26" s="130">
        <f>1.82</f>
        <v>1.82</v>
      </c>
      <c r="L26" s="129"/>
      <c r="M26" s="131"/>
      <c r="N26" s="132"/>
    </row>
    <row r="27" spans="1:14" s="19" customFormat="1" ht="27" thickBot="1">
      <c r="A27" s="140">
        <v>42</v>
      </c>
      <c r="B27" s="141"/>
      <c r="C27" s="241" t="s">
        <v>520</v>
      </c>
      <c r="D27" s="30" t="s">
        <v>521</v>
      </c>
      <c r="E27" s="6">
        <v>1</v>
      </c>
      <c r="F27" s="7"/>
      <c r="G27" s="7"/>
      <c r="H27" s="7"/>
      <c r="I27" s="30"/>
      <c r="J27" s="274">
        <f>K27*Svodka!$J$1</f>
        <v>1200000</v>
      </c>
      <c r="K27" s="120">
        <v>120</v>
      </c>
      <c r="L27" s="114"/>
      <c r="M27" s="115"/>
      <c r="N27" s="116"/>
    </row>
    <row r="28" spans="1:14" s="19" customFormat="1" ht="13.5" collapsed="1" thickBot="1">
      <c r="A28" s="140"/>
      <c r="B28" s="141"/>
      <c r="C28" s="241" t="s">
        <v>142</v>
      </c>
      <c r="D28" s="30"/>
      <c r="E28" s="6"/>
      <c r="F28" s="7"/>
      <c r="G28" s="7"/>
      <c r="H28" s="7"/>
      <c r="I28" s="30"/>
      <c r="J28" s="274"/>
      <c r="K28" s="120"/>
      <c r="L28" s="114"/>
      <c r="M28" s="115"/>
      <c r="N28" s="116"/>
    </row>
    <row r="29" spans="1:14" s="19" customFormat="1" ht="26.25" hidden="1" outlineLevel="1">
      <c r="A29" s="53"/>
      <c r="B29" s="54">
        <v>41</v>
      </c>
      <c r="C29" s="242" t="s">
        <v>128</v>
      </c>
      <c r="D29" s="31" t="s">
        <v>129</v>
      </c>
      <c r="E29" s="8"/>
      <c r="F29" s="9"/>
      <c r="G29" s="9"/>
      <c r="H29" s="9"/>
      <c r="I29" s="31"/>
      <c r="J29" s="284">
        <f>K29*Svodka!$J$1</f>
        <v>72000</v>
      </c>
      <c r="K29" s="74">
        <f>1.3+5.9</f>
        <v>7.2</v>
      </c>
      <c r="L29" s="53"/>
      <c r="M29" s="55"/>
      <c r="N29" s="54"/>
    </row>
    <row r="30" spans="1:14" s="19" customFormat="1" ht="26.25" hidden="1" outlineLevel="1">
      <c r="A30" s="49"/>
      <c r="B30" s="50">
        <v>14</v>
      </c>
      <c r="C30" s="244" t="s">
        <v>61</v>
      </c>
      <c r="D30" s="33" t="s">
        <v>62</v>
      </c>
      <c r="E30" s="12"/>
      <c r="F30" s="13"/>
      <c r="G30" s="13"/>
      <c r="H30" s="13"/>
      <c r="I30" s="33"/>
      <c r="J30" s="284">
        <f>K30*Svodka!$J$1</f>
        <v>300000</v>
      </c>
      <c r="K30" s="75">
        <f>30</f>
        <v>30</v>
      </c>
      <c r="L30" s="49"/>
      <c r="M30" s="48"/>
      <c r="N30" s="50"/>
    </row>
    <row r="31" spans="1:14" s="19" customFormat="1" ht="52.5" hidden="1" outlineLevel="1">
      <c r="A31" s="49"/>
      <c r="B31" s="50">
        <v>21</v>
      </c>
      <c r="C31" s="244" t="s">
        <v>442</v>
      </c>
      <c r="D31" s="33" t="s">
        <v>443</v>
      </c>
      <c r="E31" s="12"/>
      <c r="F31" s="13"/>
      <c r="G31" s="13"/>
      <c r="H31" s="13"/>
      <c r="I31" s="33"/>
      <c r="J31" s="284">
        <f>K31*Svodka!$J$1</f>
        <v>197000.00000000003</v>
      </c>
      <c r="K31" s="75">
        <f>1.3+9+5.9+3.5</f>
        <v>19.700000000000003</v>
      </c>
      <c r="L31" s="49"/>
      <c r="M31" s="48"/>
      <c r="N31" s="50"/>
    </row>
    <row r="32" spans="1:14" s="19" customFormat="1" ht="105" hidden="1" outlineLevel="1">
      <c r="A32" s="49"/>
      <c r="B32" s="50">
        <v>18</v>
      </c>
      <c r="C32" s="244" t="s">
        <v>464</v>
      </c>
      <c r="D32" s="33" t="s">
        <v>465</v>
      </c>
      <c r="E32" s="12"/>
      <c r="F32" s="13"/>
      <c r="G32" s="13"/>
      <c r="H32" s="13"/>
      <c r="I32" s="33"/>
      <c r="J32" s="284">
        <f>K32*Svodka!$J$1</f>
        <v>90200</v>
      </c>
      <c r="K32" s="75">
        <f>1.3+5.9+1.82</f>
        <v>9.02</v>
      </c>
      <c r="L32" s="49"/>
      <c r="M32" s="48"/>
      <c r="N32" s="50"/>
    </row>
    <row r="33" spans="1:14" s="19" customFormat="1" ht="52.5" hidden="1" outlineLevel="1">
      <c r="A33" s="49"/>
      <c r="B33" s="50">
        <v>6</v>
      </c>
      <c r="C33" s="244" t="s">
        <v>450</v>
      </c>
      <c r="D33" s="33" t="s">
        <v>451</v>
      </c>
      <c r="E33" s="12"/>
      <c r="F33" s="13"/>
      <c r="G33" s="13"/>
      <c r="H33" s="13"/>
      <c r="I33" s="33"/>
      <c r="J33" s="284">
        <f>K33*Svodka!$J$1</f>
        <v>31200</v>
      </c>
      <c r="K33" s="75">
        <f>1.3+1.82</f>
        <v>3.12</v>
      </c>
      <c r="L33" s="49"/>
      <c r="M33" s="48"/>
      <c r="N33" s="50"/>
    </row>
    <row r="34" spans="1:14" s="19" customFormat="1" ht="39" hidden="1" outlineLevel="1">
      <c r="A34" s="49"/>
      <c r="B34" s="50">
        <v>13</v>
      </c>
      <c r="C34" s="244" t="s">
        <v>495</v>
      </c>
      <c r="D34" s="33" t="s">
        <v>496</v>
      </c>
      <c r="E34" s="12"/>
      <c r="F34" s="13"/>
      <c r="G34" s="13"/>
      <c r="H34" s="13"/>
      <c r="I34" s="33"/>
      <c r="J34" s="284">
        <f>K34*Svodka!$J$1</f>
        <v>31200</v>
      </c>
      <c r="K34" s="75">
        <f>1.3+1.82</f>
        <v>3.12</v>
      </c>
      <c r="L34" s="49"/>
      <c r="M34" s="48"/>
      <c r="N34" s="50"/>
    </row>
    <row r="35" spans="1:14" s="19" customFormat="1" ht="39" hidden="1" outlineLevel="1">
      <c r="A35" s="49"/>
      <c r="B35" s="50">
        <v>22</v>
      </c>
      <c r="C35" s="244" t="s">
        <v>105</v>
      </c>
      <c r="D35" s="33" t="s">
        <v>106</v>
      </c>
      <c r="E35" s="12"/>
      <c r="F35" s="13"/>
      <c r="G35" s="13"/>
      <c r="H35" s="13"/>
      <c r="I35" s="33"/>
      <c r="J35" s="284">
        <f>K35*Svodka!$J$1</f>
        <v>144000</v>
      </c>
      <c r="K35" s="75">
        <f>8.5+5.9</f>
        <v>14.4</v>
      </c>
      <c r="L35" s="49"/>
      <c r="M35" s="48"/>
      <c r="N35" s="50"/>
    </row>
    <row r="36" spans="1:14" s="19" customFormat="1" ht="52.5" hidden="1" outlineLevel="1">
      <c r="A36" s="49"/>
      <c r="B36" s="50">
        <v>21</v>
      </c>
      <c r="C36" s="244" t="s">
        <v>153</v>
      </c>
      <c r="D36" s="33" t="s">
        <v>154</v>
      </c>
      <c r="E36" s="12"/>
      <c r="F36" s="13"/>
      <c r="G36" s="13"/>
      <c r="H36" s="13"/>
      <c r="I36" s="33"/>
      <c r="J36" s="284">
        <f>K36*Svodka!$J$1</f>
        <v>31200</v>
      </c>
      <c r="K36" s="75">
        <f>1.3+1.82</f>
        <v>3.12</v>
      </c>
      <c r="L36" s="49"/>
      <c r="M36" s="48"/>
      <c r="N36" s="50"/>
    </row>
    <row r="37" spans="1:14" s="19" customFormat="1" ht="39" hidden="1" outlineLevel="1">
      <c r="A37" s="49"/>
      <c r="B37" s="50">
        <v>22</v>
      </c>
      <c r="C37" s="244" t="s">
        <v>176</v>
      </c>
      <c r="D37" s="33" t="s">
        <v>177</v>
      </c>
      <c r="E37" s="12"/>
      <c r="F37" s="13"/>
      <c r="G37" s="13"/>
      <c r="H37" s="13"/>
      <c r="I37" s="33"/>
      <c r="J37" s="284">
        <f>K37*Svodka!$J$1</f>
        <v>31200</v>
      </c>
      <c r="K37" s="75">
        <f>1.3+1.82</f>
        <v>3.12</v>
      </c>
      <c r="L37" s="49"/>
      <c r="M37" s="48"/>
      <c r="N37" s="50"/>
    </row>
    <row r="38" spans="1:14" s="19" customFormat="1" ht="26.25" hidden="1" outlineLevel="1">
      <c r="A38" s="49"/>
      <c r="B38" s="50">
        <v>7</v>
      </c>
      <c r="C38" s="244" t="s">
        <v>446</v>
      </c>
      <c r="D38" s="33" t="s">
        <v>447</v>
      </c>
      <c r="E38" s="12"/>
      <c r="F38" s="13"/>
      <c r="G38" s="13"/>
      <c r="H38" s="13"/>
      <c r="I38" s="33"/>
      <c r="J38" s="284">
        <f>K38*Svodka!$J$1</f>
        <v>144000</v>
      </c>
      <c r="K38" s="75">
        <f>8.5+5.9</f>
        <v>14.4</v>
      </c>
      <c r="L38" s="49"/>
      <c r="M38" s="48"/>
      <c r="N38" s="50"/>
    </row>
    <row r="39" spans="1:14" s="19" customFormat="1" ht="52.5" hidden="1" outlineLevel="1">
      <c r="A39" s="49"/>
      <c r="B39" s="50">
        <v>5</v>
      </c>
      <c r="C39" s="244" t="s">
        <v>35</v>
      </c>
      <c r="D39" s="33" t="s">
        <v>36</v>
      </c>
      <c r="E39" s="12"/>
      <c r="F39" s="13"/>
      <c r="G39" s="13"/>
      <c r="H39" s="13"/>
      <c r="I39" s="33"/>
      <c r="J39" s="284">
        <f>K39*Svodka!$J$1</f>
        <v>497200</v>
      </c>
      <c r="K39" s="75">
        <f>8.5+30+5.9+3.5+1.82</f>
        <v>49.72</v>
      </c>
      <c r="L39" s="49"/>
      <c r="M39" s="48"/>
      <c r="N39" s="50"/>
    </row>
    <row r="40" spans="1:14" s="19" customFormat="1" ht="39" hidden="1" outlineLevel="1">
      <c r="A40" s="49"/>
      <c r="B40" s="50">
        <v>13</v>
      </c>
      <c r="C40" s="244" t="s">
        <v>59</v>
      </c>
      <c r="D40" s="33" t="s">
        <v>60</v>
      </c>
      <c r="E40" s="12"/>
      <c r="F40" s="13"/>
      <c r="G40" s="13"/>
      <c r="H40" s="13"/>
      <c r="I40" s="33"/>
      <c r="J40" s="284">
        <f>K40*Svodka!$J$1</f>
        <v>59000</v>
      </c>
      <c r="K40" s="75">
        <f>5.9</f>
        <v>5.9</v>
      </c>
      <c r="L40" s="49"/>
      <c r="M40" s="48"/>
      <c r="N40" s="50"/>
    </row>
    <row r="41" spans="1:14" s="19" customFormat="1" ht="26.25" hidden="1" outlineLevel="1">
      <c r="A41" s="49"/>
      <c r="B41" s="50">
        <v>26</v>
      </c>
      <c r="C41" s="244" t="s">
        <v>111</v>
      </c>
      <c r="D41" s="33" t="s">
        <v>112</v>
      </c>
      <c r="E41" s="12"/>
      <c r="F41" s="13"/>
      <c r="G41" s="13"/>
      <c r="H41" s="13"/>
      <c r="I41" s="33"/>
      <c r="J41" s="284">
        <f>K41*Svodka!$J$1</f>
        <v>825200</v>
      </c>
      <c r="K41" s="75">
        <f>1.3+30+40+5.9+3.5+1.82</f>
        <v>82.52</v>
      </c>
      <c r="L41" s="49"/>
      <c r="M41" s="48"/>
      <c r="N41" s="50"/>
    </row>
    <row r="42" spans="1:14" s="19" customFormat="1" ht="52.5" hidden="1" outlineLevel="1">
      <c r="A42" s="49"/>
      <c r="B42" s="50">
        <v>19</v>
      </c>
      <c r="C42" s="244" t="s">
        <v>101</v>
      </c>
      <c r="D42" s="33" t="s">
        <v>102</v>
      </c>
      <c r="E42" s="12"/>
      <c r="F42" s="13"/>
      <c r="G42" s="13"/>
      <c r="H42" s="13"/>
      <c r="I42" s="33"/>
      <c r="J42" s="284">
        <f>K42*Svodka!$J$1</f>
        <v>59000</v>
      </c>
      <c r="K42" s="75">
        <f>5.9</f>
        <v>5.9</v>
      </c>
      <c r="L42" s="49"/>
      <c r="M42" s="48"/>
      <c r="N42" s="50"/>
    </row>
    <row r="43" spans="1:14" s="19" customFormat="1" ht="26.25" hidden="1" outlineLevel="1">
      <c r="A43" s="49"/>
      <c r="B43" s="50">
        <v>25</v>
      </c>
      <c r="C43" s="244" t="s">
        <v>231</v>
      </c>
      <c r="D43" s="33" t="s">
        <v>232</v>
      </c>
      <c r="E43" s="12"/>
      <c r="F43" s="13"/>
      <c r="G43" s="13"/>
      <c r="H43" s="13"/>
      <c r="I43" s="33"/>
      <c r="J43" s="284">
        <f>K43*Svodka!$J$1</f>
        <v>107000</v>
      </c>
      <c r="K43" s="75">
        <f>1.3+5.9+3.5</f>
        <v>10.7</v>
      </c>
      <c r="L43" s="49"/>
      <c r="M43" s="48"/>
      <c r="N43" s="50"/>
    </row>
    <row r="44" spans="1:14" s="19" customFormat="1" ht="39" hidden="1" outlineLevel="1">
      <c r="A44" s="49"/>
      <c r="B44" s="50">
        <v>24</v>
      </c>
      <c r="C44" s="244" t="s">
        <v>229</v>
      </c>
      <c r="D44" s="33" t="s">
        <v>230</v>
      </c>
      <c r="E44" s="12"/>
      <c r="F44" s="13"/>
      <c r="G44" s="13"/>
      <c r="H44" s="13"/>
      <c r="I44" s="33"/>
      <c r="J44" s="284">
        <f>K44*Svodka!$J$1</f>
        <v>13000</v>
      </c>
      <c r="K44" s="75">
        <f>1.3</f>
        <v>1.3</v>
      </c>
      <c r="L44" s="49"/>
      <c r="M44" s="48"/>
      <c r="N44" s="50"/>
    </row>
    <row r="45" spans="1:14" s="19" customFormat="1" ht="26.25" hidden="1" outlineLevel="1">
      <c r="A45" s="49"/>
      <c r="B45" s="50">
        <v>23</v>
      </c>
      <c r="C45" s="244" t="s">
        <v>441</v>
      </c>
      <c r="D45" s="33" t="s">
        <v>536</v>
      </c>
      <c r="E45" s="12"/>
      <c r="F45" s="13"/>
      <c r="G45" s="13"/>
      <c r="H45" s="13"/>
      <c r="I45" s="33"/>
      <c r="J45" s="284">
        <f>K45*Svodka!$J$1</f>
        <v>317600</v>
      </c>
      <c r="K45" s="75">
        <f>30+1.76</f>
        <v>31.76</v>
      </c>
      <c r="L45" s="49"/>
      <c r="M45" s="48"/>
      <c r="N45" s="50"/>
    </row>
    <row r="46" spans="1:14" s="19" customFormat="1" ht="12.75" hidden="1" outlineLevel="1">
      <c r="A46" s="49"/>
      <c r="B46" s="50">
        <v>40</v>
      </c>
      <c r="C46" s="244" t="s">
        <v>545</v>
      </c>
      <c r="D46" s="33" t="s">
        <v>546</v>
      </c>
      <c r="E46" s="12"/>
      <c r="F46" s="13"/>
      <c r="G46" s="13"/>
      <c r="H46" s="13"/>
      <c r="I46" s="33"/>
      <c r="J46" s="284">
        <f>K46*Svodka!$J$1</f>
        <v>359000</v>
      </c>
      <c r="K46" s="75">
        <f>30+5.9</f>
        <v>35.9</v>
      </c>
      <c r="L46" s="49"/>
      <c r="M46" s="48"/>
      <c r="N46" s="50"/>
    </row>
    <row r="47" spans="1:14" s="19" customFormat="1" ht="12.75" hidden="1" outlineLevel="1">
      <c r="A47" s="49"/>
      <c r="B47" s="50">
        <v>11</v>
      </c>
      <c r="C47" s="244" t="s">
        <v>254</v>
      </c>
      <c r="D47" s="33" t="s">
        <v>436</v>
      </c>
      <c r="E47" s="12"/>
      <c r="F47" s="13"/>
      <c r="G47" s="13"/>
      <c r="H47" s="13"/>
      <c r="I47" s="33"/>
      <c r="J47" s="284">
        <f>K47*Svodka!$J$1</f>
        <v>98000</v>
      </c>
      <c r="K47" s="75">
        <f>1+5.3+3.5</f>
        <v>9.8</v>
      </c>
      <c r="L47" s="49"/>
      <c r="M47" s="48"/>
      <c r="N47" s="50"/>
    </row>
    <row r="48" spans="1:14" s="19" customFormat="1" ht="52.5" hidden="1" outlineLevel="1">
      <c r="A48" s="49"/>
      <c r="B48" s="50">
        <v>29</v>
      </c>
      <c r="C48" s="244" t="s">
        <v>430</v>
      </c>
      <c r="D48" s="33" t="s">
        <v>431</v>
      </c>
      <c r="E48" s="12"/>
      <c r="F48" s="13"/>
      <c r="G48" s="13"/>
      <c r="H48" s="13"/>
      <c r="I48" s="33"/>
      <c r="J48" s="284">
        <f>K48*Svodka!$J$1</f>
        <v>90200</v>
      </c>
      <c r="K48" s="75">
        <f>1.3+5.9+1.82</f>
        <v>9.02</v>
      </c>
      <c r="L48" s="49"/>
      <c r="M48" s="48"/>
      <c r="N48" s="50"/>
    </row>
    <row r="49" spans="1:14" s="19" customFormat="1" ht="12.75" hidden="1" outlineLevel="1">
      <c r="A49" s="49"/>
      <c r="B49" s="50">
        <v>21</v>
      </c>
      <c r="C49" s="244" t="s">
        <v>434</v>
      </c>
      <c r="D49" s="33" t="s">
        <v>435</v>
      </c>
      <c r="E49" s="12"/>
      <c r="F49" s="13"/>
      <c r="G49" s="13"/>
      <c r="H49" s="13"/>
      <c r="I49" s="33"/>
      <c r="J49" s="284">
        <f>K49*Svodka!$J$1</f>
        <v>77200</v>
      </c>
      <c r="K49" s="75">
        <f>5.9+1.82</f>
        <v>7.720000000000001</v>
      </c>
      <c r="L49" s="49"/>
      <c r="M49" s="48"/>
      <c r="N49" s="50"/>
    </row>
    <row r="50" spans="1:14" s="19" customFormat="1" ht="39" hidden="1" outlineLevel="1">
      <c r="A50" s="49"/>
      <c r="B50" s="50">
        <v>8</v>
      </c>
      <c r="C50" s="244" t="s">
        <v>414</v>
      </c>
      <c r="D50" s="33" t="s">
        <v>415</v>
      </c>
      <c r="E50" s="12"/>
      <c r="F50" s="13"/>
      <c r="G50" s="13"/>
      <c r="H50" s="13"/>
      <c r="I50" s="33"/>
      <c r="J50" s="284">
        <f>K50*Svodka!$J$1</f>
        <v>59000</v>
      </c>
      <c r="K50" s="75">
        <f>5.9</f>
        <v>5.9</v>
      </c>
      <c r="L50" s="49"/>
      <c r="M50" s="48"/>
      <c r="N50" s="50"/>
    </row>
    <row r="51" spans="1:14" s="19" customFormat="1" ht="26.25" hidden="1" outlineLevel="1">
      <c r="A51" s="49"/>
      <c r="B51" s="50">
        <v>20</v>
      </c>
      <c r="C51" s="244" t="s">
        <v>432</v>
      </c>
      <c r="D51" s="33" t="s">
        <v>433</v>
      </c>
      <c r="E51" s="12"/>
      <c r="F51" s="13"/>
      <c r="G51" s="13"/>
      <c r="H51" s="13"/>
      <c r="I51" s="33"/>
      <c r="J51" s="284">
        <f>K51*Svodka!$J$1</f>
        <v>94000</v>
      </c>
      <c r="K51" s="75">
        <f>5.9+3.5</f>
        <v>9.4</v>
      </c>
      <c r="L51" s="49"/>
      <c r="M51" s="48"/>
      <c r="N51" s="50"/>
    </row>
    <row r="52" spans="1:14" s="19" customFormat="1" ht="26.25" hidden="1" outlineLevel="1">
      <c r="A52" s="49"/>
      <c r="B52" s="50">
        <v>12</v>
      </c>
      <c r="C52" s="244" t="s">
        <v>437</v>
      </c>
      <c r="D52" s="33" t="s">
        <v>438</v>
      </c>
      <c r="E52" s="12"/>
      <c r="F52" s="13"/>
      <c r="G52" s="13"/>
      <c r="H52" s="13"/>
      <c r="I52" s="33"/>
      <c r="J52" s="284">
        <f>K52*Svodka!$J$1</f>
        <v>90200</v>
      </c>
      <c r="K52" s="75">
        <f>1.3+5.9+1.82</f>
        <v>9.02</v>
      </c>
      <c r="L52" s="49"/>
      <c r="M52" s="48"/>
      <c r="N52" s="50"/>
    </row>
    <row r="53" spans="1:14" s="19" customFormat="1" ht="39" hidden="1" outlineLevel="1">
      <c r="A53" s="49"/>
      <c r="B53" s="50">
        <v>36</v>
      </c>
      <c r="C53" s="244" t="s">
        <v>537</v>
      </c>
      <c r="D53" s="33" t="s">
        <v>538</v>
      </c>
      <c r="E53" s="12"/>
      <c r="F53" s="13"/>
      <c r="G53" s="13"/>
      <c r="H53" s="13"/>
      <c r="I53" s="33"/>
      <c r="J53" s="284">
        <f>K53*Svodka!$J$1</f>
        <v>318200</v>
      </c>
      <c r="K53" s="75">
        <f>30+1.82</f>
        <v>31.82</v>
      </c>
      <c r="L53" s="49"/>
      <c r="M53" s="48"/>
      <c r="N53" s="50"/>
    </row>
    <row r="54" spans="1:14" s="19" customFormat="1" ht="26.25" hidden="1" outlineLevel="1">
      <c r="A54" s="49"/>
      <c r="B54" s="50">
        <v>22</v>
      </c>
      <c r="C54" s="244" t="s">
        <v>439</v>
      </c>
      <c r="D54" s="33" t="s">
        <v>440</v>
      </c>
      <c r="E54" s="12"/>
      <c r="F54" s="13"/>
      <c r="G54" s="13"/>
      <c r="H54" s="13"/>
      <c r="I54" s="33"/>
      <c r="J54" s="284">
        <f>K54*Svodka!$J$1</f>
        <v>577200</v>
      </c>
      <c r="K54" s="75">
        <f>50+5.9+1.82</f>
        <v>57.72</v>
      </c>
      <c r="L54" s="49"/>
      <c r="M54" s="48"/>
      <c r="N54" s="50"/>
    </row>
    <row r="55" spans="1:14" s="19" customFormat="1" ht="39" hidden="1" outlineLevel="1">
      <c r="A55" s="49"/>
      <c r="B55" s="50">
        <v>25</v>
      </c>
      <c r="C55" s="244" t="s">
        <v>543</v>
      </c>
      <c r="D55" s="33" t="s">
        <v>544</v>
      </c>
      <c r="E55" s="12"/>
      <c r="F55" s="13"/>
      <c r="G55" s="13"/>
      <c r="H55" s="13"/>
      <c r="I55" s="33"/>
      <c r="J55" s="284">
        <f>K55*Svodka!$J$1</f>
        <v>77200</v>
      </c>
      <c r="K55" s="75">
        <f>5.9+1.82</f>
        <v>7.720000000000001</v>
      </c>
      <c r="L55" s="49"/>
      <c r="M55" s="48"/>
      <c r="N55" s="50"/>
    </row>
    <row r="56" spans="1:14" s="19" customFormat="1" ht="66" hidden="1" outlineLevel="1">
      <c r="A56" s="49"/>
      <c r="B56" s="50">
        <v>20</v>
      </c>
      <c r="C56" s="244" t="s">
        <v>428</v>
      </c>
      <c r="D56" s="33" t="s">
        <v>429</v>
      </c>
      <c r="E56" s="12"/>
      <c r="F56" s="13"/>
      <c r="G56" s="13"/>
      <c r="H56" s="13"/>
      <c r="I56" s="33"/>
      <c r="J56" s="284">
        <f>K56*Svodka!$J$1</f>
        <v>1112200</v>
      </c>
      <c r="K56" s="75">
        <f>30+30+40+5.9+3.5+1.82</f>
        <v>111.22</v>
      </c>
      <c r="L56" s="49"/>
      <c r="M56" s="48"/>
      <c r="N56" s="50"/>
    </row>
    <row r="57" spans="1:14" s="19" customFormat="1" ht="39" hidden="1" outlineLevel="1">
      <c r="A57" s="49"/>
      <c r="B57" s="50">
        <v>3</v>
      </c>
      <c r="C57" s="244" t="s">
        <v>281</v>
      </c>
      <c r="D57" s="33" t="s">
        <v>282</v>
      </c>
      <c r="E57" s="12"/>
      <c r="F57" s="13"/>
      <c r="G57" s="13"/>
      <c r="H57" s="13"/>
      <c r="I57" s="33"/>
      <c r="J57" s="284">
        <f>K57*Svodka!$J$1</f>
        <v>466200</v>
      </c>
      <c r="K57" s="75">
        <f>1.3+3.5+1.82+40</f>
        <v>46.62</v>
      </c>
      <c r="L57" s="49"/>
      <c r="M57" s="48"/>
      <c r="N57" s="50"/>
    </row>
    <row r="58" spans="1:14" s="19" customFormat="1" ht="26.25" hidden="1" outlineLevel="1">
      <c r="A58" s="49"/>
      <c r="B58" s="50">
        <v>25</v>
      </c>
      <c r="C58" s="244" t="s">
        <v>109</v>
      </c>
      <c r="D58" s="33" t="s">
        <v>110</v>
      </c>
      <c r="E58" s="12"/>
      <c r="F58" s="13"/>
      <c r="G58" s="13"/>
      <c r="H58" s="13"/>
      <c r="I58" s="33"/>
      <c r="J58" s="284">
        <f>K58*Svodka!$J$1</f>
        <v>18200</v>
      </c>
      <c r="K58" s="75">
        <f>1.82</f>
        <v>1.82</v>
      </c>
      <c r="L58" s="49"/>
      <c r="M58" s="48"/>
      <c r="N58" s="50"/>
    </row>
    <row r="59" spans="1:14" s="19" customFormat="1" ht="26.25" hidden="1" outlineLevel="1">
      <c r="A59" s="49"/>
      <c r="B59" s="50">
        <v>31</v>
      </c>
      <c r="C59" s="244" t="s">
        <v>124</v>
      </c>
      <c r="D59" s="33" t="s">
        <v>125</v>
      </c>
      <c r="E59" s="12"/>
      <c r="F59" s="13"/>
      <c r="G59" s="13"/>
      <c r="H59" s="13"/>
      <c r="I59" s="33"/>
      <c r="J59" s="284">
        <f>K59*Svodka!$J$1</f>
        <v>18200</v>
      </c>
      <c r="K59" s="75">
        <f>1.82</f>
        <v>1.82</v>
      </c>
      <c r="L59" s="49"/>
      <c r="M59" s="48"/>
      <c r="N59" s="50"/>
    </row>
    <row r="60" spans="1:14" s="19" customFormat="1" ht="52.5" hidden="1" outlineLevel="1">
      <c r="A60" s="49"/>
      <c r="B60" s="50">
        <v>15</v>
      </c>
      <c r="C60" s="244" t="s">
        <v>255</v>
      </c>
      <c r="D60" s="33" t="s">
        <v>63</v>
      </c>
      <c r="E60" s="12"/>
      <c r="F60" s="13"/>
      <c r="G60" s="13"/>
      <c r="H60" s="13"/>
      <c r="I60" s="33"/>
      <c r="J60" s="284">
        <f>K60*Svodka!$J$1</f>
        <v>35000</v>
      </c>
      <c r="K60" s="75">
        <f>3.5</f>
        <v>3.5</v>
      </c>
      <c r="L60" s="49"/>
      <c r="M60" s="48"/>
      <c r="N60" s="50"/>
    </row>
    <row r="61" spans="1:14" s="19" customFormat="1" ht="52.5" hidden="1" outlineLevel="1">
      <c r="A61" s="49"/>
      <c r="B61" s="50">
        <v>6</v>
      </c>
      <c r="C61" s="244" t="s">
        <v>51</v>
      </c>
      <c r="D61" s="33" t="s">
        <v>52</v>
      </c>
      <c r="E61" s="12"/>
      <c r="F61" s="13"/>
      <c r="G61" s="13"/>
      <c r="H61" s="13"/>
      <c r="I61" s="33"/>
      <c r="J61" s="284">
        <f>K61*Svodka!$J$1</f>
        <v>144000</v>
      </c>
      <c r="K61" s="75">
        <f>8.5+5.9</f>
        <v>14.4</v>
      </c>
      <c r="L61" s="49"/>
      <c r="M61" s="48"/>
      <c r="N61" s="50"/>
    </row>
    <row r="62" spans="1:14" s="19" customFormat="1" ht="12.75" hidden="1" outlineLevel="1">
      <c r="A62" s="49"/>
      <c r="B62" s="50">
        <v>8</v>
      </c>
      <c r="C62" s="244" t="s">
        <v>115</v>
      </c>
      <c r="D62" s="33" t="s">
        <v>116</v>
      </c>
      <c r="E62" s="12"/>
      <c r="F62" s="13"/>
      <c r="G62" s="13"/>
      <c r="H62" s="13"/>
      <c r="I62" s="33"/>
      <c r="J62" s="284">
        <f>K62*Svodka!$J$1</f>
        <v>59000</v>
      </c>
      <c r="K62" s="75">
        <f>5.9</f>
        <v>5.9</v>
      </c>
      <c r="L62" s="49"/>
      <c r="M62" s="48"/>
      <c r="N62" s="50"/>
    </row>
    <row r="63" spans="1:14" ht="66" hidden="1" outlineLevel="1">
      <c r="A63" s="41"/>
      <c r="B63" s="42">
        <v>13</v>
      </c>
      <c r="C63" s="244" t="s">
        <v>452</v>
      </c>
      <c r="D63" s="33" t="s">
        <v>453</v>
      </c>
      <c r="E63" s="12"/>
      <c r="F63" s="13"/>
      <c r="G63" s="13"/>
      <c r="H63" s="13"/>
      <c r="I63" s="33"/>
      <c r="J63" s="284">
        <f>K63*Svodka!$J$1</f>
        <v>72000</v>
      </c>
      <c r="K63" s="81">
        <f>1.3+5.9</f>
        <v>7.2</v>
      </c>
      <c r="L63" s="41"/>
      <c r="M63" s="40"/>
      <c r="N63" s="42"/>
    </row>
    <row r="64" spans="1:14" ht="78.75" hidden="1" outlineLevel="1">
      <c r="A64" s="41"/>
      <c r="B64" s="42">
        <v>8</v>
      </c>
      <c r="C64" s="244" t="s">
        <v>283</v>
      </c>
      <c r="D64" s="33" t="s">
        <v>413</v>
      </c>
      <c r="E64" s="12"/>
      <c r="F64" s="13"/>
      <c r="G64" s="13"/>
      <c r="H64" s="13"/>
      <c r="I64" s="33"/>
      <c r="J64" s="284">
        <f>K64*Svodka!$J$1</f>
        <v>518200</v>
      </c>
      <c r="K64" s="81">
        <f>50+1.82</f>
        <v>51.82</v>
      </c>
      <c r="L64" s="41"/>
      <c r="M64" s="40"/>
      <c r="N64" s="42"/>
    </row>
    <row r="65" spans="1:14" ht="39" hidden="1" outlineLevel="1">
      <c r="A65" s="41"/>
      <c r="B65" s="42">
        <v>9</v>
      </c>
      <c r="C65" s="244" t="s">
        <v>120</v>
      </c>
      <c r="D65" s="33" t="s">
        <v>121</v>
      </c>
      <c r="E65" s="12"/>
      <c r="F65" s="13"/>
      <c r="G65" s="13"/>
      <c r="H65" s="13"/>
      <c r="I65" s="33"/>
      <c r="J65" s="284">
        <f>K65*Svodka!$J$1</f>
        <v>66200</v>
      </c>
      <c r="K65" s="81">
        <f>1.3+3.5+1.82</f>
        <v>6.62</v>
      </c>
      <c r="L65" s="41"/>
      <c r="M65" s="40"/>
      <c r="N65" s="42"/>
    </row>
    <row r="66" spans="1:14" ht="52.5" hidden="1" outlineLevel="1">
      <c r="A66" s="41"/>
      <c r="B66" s="42">
        <v>12</v>
      </c>
      <c r="C66" s="244" t="s">
        <v>64</v>
      </c>
      <c r="D66" s="33" t="s">
        <v>93</v>
      </c>
      <c r="E66" s="12"/>
      <c r="F66" s="13"/>
      <c r="G66" s="13"/>
      <c r="H66" s="13"/>
      <c r="I66" s="33"/>
      <c r="J66" s="284">
        <f>K66*Svodka!$J$1</f>
        <v>72000</v>
      </c>
      <c r="K66" s="81">
        <f>1.3+5.9</f>
        <v>7.2</v>
      </c>
      <c r="L66" s="41"/>
      <c r="M66" s="40"/>
      <c r="N66" s="42"/>
    </row>
    <row r="67" spans="1:14" ht="52.5" hidden="1" outlineLevel="1">
      <c r="A67" s="41"/>
      <c r="B67" s="42">
        <v>15</v>
      </c>
      <c r="C67" s="244" t="s">
        <v>122</v>
      </c>
      <c r="D67" s="33" t="s">
        <v>123</v>
      </c>
      <c r="E67" s="12"/>
      <c r="F67" s="13"/>
      <c r="G67" s="13"/>
      <c r="H67" s="13"/>
      <c r="I67" s="33"/>
      <c r="J67" s="284">
        <f>K67*Svodka!$J$1</f>
        <v>13000</v>
      </c>
      <c r="K67" s="81">
        <f>1.3</f>
        <v>1.3</v>
      </c>
      <c r="L67" s="41"/>
      <c r="M67" s="40"/>
      <c r="N67" s="42"/>
    </row>
    <row r="68" spans="1:14" ht="66" hidden="1" outlineLevel="1">
      <c r="A68" s="41"/>
      <c r="B68" s="42">
        <v>16</v>
      </c>
      <c r="C68" s="244" t="s">
        <v>94</v>
      </c>
      <c r="D68" s="33" t="s">
        <v>100</v>
      </c>
      <c r="E68" s="12"/>
      <c r="F68" s="13"/>
      <c r="G68" s="13"/>
      <c r="H68" s="13"/>
      <c r="I68" s="33"/>
      <c r="J68" s="284">
        <f>K68*Svodka!$J$1</f>
        <v>18200</v>
      </c>
      <c r="K68" s="81">
        <f>1.82</f>
        <v>1.82</v>
      </c>
      <c r="L68" s="41"/>
      <c r="M68" s="40"/>
      <c r="N68" s="42"/>
    </row>
    <row r="69" spans="1:14" ht="52.5" hidden="1" outlineLevel="1">
      <c r="A69" s="41"/>
      <c r="B69" s="42">
        <v>14</v>
      </c>
      <c r="C69" s="244" t="s">
        <v>107</v>
      </c>
      <c r="D69" s="33" t="s">
        <v>108</v>
      </c>
      <c r="E69" s="12"/>
      <c r="F69" s="13"/>
      <c r="G69" s="13"/>
      <c r="H69" s="13"/>
      <c r="I69" s="33"/>
      <c r="J69" s="284">
        <f>K69*Svodka!$J$1</f>
        <v>18200</v>
      </c>
      <c r="K69" s="81">
        <f>1.82</f>
        <v>1.82</v>
      </c>
      <c r="L69" s="41"/>
      <c r="M69" s="40"/>
      <c r="N69" s="42"/>
    </row>
    <row r="70" spans="1:14" ht="39" hidden="1" outlineLevel="1">
      <c r="A70" s="41"/>
      <c r="B70" s="42">
        <v>24</v>
      </c>
      <c r="C70" s="244" t="s">
        <v>117</v>
      </c>
      <c r="D70" s="33" t="s">
        <v>119</v>
      </c>
      <c r="E70" s="12"/>
      <c r="F70" s="13"/>
      <c r="G70" s="13"/>
      <c r="H70" s="13"/>
      <c r="I70" s="33"/>
      <c r="J70" s="284">
        <f>K70*Svodka!$J$1</f>
        <v>18200</v>
      </c>
      <c r="K70" s="81">
        <f>1.82</f>
        <v>1.82</v>
      </c>
      <c r="L70" s="41"/>
      <c r="M70" s="40"/>
      <c r="N70" s="42"/>
    </row>
    <row r="71" spans="1:14" ht="66" hidden="1" outlineLevel="1">
      <c r="A71" s="41"/>
      <c r="B71" s="42">
        <v>7</v>
      </c>
      <c r="C71" s="244" t="s">
        <v>196</v>
      </c>
      <c r="D71" s="33" t="s">
        <v>197</v>
      </c>
      <c r="E71" s="12"/>
      <c r="F71" s="13"/>
      <c r="G71" s="13"/>
      <c r="H71" s="13"/>
      <c r="I71" s="33"/>
      <c r="J71" s="284">
        <f>K71*Svodka!$J$1</f>
        <v>13000</v>
      </c>
      <c r="K71" s="81">
        <f>1.3</f>
        <v>1.3</v>
      </c>
      <c r="L71" s="41"/>
      <c r="M71" s="40"/>
      <c r="N71" s="42"/>
    </row>
    <row r="72" spans="1:14" ht="39" hidden="1" outlineLevel="1">
      <c r="A72" s="41"/>
      <c r="B72" s="42">
        <v>8</v>
      </c>
      <c r="C72" s="244" t="s">
        <v>190</v>
      </c>
      <c r="D72" s="33" t="s">
        <v>191</v>
      </c>
      <c r="E72" s="12"/>
      <c r="F72" s="13"/>
      <c r="G72" s="13"/>
      <c r="H72" s="13"/>
      <c r="I72" s="33"/>
      <c r="J72" s="284">
        <f>K72*Svodka!$J$1</f>
        <v>59000</v>
      </c>
      <c r="K72" s="81">
        <f>5.9</f>
        <v>5.9</v>
      </c>
      <c r="L72" s="41"/>
      <c r="M72" s="40"/>
      <c r="N72" s="42"/>
    </row>
    <row r="73" spans="1:14" ht="66" hidden="1" outlineLevel="1">
      <c r="A73" s="41"/>
      <c r="B73" s="42">
        <v>1</v>
      </c>
      <c r="C73" s="244" t="s">
        <v>172</v>
      </c>
      <c r="D73" s="33" t="s">
        <v>173</v>
      </c>
      <c r="E73" s="12"/>
      <c r="F73" s="13"/>
      <c r="G73" s="13"/>
      <c r="H73" s="13"/>
      <c r="I73" s="33"/>
      <c r="J73" s="284">
        <f>K73*Svodka!$J$1</f>
        <v>125200</v>
      </c>
      <c r="K73" s="81">
        <f>1.3+5.9+3.5+1.82</f>
        <v>12.52</v>
      </c>
      <c r="L73" s="41"/>
      <c r="M73" s="40"/>
      <c r="N73" s="42"/>
    </row>
    <row r="74" spans="1:14" ht="39" hidden="1" outlineLevel="1">
      <c r="A74" s="41"/>
      <c r="B74" s="42">
        <v>27</v>
      </c>
      <c r="C74" s="244" t="s">
        <v>462</v>
      </c>
      <c r="D74" s="33" t="s">
        <v>463</v>
      </c>
      <c r="E74" s="12"/>
      <c r="F74" s="13"/>
      <c r="G74" s="13"/>
      <c r="H74" s="13"/>
      <c r="I74" s="33"/>
      <c r="J74" s="284">
        <f>K74*Svodka!$J$1</f>
        <v>90200</v>
      </c>
      <c r="K74" s="81">
        <f>1.3+5.9+1.82</f>
        <v>9.02</v>
      </c>
      <c r="L74" s="41"/>
      <c r="M74" s="40"/>
      <c r="N74" s="42"/>
    </row>
    <row r="75" spans="1:14" ht="12.75" hidden="1" outlineLevel="1">
      <c r="A75" s="41"/>
      <c r="B75" s="42">
        <v>19</v>
      </c>
      <c r="C75" s="244" t="s">
        <v>489</v>
      </c>
      <c r="D75" s="33" t="s">
        <v>490</v>
      </c>
      <c r="E75" s="12"/>
      <c r="F75" s="13"/>
      <c r="G75" s="13"/>
      <c r="H75" s="13"/>
      <c r="I75" s="33"/>
      <c r="J75" s="284">
        <f>K75*Svodka!$J$1</f>
        <v>66200</v>
      </c>
      <c r="K75" s="81">
        <f>1.3+3.5+1.82</f>
        <v>6.62</v>
      </c>
      <c r="L75" s="41"/>
      <c r="M75" s="40"/>
      <c r="N75" s="42"/>
    </row>
    <row r="76" spans="1:14" ht="26.25" hidden="1" outlineLevel="1">
      <c r="A76" s="41"/>
      <c r="B76" s="42">
        <v>4</v>
      </c>
      <c r="C76" s="244" t="s">
        <v>444</v>
      </c>
      <c r="D76" s="33" t="s">
        <v>445</v>
      </c>
      <c r="E76" s="12"/>
      <c r="F76" s="13"/>
      <c r="G76" s="13"/>
      <c r="H76" s="13"/>
      <c r="I76" s="33"/>
      <c r="J76" s="284">
        <f>K76*Svodka!$J$1</f>
        <v>466200</v>
      </c>
      <c r="K76" s="81">
        <f>1.3+3.5+1.82+40</f>
        <v>46.62</v>
      </c>
      <c r="L76" s="41"/>
      <c r="M76" s="40"/>
      <c r="N76" s="42"/>
    </row>
    <row r="77" spans="1:14" ht="26.25" hidden="1" outlineLevel="1">
      <c r="A77" s="41"/>
      <c r="B77" s="42">
        <v>30</v>
      </c>
      <c r="C77" s="244" t="s">
        <v>470</v>
      </c>
      <c r="D77" s="33" t="s">
        <v>471</v>
      </c>
      <c r="E77" s="12"/>
      <c r="F77" s="13"/>
      <c r="G77" s="13"/>
      <c r="H77" s="13"/>
      <c r="I77" s="33"/>
      <c r="J77" s="284">
        <f>K77*Svodka!$J$1</f>
        <v>925200</v>
      </c>
      <c r="K77" s="81">
        <f>1.3+40+5.9+3.5+1.82+40</f>
        <v>92.52</v>
      </c>
      <c r="L77" s="41"/>
      <c r="M77" s="40"/>
      <c r="N77" s="42"/>
    </row>
    <row r="78" spans="1:14" ht="26.25" hidden="1" outlineLevel="1">
      <c r="A78" s="41"/>
      <c r="B78" s="42">
        <v>9</v>
      </c>
      <c r="C78" s="244" t="s">
        <v>416</v>
      </c>
      <c r="D78" s="33" t="s">
        <v>417</v>
      </c>
      <c r="E78" s="12"/>
      <c r="F78" s="13"/>
      <c r="G78" s="13"/>
      <c r="H78" s="13"/>
      <c r="I78" s="33"/>
      <c r="J78" s="284">
        <f>K78*Svodka!$J$1</f>
        <v>144000</v>
      </c>
      <c r="K78" s="81">
        <f>8.5+5.9</f>
        <v>14.4</v>
      </c>
      <c r="L78" s="41"/>
      <c r="M78" s="40"/>
      <c r="N78" s="42"/>
    </row>
    <row r="79" spans="1:14" ht="12.75" hidden="1" outlineLevel="1">
      <c r="A79" s="41"/>
      <c r="B79" s="42">
        <v>38</v>
      </c>
      <c r="C79" s="244" t="s">
        <v>539</v>
      </c>
      <c r="D79" s="33" t="s">
        <v>540</v>
      </c>
      <c r="E79" s="12"/>
      <c r="F79" s="13"/>
      <c r="G79" s="13"/>
      <c r="H79" s="13"/>
      <c r="I79" s="33"/>
      <c r="J79" s="284">
        <f>K79*Svodka!$J$1</f>
        <v>59000</v>
      </c>
      <c r="K79" s="81">
        <f>5.9</f>
        <v>5.9</v>
      </c>
      <c r="L79" s="41"/>
      <c r="M79" s="40"/>
      <c r="N79" s="42"/>
    </row>
    <row r="80" spans="1:14" ht="12.75" hidden="1" outlineLevel="1">
      <c r="A80" s="41"/>
      <c r="B80" s="42">
        <v>19</v>
      </c>
      <c r="C80" s="244" t="s">
        <v>426</v>
      </c>
      <c r="D80" s="33" t="s">
        <v>427</v>
      </c>
      <c r="E80" s="12"/>
      <c r="F80" s="13"/>
      <c r="G80" s="13"/>
      <c r="H80" s="13"/>
      <c r="I80" s="33"/>
      <c r="J80" s="284">
        <f>K80*Svodka!$J$1</f>
        <v>13000</v>
      </c>
      <c r="K80" s="81">
        <f>1.3</f>
        <v>1.3</v>
      </c>
      <c r="L80" s="41"/>
      <c r="M80" s="40"/>
      <c r="N80" s="42"/>
    </row>
    <row r="81" spans="1:14" ht="52.5" hidden="1" outlineLevel="1">
      <c r="A81" s="41"/>
      <c r="B81" s="42">
        <v>4</v>
      </c>
      <c r="C81" s="244" t="s">
        <v>241</v>
      </c>
      <c r="D81" s="33" t="s">
        <v>278</v>
      </c>
      <c r="E81" s="12"/>
      <c r="F81" s="13"/>
      <c r="G81" s="13"/>
      <c r="H81" s="13"/>
      <c r="I81" s="33"/>
      <c r="J81" s="284">
        <f>K81*Svodka!$J$1</f>
        <v>59000</v>
      </c>
      <c r="K81" s="81">
        <f>5.9</f>
        <v>5.9</v>
      </c>
      <c r="L81" s="41"/>
      <c r="M81" s="40"/>
      <c r="N81" s="42"/>
    </row>
    <row r="82" spans="1:14" ht="27" hidden="1" outlineLevel="1" thickBot="1">
      <c r="A82" s="43"/>
      <c r="B82" s="44">
        <v>24</v>
      </c>
      <c r="C82" s="245" t="s">
        <v>541</v>
      </c>
      <c r="D82" s="34" t="s">
        <v>542</v>
      </c>
      <c r="E82" s="14"/>
      <c r="F82" s="15"/>
      <c r="G82" s="15"/>
      <c r="H82" s="15"/>
      <c r="I82" s="34"/>
      <c r="J82" s="284">
        <f>K82*Svodka!$J$1</f>
        <v>125200</v>
      </c>
      <c r="K82" s="82">
        <f>1.3+5.9+3.5+1.82</f>
        <v>12.52</v>
      </c>
      <c r="L82" s="43"/>
      <c r="M82" s="69"/>
      <c r="N82" s="44"/>
    </row>
    <row r="83" spans="3:14" ht="12.75">
      <c r="C83" s="2" t="s">
        <v>294</v>
      </c>
      <c r="J83" s="238">
        <f>J4+J10+J12+J13+J14+J15+J16+J19+J22+J27</f>
        <v>10000000</v>
      </c>
      <c r="L83">
        <f>SUM(L4:L28)</f>
        <v>0</v>
      </c>
      <c r="M83">
        <f>SUM(M4:M28)</f>
        <v>0</v>
      </c>
      <c r="N83">
        <f>SUM(N4:N28)</f>
        <v>0</v>
      </c>
    </row>
    <row r="84" ht="12.75">
      <c r="J84" s="139">
        <f>SUM(J3:J82)-J4-J10-J12-J13-J14-J15-J16-J19-J22-J27</f>
        <v>10000000</v>
      </c>
    </row>
  </sheetData>
  <printOptions horizontalCentered="1"/>
  <pageMargins left="0.38" right="0.31" top="0.984251968503937" bottom="0.984251968503937"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outlinePr summaryBelow="0" summaryRight="0"/>
  </sheetPr>
  <dimension ref="A1:P62"/>
  <sheetViews>
    <sheetView zoomScale="75" zoomScaleNormal="75" workbookViewId="0" topLeftCell="A1">
      <selection activeCell="A1" sqref="A1"/>
    </sheetView>
  </sheetViews>
  <sheetFormatPr defaultColWidth="9.140625" defaultRowHeight="12.75" outlineLevelRow="1"/>
  <cols>
    <col min="1" max="1" width="16.28125" style="0" customWidth="1"/>
    <col min="2" max="2" width="12.00390625" style="0" customWidth="1"/>
    <col min="3" max="3" width="43.7109375" style="2" customWidth="1"/>
    <col min="4" max="4" width="97.140625" style="2" hidden="1" customWidth="1"/>
    <col min="5" max="5" width="12.28125" style="2" customWidth="1"/>
    <col min="6" max="6" width="6.8515625" style="2" customWidth="1"/>
    <col min="7" max="8" width="8.7109375" style="2" customWidth="1"/>
    <col min="9" max="9" width="11.8515625" style="2" customWidth="1"/>
    <col min="10" max="10" width="15.28125" style="139" customWidth="1"/>
    <col min="11" max="11" width="12.8515625" style="0" customWidth="1"/>
    <col min="12" max="12" width="22.28125" style="0" customWidth="1"/>
    <col min="13" max="13" width="16.57421875" style="0" customWidth="1"/>
    <col min="14" max="14" width="16.7109375" style="0" customWidth="1"/>
  </cols>
  <sheetData>
    <row r="1" ht="21">
      <c r="C1" s="16" t="s">
        <v>182</v>
      </c>
    </row>
    <row r="2" ht="13.5" thickBot="1"/>
    <row r="3" spans="1:14" s="17" customFormat="1" ht="13.5" thickBot="1">
      <c r="A3" s="261" t="s">
        <v>514</v>
      </c>
      <c r="B3" s="262" t="s">
        <v>513</v>
      </c>
      <c r="C3" s="22" t="s">
        <v>143</v>
      </c>
      <c r="D3" s="23" t="s">
        <v>144</v>
      </c>
      <c r="E3" s="4" t="s">
        <v>284</v>
      </c>
      <c r="F3" s="4" t="s">
        <v>285</v>
      </c>
      <c r="G3" s="4" t="s">
        <v>286</v>
      </c>
      <c r="H3" s="4" t="s">
        <v>287</v>
      </c>
      <c r="I3" s="39" t="s">
        <v>288</v>
      </c>
      <c r="J3" s="234" t="s">
        <v>290</v>
      </c>
      <c r="K3" s="47" t="s">
        <v>289</v>
      </c>
      <c r="L3" s="77" t="s">
        <v>291</v>
      </c>
      <c r="M3" s="78" t="s">
        <v>292</v>
      </c>
      <c r="N3" s="79" t="s">
        <v>293</v>
      </c>
    </row>
    <row r="4" spans="1:14" s="17" customFormat="1" ht="39.75" thickBot="1">
      <c r="A4" s="269">
        <v>10</v>
      </c>
      <c r="B4" s="263"/>
      <c r="C4" s="241" t="s">
        <v>525</v>
      </c>
      <c r="D4" s="30" t="s">
        <v>526</v>
      </c>
      <c r="E4" s="6">
        <v>1</v>
      </c>
      <c r="F4" s="7"/>
      <c r="G4" s="7"/>
      <c r="H4" s="7"/>
      <c r="I4" s="30"/>
      <c r="J4" s="274">
        <f>K4*Svodka!$J$1</f>
        <v>600000</v>
      </c>
      <c r="K4" s="120">
        <v>60</v>
      </c>
      <c r="L4" s="114"/>
      <c r="M4" s="115"/>
      <c r="N4" s="116"/>
    </row>
    <row r="5" spans="1:16" s="17" customFormat="1" ht="27" collapsed="1" thickBot="1">
      <c r="A5" s="269">
        <v>12</v>
      </c>
      <c r="B5" s="263"/>
      <c r="C5" s="241" t="s">
        <v>527</v>
      </c>
      <c r="D5" s="30" t="s">
        <v>531</v>
      </c>
      <c r="E5" s="6">
        <v>1</v>
      </c>
      <c r="F5" s="7"/>
      <c r="G5" s="7"/>
      <c r="H5" s="7"/>
      <c r="I5" s="30"/>
      <c r="J5" s="274">
        <f>K5*Svodka!$J$1</f>
        <v>2000000</v>
      </c>
      <c r="K5" s="120">
        <v>200</v>
      </c>
      <c r="L5" s="136"/>
      <c r="M5" s="137"/>
      <c r="N5" s="138"/>
      <c r="P5" s="17">
        <f>11*18</f>
        <v>198</v>
      </c>
    </row>
    <row r="6" spans="1:14" s="19" customFormat="1" ht="39.75" hidden="1" outlineLevel="1" thickBot="1">
      <c r="A6" s="266"/>
      <c r="B6" s="267">
        <v>23</v>
      </c>
      <c r="C6" s="285" t="s">
        <v>523</v>
      </c>
      <c r="D6" s="35" t="s">
        <v>524</v>
      </c>
      <c r="E6" s="28"/>
      <c r="F6" s="29"/>
      <c r="G6" s="29"/>
      <c r="H6" s="29"/>
      <c r="I6" s="35"/>
      <c r="J6" s="276">
        <f>K6*Svodka!$J$1</f>
        <v>180000</v>
      </c>
      <c r="K6" s="133">
        <f>18</f>
        <v>18</v>
      </c>
      <c r="L6" s="129"/>
      <c r="M6" s="131"/>
      <c r="N6" s="132"/>
    </row>
    <row r="7" spans="1:14" s="19" customFormat="1" ht="79.5" thickBot="1">
      <c r="A7" s="140">
        <v>26</v>
      </c>
      <c r="B7" s="141"/>
      <c r="C7" s="241" t="s">
        <v>532</v>
      </c>
      <c r="D7" s="30" t="s">
        <v>535</v>
      </c>
      <c r="E7" s="6">
        <v>1</v>
      </c>
      <c r="F7" s="7"/>
      <c r="G7" s="7"/>
      <c r="H7" s="7"/>
      <c r="I7" s="30"/>
      <c r="J7" s="274">
        <f>K7*Svodka!$J$1</f>
        <v>1200000</v>
      </c>
      <c r="K7" s="120">
        <v>120</v>
      </c>
      <c r="L7" s="114"/>
      <c r="M7" s="115"/>
      <c r="N7" s="116"/>
    </row>
    <row r="8" spans="1:14" s="19" customFormat="1" ht="27" thickBot="1">
      <c r="A8" s="140">
        <v>28</v>
      </c>
      <c r="B8" s="141"/>
      <c r="C8" s="241" t="s">
        <v>533</v>
      </c>
      <c r="D8" s="30" t="s">
        <v>534</v>
      </c>
      <c r="E8" s="6">
        <v>1</v>
      </c>
      <c r="F8" s="7"/>
      <c r="G8" s="7"/>
      <c r="H8" s="7"/>
      <c r="I8" s="30"/>
      <c r="J8" s="274">
        <f>K8*Svodka!$J$1</f>
        <v>600000</v>
      </c>
      <c r="K8" s="120">
        <v>60</v>
      </c>
      <c r="L8" s="114"/>
      <c r="M8" s="115"/>
      <c r="N8" s="116"/>
    </row>
    <row r="9" spans="1:14" s="19" customFormat="1" ht="13.5" collapsed="1" thickBot="1">
      <c r="A9" s="140"/>
      <c r="B9" s="141"/>
      <c r="C9" s="241" t="s">
        <v>142</v>
      </c>
      <c r="D9" s="30"/>
      <c r="E9" s="6"/>
      <c r="F9" s="7"/>
      <c r="G9" s="7"/>
      <c r="H9" s="7"/>
      <c r="I9" s="30"/>
      <c r="J9" s="274"/>
      <c r="K9" s="120"/>
      <c r="L9" s="114"/>
      <c r="M9" s="115"/>
      <c r="N9" s="116"/>
    </row>
    <row r="10" spans="1:14" s="19" customFormat="1" ht="52.5" hidden="1" outlineLevel="1">
      <c r="A10" s="53"/>
      <c r="B10" s="54">
        <v>21</v>
      </c>
      <c r="C10" s="244" t="s">
        <v>103</v>
      </c>
      <c r="D10" s="33" t="s">
        <v>104</v>
      </c>
      <c r="E10" s="12"/>
      <c r="F10" s="13"/>
      <c r="G10" s="13"/>
      <c r="H10" s="13"/>
      <c r="I10" s="33"/>
      <c r="J10" s="276">
        <f>K10*Svodka!$J$1</f>
        <v>300000</v>
      </c>
      <c r="K10" s="74">
        <f>30</f>
        <v>30</v>
      </c>
      <c r="L10" s="53"/>
      <c r="M10" s="55"/>
      <c r="N10" s="54"/>
    </row>
    <row r="11" spans="1:14" s="19" customFormat="1" ht="39" hidden="1" outlineLevel="1">
      <c r="A11" s="49"/>
      <c r="B11" s="50">
        <v>22</v>
      </c>
      <c r="C11" s="244" t="s">
        <v>105</v>
      </c>
      <c r="D11" s="33" t="s">
        <v>106</v>
      </c>
      <c r="E11" s="12"/>
      <c r="F11" s="13"/>
      <c r="G11" s="13"/>
      <c r="H11" s="13"/>
      <c r="I11" s="33"/>
      <c r="J11" s="276">
        <f>K11*Svodka!$J$1</f>
        <v>180000</v>
      </c>
      <c r="K11" s="75">
        <f>18</f>
        <v>18</v>
      </c>
      <c r="L11" s="49"/>
      <c r="M11" s="48"/>
      <c r="N11" s="50"/>
    </row>
    <row r="12" spans="1:14" s="19" customFormat="1" ht="26.25" hidden="1" outlineLevel="1">
      <c r="A12" s="49"/>
      <c r="B12" s="50">
        <v>1</v>
      </c>
      <c r="C12" s="244" t="s">
        <v>603</v>
      </c>
      <c r="D12" s="33" t="s">
        <v>604</v>
      </c>
      <c r="E12" s="12"/>
      <c r="F12" s="13"/>
      <c r="G12" s="13"/>
      <c r="H12" s="13"/>
      <c r="I12" s="33"/>
      <c r="J12" s="276">
        <f>K12*Svodka!$J$1</f>
        <v>180000</v>
      </c>
      <c r="K12" s="75">
        <f>18</f>
        <v>18</v>
      </c>
      <c r="L12" s="49"/>
      <c r="M12" s="48"/>
      <c r="N12" s="50"/>
    </row>
    <row r="13" spans="1:14" s="19" customFormat="1" ht="52.5" hidden="1" outlineLevel="1">
      <c r="A13" s="49"/>
      <c r="B13" s="50">
        <v>10</v>
      </c>
      <c r="C13" s="244" t="s">
        <v>418</v>
      </c>
      <c r="D13" s="33" t="s">
        <v>419</v>
      </c>
      <c r="E13" s="12"/>
      <c r="F13" s="13"/>
      <c r="G13" s="13"/>
      <c r="H13" s="13"/>
      <c r="I13" s="33"/>
      <c r="J13" s="276">
        <f>K13*Svodka!$J$1</f>
        <v>180000</v>
      </c>
      <c r="K13" s="75">
        <f>18</f>
        <v>18</v>
      </c>
      <c r="L13" s="49"/>
      <c r="M13" s="48"/>
      <c r="N13" s="50"/>
    </row>
    <row r="14" spans="1:14" s="19" customFormat="1" ht="39" hidden="1" outlineLevel="1">
      <c r="A14" s="49"/>
      <c r="B14" s="50">
        <v>16</v>
      </c>
      <c r="C14" s="244" t="s">
        <v>422</v>
      </c>
      <c r="D14" s="33" t="s">
        <v>423</v>
      </c>
      <c r="E14" s="12"/>
      <c r="F14" s="13"/>
      <c r="G14" s="13"/>
      <c r="H14" s="13"/>
      <c r="I14" s="33"/>
      <c r="J14" s="276">
        <f>K14*Svodka!$J$1</f>
        <v>300000</v>
      </c>
      <c r="K14" s="75">
        <f>30</f>
        <v>30</v>
      </c>
      <c r="L14" s="49"/>
      <c r="M14" s="48"/>
      <c r="N14" s="50"/>
    </row>
    <row r="15" spans="1:14" s="19" customFormat="1" ht="39" hidden="1" outlineLevel="1">
      <c r="A15" s="49"/>
      <c r="B15" s="50">
        <v>3</v>
      </c>
      <c r="C15" s="244" t="s">
        <v>281</v>
      </c>
      <c r="D15" s="33" t="s">
        <v>282</v>
      </c>
      <c r="E15" s="12"/>
      <c r="F15" s="13"/>
      <c r="G15" s="13"/>
      <c r="H15" s="13"/>
      <c r="I15" s="33"/>
      <c r="J15" s="276">
        <f>K15*Svodka!$J$1</f>
        <v>180000</v>
      </c>
      <c r="K15" s="75">
        <f>18</f>
        <v>18</v>
      </c>
      <c r="L15" s="49"/>
      <c r="M15" s="48"/>
      <c r="N15" s="50"/>
    </row>
    <row r="16" spans="1:14" s="19" customFormat="1" ht="52.5" hidden="1" outlineLevel="1">
      <c r="A16" s="49"/>
      <c r="B16" s="50">
        <v>7</v>
      </c>
      <c r="C16" s="244" t="s">
        <v>53</v>
      </c>
      <c r="D16" s="33" t="s">
        <v>54</v>
      </c>
      <c r="E16" s="12"/>
      <c r="F16" s="13"/>
      <c r="G16" s="13"/>
      <c r="H16" s="13"/>
      <c r="I16" s="33"/>
      <c r="J16" s="276">
        <f>K16*Svodka!$J$1</f>
        <v>180000</v>
      </c>
      <c r="K16" s="75">
        <f>18</f>
        <v>18</v>
      </c>
      <c r="L16" s="49"/>
      <c r="M16" s="48"/>
      <c r="N16" s="50"/>
    </row>
    <row r="17" spans="1:14" s="19" customFormat="1" ht="52.5" hidden="1" outlineLevel="1">
      <c r="A17" s="49"/>
      <c r="B17" s="50">
        <v>4</v>
      </c>
      <c r="C17" s="244" t="s">
        <v>260</v>
      </c>
      <c r="D17" s="33" t="s">
        <v>46</v>
      </c>
      <c r="E17" s="12"/>
      <c r="F17" s="13"/>
      <c r="G17" s="13"/>
      <c r="H17" s="13"/>
      <c r="I17" s="33"/>
      <c r="J17" s="276">
        <f>K17*Svodka!$J$1</f>
        <v>300000</v>
      </c>
      <c r="K17" s="75">
        <f>30</f>
        <v>30</v>
      </c>
      <c r="L17" s="49"/>
      <c r="M17" s="48"/>
      <c r="N17" s="50"/>
    </row>
    <row r="18" spans="1:14" s="19" customFormat="1" ht="78.75" hidden="1" outlineLevel="1">
      <c r="A18" s="49"/>
      <c r="B18" s="50">
        <v>8</v>
      </c>
      <c r="C18" s="244" t="s">
        <v>283</v>
      </c>
      <c r="D18" s="33" t="s">
        <v>413</v>
      </c>
      <c r="E18" s="12"/>
      <c r="F18" s="13"/>
      <c r="G18" s="13"/>
      <c r="H18" s="13"/>
      <c r="I18" s="33"/>
      <c r="J18" s="276">
        <f>K18*Svodka!$J$1</f>
        <v>180000</v>
      </c>
      <c r="K18" s="75">
        <f>18</f>
        <v>18</v>
      </c>
      <c r="L18" s="49"/>
      <c r="M18" s="48"/>
      <c r="N18" s="50"/>
    </row>
    <row r="19" spans="1:14" s="19" customFormat="1" ht="26.25" hidden="1" outlineLevel="1">
      <c r="A19" s="49"/>
      <c r="B19" s="50">
        <v>11</v>
      </c>
      <c r="C19" s="244" t="s">
        <v>57</v>
      </c>
      <c r="D19" s="33" t="s">
        <v>58</v>
      </c>
      <c r="E19" s="12"/>
      <c r="F19" s="13"/>
      <c r="G19" s="13"/>
      <c r="H19" s="13"/>
      <c r="I19" s="33"/>
      <c r="J19" s="276">
        <f>K19*Svodka!$J$1</f>
        <v>600000</v>
      </c>
      <c r="K19" s="75">
        <f>30+30</f>
        <v>60</v>
      </c>
      <c r="L19" s="49"/>
      <c r="M19" s="48"/>
      <c r="N19" s="50"/>
    </row>
    <row r="20" spans="1:14" s="19" customFormat="1" ht="52.5" hidden="1" outlineLevel="1">
      <c r="A20" s="49"/>
      <c r="B20" s="50">
        <v>3</v>
      </c>
      <c r="C20" s="244" t="s">
        <v>3</v>
      </c>
      <c r="D20" s="33" t="s">
        <v>28</v>
      </c>
      <c r="E20" s="12"/>
      <c r="F20" s="13"/>
      <c r="G20" s="13"/>
      <c r="H20" s="13"/>
      <c r="I20" s="33"/>
      <c r="J20" s="276">
        <f>K20*Svodka!$J$1</f>
        <v>180000</v>
      </c>
      <c r="K20" s="75">
        <f>18</f>
        <v>18</v>
      </c>
      <c r="L20" s="49"/>
      <c r="M20" s="48"/>
      <c r="N20" s="50"/>
    </row>
    <row r="21" spans="1:14" s="19" customFormat="1" ht="66" hidden="1" outlineLevel="1">
      <c r="A21" s="49"/>
      <c r="B21" s="50">
        <v>16</v>
      </c>
      <c r="C21" s="244" t="s">
        <v>94</v>
      </c>
      <c r="D21" s="33" t="s">
        <v>100</v>
      </c>
      <c r="E21" s="12"/>
      <c r="F21" s="13"/>
      <c r="G21" s="13"/>
      <c r="H21" s="13"/>
      <c r="I21" s="33"/>
      <c r="J21" s="276">
        <f>K21*Svodka!$J$1</f>
        <v>180000</v>
      </c>
      <c r="K21" s="75">
        <f>18</f>
        <v>18</v>
      </c>
      <c r="L21" s="49"/>
      <c r="M21" s="48"/>
      <c r="N21" s="50"/>
    </row>
    <row r="22" spans="1:14" s="19" customFormat="1" ht="39" hidden="1" outlineLevel="1">
      <c r="A22" s="49"/>
      <c r="B22" s="50">
        <v>24</v>
      </c>
      <c r="C22" s="244" t="s">
        <v>117</v>
      </c>
      <c r="D22" s="33" t="s">
        <v>119</v>
      </c>
      <c r="E22" s="12"/>
      <c r="F22" s="13"/>
      <c r="G22" s="13"/>
      <c r="H22" s="13"/>
      <c r="I22" s="33"/>
      <c r="J22" s="276">
        <f>K22*Svodka!$J$1</f>
        <v>180000</v>
      </c>
      <c r="K22" s="75">
        <f>18</f>
        <v>18</v>
      </c>
      <c r="L22" s="49"/>
      <c r="M22" s="48"/>
      <c r="N22" s="50"/>
    </row>
    <row r="23" spans="1:14" s="19" customFormat="1" ht="39" hidden="1" outlineLevel="1">
      <c r="A23" s="49"/>
      <c r="B23" s="50">
        <v>8</v>
      </c>
      <c r="C23" s="244" t="s">
        <v>190</v>
      </c>
      <c r="D23" s="33" t="s">
        <v>191</v>
      </c>
      <c r="E23" s="12"/>
      <c r="F23" s="13"/>
      <c r="G23" s="13"/>
      <c r="H23" s="13"/>
      <c r="I23" s="33"/>
      <c r="J23" s="276">
        <f>K23*Svodka!$J$1</f>
        <v>300000</v>
      </c>
      <c r="K23" s="75">
        <f>30</f>
        <v>30</v>
      </c>
      <c r="L23" s="49"/>
      <c r="M23" s="48"/>
      <c r="N23" s="50"/>
    </row>
    <row r="24" spans="1:14" s="19" customFormat="1" ht="39" hidden="1" outlineLevel="1">
      <c r="A24" s="49"/>
      <c r="B24" s="50">
        <v>14</v>
      </c>
      <c r="C24" s="244" t="s">
        <v>166</v>
      </c>
      <c r="D24" s="33" t="s">
        <v>167</v>
      </c>
      <c r="E24" s="12"/>
      <c r="F24" s="13"/>
      <c r="G24" s="13"/>
      <c r="H24" s="13"/>
      <c r="I24" s="33"/>
      <c r="J24" s="276">
        <f>K24*Svodka!$J$1</f>
        <v>300000</v>
      </c>
      <c r="K24" s="75">
        <f>30</f>
        <v>30</v>
      </c>
      <c r="L24" s="49"/>
      <c r="M24" s="48"/>
      <c r="N24" s="50"/>
    </row>
    <row r="25" spans="1:14" s="19" customFormat="1" ht="27" hidden="1" outlineLevel="1" thickBot="1">
      <c r="A25" s="51"/>
      <c r="B25" s="52">
        <v>24</v>
      </c>
      <c r="C25" s="245" t="s">
        <v>541</v>
      </c>
      <c r="D25" s="34" t="s">
        <v>542</v>
      </c>
      <c r="E25" s="14"/>
      <c r="F25" s="15"/>
      <c r="G25" s="15"/>
      <c r="H25" s="15"/>
      <c r="I25" s="34"/>
      <c r="J25" s="276">
        <f>K25*Svodka!$J$1</f>
        <v>500000</v>
      </c>
      <c r="K25" s="76">
        <f>20+30</f>
        <v>50</v>
      </c>
      <c r="L25" s="51"/>
      <c r="M25" s="80"/>
      <c r="N25" s="52"/>
    </row>
    <row r="26" spans="3:14" s="19" customFormat="1" ht="12.75">
      <c r="C26" s="18" t="s">
        <v>294</v>
      </c>
      <c r="D26" s="18"/>
      <c r="E26" s="18"/>
      <c r="F26" s="18"/>
      <c r="G26" s="18"/>
      <c r="H26" s="18"/>
      <c r="I26" s="18"/>
      <c r="J26" s="351">
        <f>J4+J5+J7+J8</f>
        <v>4400000</v>
      </c>
      <c r="L26" s="19">
        <f>SUM(L4:L9)</f>
        <v>0</v>
      </c>
      <c r="M26" s="19">
        <f>SUM(M4:M9)</f>
        <v>0</v>
      </c>
      <c r="N26" s="19">
        <f>SUM(N4:N9)</f>
        <v>0</v>
      </c>
    </row>
    <row r="27" spans="3:10" s="19" customFormat="1" ht="12.75">
      <c r="C27" s="18"/>
      <c r="D27" s="18"/>
      <c r="E27" s="18"/>
      <c r="F27" s="18"/>
      <c r="G27" s="18"/>
      <c r="H27" s="18"/>
      <c r="I27" s="18"/>
      <c r="J27" s="272">
        <f>SUM(J4:J25)-J4-J5-J7-J8</f>
        <v>4400000</v>
      </c>
    </row>
    <row r="28" spans="3:10" s="19" customFormat="1" ht="12.75">
      <c r="C28" s="18"/>
      <c r="D28" s="18"/>
      <c r="E28" s="18"/>
      <c r="F28" s="18"/>
      <c r="G28" s="18"/>
      <c r="H28" s="18"/>
      <c r="I28" s="18"/>
      <c r="J28" s="272"/>
    </row>
    <row r="29" spans="3:10" s="19" customFormat="1" ht="12.75">
      <c r="C29" s="18"/>
      <c r="D29" s="18"/>
      <c r="E29" s="18"/>
      <c r="F29" s="18"/>
      <c r="G29" s="18"/>
      <c r="H29" s="18"/>
      <c r="I29" s="18"/>
      <c r="J29" s="272"/>
    </row>
    <row r="30" spans="3:10" s="19" customFormat="1" ht="12.75">
      <c r="C30" s="18"/>
      <c r="D30" s="18"/>
      <c r="E30" s="18"/>
      <c r="F30" s="18"/>
      <c r="G30" s="18"/>
      <c r="H30" s="18"/>
      <c r="I30" s="18"/>
      <c r="J30" s="272"/>
    </row>
    <row r="31" spans="3:10" s="19" customFormat="1" ht="12.75">
      <c r="C31" s="18"/>
      <c r="D31" s="18"/>
      <c r="E31" s="18"/>
      <c r="F31" s="18"/>
      <c r="G31" s="18"/>
      <c r="H31" s="18"/>
      <c r="I31" s="18"/>
      <c r="J31" s="272"/>
    </row>
    <row r="32" spans="3:10" s="19" customFormat="1" ht="12.75">
      <c r="C32" s="18"/>
      <c r="D32" s="18"/>
      <c r="E32" s="18"/>
      <c r="F32" s="18"/>
      <c r="G32" s="18"/>
      <c r="H32" s="18"/>
      <c r="I32" s="18"/>
      <c r="J32" s="272"/>
    </row>
    <row r="33" spans="3:10" s="19" customFormat="1" ht="12.75">
      <c r="C33" s="18"/>
      <c r="D33" s="18"/>
      <c r="E33" s="18"/>
      <c r="F33" s="18"/>
      <c r="G33" s="18"/>
      <c r="H33" s="18"/>
      <c r="I33" s="18"/>
      <c r="J33" s="272"/>
    </row>
    <row r="34" spans="3:10" s="19" customFormat="1" ht="12.75">
      <c r="C34" s="18"/>
      <c r="D34" s="18"/>
      <c r="E34" s="18"/>
      <c r="F34" s="18"/>
      <c r="G34" s="18"/>
      <c r="H34" s="18"/>
      <c r="I34" s="18"/>
      <c r="J34" s="272"/>
    </row>
    <row r="35" spans="3:10" s="19" customFormat="1" ht="12.75">
      <c r="C35" s="18"/>
      <c r="D35" s="18"/>
      <c r="E35" s="18"/>
      <c r="F35" s="18"/>
      <c r="G35" s="18"/>
      <c r="H35" s="18"/>
      <c r="I35" s="18"/>
      <c r="J35" s="272"/>
    </row>
    <row r="36" spans="3:10" s="19" customFormat="1" ht="12.75">
      <c r="C36" s="18"/>
      <c r="D36" s="18"/>
      <c r="E36" s="18"/>
      <c r="F36" s="18"/>
      <c r="G36" s="18"/>
      <c r="H36" s="18"/>
      <c r="I36" s="18"/>
      <c r="J36" s="272"/>
    </row>
    <row r="37" spans="3:10" s="19" customFormat="1" ht="12.75">
      <c r="C37" s="18"/>
      <c r="D37" s="18"/>
      <c r="E37" s="18"/>
      <c r="F37" s="18"/>
      <c r="G37" s="18"/>
      <c r="H37" s="18"/>
      <c r="I37" s="18"/>
      <c r="J37" s="272"/>
    </row>
    <row r="38" spans="3:10" s="19" customFormat="1" ht="12.75">
      <c r="C38" s="18"/>
      <c r="D38" s="18"/>
      <c r="E38" s="18"/>
      <c r="F38" s="18"/>
      <c r="G38" s="18"/>
      <c r="H38" s="18"/>
      <c r="I38" s="18"/>
      <c r="J38" s="272"/>
    </row>
    <row r="39" spans="3:10" s="19" customFormat="1" ht="12.75">
      <c r="C39" s="18"/>
      <c r="D39" s="18"/>
      <c r="E39" s="18"/>
      <c r="F39" s="18"/>
      <c r="G39" s="18"/>
      <c r="H39" s="18"/>
      <c r="I39" s="18"/>
      <c r="J39" s="272"/>
    </row>
    <row r="40" spans="3:10" s="19" customFormat="1" ht="12.75">
      <c r="C40" s="18"/>
      <c r="D40" s="18"/>
      <c r="E40" s="18"/>
      <c r="F40" s="18"/>
      <c r="G40" s="18"/>
      <c r="H40" s="18"/>
      <c r="I40" s="18"/>
      <c r="J40" s="272"/>
    </row>
    <row r="41" spans="3:10" s="19" customFormat="1" ht="12.75">
      <c r="C41" s="18"/>
      <c r="D41" s="18"/>
      <c r="E41" s="18"/>
      <c r="F41" s="18"/>
      <c r="G41" s="18"/>
      <c r="H41" s="18"/>
      <c r="I41" s="18"/>
      <c r="J41" s="272"/>
    </row>
    <row r="42" spans="3:10" s="19" customFormat="1" ht="12.75">
      <c r="C42" s="18"/>
      <c r="D42" s="18"/>
      <c r="E42" s="18"/>
      <c r="F42" s="18"/>
      <c r="G42" s="18"/>
      <c r="H42" s="18"/>
      <c r="I42" s="18"/>
      <c r="J42" s="272"/>
    </row>
    <row r="43" spans="3:10" s="19" customFormat="1" ht="12.75">
      <c r="C43" s="18"/>
      <c r="D43" s="18"/>
      <c r="E43" s="18"/>
      <c r="F43" s="18"/>
      <c r="G43" s="18"/>
      <c r="H43" s="18"/>
      <c r="I43" s="18"/>
      <c r="J43" s="272"/>
    </row>
    <row r="44" spans="3:10" s="19" customFormat="1" ht="12.75">
      <c r="C44" s="18"/>
      <c r="D44" s="18"/>
      <c r="E44" s="18"/>
      <c r="F44" s="18"/>
      <c r="G44" s="18"/>
      <c r="H44" s="18"/>
      <c r="I44" s="18"/>
      <c r="J44" s="272"/>
    </row>
    <row r="45" spans="3:10" s="19" customFormat="1" ht="12.75">
      <c r="C45" s="18"/>
      <c r="D45" s="18"/>
      <c r="E45" s="18"/>
      <c r="F45" s="18"/>
      <c r="G45" s="18"/>
      <c r="H45" s="18"/>
      <c r="I45" s="18"/>
      <c r="J45" s="272"/>
    </row>
    <row r="46" spans="3:10" s="19" customFormat="1" ht="12.75">
      <c r="C46" s="18"/>
      <c r="D46" s="18"/>
      <c r="E46" s="18"/>
      <c r="F46" s="18"/>
      <c r="G46" s="18"/>
      <c r="H46" s="18"/>
      <c r="I46" s="18"/>
      <c r="J46" s="272"/>
    </row>
    <row r="47" spans="3:10" s="19" customFormat="1" ht="12.75">
      <c r="C47" s="18"/>
      <c r="D47" s="18"/>
      <c r="E47" s="18"/>
      <c r="F47" s="18"/>
      <c r="G47" s="18"/>
      <c r="H47" s="18"/>
      <c r="I47" s="18"/>
      <c r="J47" s="272"/>
    </row>
    <row r="48" spans="3:10" s="19" customFormat="1" ht="12.75">
      <c r="C48" s="18"/>
      <c r="D48" s="18"/>
      <c r="E48" s="18"/>
      <c r="F48" s="18"/>
      <c r="G48" s="18"/>
      <c r="H48" s="18"/>
      <c r="I48" s="18"/>
      <c r="J48" s="272"/>
    </row>
    <row r="49" spans="3:10" s="19" customFormat="1" ht="12.75">
      <c r="C49" s="18"/>
      <c r="D49" s="18"/>
      <c r="E49" s="18"/>
      <c r="F49" s="18"/>
      <c r="G49" s="18"/>
      <c r="H49" s="18"/>
      <c r="I49" s="18"/>
      <c r="J49" s="272"/>
    </row>
    <row r="50" spans="3:10" s="19" customFormat="1" ht="12.75">
      <c r="C50" s="18"/>
      <c r="D50" s="18"/>
      <c r="E50" s="18"/>
      <c r="F50" s="18"/>
      <c r="G50" s="18"/>
      <c r="H50" s="18"/>
      <c r="I50" s="18"/>
      <c r="J50" s="272"/>
    </row>
    <row r="51" spans="3:10" s="19" customFormat="1" ht="12.75">
      <c r="C51" s="18"/>
      <c r="D51" s="18"/>
      <c r="E51" s="18"/>
      <c r="F51" s="18"/>
      <c r="G51" s="18"/>
      <c r="H51" s="18"/>
      <c r="I51" s="18"/>
      <c r="J51" s="272"/>
    </row>
    <row r="52" spans="3:10" s="19" customFormat="1" ht="12.75">
      <c r="C52" s="18"/>
      <c r="D52" s="18"/>
      <c r="E52" s="18"/>
      <c r="F52" s="18"/>
      <c r="G52" s="18"/>
      <c r="H52" s="18"/>
      <c r="I52" s="18"/>
      <c r="J52" s="272"/>
    </row>
    <row r="53" spans="3:10" s="19" customFormat="1" ht="12.75">
      <c r="C53" s="18"/>
      <c r="D53" s="18"/>
      <c r="E53" s="18"/>
      <c r="F53" s="18"/>
      <c r="G53" s="18"/>
      <c r="H53" s="18"/>
      <c r="I53" s="18"/>
      <c r="J53" s="272"/>
    </row>
    <row r="54" spans="3:10" s="19" customFormat="1" ht="12.75">
      <c r="C54" s="18"/>
      <c r="D54" s="18"/>
      <c r="E54" s="18"/>
      <c r="F54" s="18"/>
      <c r="G54" s="18"/>
      <c r="H54" s="18"/>
      <c r="I54" s="18"/>
      <c r="J54" s="272"/>
    </row>
    <row r="55" spans="3:10" s="19" customFormat="1" ht="12.75">
      <c r="C55" s="18"/>
      <c r="D55" s="18"/>
      <c r="E55" s="18"/>
      <c r="F55" s="18"/>
      <c r="G55" s="18"/>
      <c r="H55" s="18"/>
      <c r="I55" s="18"/>
      <c r="J55" s="272"/>
    </row>
    <row r="56" spans="3:10" s="19" customFormat="1" ht="12.75">
      <c r="C56" s="18"/>
      <c r="D56" s="18"/>
      <c r="E56" s="18"/>
      <c r="F56" s="18"/>
      <c r="G56" s="18"/>
      <c r="H56" s="18"/>
      <c r="I56" s="18"/>
      <c r="J56" s="272"/>
    </row>
    <row r="57" spans="3:10" s="19" customFormat="1" ht="12.75">
      <c r="C57" s="18"/>
      <c r="D57" s="18"/>
      <c r="E57" s="18"/>
      <c r="F57" s="18"/>
      <c r="G57" s="18"/>
      <c r="H57" s="18"/>
      <c r="I57" s="18"/>
      <c r="J57" s="272"/>
    </row>
    <row r="58" spans="3:10" s="19" customFormat="1" ht="12.75">
      <c r="C58" s="18"/>
      <c r="D58" s="18"/>
      <c r="E58" s="18"/>
      <c r="F58" s="18"/>
      <c r="G58" s="18"/>
      <c r="H58" s="18"/>
      <c r="I58" s="18"/>
      <c r="J58" s="272"/>
    </row>
    <row r="59" spans="3:10" s="19" customFormat="1" ht="12.75">
      <c r="C59" s="18"/>
      <c r="D59" s="18"/>
      <c r="E59" s="18"/>
      <c r="F59" s="18"/>
      <c r="G59" s="18"/>
      <c r="H59" s="18"/>
      <c r="I59" s="18"/>
      <c r="J59" s="272"/>
    </row>
    <row r="60" spans="3:10" s="19" customFormat="1" ht="12.75">
      <c r="C60" s="18"/>
      <c r="D60" s="18"/>
      <c r="E60" s="18"/>
      <c r="F60" s="18"/>
      <c r="G60" s="18"/>
      <c r="H60" s="18"/>
      <c r="I60" s="18"/>
      <c r="J60" s="272"/>
    </row>
    <row r="61" spans="3:10" s="19" customFormat="1" ht="12.75">
      <c r="C61" s="18"/>
      <c r="D61" s="18"/>
      <c r="E61" s="18"/>
      <c r="F61" s="18"/>
      <c r="G61" s="18"/>
      <c r="H61" s="18"/>
      <c r="I61" s="18"/>
      <c r="J61" s="272"/>
    </row>
    <row r="62" spans="3:10" s="19" customFormat="1" ht="12.75">
      <c r="C62" s="18"/>
      <c r="D62" s="18"/>
      <c r="E62" s="18"/>
      <c r="F62" s="18"/>
      <c r="G62" s="18"/>
      <c r="H62" s="18"/>
      <c r="I62" s="18"/>
      <c r="J62" s="272"/>
    </row>
  </sheetData>
  <autoFilter ref="A3:N26"/>
  <printOptions horizontalCentered="1"/>
  <pageMargins left="0.38" right="0.31"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P42"/>
  <sheetViews>
    <sheetView workbookViewId="0" topLeftCell="A1">
      <selection activeCell="A12" sqref="A12:A18"/>
    </sheetView>
  </sheetViews>
  <sheetFormatPr defaultColWidth="9.140625" defaultRowHeight="12.75"/>
  <cols>
    <col min="3" max="3" width="41.140625" style="0" customWidth="1"/>
    <col min="4" max="4" width="14.00390625" style="0" customWidth="1"/>
    <col min="5" max="5" width="15.7109375" style="0" customWidth="1"/>
    <col min="6" max="6" width="11.8515625" style="0" customWidth="1"/>
    <col min="7" max="7" width="11.57421875" style="0" customWidth="1"/>
    <col min="8" max="8" width="14.7109375" style="0" customWidth="1"/>
    <col min="9" max="9" width="12.00390625" style="0" customWidth="1"/>
    <col min="10" max="10" width="11.7109375" style="0" customWidth="1"/>
    <col min="11" max="11" width="33.28125" style="0" customWidth="1"/>
    <col min="12" max="12" width="40.57421875" style="0" customWidth="1"/>
    <col min="13" max="13" width="15.28125" style="0" customWidth="1"/>
    <col min="14" max="14" width="14.7109375" style="0" customWidth="1"/>
    <col min="15" max="15" width="11.28125" style="0" bestFit="1" customWidth="1"/>
  </cols>
  <sheetData>
    <row r="1" spans="2:15" ht="21" thickBot="1">
      <c r="B1" s="454" t="s">
        <v>214</v>
      </c>
      <c r="E1" s="139"/>
      <c r="F1" s="139"/>
      <c r="L1" s="595" t="s">
        <v>215</v>
      </c>
      <c r="M1" s="595"/>
      <c r="N1" s="595" t="s">
        <v>216</v>
      </c>
      <c r="O1" t="s">
        <v>579</v>
      </c>
    </row>
    <row r="2" spans="4:15" ht="13.5" thickBot="1">
      <c r="D2" s="680" t="s">
        <v>565</v>
      </c>
      <c r="L2" s="595" t="s">
        <v>578</v>
      </c>
      <c r="M2" s="595">
        <f>1/(10000*20)*25</f>
        <v>0.000125</v>
      </c>
      <c r="N2" s="595"/>
      <c r="O2">
        <v>20</v>
      </c>
    </row>
    <row r="3" spans="2:14" ht="29.25" customHeight="1" thickBot="1">
      <c r="B3" s="224" t="s">
        <v>210</v>
      </c>
      <c r="C3" s="209" t="s">
        <v>211</v>
      </c>
      <c r="D3" s="606" t="s">
        <v>203</v>
      </c>
      <c r="E3" s="602" t="s">
        <v>212</v>
      </c>
      <c r="F3" s="591" t="s">
        <v>213</v>
      </c>
      <c r="L3" s="595" t="s">
        <v>552</v>
      </c>
      <c r="M3" s="630">
        <f>M4*12*N3</f>
        <v>1380</v>
      </c>
      <c r="N3" s="595">
        <v>23</v>
      </c>
    </row>
    <row r="4" spans="2:14" ht="12.75">
      <c r="B4" s="550" t="s">
        <v>267</v>
      </c>
      <c r="C4" s="596" t="s">
        <v>204</v>
      </c>
      <c r="D4" s="607">
        <f>'Náklady oblastí'!E3+'Počty pracovišť'!H25</f>
        <v>11547900</v>
      </c>
      <c r="E4" s="603">
        <f>D4-0</f>
        <v>11547900</v>
      </c>
      <c r="F4" s="592">
        <f>D4-D4</f>
        <v>0</v>
      </c>
      <c r="L4" s="595" t="s">
        <v>222</v>
      </c>
      <c r="M4" s="631">
        <v>5</v>
      </c>
      <c r="N4" s="595"/>
    </row>
    <row r="5" spans="2:16" ht="12.75">
      <c r="B5" s="553" t="s">
        <v>285</v>
      </c>
      <c r="C5" s="597" t="s">
        <v>205</v>
      </c>
      <c r="D5" s="608">
        <f>'Náklady oblastí'!E3+'Náklady oblastí'!E4+'Počty pracovišť'!H26</f>
        <v>17683300</v>
      </c>
      <c r="E5" s="604">
        <f>D5-D4</f>
        <v>6135400</v>
      </c>
      <c r="F5" s="593">
        <f>D5-D4</f>
        <v>6135400</v>
      </c>
      <c r="L5" s="595"/>
      <c r="P5">
        <f>1/M2</f>
        <v>8000</v>
      </c>
    </row>
    <row r="6" spans="2:6" ht="12.75">
      <c r="B6" s="555" t="s">
        <v>286</v>
      </c>
      <c r="C6" s="598" t="s">
        <v>206</v>
      </c>
      <c r="D6" s="608">
        <f>'Náklady oblastí'!E3+'Náklady oblastí'!E4+'Náklady oblastí'!E5+'Počty pracovišť'!H27</f>
        <v>27662540</v>
      </c>
      <c r="E6" s="604">
        <f>D6-D5</f>
        <v>9979240</v>
      </c>
      <c r="F6" s="593">
        <f>D6-D4</f>
        <v>16114640</v>
      </c>
    </row>
    <row r="7" spans="2:6" ht="12.75">
      <c r="B7" s="557" t="s">
        <v>287</v>
      </c>
      <c r="C7" s="599" t="s">
        <v>207</v>
      </c>
      <c r="D7" s="608">
        <f>'Náklady oblastí'!E3+'Náklady oblastí'!E4+'Náklady oblastí'!E5+'Náklady oblastí'!E6+'Počty pracovišť'!H28</f>
        <v>125599529.65370926</v>
      </c>
      <c r="E7" s="604">
        <f>D7-D6</f>
        <v>97936989.65370926</v>
      </c>
      <c r="F7" s="593">
        <f>D7-D4</f>
        <v>114051629.65370926</v>
      </c>
    </row>
    <row r="8" spans="2:6" ht="12.75">
      <c r="B8" s="559" t="s">
        <v>288</v>
      </c>
      <c r="C8" s="600" t="s">
        <v>208</v>
      </c>
      <c r="D8" s="608">
        <f>'Náklady oblastí'!E3+'Náklady oblastí'!E4+'Náklady oblastí'!E5+'Náklady oblastí'!E6+'Náklady oblastí'!E7+'Počty pracovišť'!H29</f>
        <v>157123513.264095</v>
      </c>
      <c r="E8" s="604">
        <f>D8-D7</f>
        <v>31523983.610385746</v>
      </c>
      <c r="F8" s="593">
        <f>D8-D4</f>
        <v>145575613.264095</v>
      </c>
    </row>
    <row r="9" spans="2:6" ht="13.5" thickBot="1">
      <c r="B9" s="561" t="s">
        <v>4</v>
      </c>
      <c r="C9" s="601" t="s">
        <v>209</v>
      </c>
      <c r="D9" s="609">
        <f>'Náklady oblastí'!E3+'Náklady oblastí'!E4+'Náklady oblastí'!E5+'Náklady oblastí'!E6+'Náklady oblastí'!E7+'Náklady oblastí'!E8+'Počty pracovišť'!H30</f>
        <v>188749113.264095</v>
      </c>
      <c r="E9" s="605">
        <f>D9-D8</f>
        <v>31625600</v>
      </c>
      <c r="F9" s="594">
        <f>D9-D4</f>
        <v>177201213.264095</v>
      </c>
    </row>
    <row r="10" spans="2:6" ht="13.5" thickBot="1">
      <c r="B10" s="17"/>
      <c r="C10" s="688"/>
      <c r="D10" s="681"/>
      <c r="E10" s="682"/>
      <c r="F10" s="683"/>
    </row>
    <row r="11" spans="4:16" ht="13.5" thickBot="1">
      <c r="D11" s="677" t="s">
        <v>559</v>
      </c>
      <c r="E11" s="678" t="s">
        <v>560</v>
      </c>
      <c r="F11" s="678" t="s">
        <v>561</v>
      </c>
      <c r="G11" s="679" t="s">
        <v>562</v>
      </c>
      <c r="P11" t="s">
        <v>577</v>
      </c>
    </row>
    <row r="12" spans="1:15" ht="41.25" customHeight="1" thickBot="1">
      <c r="A12" s="665" t="s">
        <v>259</v>
      </c>
      <c r="B12" s="224" t="s">
        <v>210</v>
      </c>
      <c r="C12" s="547" t="s">
        <v>211</v>
      </c>
      <c r="D12" s="548" t="s">
        <v>221</v>
      </c>
      <c r="E12" s="548" t="s">
        <v>576</v>
      </c>
      <c r="F12" s="548" t="s">
        <v>220</v>
      </c>
      <c r="G12" s="549" t="s">
        <v>217</v>
      </c>
      <c r="K12" s="659" t="s">
        <v>550</v>
      </c>
      <c r="L12" s="634" t="s">
        <v>570</v>
      </c>
      <c r="M12" s="634" t="s">
        <v>573</v>
      </c>
      <c r="N12" s="635"/>
      <c r="O12" s="632" t="s">
        <v>568</v>
      </c>
    </row>
    <row r="13" spans="1:15" ht="12.75">
      <c r="A13" s="666">
        <v>2</v>
      </c>
      <c r="B13" s="550" t="s">
        <v>267</v>
      </c>
      <c r="C13" s="551" t="s">
        <v>204</v>
      </c>
      <c r="D13" s="552">
        <f>'Náklady oblastí'!E3*$M$2</f>
        <v>293.4875</v>
      </c>
      <c r="E13" s="628">
        <f aca="true" t="shared" si="0" ref="E13:E18">D13/$M$3</f>
        <v>0.21267210144927537</v>
      </c>
      <c r="F13" s="628">
        <v>0.08152430555555555</v>
      </c>
      <c r="G13" s="663">
        <f aca="true" t="shared" si="1" ref="G13:G18">E13*$M$4</f>
        <v>1.0633605072463768</v>
      </c>
      <c r="K13">
        <v>0.08812806216211737</v>
      </c>
      <c r="L13" s="636">
        <f aca="true" t="shared" si="2" ref="L13:L18">G13*12*E13/$M$2</f>
        <v>21710.12291272842</v>
      </c>
      <c r="M13" s="637">
        <f aca="true" t="shared" si="3" ref="M13:M18">F13*$M$2</f>
        <v>1.0190538194444444E-05</v>
      </c>
      <c r="N13" s="638">
        <f aca="true" t="shared" si="4" ref="N13:N18">1/(D4/L13*M13)</f>
        <v>184.48546140296938</v>
      </c>
      <c r="O13" s="633">
        <f>1/($D$4/(G13*12*E13*(1/$M$2))*F13*$M$2)</f>
        <v>184.48546140296938</v>
      </c>
    </row>
    <row r="14" spans="1:15" ht="12.75">
      <c r="A14" s="667">
        <v>6</v>
      </c>
      <c r="B14" s="553" t="s">
        <v>285</v>
      </c>
      <c r="C14" s="554" t="s">
        <v>205</v>
      </c>
      <c r="D14" s="563">
        <f>'Náklady oblastí'!E4*$M$2</f>
        <v>173.2375</v>
      </c>
      <c r="E14" s="610">
        <f t="shared" si="0"/>
        <v>0.1255344202898551</v>
      </c>
      <c r="F14" s="610">
        <v>0.04812152777777778</v>
      </c>
      <c r="G14" s="663">
        <f t="shared" si="1"/>
        <v>0.6276721014492754</v>
      </c>
      <c r="K14">
        <v>0.011836159718705993</v>
      </c>
      <c r="L14" s="636">
        <f t="shared" si="2"/>
        <v>7564.267525204791</v>
      </c>
      <c r="M14" s="637">
        <f t="shared" si="3"/>
        <v>6.015190972222222E-06</v>
      </c>
      <c r="N14" s="638">
        <f t="shared" si="4"/>
        <v>71.1138424506704</v>
      </c>
      <c r="O14" s="633">
        <f>1/($D$5/(G14*12*E14*(1/$M$2))*F14*$M$2)</f>
        <v>71.1138424506704</v>
      </c>
    </row>
    <row r="15" spans="1:15" ht="12.75">
      <c r="A15" s="668">
        <v>3</v>
      </c>
      <c r="B15" s="555" t="s">
        <v>286</v>
      </c>
      <c r="C15" s="556" t="s">
        <v>206</v>
      </c>
      <c r="D15" s="563">
        <f>'Náklady oblastí'!E5*$M$2</f>
        <v>374.90000000000003</v>
      </c>
      <c r="E15" s="610">
        <f t="shared" si="0"/>
        <v>0.27166666666666667</v>
      </c>
      <c r="F15" s="610">
        <v>0.10413888888888889</v>
      </c>
      <c r="G15" s="663">
        <f t="shared" si="1"/>
        <v>1.3583333333333334</v>
      </c>
      <c r="K15">
        <v>0.07668363208204362</v>
      </c>
      <c r="L15" s="636">
        <f t="shared" si="2"/>
        <v>35425.333333333336</v>
      </c>
      <c r="M15" s="637">
        <f t="shared" si="3"/>
        <v>1.3017361111111112E-05</v>
      </c>
      <c r="N15" s="638">
        <f t="shared" si="4"/>
        <v>98.37821488365951</v>
      </c>
      <c r="O15" s="633">
        <f>1/($D$6/(G15*12*E15*(1/$M$2))*F15*$M$2)</f>
        <v>98.37821488365948</v>
      </c>
    </row>
    <row r="16" spans="1:15" ht="12.75">
      <c r="A16" s="669">
        <v>5</v>
      </c>
      <c r="B16" s="557" t="s">
        <v>287</v>
      </c>
      <c r="C16" s="558" t="s">
        <v>207</v>
      </c>
      <c r="D16" s="563">
        <f>'Náklady oblastí'!E6*$M$2</f>
        <v>566.25</v>
      </c>
      <c r="E16" s="610">
        <f t="shared" si="0"/>
        <v>0.41032608695652173</v>
      </c>
      <c r="F16" s="610">
        <v>0.15729166666666666</v>
      </c>
      <c r="G16" s="663">
        <f t="shared" si="1"/>
        <v>2.0516304347826084</v>
      </c>
      <c r="K16">
        <v>0.05819491530996046</v>
      </c>
      <c r="L16" s="636">
        <f t="shared" si="2"/>
        <v>80816.39886578449</v>
      </c>
      <c r="M16" s="637">
        <f t="shared" si="3"/>
        <v>1.9661458333333333E-05</v>
      </c>
      <c r="N16" s="638">
        <f t="shared" si="4"/>
        <v>32.726213121642374</v>
      </c>
      <c r="O16" s="633">
        <f>1/($D$7/(G16*12*E16*(1/$M$2))*F16*$M$2)</f>
        <v>32.726213121642374</v>
      </c>
    </row>
    <row r="17" spans="1:15" ht="12.75">
      <c r="A17" s="670">
        <v>4</v>
      </c>
      <c r="B17" s="559" t="s">
        <v>288</v>
      </c>
      <c r="C17" s="600" t="s">
        <v>208</v>
      </c>
      <c r="D17" s="563">
        <f>'Náklady oblastí'!E7*$M$2</f>
        <v>614.575</v>
      </c>
      <c r="E17" s="610">
        <f t="shared" si="0"/>
        <v>0.44534420289855076</v>
      </c>
      <c r="F17" s="610">
        <v>0.17071527777777779</v>
      </c>
      <c r="G17" s="663">
        <f t="shared" si="1"/>
        <v>2.2267210144927536</v>
      </c>
      <c r="K17">
        <v>0.059474650230813615</v>
      </c>
      <c r="L17" s="636">
        <f t="shared" si="2"/>
        <v>95199.10034656586</v>
      </c>
      <c r="M17" s="637">
        <f t="shared" si="3"/>
        <v>2.1339409722222225E-05</v>
      </c>
      <c r="N17" s="638">
        <f t="shared" si="4"/>
        <v>28.392867832959165</v>
      </c>
      <c r="O17" s="633">
        <f>1/($D$8/(G17*12*E17*(1/$M$2))*F17*$M$2)</f>
        <v>28.392867832959165</v>
      </c>
    </row>
    <row r="18" spans="1:15" ht="13.5" thickBot="1">
      <c r="A18" s="671">
        <v>1</v>
      </c>
      <c r="B18" s="561" t="s">
        <v>4</v>
      </c>
      <c r="C18" s="601" t="s">
        <v>209</v>
      </c>
      <c r="D18" s="564">
        <f>'Náklady oblastí'!E8*$M$2</f>
        <v>1577.55</v>
      </c>
      <c r="E18" s="629">
        <f t="shared" si="0"/>
        <v>1.1431521739130435</v>
      </c>
      <c r="F18" s="629">
        <v>0.4382083333333333</v>
      </c>
      <c r="G18" s="664">
        <f t="shared" si="1"/>
        <v>5.715760869565218</v>
      </c>
      <c r="K18">
        <v>0.8373613038784445</v>
      </c>
      <c r="L18" s="636">
        <f t="shared" si="2"/>
        <v>627262.5085066163</v>
      </c>
      <c r="M18" s="637">
        <f t="shared" si="3"/>
        <v>5.4776041666666664E-05</v>
      </c>
      <c r="N18" s="638">
        <f t="shared" si="4"/>
        <v>60.66996791916157</v>
      </c>
      <c r="O18" s="633">
        <f>1/($D$9/(G18*12*E18*(1/$M$2))*F18*$M$2)</f>
        <v>60.66996791916157</v>
      </c>
    </row>
    <row r="19" spans="1:15" ht="13.5" thickBot="1">
      <c r="A19" s="17"/>
      <c r="B19" s="17"/>
      <c r="C19" s="688"/>
      <c r="D19" s="682"/>
      <c r="E19" s="684"/>
      <c r="F19" s="685"/>
      <c r="G19" s="686"/>
      <c r="L19" s="636"/>
      <c r="M19" s="637"/>
      <c r="N19" s="638"/>
      <c r="O19" s="687"/>
    </row>
    <row r="20" spans="4:6" ht="13.5" thickBot="1">
      <c r="D20" s="677" t="s">
        <v>563</v>
      </c>
      <c r="E20" s="678" t="s">
        <v>564</v>
      </c>
      <c r="F20" s="679"/>
    </row>
    <row r="21" spans="1:6" ht="39.75" thickBot="1">
      <c r="A21" s="665" t="s">
        <v>259</v>
      </c>
      <c r="B21" s="224" t="s">
        <v>210</v>
      </c>
      <c r="C21" s="547" t="s">
        <v>211</v>
      </c>
      <c r="D21" s="675" t="s">
        <v>548</v>
      </c>
      <c r="E21" s="675" t="s">
        <v>554</v>
      </c>
      <c r="F21" s="676" t="s">
        <v>549</v>
      </c>
    </row>
    <row r="22" spans="1:6" ht="12.75">
      <c r="A22" s="666">
        <v>2</v>
      </c>
      <c r="B22" s="550" t="s">
        <v>267</v>
      </c>
      <c r="C22" s="551" t="s">
        <v>204</v>
      </c>
      <c r="D22" s="661">
        <f>D13*E13*F13</f>
        <v>5.088470245209576</v>
      </c>
      <c r="E22" s="628">
        <f>(107.010090034714-100)/100</f>
        <v>0.07010090034713996</v>
      </c>
      <c r="F22" s="672">
        <f>(D22/$D$4)*$O$2*10000</f>
        <v>0.08812806216211737</v>
      </c>
    </row>
    <row r="23" spans="1:6" ht="12.75">
      <c r="A23" s="667">
        <v>6</v>
      </c>
      <c r="B23" s="553" t="s">
        <v>285</v>
      </c>
      <c r="C23" s="554" t="s">
        <v>205</v>
      </c>
      <c r="D23" s="660">
        <f>(D14*E14*F14)</f>
        <v>1.0465118157689686</v>
      </c>
      <c r="E23" s="610">
        <f>(123.567189609381-100)/100</f>
        <v>0.23567189609381003</v>
      </c>
      <c r="F23" s="673">
        <f>(D23/$D$5)*$O$2*10000</f>
        <v>0.011836159718705993</v>
      </c>
    </row>
    <row r="24" spans="1:6" ht="12.75">
      <c r="A24" s="668">
        <v>3</v>
      </c>
      <c r="B24" s="555" t="s">
        <v>286</v>
      </c>
      <c r="C24" s="556" t="s">
        <v>206</v>
      </c>
      <c r="D24" s="660">
        <f>(D15*E15*F15)</f>
        <v>10.606320199074075</v>
      </c>
      <c r="E24" s="610">
        <f>(123.796380963875-100)/100</f>
        <v>0.23796380963874994</v>
      </c>
      <c r="F24" s="673">
        <f>(D24/$D$6)*$O$2*10000</f>
        <v>0.07668363208204362</v>
      </c>
    </row>
    <row r="25" spans="1:6" ht="12.75">
      <c r="A25" s="669">
        <v>5</v>
      </c>
      <c r="B25" s="557" t="s">
        <v>287</v>
      </c>
      <c r="C25" s="558" t="s">
        <v>207</v>
      </c>
      <c r="D25" s="660">
        <f>(D16*E16*F16)</f>
        <v>36.54626995584239</v>
      </c>
      <c r="E25" s="610">
        <f>(156.645465348918-100)/100</f>
        <v>0.5664546534891801</v>
      </c>
      <c r="F25" s="673">
        <f>(D25/$D$7)*$O$2*10000</f>
        <v>0.05819491530996046</v>
      </c>
    </row>
    <row r="26" spans="1:6" ht="12.75">
      <c r="A26" s="670">
        <v>4</v>
      </c>
      <c r="B26" s="559" t="s">
        <v>288</v>
      </c>
      <c r="C26" s="600" t="s">
        <v>208</v>
      </c>
      <c r="D26" s="660">
        <f>(D17*E17*F17)</f>
        <v>46.72432997209328</v>
      </c>
      <c r="E26" s="610">
        <f>(165.992018109467-100)/100</f>
        <v>0.6599201810946701</v>
      </c>
      <c r="F26" s="673">
        <f>(D26/$D$8)*$O$2*10000</f>
        <v>0.059474650230813615</v>
      </c>
    </row>
    <row r="27" spans="1:6" ht="13.5" thickBot="1">
      <c r="A27" s="671">
        <v>1</v>
      </c>
      <c r="B27" s="561" t="s">
        <v>4</v>
      </c>
      <c r="C27" s="601" t="s">
        <v>209</v>
      </c>
      <c r="D27" s="662">
        <f>(D18*E18*F18)</f>
        <v>790.2560179436141</v>
      </c>
      <c r="E27" s="629">
        <f>(181.109307419537-100)/100</f>
        <v>0.81109307419537</v>
      </c>
      <c r="F27" s="674">
        <f>(D27/$D$9)*$O$2*10000</f>
        <v>0.8373613038784445</v>
      </c>
    </row>
    <row r="28" ht="12.75">
      <c r="D28" s="139"/>
    </row>
    <row r="29" ht="12.75">
      <c r="D29" s="139"/>
    </row>
    <row r="31" spans="2:3" ht="12.75">
      <c r="B31" t="s">
        <v>566</v>
      </c>
      <c r="C31" t="s">
        <v>567</v>
      </c>
    </row>
    <row r="32" spans="2:3" ht="26.25">
      <c r="B32" s="2" t="s">
        <v>559</v>
      </c>
      <c r="C32" s="2" t="s">
        <v>553</v>
      </c>
    </row>
    <row r="33" spans="2:6" ht="39">
      <c r="B33" s="2" t="s">
        <v>560</v>
      </c>
      <c r="C33" s="2" t="s">
        <v>556</v>
      </c>
      <c r="F33" s="304"/>
    </row>
    <row r="34" spans="2:6" ht="26.25">
      <c r="B34" s="2" t="s">
        <v>561</v>
      </c>
      <c r="C34" s="2" t="s">
        <v>557</v>
      </c>
      <c r="F34" s="304"/>
    </row>
    <row r="35" spans="2:6" ht="39">
      <c r="B35" s="2" t="s">
        <v>562</v>
      </c>
      <c r="C35" s="2" t="s">
        <v>558</v>
      </c>
      <c r="F35" s="304"/>
    </row>
    <row r="36" spans="2:10" ht="52.5">
      <c r="B36" s="2" t="s">
        <v>563</v>
      </c>
      <c r="C36" s="2" t="s">
        <v>569</v>
      </c>
      <c r="D36" t="s">
        <v>575</v>
      </c>
      <c r="F36" s="304"/>
      <c r="J36" t="s">
        <v>574</v>
      </c>
    </row>
    <row r="37" spans="2:10" ht="26.25">
      <c r="B37" s="2" t="s">
        <v>564</v>
      </c>
      <c r="C37" s="2" t="s">
        <v>555</v>
      </c>
      <c r="D37" t="s">
        <v>572</v>
      </c>
      <c r="F37" s="304"/>
      <c r="J37" t="s">
        <v>571</v>
      </c>
    </row>
    <row r="38" spans="2:6" ht="12.75">
      <c r="B38" s="2"/>
      <c r="C38" s="2"/>
      <c r="F38" s="304"/>
    </row>
    <row r="39" spans="2:3" ht="12.75">
      <c r="B39" s="2"/>
      <c r="C39" s="2"/>
    </row>
    <row r="40" spans="2:3" ht="12.75">
      <c r="B40" s="2"/>
      <c r="C40" s="2"/>
    </row>
    <row r="41" spans="2:3" ht="12.75">
      <c r="B41" s="2"/>
      <c r="C41" s="2"/>
    </row>
    <row r="42" spans="2:3" ht="12.75">
      <c r="B42" s="2"/>
      <c r="C42" s="2"/>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W125"/>
  <sheetViews>
    <sheetView workbookViewId="0" topLeftCell="A1">
      <pane ySplit="11" topLeftCell="BM12" activePane="bottomLeft" state="frozen"/>
      <selection pane="topLeft" activeCell="A1" sqref="A1"/>
      <selection pane="bottomLeft" activeCell="D16" sqref="D16"/>
    </sheetView>
  </sheetViews>
  <sheetFormatPr defaultColWidth="9.140625" defaultRowHeight="12.75"/>
  <cols>
    <col min="1" max="1" width="11.8515625" style="0" customWidth="1"/>
    <col min="2" max="2" width="10.00390625" style="0" customWidth="1"/>
    <col min="4" max="4" width="57.140625" style="0" customWidth="1"/>
    <col min="5" max="5" width="18.7109375" style="0" customWidth="1"/>
    <col min="6" max="6" width="8.421875" style="304" customWidth="1"/>
    <col min="7" max="7" width="13.00390625" style="304" customWidth="1"/>
    <col min="8" max="8" width="9.00390625" style="372" customWidth="1"/>
    <col min="9" max="9" width="6.140625" style="0" customWidth="1"/>
    <col min="10" max="10" width="4.28125" style="0" customWidth="1"/>
    <col min="11" max="12" width="4.57421875" style="0" customWidth="1"/>
    <col min="13" max="14" width="4.00390625" style="0" customWidth="1"/>
    <col min="15" max="15" width="75.7109375" style="0" customWidth="1"/>
    <col min="16" max="16" width="11.28125" style="0" customWidth="1"/>
    <col min="17" max="17" width="9.57421875" style="0" customWidth="1"/>
    <col min="18" max="19" width="10.28125" style="0" customWidth="1"/>
    <col min="20" max="20" width="11.28125" style="0" customWidth="1"/>
    <col min="21" max="21" width="11.421875" style="0" customWidth="1"/>
    <col min="22" max="23" width="10.140625" style="0" bestFit="1" customWidth="1"/>
  </cols>
  <sheetData>
    <row r="1" ht="21" thickBot="1">
      <c r="B1" s="454" t="s">
        <v>25</v>
      </c>
    </row>
    <row r="2" spans="2:22" ht="27" thickBot="1">
      <c r="B2" s="665" t="s">
        <v>259</v>
      </c>
      <c r="C2" s="224" t="s">
        <v>210</v>
      </c>
      <c r="D2" s="547" t="s">
        <v>211</v>
      </c>
      <c r="E2" s="689" t="s">
        <v>551</v>
      </c>
      <c r="F2" s="690" t="s">
        <v>218</v>
      </c>
      <c r="G2" s="691" t="s">
        <v>99</v>
      </c>
      <c r="H2" s="692" t="s">
        <v>219</v>
      </c>
      <c r="O2" s="140"/>
      <c r="P2" s="529" t="s">
        <v>267</v>
      </c>
      <c r="Q2" s="529" t="s">
        <v>285</v>
      </c>
      <c r="R2" s="529" t="s">
        <v>286</v>
      </c>
      <c r="S2" s="529" t="s">
        <v>285</v>
      </c>
      <c r="T2" s="529" t="s">
        <v>288</v>
      </c>
      <c r="U2" s="533" t="s">
        <v>4</v>
      </c>
      <c r="V2" s="255"/>
    </row>
    <row r="3" spans="2:22" ht="12.75">
      <c r="B3" s="666">
        <v>2</v>
      </c>
      <c r="C3" s="489" t="s">
        <v>267</v>
      </c>
      <c r="D3" s="611" t="s">
        <v>204</v>
      </c>
      <c r="E3" s="620">
        <f>P123</f>
        <v>2347900</v>
      </c>
      <c r="F3" s="618">
        <f aca="true" t="shared" si="0" ref="F3:F8">E3/$E$9</f>
        <v>0.08152430555555555</v>
      </c>
      <c r="G3" s="541">
        <f>P9</f>
        <v>1796900</v>
      </c>
      <c r="H3" s="542">
        <f aca="true" t="shared" si="1" ref="H3:H9">G3/E3</f>
        <v>0.7653222028195409</v>
      </c>
      <c r="O3" s="60" t="s">
        <v>26</v>
      </c>
      <c r="P3" s="152">
        <f aca="true" t="shared" si="2" ref="P3:U3">P12+P13+P26+P42+P46+P47+P49+P50+P51+P55+P63+P66+P67+P68+P70+P71+P81+P85+P88+P98+P100+P105+P106</f>
        <v>1088400</v>
      </c>
      <c r="Q3" s="152">
        <f t="shared" si="2"/>
        <v>0</v>
      </c>
      <c r="R3" s="152">
        <f t="shared" si="2"/>
        <v>1904200</v>
      </c>
      <c r="S3" s="152">
        <f t="shared" si="2"/>
        <v>2355600</v>
      </c>
      <c r="T3" s="152">
        <f t="shared" si="2"/>
        <v>853199.9999999999</v>
      </c>
      <c r="U3" s="534">
        <f t="shared" si="2"/>
        <v>2970000</v>
      </c>
      <c r="V3" s="251"/>
    </row>
    <row r="4" spans="2:22" ht="12.75">
      <c r="B4" s="667">
        <v>6</v>
      </c>
      <c r="C4" s="485" t="s">
        <v>285</v>
      </c>
      <c r="D4" s="612" t="s">
        <v>205</v>
      </c>
      <c r="E4" s="621">
        <f>Q123</f>
        <v>1385900</v>
      </c>
      <c r="F4" s="619">
        <f t="shared" si="0"/>
        <v>0.04812152777777778</v>
      </c>
      <c r="G4" s="537">
        <f>Q9</f>
        <v>398900</v>
      </c>
      <c r="H4" s="538">
        <f t="shared" si="1"/>
        <v>0.2878274045746446</v>
      </c>
      <c r="O4" s="62" t="s">
        <v>10</v>
      </c>
      <c r="P4" s="144">
        <f aca="true" t="shared" si="3" ref="P4:U4">P19+P22+P25+P28+P29+P83+P84+P86+P87</f>
        <v>0</v>
      </c>
      <c r="Q4" s="144">
        <f t="shared" si="3"/>
        <v>239400</v>
      </c>
      <c r="R4" s="144">
        <f t="shared" si="3"/>
        <v>265800</v>
      </c>
      <c r="S4" s="144">
        <f t="shared" si="3"/>
        <v>31200</v>
      </c>
      <c r="T4" s="144">
        <f t="shared" si="3"/>
        <v>246200</v>
      </c>
      <c r="U4" s="375">
        <f t="shared" si="3"/>
        <v>221200</v>
      </c>
      <c r="V4" s="248"/>
    </row>
    <row r="5" spans="2:22" ht="12.75">
      <c r="B5" s="668">
        <v>3</v>
      </c>
      <c r="C5" s="486" t="s">
        <v>286</v>
      </c>
      <c r="D5" s="613" t="s">
        <v>206</v>
      </c>
      <c r="E5" s="622">
        <f>R123</f>
        <v>2999200</v>
      </c>
      <c r="F5" s="619">
        <f t="shared" si="0"/>
        <v>0.10413888888888889</v>
      </c>
      <c r="G5" s="537">
        <f>R9</f>
        <v>2591700</v>
      </c>
      <c r="H5" s="538">
        <f t="shared" si="1"/>
        <v>0.8641304347826086</v>
      </c>
      <c r="O5" s="62" t="s">
        <v>11</v>
      </c>
      <c r="P5" s="144">
        <f aca="true" t="shared" si="4" ref="P5:U5">P20+P38+P48+P57+P58+P59+P94+P95+P96+P97+P114</f>
        <v>257000</v>
      </c>
      <c r="Q5" s="144">
        <f t="shared" si="4"/>
        <v>0</v>
      </c>
      <c r="R5" s="144">
        <f t="shared" si="4"/>
        <v>0</v>
      </c>
      <c r="S5" s="144">
        <f t="shared" si="4"/>
        <v>0</v>
      </c>
      <c r="T5" s="144">
        <f t="shared" si="4"/>
        <v>222000</v>
      </c>
      <c r="U5" s="375">
        <f t="shared" si="4"/>
        <v>2370500</v>
      </c>
      <c r="V5" s="248"/>
    </row>
    <row r="6" spans="2:22" ht="12.75">
      <c r="B6" s="669">
        <v>5</v>
      </c>
      <c r="C6" s="487" t="s">
        <v>287</v>
      </c>
      <c r="D6" s="614" t="s">
        <v>207</v>
      </c>
      <c r="E6" s="623">
        <f>S123</f>
        <v>4530000</v>
      </c>
      <c r="F6" s="619">
        <f t="shared" si="0"/>
        <v>0.15729166666666666</v>
      </c>
      <c r="G6" s="537">
        <f>S9</f>
        <v>3116800</v>
      </c>
      <c r="H6" s="538">
        <f t="shared" si="1"/>
        <v>0.6880353200883003</v>
      </c>
      <c r="O6" s="62" t="s">
        <v>7</v>
      </c>
      <c r="P6" s="144">
        <f aca="true" t="shared" si="5" ref="P6:U6">P14+P92+P103+P104+P108+P112+P113</f>
        <v>172500</v>
      </c>
      <c r="Q6" s="144">
        <f t="shared" si="5"/>
        <v>0</v>
      </c>
      <c r="R6" s="144">
        <f t="shared" si="5"/>
        <v>112200</v>
      </c>
      <c r="S6" s="144">
        <f t="shared" si="5"/>
        <v>541000</v>
      </c>
      <c r="T6" s="144">
        <f t="shared" si="5"/>
        <v>527700</v>
      </c>
      <c r="U6" s="375">
        <f t="shared" si="5"/>
        <v>612200</v>
      </c>
      <c r="V6" s="248"/>
    </row>
    <row r="7" spans="2:22" ht="12.75">
      <c r="B7" s="670">
        <v>4</v>
      </c>
      <c r="C7" s="488" t="s">
        <v>288</v>
      </c>
      <c r="D7" s="615" t="s">
        <v>208</v>
      </c>
      <c r="E7" s="624">
        <f>T123</f>
        <v>4916600</v>
      </c>
      <c r="F7" s="619">
        <f t="shared" si="0"/>
        <v>0.17071527777777779</v>
      </c>
      <c r="G7" s="537">
        <f>T9</f>
        <v>3580600</v>
      </c>
      <c r="H7" s="538">
        <f t="shared" si="1"/>
        <v>0.7282675019322296</v>
      </c>
      <c r="O7" s="62" t="s">
        <v>14</v>
      </c>
      <c r="P7" s="144">
        <f aca="true" t="shared" si="6" ref="P7:U7">P31+P39+P64+P72+P78+P89+P111+P116+P117</f>
        <v>0</v>
      </c>
      <c r="Q7" s="144">
        <f t="shared" si="6"/>
        <v>146500</v>
      </c>
      <c r="R7" s="144">
        <f t="shared" si="6"/>
        <v>296500</v>
      </c>
      <c r="S7" s="144">
        <f t="shared" si="6"/>
        <v>176000</v>
      </c>
      <c r="T7" s="144">
        <f t="shared" si="6"/>
        <v>614000</v>
      </c>
      <c r="U7" s="375">
        <f t="shared" si="6"/>
        <v>480000</v>
      </c>
      <c r="V7" s="248"/>
    </row>
    <row r="8" spans="2:22" ht="13.5" thickBot="1">
      <c r="B8" s="671">
        <v>1</v>
      </c>
      <c r="C8" s="491" t="s">
        <v>4</v>
      </c>
      <c r="D8" s="616" t="s">
        <v>209</v>
      </c>
      <c r="E8" s="625">
        <f>U123</f>
        <v>12620400</v>
      </c>
      <c r="F8" s="619">
        <f t="shared" si="0"/>
        <v>0.4382083333333333</v>
      </c>
      <c r="G8" s="539">
        <f>U9</f>
        <v>6852900</v>
      </c>
      <c r="H8" s="540">
        <f t="shared" si="1"/>
        <v>0.54300180659884</v>
      </c>
      <c r="O8" s="61" t="s">
        <v>9</v>
      </c>
      <c r="P8" s="530">
        <f aca="true" t="shared" si="7" ref="P8:U8">P17+P18+P21+P23+P24+P33+P36+P45+P56+P73+P82+P91+P107</f>
        <v>279000</v>
      </c>
      <c r="Q8" s="530">
        <f t="shared" si="7"/>
        <v>13000</v>
      </c>
      <c r="R8" s="530">
        <f t="shared" si="7"/>
        <v>13000</v>
      </c>
      <c r="S8" s="530">
        <f t="shared" si="7"/>
        <v>13000</v>
      </c>
      <c r="T8" s="530">
        <f t="shared" si="7"/>
        <v>1117500</v>
      </c>
      <c r="U8" s="376">
        <f t="shared" si="7"/>
        <v>199000</v>
      </c>
      <c r="V8" s="248"/>
    </row>
    <row r="9" spans="2:23" ht="13.5" thickBot="1">
      <c r="B9" s="2"/>
      <c r="C9" s="2"/>
      <c r="D9" s="617" t="s">
        <v>294</v>
      </c>
      <c r="E9" s="626">
        <f>SUM(E3:E8)</f>
        <v>28800000</v>
      </c>
      <c r="F9" s="627">
        <f>SUM(F3:F8)</f>
        <v>1</v>
      </c>
      <c r="G9" s="543">
        <f>SUM(G3:G8)</f>
        <v>18337800</v>
      </c>
      <c r="H9" s="544">
        <f t="shared" si="1"/>
        <v>0.6367291666666667</v>
      </c>
      <c r="O9" s="531" t="s">
        <v>294</v>
      </c>
      <c r="P9" s="532">
        <f aca="true" t="shared" si="8" ref="P9:U9">P3+P4+P5+P6+P7+P8</f>
        <v>1796900</v>
      </c>
      <c r="Q9" s="532">
        <f t="shared" si="8"/>
        <v>398900</v>
      </c>
      <c r="R9" s="532">
        <f t="shared" si="8"/>
        <v>2591700</v>
      </c>
      <c r="S9" s="532">
        <f t="shared" si="8"/>
        <v>3116800</v>
      </c>
      <c r="T9" s="532">
        <f t="shared" si="8"/>
        <v>3580600</v>
      </c>
      <c r="U9" s="535">
        <f t="shared" si="8"/>
        <v>6852900</v>
      </c>
      <c r="V9" s="536">
        <f>P9+Q9+R9+S9+T9+U9</f>
        <v>18337800</v>
      </c>
      <c r="W9" s="351"/>
    </row>
    <row r="10" spans="2:21" ht="13.5" thickBot="1">
      <c r="B10" s="2"/>
      <c r="C10" s="2"/>
      <c r="D10" s="2"/>
      <c r="E10" s="2"/>
      <c r="P10" s="1" t="s">
        <v>267</v>
      </c>
      <c r="Q10" s="1" t="s">
        <v>285</v>
      </c>
      <c r="R10" s="1" t="s">
        <v>286</v>
      </c>
      <c r="S10" s="1" t="s">
        <v>285</v>
      </c>
      <c r="T10" s="1" t="s">
        <v>288</v>
      </c>
      <c r="U10" s="1" t="s">
        <v>4</v>
      </c>
    </row>
    <row r="11" spans="1:23" ht="27" thickBot="1">
      <c r="A11" s="291" t="s">
        <v>259</v>
      </c>
      <c r="B11" s="292" t="s">
        <v>242</v>
      </c>
      <c r="C11" s="293" t="s">
        <v>243</v>
      </c>
      <c r="D11" s="293" t="s">
        <v>143</v>
      </c>
      <c r="E11" s="294" t="s">
        <v>244</v>
      </c>
      <c r="F11" s="305" t="s">
        <v>257</v>
      </c>
      <c r="G11" s="305" t="s">
        <v>258</v>
      </c>
      <c r="H11" s="390" t="s">
        <v>267</v>
      </c>
      <c r="I11" s="391" t="s">
        <v>285</v>
      </c>
      <c r="J11" s="392" t="s">
        <v>286</v>
      </c>
      <c r="K11" s="392" t="s">
        <v>285</v>
      </c>
      <c r="L11" s="392" t="s">
        <v>288</v>
      </c>
      <c r="M11" s="393" t="s">
        <v>4</v>
      </c>
      <c r="N11" s="455"/>
      <c r="O11" s="400" t="s">
        <v>144</v>
      </c>
      <c r="P11" s="478" t="s">
        <v>5</v>
      </c>
      <c r="Q11" s="478" t="s">
        <v>5</v>
      </c>
      <c r="R11" s="478" t="s">
        <v>5</v>
      </c>
      <c r="S11" s="478" t="s">
        <v>5</v>
      </c>
      <c r="T11" s="478" t="s">
        <v>5</v>
      </c>
      <c r="U11" s="478" t="s">
        <v>5</v>
      </c>
      <c r="V11" s="462" t="s">
        <v>6</v>
      </c>
      <c r="W11" s="469" t="s">
        <v>186</v>
      </c>
    </row>
    <row r="12" spans="1:23" ht="78.75">
      <c r="A12" s="421">
        <v>1</v>
      </c>
      <c r="B12" s="295">
        <v>1</v>
      </c>
      <c r="C12" s="296">
        <v>1</v>
      </c>
      <c r="D12" s="422" t="s">
        <v>172</v>
      </c>
      <c r="E12" s="297" t="s">
        <v>245</v>
      </c>
      <c r="F12" s="306">
        <f>'2 OP - Provoz'!K16+'6 OP - Rozvoj a koordinace'!K73</f>
        <v>32.519999999999996</v>
      </c>
      <c r="G12" s="306">
        <f>SUM(F12:F13)</f>
        <v>52.22</v>
      </c>
      <c r="H12" s="451">
        <v>0</v>
      </c>
      <c r="I12" s="452">
        <v>0</v>
      </c>
      <c r="J12" s="452">
        <v>1</v>
      </c>
      <c r="K12" s="452">
        <v>0</v>
      </c>
      <c r="L12" s="452">
        <v>0</v>
      </c>
      <c r="M12" s="453">
        <v>0</v>
      </c>
      <c r="N12" s="456">
        <f>SUM(H12:M12)</f>
        <v>1</v>
      </c>
      <c r="O12" s="9" t="s">
        <v>173</v>
      </c>
      <c r="P12" s="457">
        <f>H12*$F12*Svodka!$J$1</f>
        <v>0</v>
      </c>
      <c r="Q12" s="458">
        <f>I12*$F12*Svodka!$J$1</f>
        <v>0</v>
      </c>
      <c r="R12" s="458">
        <f>J12*$F12*Svodka!$J$1</f>
        <v>325199.99999999994</v>
      </c>
      <c r="S12" s="458">
        <f>K12*$F12*Svodka!$J$1</f>
        <v>0</v>
      </c>
      <c r="T12" s="458">
        <f>L12*$F12*Svodka!$J$1</f>
        <v>0</v>
      </c>
      <c r="U12" s="459">
        <f>M12*$F12*Svodka!$J$1</f>
        <v>0</v>
      </c>
      <c r="V12" s="463" t="s">
        <v>26</v>
      </c>
      <c r="W12" s="468">
        <f>SUM(P12:U12)</f>
        <v>325199.99999999994</v>
      </c>
    </row>
    <row r="13" spans="1:23" ht="66" thickBot="1">
      <c r="A13" s="410">
        <v>2</v>
      </c>
      <c r="B13" s="245">
        <v>1</v>
      </c>
      <c r="C13" s="15">
        <v>2</v>
      </c>
      <c r="D13" s="389" t="s">
        <v>442</v>
      </c>
      <c r="E13" s="398" t="s">
        <v>245</v>
      </c>
      <c r="F13" s="399">
        <f>'6 OP - Rozvoj a koordinace'!K31</f>
        <v>19.700000000000003</v>
      </c>
      <c r="G13" s="399"/>
      <c r="H13" s="395">
        <v>1</v>
      </c>
      <c r="I13" s="394">
        <v>0</v>
      </c>
      <c r="J13" s="394">
        <v>0</v>
      </c>
      <c r="K13" s="394">
        <v>0</v>
      </c>
      <c r="L13" s="394">
        <v>0</v>
      </c>
      <c r="M13" s="396">
        <v>0</v>
      </c>
      <c r="N13" s="456">
        <f aca="true" t="shared" si="9" ref="N13:N76">SUM(H13:M13)</f>
        <v>1</v>
      </c>
      <c r="O13" s="13" t="s">
        <v>443</v>
      </c>
      <c r="P13" s="480">
        <f>H13*$F13*Svodka!$J$1</f>
        <v>197000.00000000003</v>
      </c>
      <c r="Q13" s="479">
        <f>I13*$F13*Svodka!$J$1</f>
        <v>0</v>
      </c>
      <c r="R13" s="479">
        <f>J13*$F13*Svodka!$J$1</f>
        <v>0</v>
      </c>
      <c r="S13" s="479">
        <f>K13*$F13*Svodka!$J$1</f>
        <v>0</v>
      </c>
      <c r="T13" s="479">
        <f>L13*$F13*Svodka!$J$1</f>
        <v>0</v>
      </c>
      <c r="U13" s="481">
        <f>M13*$F13*Svodka!$J$1</f>
        <v>0</v>
      </c>
      <c r="V13" s="463" t="s">
        <v>26</v>
      </c>
      <c r="W13" s="466">
        <f aca="true" t="shared" si="10" ref="W13:W76">SUM(P13:U13)</f>
        <v>197000.00000000003</v>
      </c>
    </row>
    <row r="14" spans="1:23" ht="52.5">
      <c r="A14" s="432">
        <v>3</v>
      </c>
      <c r="B14" s="295">
        <v>2</v>
      </c>
      <c r="C14" s="296">
        <v>6</v>
      </c>
      <c r="D14" s="433" t="s">
        <v>51</v>
      </c>
      <c r="E14" s="297" t="s">
        <v>245</v>
      </c>
      <c r="F14" s="306">
        <f>'1 OP - Informační základna'!K49+'5 OP - Struktura, org. a říz.'!K44+'6 OP - Rozvoj a koordinace'!K61</f>
        <v>27.15</v>
      </c>
      <c r="G14" s="306">
        <f>SUM(F14:F15)</f>
        <v>53.75</v>
      </c>
      <c r="H14" s="434">
        <v>0</v>
      </c>
      <c r="I14" s="435">
        <v>0</v>
      </c>
      <c r="J14" s="435">
        <v>0</v>
      </c>
      <c r="K14" s="435">
        <v>0</v>
      </c>
      <c r="L14" s="435">
        <v>1</v>
      </c>
      <c r="M14" s="436">
        <v>0</v>
      </c>
      <c r="N14" s="456">
        <f t="shared" si="9"/>
        <v>1</v>
      </c>
      <c r="O14" s="13" t="s">
        <v>52</v>
      </c>
      <c r="P14" s="480">
        <f>H14*$F14*Svodka!$J$1</f>
        <v>0</v>
      </c>
      <c r="Q14" s="479">
        <f>I14*$F14*Svodka!$J$1</f>
        <v>0</v>
      </c>
      <c r="R14" s="479">
        <f>J14*$F14*Svodka!$J$1</f>
        <v>0</v>
      </c>
      <c r="S14" s="479">
        <f>K14*$F14*Svodka!$J$1</f>
        <v>0</v>
      </c>
      <c r="T14" s="479">
        <f>L14*$F14*Svodka!$J$1</f>
        <v>271500</v>
      </c>
      <c r="U14" s="481">
        <f>M14*$F14*Svodka!$J$1</f>
        <v>0</v>
      </c>
      <c r="V14" s="464" t="s">
        <v>7</v>
      </c>
      <c r="W14" s="466">
        <f t="shared" si="10"/>
        <v>271500</v>
      </c>
    </row>
    <row r="15" spans="1:23" ht="66" thickBot="1">
      <c r="A15" s="437">
        <v>4</v>
      </c>
      <c r="B15" s="245">
        <v>2</v>
      </c>
      <c r="C15" s="15">
        <v>7</v>
      </c>
      <c r="D15" s="438" t="s">
        <v>53</v>
      </c>
      <c r="E15" s="401" t="s">
        <v>245</v>
      </c>
      <c r="F15" s="402">
        <f>'1 OP - Informační základna'!K20+'7 OP - Výkon a rozsah'!K16</f>
        <v>26.6</v>
      </c>
      <c r="G15" s="402"/>
      <c r="H15" s="434">
        <v>0</v>
      </c>
      <c r="I15" s="435">
        <v>0</v>
      </c>
      <c r="J15" s="435">
        <v>0</v>
      </c>
      <c r="K15" s="435">
        <v>0</v>
      </c>
      <c r="L15" s="435">
        <v>1</v>
      </c>
      <c r="M15" s="436">
        <v>0</v>
      </c>
      <c r="N15" s="456">
        <f t="shared" si="9"/>
        <v>1</v>
      </c>
      <c r="O15" s="13" t="s">
        <v>54</v>
      </c>
      <c r="P15" s="480">
        <f>H15*$F15*Svodka!$J$1</f>
        <v>0</v>
      </c>
      <c r="Q15" s="479">
        <f>I15*$F15*Svodka!$J$1</f>
        <v>0</v>
      </c>
      <c r="R15" s="479">
        <f>J15*$F15*Svodka!$J$1</f>
        <v>0</v>
      </c>
      <c r="S15" s="479">
        <f>K15*$F15*Svodka!$J$1</f>
        <v>0</v>
      </c>
      <c r="T15" s="479">
        <f>L15*$F15*Svodka!$J$1</f>
        <v>266000</v>
      </c>
      <c r="U15" s="481">
        <f>M15*$F15*Svodka!$J$1</f>
        <v>0</v>
      </c>
      <c r="V15" s="464" t="s">
        <v>8</v>
      </c>
      <c r="W15" s="466">
        <f t="shared" si="10"/>
        <v>266000</v>
      </c>
    </row>
    <row r="16" spans="1:23" ht="52.5">
      <c r="A16" s="421">
        <v>5</v>
      </c>
      <c r="B16" s="295">
        <v>3</v>
      </c>
      <c r="C16" s="296">
        <v>11</v>
      </c>
      <c r="D16" s="422" t="s">
        <v>55</v>
      </c>
      <c r="E16" s="297" t="s">
        <v>246</v>
      </c>
      <c r="F16" s="306">
        <f>'1 OP - Informační základna'!K42</f>
        <v>12.4</v>
      </c>
      <c r="G16" s="306">
        <f>SUM(F16:F29)</f>
        <v>51.17</v>
      </c>
      <c r="H16" s="416">
        <v>0</v>
      </c>
      <c r="I16" s="417">
        <v>0</v>
      </c>
      <c r="J16" s="417">
        <v>1</v>
      </c>
      <c r="K16" s="417">
        <v>0</v>
      </c>
      <c r="L16" s="417">
        <v>0</v>
      </c>
      <c r="M16" s="418">
        <v>0</v>
      </c>
      <c r="N16" s="456">
        <f t="shared" si="9"/>
        <v>1</v>
      </c>
      <c r="O16" s="13" t="s">
        <v>56</v>
      </c>
      <c r="P16" s="480">
        <f>H16*$F16*Svodka!$J$1</f>
        <v>0</v>
      </c>
      <c r="Q16" s="479">
        <f>I16*$F16*Svodka!$J$1</f>
        <v>0</v>
      </c>
      <c r="R16" s="479">
        <f>J16*$F16*Svodka!$J$1</f>
        <v>124000</v>
      </c>
      <c r="S16" s="479">
        <f>K16*$F16*Svodka!$J$1</f>
        <v>0</v>
      </c>
      <c r="T16" s="479">
        <f>L16*$F16*Svodka!$J$1</f>
        <v>0</v>
      </c>
      <c r="U16" s="481">
        <f>M16*$F16*Svodka!$J$1</f>
        <v>0</v>
      </c>
      <c r="V16" s="464" t="s">
        <v>8</v>
      </c>
      <c r="W16" s="466">
        <f t="shared" si="10"/>
        <v>124000</v>
      </c>
    </row>
    <row r="17" spans="1:23" ht="26.25">
      <c r="A17" s="403">
        <v>6</v>
      </c>
      <c r="B17" s="244">
        <v>3</v>
      </c>
      <c r="C17" s="13">
        <v>15</v>
      </c>
      <c r="D17" s="404" t="s">
        <v>454</v>
      </c>
      <c r="E17" s="299" t="s">
        <v>247</v>
      </c>
      <c r="F17" s="303">
        <f>'6 OP - Rozvoj a koordinace'!K5</f>
        <v>1.3</v>
      </c>
      <c r="G17" s="303"/>
      <c r="H17" s="405">
        <v>0</v>
      </c>
      <c r="I17" s="406">
        <v>1</v>
      </c>
      <c r="J17" s="406">
        <v>0</v>
      </c>
      <c r="K17" s="406">
        <v>0</v>
      </c>
      <c r="L17" s="406">
        <v>0</v>
      </c>
      <c r="M17" s="407">
        <v>0</v>
      </c>
      <c r="N17" s="456">
        <f t="shared" si="9"/>
        <v>1</v>
      </c>
      <c r="O17" s="13" t="s">
        <v>455</v>
      </c>
      <c r="P17" s="480">
        <f>H17*$F17*Svodka!$J$1</f>
        <v>0</v>
      </c>
      <c r="Q17" s="479">
        <f>I17*$F17*Svodka!$J$1</f>
        <v>13000</v>
      </c>
      <c r="R17" s="479">
        <f>J17*$F17*Svodka!$J$1</f>
        <v>0</v>
      </c>
      <c r="S17" s="479">
        <f>K17*$F17*Svodka!$J$1</f>
        <v>0</v>
      </c>
      <c r="T17" s="479">
        <f>L17*$F17*Svodka!$J$1</f>
        <v>0</v>
      </c>
      <c r="U17" s="481">
        <f>M17*$F17*Svodka!$J$1</f>
        <v>0</v>
      </c>
      <c r="V17" s="464" t="s">
        <v>9</v>
      </c>
      <c r="W17" s="466">
        <f t="shared" si="10"/>
        <v>13000</v>
      </c>
    </row>
    <row r="18" spans="1:23" ht="66">
      <c r="A18" s="443">
        <v>7</v>
      </c>
      <c r="B18" s="244">
        <v>3</v>
      </c>
      <c r="C18" s="13">
        <v>17</v>
      </c>
      <c r="D18" s="444" t="s">
        <v>456</v>
      </c>
      <c r="E18" s="299" t="s">
        <v>247</v>
      </c>
      <c r="F18" s="303">
        <f>'6 OP - Rozvoj a koordinace'!K6</f>
        <v>1.3</v>
      </c>
      <c r="G18" s="303"/>
      <c r="H18" s="445">
        <v>0</v>
      </c>
      <c r="I18" s="446">
        <v>0</v>
      </c>
      <c r="J18" s="446">
        <v>0</v>
      </c>
      <c r="K18" s="446">
        <v>0</v>
      </c>
      <c r="L18" s="446">
        <v>0</v>
      </c>
      <c r="M18" s="447">
        <v>1</v>
      </c>
      <c r="N18" s="456">
        <f t="shared" si="9"/>
        <v>1</v>
      </c>
      <c r="O18" s="13" t="s">
        <v>457</v>
      </c>
      <c r="P18" s="480">
        <f>H18*$F18*Svodka!$J$1</f>
        <v>0</v>
      </c>
      <c r="Q18" s="479">
        <f>I18*$F18*Svodka!$J$1</f>
        <v>0</v>
      </c>
      <c r="R18" s="479">
        <f>J18*$F18*Svodka!$J$1</f>
        <v>0</v>
      </c>
      <c r="S18" s="479">
        <f>K18*$F18*Svodka!$J$1</f>
        <v>0</v>
      </c>
      <c r="T18" s="479">
        <f>L18*$F18*Svodka!$J$1</f>
        <v>0</v>
      </c>
      <c r="U18" s="481">
        <f>M18*$F18*Svodka!$J$1</f>
        <v>13000</v>
      </c>
      <c r="V18" s="464" t="s">
        <v>9</v>
      </c>
      <c r="W18" s="466">
        <f t="shared" si="10"/>
        <v>13000</v>
      </c>
    </row>
    <row r="19" spans="1:23" ht="26.25">
      <c r="A19" s="403">
        <v>8</v>
      </c>
      <c r="B19" s="244">
        <v>3</v>
      </c>
      <c r="C19" s="13">
        <v>11</v>
      </c>
      <c r="D19" s="404" t="s">
        <v>458</v>
      </c>
      <c r="E19" s="299" t="s">
        <v>245</v>
      </c>
      <c r="F19" s="303">
        <f>'6 OP - Rozvoj a koordinace'!K23</f>
        <v>1.82</v>
      </c>
      <c r="G19" s="303"/>
      <c r="H19" s="405">
        <v>0</v>
      </c>
      <c r="I19" s="406">
        <v>1</v>
      </c>
      <c r="J19" s="406">
        <v>0</v>
      </c>
      <c r="K19" s="406">
        <v>0</v>
      </c>
      <c r="L19" s="406">
        <v>0</v>
      </c>
      <c r="M19" s="407">
        <v>0</v>
      </c>
      <c r="N19" s="456">
        <f t="shared" si="9"/>
        <v>1</v>
      </c>
      <c r="O19" s="13" t="s">
        <v>459</v>
      </c>
      <c r="P19" s="480">
        <f>H19*$F19*Svodka!$J$1</f>
        <v>0</v>
      </c>
      <c r="Q19" s="479">
        <f>I19*$F19*Svodka!$J$1</f>
        <v>18200</v>
      </c>
      <c r="R19" s="479">
        <f>J19*$F19*Svodka!$J$1</f>
        <v>0</v>
      </c>
      <c r="S19" s="479">
        <f>K19*$F19*Svodka!$J$1</f>
        <v>0</v>
      </c>
      <c r="T19" s="479">
        <f>L19*$F19*Svodka!$J$1</f>
        <v>0</v>
      </c>
      <c r="U19" s="481">
        <f>M19*$F19*Svodka!$J$1</f>
        <v>0</v>
      </c>
      <c r="V19" s="464" t="s">
        <v>10</v>
      </c>
      <c r="W19" s="466">
        <f t="shared" si="10"/>
        <v>18200</v>
      </c>
    </row>
    <row r="20" spans="1:23" ht="52.5">
      <c r="A20" s="411">
        <v>9</v>
      </c>
      <c r="B20" s="244">
        <v>3</v>
      </c>
      <c r="C20" s="13">
        <v>18</v>
      </c>
      <c r="D20" s="388" t="s">
        <v>424</v>
      </c>
      <c r="E20" s="299" t="s">
        <v>247</v>
      </c>
      <c r="F20" s="303">
        <f>'5 OP - Struktura, org. a říz.'!K5</f>
        <v>6.85</v>
      </c>
      <c r="G20" s="303"/>
      <c r="H20" s="395">
        <v>1</v>
      </c>
      <c r="I20" s="394">
        <v>0</v>
      </c>
      <c r="J20" s="394">
        <v>0</v>
      </c>
      <c r="K20" s="394">
        <v>0</v>
      </c>
      <c r="L20" s="394">
        <v>0</v>
      </c>
      <c r="M20" s="396">
        <v>0</v>
      </c>
      <c r="N20" s="456">
        <f t="shared" si="9"/>
        <v>1</v>
      </c>
      <c r="O20" s="13" t="s">
        <v>425</v>
      </c>
      <c r="P20" s="480">
        <f>H20*$F20*Svodka!$J$1</f>
        <v>68500</v>
      </c>
      <c r="Q20" s="479">
        <f>I20*$F20*Svodka!$J$1</f>
        <v>0</v>
      </c>
      <c r="R20" s="479">
        <f>J20*$F20*Svodka!$J$1</f>
        <v>0</v>
      </c>
      <c r="S20" s="479">
        <f>K20*$F20*Svodka!$J$1</f>
        <v>0</v>
      </c>
      <c r="T20" s="479">
        <f>L20*$F20*Svodka!$J$1</f>
        <v>0</v>
      </c>
      <c r="U20" s="481">
        <f>M20*$F20*Svodka!$J$1</f>
        <v>0</v>
      </c>
      <c r="V20" s="464" t="s">
        <v>11</v>
      </c>
      <c r="W20" s="466">
        <f t="shared" si="10"/>
        <v>68500</v>
      </c>
    </row>
    <row r="21" spans="1:23" ht="39">
      <c r="A21" s="414">
        <v>10</v>
      </c>
      <c r="B21" s="244">
        <v>3</v>
      </c>
      <c r="C21" s="13">
        <v>28</v>
      </c>
      <c r="D21" s="415" t="s">
        <v>466</v>
      </c>
      <c r="E21" s="299" t="s">
        <v>247</v>
      </c>
      <c r="F21" s="303">
        <f>'6 OP - Rozvoj a koordinace'!K7</f>
        <v>1.3</v>
      </c>
      <c r="G21" s="303"/>
      <c r="H21" s="416">
        <v>0</v>
      </c>
      <c r="I21" s="417">
        <v>0</v>
      </c>
      <c r="J21" s="417">
        <v>1</v>
      </c>
      <c r="K21" s="417">
        <v>0</v>
      </c>
      <c r="L21" s="417">
        <v>0</v>
      </c>
      <c r="M21" s="418">
        <v>0</v>
      </c>
      <c r="N21" s="456">
        <f t="shared" si="9"/>
        <v>1</v>
      </c>
      <c r="O21" s="13" t="s">
        <v>467</v>
      </c>
      <c r="P21" s="480">
        <f>H21*$F21*Svodka!$J$1</f>
        <v>0</v>
      </c>
      <c r="Q21" s="479">
        <f>I21*$F21*Svodka!$J$1</f>
        <v>0</v>
      </c>
      <c r="R21" s="479">
        <f>J21*$F21*Svodka!$J$1</f>
        <v>13000</v>
      </c>
      <c r="S21" s="479">
        <f>K21*$F21*Svodka!$J$1</f>
        <v>0</v>
      </c>
      <c r="T21" s="479">
        <f>L21*$F21*Svodka!$J$1</f>
        <v>0</v>
      </c>
      <c r="U21" s="481">
        <f>M21*$F21*Svodka!$J$1</f>
        <v>0</v>
      </c>
      <c r="V21" s="464" t="s">
        <v>9</v>
      </c>
      <c r="W21" s="466">
        <f t="shared" si="10"/>
        <v>13000</v>
      </c>
    </row>
    <row r="22" spans="1:23" ht="66">
      <c r="A22" s="423">
        <v>11</v>
      </c>
      <c r="B22" s="244">
        <v>3</v>
      </c>
      <c r="C22" s="13">
        <v>14</v>
      </c>
      <c r="D22" s="424" t="s">
        <v>107</v>
      </c>
      <c r="E22" s="299" t="s">
        <v>248</v>
      </c>
      <c r="F22" s="303">
        <f>'1 OP - Informační základna'!K36+'6 OP - Rozvoj a koordinace'!K69</f>
        <v>3.12</v>
      </c>
      <c r="G22" s="303"/>
      <c r="H22" s="425">
        <v>0</v>
      </c>
      <c r="I22" s="426">
        <v>0</v>
      </c>
      <c r="J22" s="426">
        <v>0</v>
      </c>
      <c r="K22" s="426">
        <v>1</v>
      </c>
      <c r="L22" s="426">
        <v>0</v>
      </c>
      <c r="M22" s="427">
        <v>0</v>
      </c>
      <c r="N22" s="456">
        <f t="shared" si="9"/>
        <v>1</v>
      </c>
      <c r="O22" s="13" t="s">
        <v>108</v>
      </c>
      <c r="P22" s="480">
        <f>H22*$F22*Svodka!$J$1</f>
        <v>0</v>
      </c>
      <c r="Q22" s="479">
        <f>I22*$F22*Svodka!$J$1</f>
        <v>0</v>
      </c>
      <c r="R22" s="479">
        <f>J22*$F22*Svodka!$J$1</f>
        <v>0</v>
      </c>
      <c r="S22" s="479">
        <f>K22*$F22*Svodka!$J$1</f>
        <v>31200</v>
      </c>
      <c r="T22" s="479">
        <f>L22*$F22*Svodka!$J$1</f>
        <v>0</v>
      </c>
      <c r="U22" s="481">
        <f>M22*$F22*Svodka!$J$1</f>
        <v>0</v>
      </c>
      <c r="V22" s="464" t="s">
        <v>10</v>
      </c>
      <c r="W22" s="466">
        <f t="shared" si="10"/>
        <v>31200</v>
      </c>
    </row>
    <row r="23" spans="1:23" ht="39">
      <c r="A23" s="411">
        <v>12</v>
      </c>
      <c r="B23" s="244">
        <v>3</v>
      </c>
      <c r="C23" s="13">
        <v>33</v>
      </c>
      <c r="D23" s="388" t="s">
        <v>249</v>
      </c>
      <c r="E23" s="299" t="s">
        <v>247</v>
      </c>
      <c r="F23" s="303">
        <f>'6 OP - Rozvoj a koordinace'!K20</f>
        <v>3.5</v>
      </c>
      <c r="G23" s="303"/>
      <c r="H23" s="395">
        <v>1</v>
      </c>
      <c r="I23" s="394">
        <v>0</v>
      </c>
      <c r="J23" s="394">
        <v>0</v>
      </c>
      <c r="K23" s="394">
        <v>0</v>
      </c>
      <c r="L23" s="394">
        <v>0</v>
      </c>
      <c r="M23" s="396">
        <v>0</v>
      </c>
      <c r="N23" s="456">
        <f t="shared" si="9"/>
        <v>1</v>
      </c>
      <c r="O23" s="13" t="s">
        <v>484</v>
      </c>
      <c r="P23" s="480">
        <f>H23*$F23*Svodka!$J$1</f>
        <v>35000</v>
      </c>
      <c r="Q23" s="479">
        <f>I23*$F23*Svodka!$J$1</f>
        <v>0</v>
      </c>
      <c r="R23" s="479">
        <f>J23*$F23*Svodka!$J$1</f>
        <v>0</v>
      </c>
      <c r="S23" s="479">
        <f>K23*$F23*Svodka!$J$1</f>
        <v>0</v>
      </c>
      <c r="T23" s="479">
        <f>L23*$F23*Svodka!$J$1</f>
        <v>0</v>
      </c>
      <c r="U23" s="481">
        <f>M23*$F23*Svodka!$J$1</f>
        <v>0</v>
      </c>
      <c r="V23" s="464" t="s">
        <v>9</v>
      </c>
      <c r="W23" s="466">
        <f t="shared" si="10"/>
        <v>35000</v>
      </c>
    </row>
    <row r="24" spans="1:23" ht="26.25">
      <c r="A24" s="411">
        <v>13</v>
      </c>
      <c r="B24" s="244">
        <v>3</v>
      </c>
      <c r="C24" s="13">
        <v>34</v>
      </c>
      <c r="D24" s="388" t="s">
        <v>485</v>
      </c>
      <c r="E24" s="299" t="s">
        <v>247</v>
      </c>
      <c r="F24" s="303">
        <f>'6 OP - Rozvoj a koordinace'!K21</f>
        <v>4</v>
      </c>
      <c r="G24" s="303"/>
      <c r="H24" s="395">
        <v>1</v>
      </c>
      <c r="I24" s="394">
        <v>0</v>
      </c>
      <c r="J24" s="394">
        <v>0</v>
      </c>
      <c r="K24" s="394">
        <v>0</v>
      </c>
      <c r="L24" s="394">
        <v>0</v>
      </c>
      <c r="M24" s="396">
        <v>0</v>
      </c>
      <c r="N24" s="456">
        <f t="shared" si="9"/>
        <v>1</v>
      </c>
      <c r="O24" s="13" t="s">
        <v>486</v>
      </c>
      <c r="P24" s="480">
        <f>H24*$F24*Svodka!$J$1</f>
        <v>40000</v>
      </c>
      <c r="Q24" s="479">
        <f>I24*$F24*Svodka!$J$1</f>
        <v>0</v>
      </c>
      <c r="R24" s="479">
        <f>J24*$F24*Svodka!$J$1</f>
        <v>0</v>
      </c>
      <c r="S24" s="479">
        <f>K24*$F24*Svodka!$J$1</f>
        <v>0</v>
      </c>
      <c r="T24" s="479">
        <f>L24*$F24*Svodka!$J$1</f>
        <v>0</v>
      </c>
      <c r="U24" s="481">
        <f>M24*$F24*Svodka!$J$1</f>
        <v>0</v>
      </c>
      <c r="V24" s="464" t="s">
        <v>9</v>
      </c>
      <c r="W24" s="466">
        <f t="shared" si="10"/>
        <v>40000</v>
      </c>
    </row>
    <row r="25" spans="1:23" ht="12.75">
      <c r="A25" s="414">
        <v>14</v>
      </c>
      <c r="B25" s="244">
        <v>3</v>
      </c>
      <c r="C25" s="13">
        <v>17</v>
      </c>
      <c r="D25" s="415" t="s">
        <v>487</v>
      </c>
      <c r="E25" s="299" t="s">
        <v>245</v>
      </c>
      <c r="F25" s="303">
        <f>'6 OP - Rozvoj a koordinace'!K24</f>
        <v>1.82</v>
      </c>
      <c r="G25" s="303"/>
      <c r="H25" s="416">
        <v>0</v>
      </c>
      <c r="I25" s="417">
        <v>0</v>
      </c>
      <c r="J25" s="417">
        <v>1</v>
      </c>
      <c r="K25" s="417">
        <v>0</v>
      </c>
      <c r="L25" s="417">
        <v>0</v>
      </c>
      <c r="M25" s="418">
        <v>0</v>
      </c>
      <c r="N25" s="456">
        <f t="shared" si="9"/>
        <v>1</v>
      </c>
      <c r="O25" s="13" t="s">
        <v>488</v>
      </c>
      <c r="P25" s="480">
        <f>H25*$F25*Svodka!$J$1</f>
        <v>0</v>
      </c>
      <c r="Q25" s="479">
        <f>I25*$F25*Svodka!$J$1</f>
        <v>0</v>
      </c>
      <c r="R25" s="479">
        <f>J25*$F25*Svodka!$J$1</f>
        <v>18200</v>
      </c>
      <c r="S25" s="479">
        <f>K25*$F25*Svodka!$J$1</f>
        <v>0</v>
      </c>
      <c r="T25" s="479">
        <f>L25*$F25*Svodka!$J$1</f>
        <v>0</v>
      </c>
      <c r="U25" s="481">
        <f>M25*$F25*Svodka!$J$1</f>
        <v>0</v>
      </c>
      <c r="V25" s="464" t="s">
        <v>10</v>
      </c>
      <c r="W25" s="466">
        <f t="shared" si="10"/>
        <v>18200</v>
      </c>
    </row>
    <row r="26" spans="1:23" ht="26.25">
      <c r="A26" s="414">
        <v>15</v>
      </c>
      <c r="B26" s="244">
        <v>3</v>
      </c>
      <c r="C26" s="13">
        <v>19</v>
      </c>
      <c r="D26" s="415" t="s">
        <v>489</v>
      </c>
      <c r="E26" s="299" t="s">
        <v>245</v>
      </c>
      <c r="F26" s="303">
        <f>'6 OP - Rozvoj a koordinace'!K75</f>
        <v>6.62</v>
      </c>
      <c r="G26" s="303"/>
      <c r="H26" s="416">
        <v>0</v>
      </c>
      <c r="I26" s="417">
        <v>0</v>
      </c>
      <c r="J26" s="417">
        <v>1</v>
      </c>
      <c r="K26" s="417">
        <v>0</v>
      </c>
      <c r="L26" s="417">
        <v>0</v>
      </c>
      <c r="M26" s="418">
        <v>0</v>
      </c>
      <c r="N26" s="456">
        <f t="shared" si="9"/>
        <v>1</v>
      </c>
      <c r="O26" s="13" t="s">
        <v>490</v>
      </c>
      <c r="P26" s="480">
        <f>H26*$F26*Svodka!$J$1</f>
        <v>0</v>
      </c>
      <c r="Q26" s="479">
        <f>I26*$F26*Svodka!$J$1</f>
        <v>0</v>
      </c>
      <c r="R26" s="479">
        <f>J26*$F26*Svodka!$J$1</f>
        <v>66200</v>
      </c>
      <c r="S26" s="479">
        <f>K26*$F26*Svodka!$J$1</f>
        <v>0</v>
      </c>
      <c r="T26" s="479">
        <f>L26*$F26*Svodka!$J$1</f>
        <v>0</v>
      </c>
      <c r="U26" s="481">
        <f>M26*$F26*Svodka!$J$1</f>
        <v>0</v>
      </c>
      <c r="V26" s="463" t="s">
        <v>26</v>
      </c>
      <c r="W26" s="466">
        <f t="shared" si="10"/>
        <v>66200</v>
      </c>
    </row>
    <row r="27" spans="1:23" ht="52.5">
      <c r="A27" s="414">
        <v>16</v>
      </c>
      <c r="B27" s="244">
        <v>3</v>
      </c>
      <c r="C27" s="13">
        <v>31</v>
      </c>
      <c r="D27" s="415" t="s">
        <v>200</v>
      </c>
      <c r="E27" s="299" t="s">
        <v>247</v>
      </c>
      <c r="F27" s="303">
        <f>'3 OP - Řízení kvality'!K5</f>
        <v>3.5</v>
      </c>
      <c r="G27" s="303"/>
      <c r="H27" s="416">
        <v>0</v>
      </c>
      <c r="I27" s="417">
        <v>0</v>
      </c>
      <c r="J27" s="417">
        <v>1</v>
      </c>
      <c r="K27" s="417">
        <v>0</v>
      </c>
      <c r="L27" s="417">
        <v>0</v>
      </c>
      <c r="M27" s="418">
        <v>0</v>
      </c>
      <c r="N27" s="456">
        <f t="shared" si="9"/>
        <v>1</v>
      </c>
      <c r="O27" s="13" t="s">
        <v>201</v>
      </c>
      <c r="P27" s="480">
        <f>H27*$F27*Svodka!$J$1</f>
        <v>0</v>
      </c>
      <c r="Q27" s="479">
        <f>I27*$F27*Svodka!$J$1</f>
        <v>0</v>
      </c>
      <c r="R27" s="479">
        <f>J27*$F27*Svodka!$J$1</f>
        <v>35000</v>
      </c>
      <c r="S27" s="479">
        <f>K27*$F27*Svodka!$J$1</f>
        <v>0</v>
      </c>
      <c r="T27" s="479">
        <f>L27*$F27*Svodka!$J$1</f>
        <v>0</v>
      </c>
      <c r="U27" s="481">
        <f>M27*$F27*Svodka!$J$1</f>
        <v>0</v>
      </c>
      <c r="V27" s="464" t="s">
        <v>12</v>
      </c>
      <c r="W27" s="466">
        <f t="shared" si="10"/>
        <v>35000</v>
      </c>
    </row>
    <row r="28" spans="1:23" ht="26.25">
      <c r="A28" s="414">
        <v>17</v>
      </c>
      <c r="B28" s="244">
        <v>3</v>
      </c>
      <c r="C28" s="13">
        <v>16</v>
      </c>
      <c r="D28" s="415" t="s">
        <v>493</v>
      </c>
      <c r="E28" s="299" t="s">
        <v>248</v>
      </c>
      <c r="F28" s="303">
        <f>'6 OP - Rozvoj a koordinace'!K25</f>
        <v>1.82</v>
      </c>
      <c r="G28" s="303"/>
      <c r="H28" s="416">
        <v>0</v>
      </c>
      <c r="I28" s="417">
        <v>0</v>
      </c>
      <c r="J28" s="417">
        <v>1</v>
      </c>
      <c r="K28" s="417">
        <v>0</v>
      </c>
      <c r="L28" s="417">
        <v>0</v>
      </c>
      <c r="M28" s="418">
        <v>0</v>
      </c>
      <c r="N28" s="456">
        <f t="shared" si="9"/>
        <v>1</v>
      </c>
      <c r="O28" s="13" t="s">
        <v>494</v>
      </c>
      <c r="P28" s="480">
        <f>H28*$F28*Svodka!$J$1</f>
        <v>0</v>
      </c>
      <c r="Q28" s="479">
        <f>I28*$F28*Svodka!$J$1</f>
        <v>0</v>
      </c>
      <c r="R28" s="479">
        <f>J28*$F28*Svodka!$J$1</f>
        <v>18200</v>
      </c>
      <c r="S28" s="479">
        <f>K28*$F28*Svodka!$J$1</f>
        <v>0</v>
      </c>
      <c r="T28" s="479">
        <f>L28*$F28*Svodka!$J$1</f>
        <v>0</v>
      </c>
      <c r="U28" s="481">
        <f>M28*$F28*Svodka!$J$1</f>
        <v>0</v>
      </c>
      <c r="V28" s="464" t="s">
        <v>10</v>
      </c>
      <c r="W28" s="466">
        <f t="shared" si="10"/>
        <v>18200</v>
      </c>
    </row>
    <row r="29" spans="1:23" ht="53.25" thickBot="1">
      <c r="A29" s="419">
        <v>18</v>
      </c>
      <c r="B29" s="245">
        <v>3</v>
      </c>
      <c r="C29" s="15">
        <v>37</v>
      </c>
      <c r="D29" s="420" t="s">
        <v>497</v>
      </c>
      <c r="E29" s="298" t="s">
        <v>247</v>
      </c>
      <c r="F29" s="307">
        <f>'6 OP - Rozvoj a koordinace'!K26</f>
        <v>1.82</v>
      </c>
      <c r="G29" s="307"/>
      <c r="H29" s="416">
        <v>0</v>
      </c>
      <c r="I29" s="417">
        <v>0</v>
      </c>
      <c r="J29" s="417">
        <v>1</v>
      </c>
      <c r="K29" s="417">
        <v>0</v>
      </c>
      <c r="L29" s="417">
        <v>0</v>
      </c>
      <c r="M29" s="418">
        <v>0</v>
      </c>
      <c r="N29" s="456">
        <f t="shared" si="9"/>
        <v>1</v>
      </c>
      <c r="O29" s="13" t="s">
        <v>24</v>
      </c>
      <c r="P29" s="480">
        <f>H29*$F29*Svodka!$J$1</f>
        <v>0</v>
      </c>
      <c r="Q29" s="479">
        <f>I29*$F29*Svodka!$J$1</f>
        <v>0</v>
      </c>
      <c r="R29" s="479">
        <f>J29*$F29*Svodka!$J$1</f>
        <v>18200</v>
      </c>
      <c r="S29" s="479">
        <f>K29*$F29*Svodka!$J$1</f>
        <v>0</v>
      </c>
      <c r="T29" s="479">
        <f>L29*$F29*Svodka!$J$1</f>
        <v>0</v>
      </c>
      <c r="U29" s="481">
        <f>M29*$F29*Svodka!$J$1</f>
        <v>0</v>
      </c>
      <c r="V29" s="464" t="s">
        <v>10</v>
      </c>
      <c r="W29" s="466">
        <f t="shared" si="10"/>
        <v>18200</v>
      </c>
    </row>
    <row r="30" spans="1:23" ht="78.75">
      <c r="A30" s="449">
        <v>19</v>
      </c>
      <c r="B30" s="295">
        <v>4</v>
      </c>
      <c r="C30" s="296">
        <v>3</v>
      </c>
      <c r="D30" s="450" t="s">
        <v>3</v>
      </c>
      <c r="E30" s="297" t="s">
        <v>245</v>
      </c>
      <c r="F30" s="306">
        <f>'1 OP - Informační základna'!K25+'5 OP - Struktura, org. a říz.'!K49+'7 OP - Výkon a rozsah'!K20</f>
        <v>23.8</v>
      </c>
      <c r="G30" s="306">
        <f>SUM(F30:F36)</f>
        <v>150.3</v>
      </c>
      <c r="H30" s="445">
        <v>0</v>
      </c>
      <c r="I30" s="446">
        <v>0</v>
      </c>
      <c r="J30" s="446">
        <v>0</v>
      </c>
      <c r="K30" s="446">
        <v>0</v>
      </c>
      <c r="L30" s="446">
        <v>0</v>
      </c>
      <c r="M30" s="447">
        <v>1</v>
      </c>
      <c r="N30" s="456">
        <f t="shared" si="9"/>
        <v>1</v>
      </c>
      <c r="O30" s="13" t="s">
        <v>28</v>
      </c>
      <c r="P30" s="480">
        <f>H30*$F30*Svodka!$J$1</f>
        <v>0</v>
      </c>
      <c r="Q30" s="479">
        <f>I30*$F30*Svodka!$J$1</f>
        <v>0</v>
      </c>
      <c r="R30" s="479">
        <f>J30*$F30*Svodka!$J$1</f>
        <v>0</v>
      </c>
      <c r="S30" s="479">
        <f>K30*$F30*Svodka!$J$1</f>
        <v>0</v>
      </c>
      <c r="T30" s="479">
        <f>L30*$F30*Svodka!$J$1</f>
        <v>0</v>
      </c>
      <c r="U30" s="481">
        <f>M30*$F30*Svodka!$J$1</f>
        <v>238000</v>
      </c>
      <c r="V30" s="464" t="s">
        <v>13</v>
      </c>
      <c r="W30" s="466">
        <f t="shared" si="10"/>
        <v>238000</v>
      </c>
    </row>
    <row r="31" spans="1:23" ht="39">
      <c r="A31" s="443">
        <v>20</v>
      </c>
      <c r="B31" s="244">
        <v>4</v>
      </c>
      <c r="C31" s="13">
        <v>13</v>
      </c>
      <c r="D31" s="444" t="s">
        <v>59</v>
      </c>
      <c r="E31" s="299" t="s">
        <v>247</v>
      </c>
      <c r="F31" s="303">
        <f>'1 OP - Informační základna'!K43+'3 OP - Řízení kvality'!K12+'6 OP - Rozvoj a koordinace'!K40</f>
        <v>34.1</v>
      </c>
      <c r="G31" s="303"/>
      <c r="H31" s="445">
        <v>0</v>
      </c>
      <c r="I31" s="446">
        <v>0</v>
      </c>
      <c r="J31" s="446">
        <v>0</v>
      </c>
      <c r="K31" s="446">
        <v>0</v>
      </c>
      <c r="L31" s="446">
        <v>0</v>
      </c>
      <c r="M31" s="447">
        <v>1</v>
      </c>
      <c r="N31" s="456">
        <f t="shared" si="9"/>
        <v>1</v>
      </c>
      <c r="O31" s="13" t="s">
        <v>60</v>
      </c>
      <c r="P31" s="480">
        <f>H31*$F31*Svodka!$J$1</f>
        <v>0</v>
      </c>
      <c r="Q31" s="479">
        <f>I31*$F31*Svodka!$J$1</f>
        <v>0</v>
      </c>
      <c r="R31" s="479">
        <f>J31*$F31*Svodka!$J$1</f>
        <v>0</v>
      </c>
      <c r="S31" s="479">
        <f>K31*$F31*Svodka!$J$1</f>
        <v>0</v>
      </c>
      <c r="T31" s="479">
        <f>L31*$F31*Svodka!$J$1</f>
        <v>0</v>
      </c>
      <c r="U31" s="481">
        <f>M31*$F31*Svodka!$J$1</f>
        <v>341000</v>
      </c>
      <c r="V31" s="464" t="s">
        <v>14</v>
      </c>
      <c r="W31" s="466">
        <f t="shared" si="10"/>
        <v>341000</v>
      </c>
    </row>
    <row r="32" spans="1:23" ht="39">
      <c r="A32" s="411">
        <v>21</v>
      </c>
      <c r="B32" s="244">
        <v>4</v>
      </c>
      <c r="C32" s="13">
        <v>16</v>
      </c>
      <c r="D32" s="388" t="s">
        <v>422</v>
      </c>
      <c r="E32" s="299" t="s">
        <v>247</v>
      </c>
      <c r="F32" s="303">
        <f>'5 OP - Struktura, org. a říz.'!K31+'7 OP - Výkon a rozsah'!K14</f>
        <v>33.5</v>
      </c>
      <c r="G32" s="303"/>
      <c r="H32" s="395">
        <v>1</v>
      </c>
      <c r="I32" s="394">
        <v>0</v>
      </c>
      <c r="J32" s="394">
        <v>0</v>
      </c>
      <c r="K32" s="394">
        <v>0</v>
      </c>
      <c r="L32" s="394">
        <v>0</v>
      </c>
      <c r="M32" s="396">
        <v>0</v>
      </c>
      <c r="N32" s="456">
        <f t="shared" si="9"/>
        <v>1</v>
      </c>
      <c r="O32" s="13" t="s">
        <v>423</v>
      </c>
      <c r="P32" s="480">
        <f>H32*$F32*Svodka!$J$1</f>
        <v>335000</v>
      </c>
      <c r="Q32" s="479">
        <f>I32*$F32*Svodka!$J$1</f>
        <v>0</v>
      </c>
      <c r="R32" s="479">
        <f>J32*$F32*Svodka!$J$1</f>
        <v>0</v>
      </c>
      <c r="S32" s="479">
        <f>K32*$F32*Svodka!$J$1</f>
        <v>0</v>
      </c>
      <c r="T32" s="479">
        <f>L32*$F32*Svodka!$J$1</f>
        <v>0</v>
      </c>
      <c r="U32" s="481">
        <f>M32*$F32*Svodka!$J$1</f>
        <v>0</v>
      </c>
      <c r="V32" s="464" t="s">
        <v>15</v>
      </c>
      <c r="W32" s="466">
        <f t="shared" si="10"/>
        <v>335000</v>
      </c>
    </row>
    <row r="33" spans="1:23" ht="52.5">
      <c r="A33" s="439">
        <v>22</v>
      </c>
      <c r="B33" s="244">
        <v>4</v>
      </c>
      <c r="C33" s="13">
        <v>24</v>
      </c>
      <c r="D33" s="440" t="s">
        <v>229</v>
      </c>
      <c r="E33" s="299" t="s">
        <v>247</v>
      </c>
      <c r="F33" s="303">
        <f>'4 OP - Výstavba'!K12+'5 OP - Struktura, org. a říz.'!K25+'6 OP - Rozvoj a koordinace'!K44</f>
        <v>10.8</v>
      </c>
      <c r="G33" s="303"/>
      <c r="H33" s="434">
        <v>0</v>
      </c>
      <c r="I33" s="435">
        <v>0</v>
      </c>
      <c r="J33" s="435">
        <v>0</v>
      </c>
      <c r="K33" s="435">
        <v>0</v>
      </c>
      <c r="L33" s="435">
        <v>1</v>
      </c>
      <c r="M33" s="436">
        <v>0</v>
      </c>
      <c r="N33" s="456">
        <f t="shared" si="9"/>
        <v>1</v>
      </c>
      <c r="O33" s="13" t="s">
        <v>230</v>
      </c>
      <c r="P33" s="480">
        <f>H33*$F33*Svodka!$J$1</f>
        <v>0</v>
      </c>
      <c r="Q33" s="479">
        <f>I33*$F33*Svodka!$J$1</f>
        <v>0</v>
      </c>
      <c r="R33" s="479">
        <f>J33*$F33*Svodka!$J$1</f>
        <v>0</v>
      </c>
      <c r="S33" s="479">
        <f>K33*$F33*Svodka!$J$1</f>
        <v>0</v>
      </c>
      <c r="T33" s="479">
        <f>L33*$F33*Svodka!$J$1</f>
        <v>108000</v>
      </c>
      <c r="U33" s="481">
        <f>M33*$F33*Svodka!$J$1</f>
        <v>0</v>
      </c>
      <c r="V33" s="464" t="s">
        <v>9</v>
      </c>
      <c r="W33" s="466">
        <f t="shared" si="10"/>
        <v>108000</v>
      </c>
    </row>
    <row r="34" spans="1:23" ht="66">
      <c r="A34" s="443">
        <v>23</v>
      </c>
      <c r="B34" s="244">
        <v>4</v>
      </c>
      <c r="C34" s="13">
        <v>12</v>
      </c>
      <c r="D34" s="444" t="s">
        <v>64</v>
      </c>
      <c r="E34" s="299" t="s">
        <v>245</v>
      </c>
      <c r="F34" s="303">
        <f>'1 OP - Informační základna'!K34+'6 OP - Rozvoj a koordinace'!K66</f>
        <v>8.5</v>
      </c>
      <c r="G34" s="303"/>
      <c r="H34" s="445">
        <v>0</v>
      </c>
      <c r="I34" s="446">
        <v>0</v>
      </c>
      <c r="J34" s="446">
        <v>0</v>
      </c>
      <c r="K34" s="446">
        <v>0</v>
      </c>
      <c r="L34" s="446">
        <v>0</v>
      </c>
      <c r="M34" s="447">
        <v>1</v>
      </c>
      <c r="N34" s="456">
        <f t="shared" si="9"/>
        <v>1</v>
      </c>
      <c r="O34" s="13" t="s">
        <v>93</v>
      </c>
      <c r="P34" s="480">
        <f>H34*$F34*Svodka!$J$1</f>
        <v>0</v>
      </c>
      <c r="Q34" s="479">
        <f>I34*$F34*Svodka!$J$1</f>
        <v>0</v>
      </c>
      <c r="R34" s="479">
        <f>J34*$F34*Svodka!$J$1</f>
        <v>0</v>
      </c>
      <c r="S34" s="479">
        <f>K34*$F34*Svodka!$J$1</f>
        <v>0</v>
      </c>
      <c r="T34" s="479">
        <f>L34*$F34*Svodka!$J$1</f>
        <v>0</v>
      </c>
      <c r="U34" s="481">
        <f>M34*$F34*Svodka!$J$1</f>
        <v>85000</v>
      </c>
      <c r="V34" s="464" t="s">
        <v>16</v>
      </c>
      <c r="W34" s="466">
        <f t="shared" si="10"/>
        <v>85000</v>
      </c>
    </row>
    <row r="35" spans="1:23" ht="52.5">
      <c r="A35" s="423">
        <v>24</v>
      </c>
      <c r="B35" s="244">
        <v>4</v>
      </c>
      <c r="C35" s="13">
        <v>13</v>
      </c>
      <c r="D35" s="424" t="s">
        <v>194</v>
      </c>
      <c r="E35" s="299" t="s">
        <v>245</v>
      </c>
      <c r="F35" s="303">
        <f>'3 OP - Řízení kvality'!K23+'4 OP - Výstavba'!K15+'5 OP - Struktura, org. a říz.'!K56</f>
        <v>17</v>
      </c>
      <c r="G35" s="303"/>
      <c r="H35" s="425">
        <v>0</v>
      </c>
      <c r="I35" s="426">
        <v>0</v>
      </c>
      <c r="J35" s="426">
        <v>0</v>
      </c>
      <c r="K35" s="426">
        <v>1</v>
      </c>
      <c r="L35" s="426">
        <v>0</v>
      </c>
      <c r="M35" s="427">
        <v>0</v>
      </c>
      <c r="N35" s="456">
        <f t="shared" si="9"/>
        <v>1</v>
      </c>
      <c r="O35" s="13" t="s">
        <v>195</v>
      </c>
      <c r="P35" s="480">
        <f>H35*$F35*Svodka!$J$1</f>
        <v>0</v>
      </c>
      <c r="Q35" s="479">
        <f>I35*$F35*Svodka!$J$1</f>
        <v>0</v>
      </c>
      <c r="R35" s="479">
        <f>J35*$F35*Svodka!$J$1</f>
        <v>0</v>
      </c>
      <c r="S35" s="479">
        <f>K35*$F35*Svodka!$J$1</f>
        <v>170000</v>
      </c>
      <c r="T35" s="479">
        <f>L35*$F35*Svodka!$J$1</f>
        <v>0</v>
      </c>
      <c r="U35" s="481">
        <f>M35*$F35*Svodka!$J$1</f>
        <v>0</v>
      </c>
      <c r="V35" s="464" t="s">
        <v>13</v>
      </c>
      <c r="W35" s="466">
        <f t="shared" si="10"/>
        <v>170000</v>
      </c>
    </row>
    <row r="36" spans="1:23" ht="66" thickBot="1">
      <c r="A36" s="437">
        <v>25</v>
      </c>
      <c r="B36" s="245">
        <v>4</v>
      </c>
      <c r="C36" s="15">
        <v>15</v>
      </c>
      <c r="D36" s="438" t="s">
        <v>122</v>
      </c>
      <c r="E36" s="298" t="s">
        <v>245</v>
      </c>
      <c r="F36" s="307">
        <f>'1 OP - Informační základna'!K40+'3 OP - Řízení kvality'!K18+'5 OP - Struktura, org. a říz.'!K50+'6 OP - Rozvoj a koordinace'!K67</f>
        <v>22.6</v>
      </c>
      <c r="G36" s="307"/>
      <c r="H36" s="434">
        <v>0</v>
      </c>
      <c r="I36" s="435">
        <v>0</v>
      </c>
      <c r="J36" s="435">
        <v>0</v>
      </c>
      <c r="K36" s="435">
        <v>0</v>
      </c>
      <c r="L36" s="435">
        <v>1</v>
      </c>
      <c r="M36" s="436">
        <v>0</v>
      </c>
      <c r="N36" s="456">
        <f t="shared" si="9"/>
        <v>1</v>
      </c>
      <c r="O36" s="13" t="s">
        <v>123</v>
      </c>
      <c r="P36" s="480">
        <f>H36*$F36*Svodka!$J$1</f>
        <v>0</v>
      </c>
      <c r="Q36" s="479">
        <f>I36*$F36*Svodka!$J$1</f>
        <v>0</v>
      </c>
      <c r="R36" s="479">
        <f>J36*$F36*Svodka!$J$1</f>
        <v>0</v>
      </c>
      <c r="S36" s="479">
        <f>K36*$F36*Svodka!$J$1</f>
        <v>0</v>
      </c>
      <c r="T36" s="479">
        <f>L36*$F36*Svodka!$J$1</f>
        <v>226000</v>
      </c>
      <c r="U36" s="481">
        <f>M36*$F36*Svodka!$J$1</f>
        <v>0</v>
      </c>
      <c r="V36" s="464" t="s">
        <v>9</v>
      </c>
      <c r="W36" s="466">
        <f t="shared" si="10"/>
        <v>226000</v>
      </c>
    </row>
    <row r="37" spans="1:23" ht="78.75">
      <c r="A37" s="449">
        <v>26</v>
      </c>
      <c r="B37" s="295">
        <v>5</v>
      </c>
      <c r="C37" s="296">
        <v>4</v>
      </c>
      <c r="D37" s="450" t="s">
        <v>33</v>
      </c>
      <c r="E37" s="297" t="s">
        <v>245</v>
      </c>
      <c r="F37" s="306">
        <f>'1 OP - Informační základna'!K28+'5 OP - Struktura, org. a říz.'!K53</f>
        <v>4.15</v>
      </c>
      <c r="G37" s="306">
        <f>SUM(F37:F40)</f>
        <v>62.099999999999994</v>
      </c>
      <c r="H37" s="445">
        <v>0</v>
      </c>
      <c r="I37" s="446">
        <v>0</v>
      </c>
      <c r="J37" s="446">
        <v>0</v>
      </c>
      <c r="K37" s="446">
        <v>0</v>
      </c>
      <c r="L37" s="446">
        <v>0</v>
      </c>
      <c r="M37" s="447">
        <v>1</v>
      </c>
      <c r="N37" s="456">
        <f t="shared" si="9"/>
        <v>1</v>
      </c>
      <c r="O37" s="13" t="s">
        <v>34</v>
      </c>
      <c r="P37" s="480">
        <f>H37*$F37*Svodka!$J$1</f>
        <v>0</v>
      </c>
      <c r="Q37" s="479">
        <f>I37*$F37*Svodka!$J$1</f>
        <v>0</v>
      </c>
      <c r="R37" s="479">
        <f>J37*$F37*Svodka!$J$1</f>
        <v>0</v>
      </c>
      <c r="S37" s="479">
        <f>K37*$F37*Svodka!$J$1</f>
        <v>0</v>
      </c>
      <c r="T37" s="479">
        <f>L37*$F37*Svodka!$J$1</f>
        <v>0</v>
      </c>
      <c r="U37" s="481">
        <f>M37*$F37*Svodka!$J$1</f>
        <v>41500</v>
      </c>
      <c r="V37" s="464" t="s">
        <v>17</v>
      </c>
      <c r="W37" s="466">
        <f t="shared" si="10"/>
        <v>41500</v>
      </c>
    </row>
    <row r="38" spans="1:23" ht="52.5">
      <c r="A38" s="443">
        <v>27</v>
      </c>
      <c r="B38" s="244">
        <v>5</v>
      </c>
      <c r="C38" s="13">
        <v>5</v>
      </c>
      <c r="D38" s="444" t="s">
        <v>279</v>
      </c>
      <c r="E38" s="299" t="s">
        <v>245</v>
      </c>
      <c r="F38" s="303">
        <f>'5 OP - Struktura, org. a říz.'!K65</f>
        <v>19.35</v>
      </c>
      <c r="G38" s="303"/>
      <c r="H38" s="445">
        <v>0</v>
      </c>
      <c r="I38" s="446">
        <v>0</v>
      </c>
      <c r="J38" s="446">
        <v>0</v>
      </c>
      <c r="K38" s="446">
        <v>0</v>
      </c>
      <c r="L38" s="446">
        <v>0</v>
      </c>
      <c r="M38" s="447">
        <v>1</v>
      </c>
      <c r="N38" s="456">
        <f t="shared" si="9"/>
        <v>1</v>
      </c>
      <c r="O38" s="13" t="s">
        <v>280</v>
      </c>
      <c r="P38" s="480">
        <f>H38*$F38*Svodka!$J$1</f>
        <v>0</v>
      </c>
      <c r="Q38" s="479">
        <f>I38*$F38*Svodka!$J$1</f>
        <v>0</v>
      </c>
      <c r="R38" s="479">
        <f>J38*$F38*Svodka!$J$1</f>
        <v>0</v>
      </c>
      <c r="S38" s="479">
        <f>K38*$F38*Svodka!$J$1</f>
        <v>0</v>
      </c>
      <c r="T38" s="479">
        <f>L38*$F38*Svodka!$J$1</f>
        <v>0</v>
      </c>
      <c r="U38" s="481">
        <f>M38*$F38*Svodka!$J$1</f>
        <v>193500</v>
      </c>
      <c r="V38" s="464" t="s">
        <v>11</v>
      </c>
      <c r="W38" s="466">
        <f t="shared" si="10"/>
        <v>193500</v>
      </c>
    </row>
    <row r="39" spans="1:23" ht="52.5">
      <c r="A39" s="443">
        <v>28</v>
      </c>
      <c r="B39" s="244">
        <v>5</v>
      </c>
      <c r="C39" s="13">
        <v>9</v>
      </c>
      <c r="D39" s="444" t="s">
        <v>414</v>
      </c>
      <c r="E39" s="299" t="s">
        <v>245</v>
      </c>
      <c r="F39" s="303">
        <f>'5 OP - Struktura, org. a říz.'!K34+'6 OP - Rozvoj a koordinace'!K50</f>
        <v>13.9</v>
      </c>
      <c r="G39" s="303"/>
      <c r="H39" s="445">
        <v>0</v>
      </c>
      <c r="I39" s="446">
        <v>0</v>
      </c>
      <c r="J39" s="446">
        <v>0</v>
      </c>
      <c r="K39" s="446">
        <v>0</v>
      </c>
      <c r="L39" s="446">
        <v>0</v>
      </c>
      <c r="M39" s="447">
        <v>1</v>
      </c>
      <c r="N39" s="456">
        <f t="shared" si="9"/>
        <v>1</v>
      </c>
      <c r="O39" s="13" t="s">
        <v>415</v>
      </c>
      <c r="P39" s="480">
        <f>H39*$F39*Svodka!$J$1</f>
        <v>0</v>
      </c>
      <c r="Q39" s="479">
        <f>I39*$F39*Svodka!$J$1</f>
        <v>0</v>
      </c>
      <c r="R39" s="479">
        <f>J39*$F39*Svodka!$J$1</f>
        <v>0</v>
      </c>
      <c r="S39" s="479">
        <f>K39*$F39*Svodka!$J$1</f>
        <v>0</v>
      </c>
      <c r="T39" s="479">
        <f>L39*$F39*Svodka!$J$1</f>
        <v>0</v>
      </c>
      <c r="U39" s="481">
        <f>M39*$F39*Svodka!$J$1</f>
        <v>139000</v>
      </c>
      <c r="V39" s="464" t="s">
        <v>14</v>
      </c>
      <c r="W39" s="466">
        <f t="shared" si="10"/>
        <v>139000</v>
      </c>
    </row>
    <row r="40" spans="1:23" ht="66" thickBot="1">
      <c r="A40" s="437">
        <v>29</v>
      </c>
      <c r="B40" s="245">
        <v>5</v>
      </c>
      <c r="C40" s="15">
        <v>10</v>
      </c>
      <c r="D40" s="438" t="s">
        <v>418</v>
      </c>
      <c r="E40" s="298" t="s">
        <v>245</v>
      </c>
      <c r="F40" s="307">
        <f>'5 OP - Struktura, org. a říz.'!K27+'7 OP - Výkon a rozsah'!K13</f>
        <v>24.7</v>
      </c>
      <c r="G40" s="307"/>
      <c r="H40" s="434">
        <v>0</v>
      </c>
      <c r="I40" s="435">
        <v>0</v>
      </c>
      <c r="J40" s="435">
        <v>0</v>
      </c>
      <c r="K40" s="435">
        <v>0</v>
      </c>
      <c r="L40" s="435">
        <v>1</v>
      </c>
      <c r="M40" s="436">
        <v>0</v>
      </c>
      <c r="N40" s="456">
        <f t="shared" si="9"/>
        <v>1</v>
      </c>
      <c r="O40" s="13" t="s">
        <v>419</v>
      </c>
      <c r="P40" s="480">
        <f>H40*$F40*Svodka!$J$1</f>
        <v>0</v>
      </c>
      <c r="Q40" s="479">
        <f>I40*$F40*Svodka!$J$1</f>
        <v>0</v>
      </c>
      <c r="R40" s="479">
        <f>J40*$F40*Svodka!$J$1</f>
        <v>0</v>
      </c>
      <c r="S40" s="479">
        <f>K40*$F40*Svodka!$J$1</f>
        <v>0</v>
      </c>
      <c r="T40" s="479">
        <f>L40*$F40*Svodka!$J$1</f>
        <v>247000</v>
      </c>
      <c r="U40" s="481">
        <f>M40*$F40*Svodka!$J$1</f>
        <v>0</v>
      </c>
      <c r="V40" s="464" t="s">
        <v>15</v>
      </c>
      <c r="W40" s="466">
        <f t="shared" si="10"/>
        <v>247000</v>
      </c>
    </row>
    <row r="41" spans="1:23" ht="105">
      <c r="A41" s="428">
        <v>30</v>
      </c>
      <c r="B41" s="295">
        <v>6</v>
      </c>
      <c r="C41" s="296">
        <v>8</v>
      </c>
      <c r="D41" s="429" t="s">
        <v>283</v>
      </c>
      <c r="E41" s="297" t="s">
        <v>245</v>
      </c>
      <c r="F41" s="306">
        <f>'5 OP - Struktura, org. a říz.'!K46+'6 OP - Rozvoj a koordinace'!K64+'7 OP - Výkon a rozsah'!K18</f>
        <v>74.32</v>
      </c>
      <c r="G41" s="306">
        <f>SUM(F41:F42)</f>
        <v>151.83999999999997</v>
      </c>
      <c r="H41" s="425">
        <v>0</v>
      </c>
      <c r="I41" s="426">
        <v>0</v>
      </c>
      <c r="J41" s="426">
        <v>0</v>
      </c>
      <c r="K41" s="426">
        <v>1</v>
      </c>
      <c r="L41" s="426">
        <v>0</v>
      </c>
      <c r="M41" s="427">
        <v>0</v>
      </c>
      <c r="N41" s="456">
        <f t="shared" si="9"/>
        <v>1</v>
      </c>
      <c r="O41" s="13" t="s">
        <v>413</v>
      </c>
      <c r="P41" s="480">
        <f>H41*$F41*Svodka!$J$1</f>
        <v>0</v>
      </c>
      <c r="Q41" s="479">
        <f>I41*$F41*Svodka!$J$1</f>
        <v>0</v>
      </c>
      <c r="R41" s="479">
        <f>J41*$F41*Svodka!$J$1</f>
        <v>0</v>
      </c>
      <c r="S41" s="479">
        <f>K41*$F41*Svodka!$J$1</f>
        <v>743199.9999999999</v>
      </c>
      <c r="T41" s="479">
        <f>L41*$F41*Svodka!$J$1</f>
        <v>0</v>
      </c>
      <c r="U41" s="481">
        <f>M41*$F41*Svodka!$J$1</f>
        <v>0</v>
      </c>
      <c r="V41" s="464" t="s">
        <v>13</v>
      </c>
      <c r="W41" s="466">
        <f t="shared" si="10"/>
        <v>743199.9999999999</v>
      </c>
    </row>
    <row r="42" spans="1:23" ht="27" thickBot="1">
      <c r="A42" s="441">
        <v>31</v>
      </c>
      <c r="B42" s="245">
        <v>6</v>
      </c>
      <c r="C42" s="15">
        <v>24</v>
      </c>
      <c r="D42" s="448" t="s">
        <v>541</v>
      </c>
      <c r="E42" s="298" t="s">
        <v>245</v>
      </c>
      <c r="F42" s="307">
        <f>'5 OP - Struktura, org. a říz.'!K68+'6 OP - Rozvoj a koordinace'!K82+'7 OP - Výkon a rozsah'!K25</f>
        <v>77.52</v>
      </c>
      <c r="G42" s="307"/>
      <c r="H42" s="445">
        <v>0</v>
      </c>
      <c r="I42" s="446">
        <v>0</v>
      </c>
      <c r="J42" s="446">
        <v>0</v>
      </c>
      <c r="K42" s="446">
        <v>0</v>
      </c>
      <c r="L42" s="446">
        <v>0</v>
      </c>
      <c r="M42" s="447">
        <v>1</v>
      </c>
      <c r="N42" s="456">
        <f t="shared" si="9"/>
        <v>1</v>
      </c>
      <c r="O42" s="13" t="s">
        <v>542</v>
      </c>
      <c r="P42" s="480">
        <f>H42*$F42*Svodka!$J$1</f>
        <v>0</v>
      </c>
      <c r="Q42" s="479">
        <f>I42*$F42*Svodka!$J$1</f>
        <v>0</v>
      </c>
      <c r="R42" s="479">
        <f>J42*$F42*Svodka!$J$1</f>
        <v>0</v>
      </c>
      <c r="S42" s="479">
        <f>K42*$F42*Svodka!$J$1</f>
        <v>0</v>
      </c>
      <c r="T42" s="479">
        <f>L42*$F42*Svodka!$J$1</f>
        <v>0</v>
      </c>
      <c r="U42" s="481">
        <f>M42*$F42*Svodka!$J$1</f>
        <v>775200</v>
      </c>
      <c r="V42" s="463" t="s">
        <v>26</v>
      </c>
      <c r="W42" s="466">
        <f t="shared" si="10"/>
        <v>775200</v>
      </c>
    </row>
    <row r="43" spans="1:23" ht="26.25">
      <c r="A43" s="449">
        <v>32</v>
      </c>
      <c r="B43" s="295">
        <v>7</v>
      </c>
      <c r="C43" s="296">
        <v>5</v>
      </c>
      <c r="D43" s="450" t="s">
        <v>39</v>
      </c>
      <c r="E43" s="297" t="s">
        <v>247</v>
      </c>
      <c r="F43" s="306">
        <f>'1 OP - Informační základna'!K46</f>
        <v>9.9</v>
      </c>
      <c r="G43" s="306">
        <f>SUM(F43:F45)</f>
        <v>36.45</v>
      </c>
      <c r="H43" s="445">
        <v>0</v>
      </c>
      <c r="I43" s="446">
        <v>0</v>
      </c>
      <c r="J43" s="446">
        <v>0</v>
      </c>
      <c r="K43" s="446">
        <v>0</v>
      </c>
      <c r="L43" s="446">
        <v>0</v>
      </c>
      <c r="M43" s="447">
        <v>1</v>
      </c>
      <c r="N43" s="456">
        <f t="shared" si="9"/>
        <v>1</v>
      </c>
      <c r="O43" s="13" t="s">
        <v>40</v>
      </c>
      <c r="P43" s="480">
        <f>H43*$F43*Svodka!$J$1</f>
        <v>0</v>
      </c>
      <c r="Q43" s="479">
        <f>I43*$F43*Svodka!$J$1</f>
        <v>0</v>
      </c>
      <c r="R43" s="479">
        <f>J43*$F43*Svodka!$J$1</f>
        <v>0</v>
      </c>
      <c r="S43" s="479">
        <f>K43*$F43*Svodka!$J$1</f>
        <v>0</v>
      </c>
      <c r="T43" s="479">
        <f>L43*$F43*Svodka!$J$1</f>
        <v>0</v>
      </c>
      <c r="U43" s="481">
        <f>M43*$F43*Svodka!$J$1</f>
        <v>99000</v>
      </c>
      <c r="V43" s="464" t="s">
        <v>8</v>
      </c>
      <c r="W43" s="466">
        <f t="shared" si="10"/>
        <v>99000</v>
      </c>
    </row>
    <row r="44" spans="1:23" ht="52.5">
      <c r="A44" s="411">
        <v>33</v>
      </c>
      <c r="B44" s="244">
        <v>7</v>
      </c>
      <c r="C44" s="13">
        <v>8</v>
      </c>
      <c r="D44" s="388" t="s">
        <v>44</v>
      </c>
      <c r="E44" s="299" t="s">
        <v>247</v>
      </c>
      <c r="F44" s="303">
        <f>'1 OP - Informační základna'!K48+'5 OP - Struktura, org. a říz.'!K45</f>
        <v>14.4</v>
      </c>
      <c r="G44" s="303"/>
      <c r="H44" s="395">
        <v>1</v>
      </c>
      <c r="I44" s="394">
        <v>0</v>
      </c>
      <c r="J44" s="394">
        <v>0</v>
      </c>
      <c r="K44" s="394">
        <v>0</v>
      </c>
      <c r="L44" s="394">
        <v>0</v>
      </c>
      <c r="M44" s="396">
        <v>0</v>
      </c>
      <c r="N44" s="456">
        <f t="shared" si="9"/>
        <v>1</v>
      </c>
      <c r="O44" s="13" t="s">
        <v>45</v>
      </c>
      <c r="P44" s="480">
        <f>H44*$F44*Svodka!$J$1</f>
        <v>144000</v>
      </c>
      <c r="Q44" s="479">
        <f>I44*$F44*Svodka!$J$1</f>
        <v>0</v>
      </c>
      <c r="R44" s="479">
        <f>J44*$F44*Svodka!$J$1</f>
        <v>0</v>
      </c>
      <c r="S44" s="479">
        <f>K44*$F44*Svodka!$J$1</f>
        <v>0</v>
      </c>
      <c r="T44" s="479">
        <f>L44*$F44*Svodka!$J$1</f>
        <v>0</v>
      </c>
      <c r="U44" s="481">
        <f>M44*$F44*Svodka!$J$1</f>
        <v>0</v>
      </c>
      <c r="V44" s="464" t="s">
        <v>17</v>
      </c>
      <c r="W44" s="466">
        <f t="shared" si="10"/>
        <v>144000</v>
      </c>
    </row>
    <row r="45" spans="1:23" ht="27" thickBot="1">
      <c r="A45" s="437">
        <v>34</v>
      </c>
      <c r="B45" s="245">
        <v>7</v>
      </c>
      <c r="C45" s="15">
        <v>19</v>
      </c>
      <c r="D45" s="438" t="s">
        <v>426</v>
      </c>
      <c r="E45" s="298" t="s">
        <v>247</v>
      </c>
      <c r="F45" s="307">
        <f>'5 OP - Struktura, org. a říz.'!K64+'6 OP - Rozvoj a koordinace'!K80</f>
        <v>12.15</v>
      </c>
      <c r="G45" s="307"/>
      <c r="H45" s="434">
        <v>0</v>
      </c>
      <c r="I45" s="435">
        <v>0</v>
      </c>
      <c r="J45" s="435">
        <v>0</v>
      </c>
      <c r="K45" s="435">
        <v>0</v>
      </c>
      <c r="L45" s="435">
        <v>1</v>
      </c>
      <c r="M45" s="436">
        <v>0</v>
      </c>
      <c r="N45" s="456">
        <f t="shared" si="9"/>
        <v>1</v>
      </c>
      <c r="O45" s="13" t="s">
        <v>427</v>
      </c>
      <c r="P45" s="480">
        <f>H45*$F45*Svodka!$J$1</f>
        <v>0</v>
      </c>
      <c r="Q45" s="479">
        <f>I45*$F45*Svodka!$J$1</f>
        <v>0</v>
      </c>
      <c r="R45" s="479">
        <f>J45*$F45*Svodka!$J$1</f>
        <v>0</v>
      </c>
      <c r="S45" s="479">
        <f>K45*$F45*Svodka!$J$1</f>
        <v>0</v>
      </c>
      <c r="T45" s="479">
        <f>L45*$F45*Svodka!$J$1</f>
        <v>121500</v>
      </c>
      <c r="U45" s="481">
        <f>M45*$F45*Svodka!$J$1</f>
        <v>0</v>
      </c>
      <c r="V45" s="464" t="s">
        <v>9</v>
      </c>
      <c r="W45" s="466">
        <f t="shared" si="10"/>
        <v>121500</v>
      </c>
    </row>
    <row r="46" spans="1:23" ht="53.25" thickBot="1">
      <c r="A46" s="430">
        <v>35</v>
      </c>
      <c r="B46" s="300">
        <v>8</v>
      </c>
      <c r="C46" s="301">
        <v>29</v>
      </c>
      <c r="D46" s="431" t="s">
        <v>430</v>
      </c>
      <c r="E46" s="302" t="s">
        <v>247</v>
      </c>
      <c r="F46" s="308">
        <f>'5 OP - Struktura, org. a říz.'!K32+'6 OP - Rozvoj a koordinace'!K48</f>
        <v>12.52</v>
      </c>
      <c r="G46" s="308">
        <f>SUM(F46)</f>
        <v>12.52</v>
      </c>
      <c r="H46" s="425">
        <v>0</v>
      </c>
      <c r="I46" s="426">
        <v>0</v>
      </c>
      <c r="J46" s="426">
        <v>0</v>
      </c>
      <c r="K46" s="426">
        <v>1</v>
      </c>
      <c r="L46" s="426">
        <v>0</v>
      </c>
      <c r="M46" s="427">
        <v>0</v>
      </c>
      <c r="N46" s="456">
        <f t="shared" si="9"/>
        <v>1</v>
      </c>
      <c r="O46" s="13" t="s">
        <v>431</v>
      </c>
      <c r="P46" s="480">
        <f>H46*$F46*Svodka!$J$1</f>
        <v>0</v>
      </c>
      <c r="Q46" s="479">
        <f>I46*$F46*Svodka!$J$1</f>
        <v>0</v>
      </c>
      <c r="R46" s="479">
        <f>J46*$F46*Svodka!$J$1</f>
        <v>0</v>
      </c>
      <c r="S46" s="479">
        <f>K46*$F46*Svodka!$J$1</f>
        <v>125200</v>
      </c>
      <c r="T46" s="479">
        <f>L46*$F46*Svodka!$J$1</f>
        <v>0</v>
      </c>
      <c r="U46" s="481">
        <f>M46*$F46*Svodka!$J$1</f>
        <v>0</v>
      </c>
      <c r="V46" s="463" t="s">
        <v>26</v>
      </c>
      <c r="W46" s="466">
        <f t="shared" si="10"/>
        <v>125200</v>
      </c>
    </row>
    <row r="47" spans="1:23" ht="39">
      <c r="A47" s="412">
        <v>36</v>
      </c>
      <c r="B47" s="295">
        <v>9</v>
      </c>
      <c r="C47" s="296">
        <v>3</v>
      </c>
      <c r="D47" s="385" t="s">
        <v>281</v>
      </c>
      <c r="E47" s="386" t="s">
        <v>250</v>
      </c>
      <c r="F47" s="387">
        <f>'5 OP - Struktura, org. a říz.'!K41+'6 OP - Rozvoj a koordinace'!K57+'7 OP - Výkon a rozsah'!K15</f>
        <v>68.12</v>
      </c>
      <c r="G47" s="387">
        <f>SUM(F47:F52)</f>
        <v>434.93000000000006</v>
      </c>
      <c r="H47" s="395">
        <v>1</v>
      </c>
      <c r="I47" s="394">
        <v>0</v>
      </c>
      <c r="J47" s="394">
        <v>0</v>
      </c>
      <c r="K47" s="394">
        <v>0</v>
      </c>
      <c r="L47" s="394">
        <v>0</v>
      </c>
      <c r="M47" s="396">
        <v>0</v>
      </c>
      <c r="N47" s="456">
        <f t="shared" si="9"/>
        <v>1</v>
      </c>
      <c r="O47" s="13" t="s">
        <v>282</v>
      </c>
      <c r="P47" s="480">
        <f>H47*$F47*Svodka!$J$1</f>
        <v>681200</v>
      </c>
      <c r="Q47" s="479">
        <f>I47*$F47*Svodka!$J$1</f>
        <v>0</v>
      </c>
      <c r="R47" s="479">
        <f>J47*$F47*Svodka!$J$1</f>
        <v>0</v>
      </c>
      <c r="S47" s="479">
        <f>K47*$F47*Svodka!$J$1</f>
        <v>0</v>
      </c>
      <c r="T47" s="479">
        <f>L47*$F47*Svodka!$J$1</f>
        <v>0</v>
      </c>
      <c r="U47" s="481">
        <f>M47*$F47*Svodka!$J$1</f>
        <v>0</v>
      </c>
      <c r="V47" s="463" t="s">
        <v>26</v>
      </c>
      <c r="W47" s="466">
        <f t="shared" si="10"/>
        <v>681200</v>
      </c>
    </row>
    <row r="48" spans="1:23" ht="39">
      <c r="A48" s="443">
        <v>37</v>
      </c>
      <c r="B48" s="244">
        <v>9</v>
      </c>
      <c r="C48" s="13">
        <v>14</v>
      </c>
      <c r="D48" s="444" t="s">
        <v>166</v>
      </c>
      <c r="E48" s="299" t="s">
        <v>247</v>
      </c>
      <c r="F48" s="303">
        <f>'2 OP - Provoz'!K13+'5 OP - Struktura, org. a říz.'!K61+'7 OP - Výkon a rozsah'!K24</f>
        <v>79.75</v>
      </c>
      <c r="G48" s="303"/>
      <c r="H48" s="445">
        <v>0</v>
      </c>
      <c r="I48" s="446">
        <v>0</v>
      </c>
      <c r="J48" s="446">
        <v>0</v>
      </c>
      <c r="K48" s="446">
        <v>0</v>
      </c>
      <c r="L48" s="446">
        <v>0</v>
      </c>
      <c r="M48" s="447">
        <v>1</v>
      </c>
      <c r="N48" s="456">
        <f t="shared" si="9"/>
        <v>1</v>
      </c>
      <c r="O48" s="13" t="s">
        <v>167</v>
      </c>
      <c r="P48" s="480">
        <f>H48*$F48*Svodka!$J$1</f>
        <v>0</v>
      </c>
      <c r="Q48" s="479">
        <f>I48*$F48*Svodka!$J$1</f>
        <v>0</v>
      </c>
      <c r="R48" s="479">
        <f>J48*$F48*Svodka!$J$1</f>
        <v>0</v>
      </c>
      <c r="S48" s="479">
        <f>K48*$F48*Svodka!$J$1</f>
        <v>0</v>
      </c>
      <c r="T48" s="479">
        <f>L48*$F48*Svodka!$J$1</f>
        <v>0</v>
      </c>
      <c r="U48" s="481">
        <f>M48*$F48*Svodka!$J$1</f>
        <v>797500</v>
      </c>
      <c r="V48" s="464" t="s">
        <v>11</v>
      </c>
      <c r="W48" s="466">
        <f t="shared" si="10"/>
        <v>797500</v>
      </c>
    </row>
    <row r="49" spans="1:23" ht="78.75">
      <c r="A49" s="423">
        <v>38</v>
      </c>
      <c r="B49" s="244">
        <v>9</v>
      </c>
      <c r="C49" s="13">
        <v>20</v>
      </c>
      <c r="D49" s="424" t="s">
        <v>428</v>
      </c>
      <c r="E49" s="299" t="s">
        <v>247</v>
      </c>
      <c r="F49" s="303">
        <f>'5 OP - Struktura, org. a říz.'!K40+'6 OP - Rozvoj a koordinace'!K56</f>
        <v>114.72</v>
      </c>
      <c r="G49" s="303"/>
      <c r="H49" s="425">
        <v>0</v>
      </c>
      <c r="I49" s="426">
        <v>0</v>
      </c>
      <c r="J49" s="426">
        <v>0</v>
      </c>
      <c r="K49" s="426">
        <v>1</v>
      </c>
      <c r="L49" s="426">
        <v>0</v>
      </c>
      <c r="M49" s="427">
        <v>0</v>
      </c>
      <c r="N49" s="456">
        <f t="shared" si="9"/>
        <v>1</v>
      </c>
      <c r="O49" s="13" t="s">
        <v>429</v>
      </c>
      <c r="P49" s="480">
        <f>H49*$F49*Svodka!$J$1</f>
        <v>0</v>
      </c>
      <c r="Q49" s="479">
        <f>I49*$F49*Svodka!$J$1</f>
        <v>0</v>
      </c>
      <c r="R49" s="479">
        <f>J49*$F49*Svodka!$J$1</f>
        <v>0</v>
      </c>
      <c r="S49" s="479">
        <f>K49*$F49*Svodka!$J$1</f>
        <v>1147200</v>
      </c>
      <c r="T49" s="479">
        <f>L49*$F49*Svodka!$J$1</f>
        <v>0</v>
      </c>
      <c r="U49" s="481">
        <f>M49*$F49*Svodka!$J$1</f>
        <v>0</v>
      </c>
      <c r="V49" s="463" t="s">
        <v>26</v>
      </c>
      <c r="W49" s="466">
        <f t="shared" si="10"/>
        <v>1147200</v>
      </c>
    </row>
    <row r="50" spans="1:23" ht="78.75">
      <c r="A50" s="443">
        <v>39</v>
      </c>
      <c r="B50" s="244">
        <v>9</v>
      </c>
      <c r="C50" s="13">
        <v>21</v>
      </c>
      <c r="D50" s="444" t="s">
        <v>153</v>
      </c>
      <c r="E50" s="299" t="s">
        <v>247</v>
      </c>
      <c r="F50" s="303">
        <f>'2 OP - Provoz'!K7+'4 OP - Výstavba'!K10+'6 OP - Rozvoj a koordinace'!K36</f>
        <v>16.72</v>
      </c>
      <c r="G50" s="303"/>
      <c r="H50" s="445">
        <v>0</v>
      </c>
      <c r="I50" s="446">
        <v>0</v>
      </c>
      <c r="J50" s="446">
        <v>0</v>
      </c>
      <c r="K50" s="446">
        <v>0</v>
      </c>
      <c r="L50" s="446">
        <v>0</v>
      </c>
      <c r="M50" s="447">
        <v>1</v>
      </c>
      <c r="N50" s="456">
        <f t="shared" si="9"/>
        <v>1</v>
      </c>
      <c r="O50" s="13" t="s">
        <v>23</v>
      </c>
      <c r="P50" s="480">
        <f>H50*$F50*Svodka!$J$1</f>
        <v>0</v>
      </c>
      <c r="Q50" s="479">
        <f>I50*$F50*Svodka!$J$1</f>
        <v>0</v>
      </c>
      <c r="R50" s="479">
        <f>J50*$F50*Svodka!$J$1</f>
        <v>0</v>
      </c>
      <c r="S50" s="479">
        <f>K50*$F50*Svodka!$J$1</f>
        <v>0</v>
      </c>
      <c r="T50" s="479">
        <f>L50*$F50*Svodka!$J$1</f>
        <v>0</v>
      </c>
      <c r="U50" s="481">
        <f>M50*$F50*Svodka!$J$1</f>
        <v>167200</v>
      </c>
      <c r="V50" s="463" t="s">
        <v>26</v>
      </c>
      <c r="W50" s="466">
        <f t="shared" si="10"/>
        <v>167200</v>
      </c>
    </row>
    <row r="51" spans="1:23" ht="39">
      <c r="A51" s="423">
        <v>40</v>
      </c>
      <c r="B51" s="244">
        <v>9</v>
      </c>
      <c r="C51" s="13">
        <v>22</v>
      </c>
      <c r="D51" s="424" t="s">
        <v>176</v>
      </c>
      <c r="E51" s="299" t="s">
        <v>247</v>
      </c>
      <c r="F51" s="303">
        <f>'2 OP - Provoz'!K19+'6 OP - Rozvoj a koordinace'!K37</f>
        <v>28.720000000000002</v>
      </c>
      <c r="G51" s="303"/>
      <c r="H51" s="425">
        <v>0</v>
      </c>
      <c r="I51" s="426">
        <v>0</v>
      </c>
      <c r="J51" s="426">
        <v>0</v>
      </c>
      <c r="K51" s="426">
        <v>1</v>
      </c>
      <c r="L51" s="426">
        <v>0</v>
      </c>
      <c r="M51" s="427">
        <v>0</v>
      </c>
      <c r="N51" s="456">
        <f t="shared" si="9"/>
        <v>1</v>
      </c>
      <c r="O51" s="13" t="s">
        <v>177</v>
      </c>
      <c r="P51" s="480">
        <f>H51*$F51*Svodka!$J$1</f>
        <v>0</v>
      </c>
      <c r="Q51" s="479">
        <f>I51*$F51*Svodka!$J$1</f>
        <v>0</v>
      </c>
      <c r="R51" s="479">
        <f>J51*$F51*Svodka!$J$1</f>
        <v>0</v>
      </c>
      <c r="S51" s="479">
        <f>K51*$F51*Svodka!$J$1</f>
        <v>287200</v>
      </c>
      <c r="T51" s="479">
        <f>L51*$F51*Svodka!$J$1</f>
        <v>0</v>
      </c>
      <c r="U51" s="481">
        <f>M51*$F51*Svodka!$J$1</f>
        <v>0</v>
      </c>
      <c r="V51" s="463" t="s">
        <v>26</v>
      </c>
      <c r="W51" s="466">
        <f t="shared" si="10"/>
        <v>287200</v>
      </c>
    </row>
    <row r="52" spans="1:23" ht="27" thickBot="1">
      <c r="A52" s="441">
        <v>41</v>
      </c>
      <c r="B52" s="245">
        <v>9</v>
      </c>
      <c r="C52" s="15">
        <v>25</v>
      </c>
      <c r="D52" s="448" t="s">
        <v>231</v>
      </c>
      <c r="E52" s="298" t="s">
        <v>247</v>
      </c>
      <c r="F52" s="307">
        <f>'4 OP - Výstavba'!K11+'5 OP - Struktura, org. a říz.'!K24+'6 OP - Rozvoj a koordinace'!K43</f>
        <v>126.9</v>
      </c>
      <c r="G52" s="307"/>
      <c r="H52" s="445">
        <v>0</v>
      </c>
      <c r="I52" s="446">
        <v>0</v>
      </c>
      <c r="J52" s="446">
        <v>0</v>
      </c>
      <c r="K52" s="446">
        <v>0</v>
      </c>
      <c r="L52" s="446">
        <v>0</v>
      </c>
      <c r="M52" s="447">
        <v>1</v>
      </c>
      <c r="N52" s="456">
        <f t="shared" si="9"/>
        <v>1</v>
      </c>
      <c r="O52" s="13" t="s">
        <v>232</v>
      </c>
      <c r="P52" s="480">
        <f>H52*$F52*Svodka!$J$1</f>
        <v>0</v>
      </c>
      <c r="Q52" s="479">
        <f>I52*$F52*Svodka!$J$1</f>
        <v>0</v>
      </c>
      <c r="R52" s="479">
        <f>J52*$F52*Svodka!$J$1</f>
        <v>0</v>
      </c>
      <c r="S52" s="479">
        <f>K52*$F52*Svodka!$J$1</f>
        <v>0</v>
      </c>
      <c r="T52" s="479">
        <f>L52*$F52*Svodka!$J$1</f>
        <v>0</v>
      </c>
      <c r="U52" s="481">
        <f>M52*$F52*Svodka!$J$1</f>
        <v>1269000</v>
      </c>
      <c r="V52" s="464" t="s">
        <v>16</v>
      </c>
      <c r="W52" s="466">
        <f t="shared" si="10"/>
        <v>1269000</v>
      </c>
    </row>
    <row r="53" spans="1:23" ht="66">
      <c r="A53" s="428">
        <v>42</v>
      </c>
      <c r="B53" s="295">
        <v>10</v>
      </c>
      <c r="C53" s="296">
        <v>32</v>
      </c>
      <c r="D53" s="429" t="s">
        <v>251</v>
      </c>
      <c r="E53" s="297" t="s">
        <v>247</v>
      </c>
      <c r="F53" s="306">
        <f>'1 OP - Informační základna'!K30</f>
        <v>1.3</v>
      </c>
      <c r="G53" s="306">
        <f>SUM(F53:F56)</f>
        <v>21.900000000000002</v>
      </c>
      <c r="H53" s="425">
        <v>0</v>
      </c>
      <c r="I53" s="426">
        <v>0</v>
      </c>
      <c r="J53" s="426">
        <v>0</v>
      </c>
      <c r="K53" s="426">
        <v>1</v>
      </c>
      <c r="L53" s="426">
        <v>0</v>
      </c>
      <c r="M53" s="427">
        <v>0</v>
      </c>
      <c r="N53" s="456">
        <f t="shared" si="9"/>
        <v>1</v>
      </c>
      <c r="O53" s="13" t="s">
        <v>43</v>
      </c>
      <c r="P53" s="480">
        <f>H53*$F53*Svodka!$J$1</f>
        <v>0</v>
      </c>
      <c r="Q53" s="479">
        <f>I53*$F53*Svodka!$J$1</f>
        <v>0</v>
      </c>
      <c r="R53" s="479">
        <f>J53*$F53*Svodka!$J$1</f>
        <v>0</v>
      </c>
      <c r="S53" s="479">
        <f>K53*$F53*Svodka!$J$1</f>
        <v>13000</v>
      </c>
      <c r="T53" s="479">
        <f>L53*$F53*Svodka!$J$1</f>
        <v>0</v>
      </c>
      <c r="U53" s="481">
        <f>M53*$F53*Svodka!$J$1</f>
        <v>0</v>
      </c>
      <c r="V53" s="464" t="s">
        <v>8</v>
      </c>
      <c r="W53" s="466">
        <f t="shared" si="10"/>
        <v>13000</v>
      </c>
    </row>
    <row r="54" spans="1:23" ht="66">
      <c r="A54" s="443">
        <v>43</v>
      </c>
      <c r="B54" s="244">
        <v>10</v>
      </c>
      <c r="C54" s="13">
        <v>9</v>
      </c>
      <c r="D54" s="444" t="s">
        <v>47</v>
      </c>
      <c r="E54" s="299" t="s">
        <v>247</v>
      </c>
      <c r="F54" s="303">
        <f>'1 OP - Informační základna'!K31</f>
        <v>1.3</v>
      </c>
      <c r="G54" s="303"/>
      <c r="H54" s="445">
        <v>0</v>
      </c>
      <c r="I54" s="446">
        <v>0</v>
      </c>
      <c r="J54" s="446">
        <v>0</v>
      </c>
      <c r="K54" s="446">
        <v>0</v>
      </c>
      <c r="L54" s="446">
        <v>0</v>
      </c>
      <c r="M54" s="447">
        <v>1</v>
      </c>
      <c r="N54" s="456">
        <f t="shared" si="9"/>
        <v>1</v>
      </c>
      <c r="O54" s="13" t="s">
        <v>48</v>
      </c>
      <c r="P54" s="480">
        <f>H54*$F54*Svodka!$J$1</f>
        <v>0</v>
      </c>
      <c r="Q54" s="479">
        <f>I54*$F54*Svodka!$J$1</f>
        <v>0</v>
      </c>
      <c r="R54" s="479">
        <f>J54*$F54*Svodka!$J$1</f>
        <v>0</v>
      </c>
      <c r="S54" s="479">
        <f>K54*$F54*Svodka!$J$1</f>
        <v>0</v>
      </c>
      <c r="T54" s="479">
        <f>L54*$F54*Svodka!$J$1</f>
        <v>0</v>
      </c>
      <c r="U54" s="481">
        <f>M54*$F54*Svodka!$J$1</f>
        <v>13000</v>
      </c>
      <c r="V54" s="464" t="s">
        <v>8</v>
      </c>
      <c r="W54" s="466">
        <f t="shared" si="10"/>
        <v>13000</v>
      </c>
    </row>
    <row r="55" spans="1:23" ht="39">
      <c r="A55" s="443">
        <v>44</v>
      </c>
      <c r="B55" s="244">
        <v>10</v>
      </c>
      <c r="C55" s="13">
        <v>23</v>
      </c>
      <c r="D55" s="444" t="s">
        <v>523</v>
      </c>
      <c r="E55" s="299" t="s">
        <v>247</v>
      </c>
      <c r="F55" s="303">
        <f>'7 OP - Výkon a rozsah'!K6</f>
        <v>18</v>
      </c>
      <c r="G55" s="303"/>
      <c r="H55" s="445">
        <v>0</v>
      </c>
      <c r="I55" s="446">
        <v>0</v>
      </c>
      <c r="J55" s="446">
        <v>0</v>
      </c>
      <c r="K55" s="446">
        <v>0</v>
      </c>
      <c r="L55" s="446">
        <v>0</v>
      </c>
      <c r="M55" s="447">
        <v>1</v>
      </c>
      <c r="N55" s="456">
        <f t="shared" si="9"/>
        <v>1</v>
      </c>
      <c r="O55" s="13" t="s">
        <v>524</v>
      </c>
      <c r="P55" s="480">
        <f>H55*$F55*Svodka!$J$1</f>
        <v>0</v>
      </c>
      <c r="Q55" s="479">
        <f>I55*$F55*Svodka!$J$1</f>
        <v>0</v>
      </c>
      <c r="R55" s="479">
        <f>J55*$F55*Svodka!$J$1</f>
        <v>0</v>
      </c>
      <c r="S55" s="479">
        <f>K55*$F55*Svodka!$J$1</f>
        <v>0</v>
      </c>
      <c r="T55" s="479">
        <f>L55*$F55*Svodka!$J$1</f>
        <v>0</v>
      </c>
      <c r="U55" s="481">
        <f>M55*$F55*Svodka!$J$1</f>
        <v>180000</v>
      </c>
      <c r="V55" s="463" t="s">
        <v>26</v>
      </c>
      <c r="W55" s="466">
        <f t="shared" si="10"/>
        <v>180000</v>
      </c>
    </row>
    <row r="56" spans="1:23" ht="93" thickBot="1">
      <c r="A56" s="441">
        <v>45</v>
      </c>
      <c r="B56" s="245">
        <v>10</v>
      </c>
      <c r="C56" s="15">
        <v>7</v>
      </c>
      <c r="D56" s="448" t="s">
        <v>491</v>
      </c>
      <c r="E56" s="298" t="s">
        <v>247</v>
      </c>
      <c r="F56" s="307">
        <f>'6 OP - Rozvoj a koordinace'!K8</f>
        <v>1.3</v>
      </c>
      <c r="G56" s="307"/>
      <c r="H56" s="445">
        <v>0</v>
      </c>
      <c r="I56" s="446">
        <v>0</v>
      </c>
      <c r="J56" s="446">
        <v>0</v>
      </c>
      <c r="K56" s="446">
        <v>0</v>
      </c>
      <c r="L56" s="446">
        <v>0</v>
      </c>
      <c r="M56" s="447">
        <v>1</v>
      </c>
      <c r="N56" s="456">
        <f t="shared" si="9"/>
        <v>1</v>
      </c>
      <c r="O56" s="13" t="s">
        <v>492</v>
      </c>
      <c r="P56" s="480">
        <f>H56*$F56*Svodka!$J$1</f>
        <v>0</v>
      </c>
      <c r="Q56" s="479">
        <f>I56*$F56*Svodka!$J$1</f>
        <v>0</v>
      </c>
      <c r="R56" s="479">
        <f>J56*$F56*Svodka!$J$1</f>
        <v>0</v>
      </c>
      <c r="S56" s="479">
        <f>K56*$F56*Svodka!$J$1</f>
        <v>0</v>
      </c>
      <c r="T56" s="479">
        <f>L56*$F56*Svodka!$J$1</f>
        <v>0</v>
      </c>
      <c r="U56" s="481">
        <f>M56*$F56*Svodka!$J$1</f>
        <v>13000</v>
      </c>
      <c r="V56" s="464" t="s">
        <v>9</v>
      </c>
      <c r="W56" s="466">
        <f t="shared" si="10"/>
        <v>13000</v>
      </c>
    </row>
    <row r="57" spans="1:23" ht="26.25">
      <c r="A57" s="449">
        <v>46</v>
      </c>
      <c r="B57" s="295">
        <v>11</v>
      </c>
      <c r="C57" s="296">
        <v>1</v>
      </c>
      <c r="D57" s="450" t="s">
        <v>1</v>
      </c>
      <c r="E57" s="297" t="s">
        <v>247</v>
      </c>
      <c r="F57" s="306">
        <f>'1 OP - Informační základna'!K24+'5 OP - Struktura, org. a říz.'!K54</f>
        <v>8.85</v>
      </c>
      <c r="G57" s="306">
        <f>SUM(F57:F65)</f>
        <v>82.5</v>
      </c>
      <c r="H57" s="445">
        <v>0</v>
      </c>
      <c r="I57" s="446">
        <v>0</v>
      </c>
      <c r="J57" s="446">
        <v>0</v>
      </c>
      <c r="K57" s="446">
        <v>0</v>
      </c>
      <c r="L57" s="446">
        <v>0</v>
      </c>
      <c r="M57" s="447">
        <v>1</v>
      </c>
      <c r="N57" s="456">
        <f t="shared" si="9"/>
        <v>1</v>
      </c>
      <c r="O57" s="13" t="s">
        <v>2</v>
      </c>
      <c r="P57" s="480">
        <f>H57*$F57*Svodka!$J$1</f>
        <v>0</v>
      </c>
      <c r="Q57" s="479">
        <f>I57*$F57*Svodka!$J$1</f>
        <v>0</v>
      </c>
      <c r="R57" s="479">
        <f>J57*$F57*Svodka!$J$1</f>
        <v>0</v>
      </c>
      <c r="S57" s="479">
        <f>K57*$F57*Svodka!$J$1</f>
        <v>0</v>
      </c>
      <c r="T57" s="479">
        <f>L57*$F57*Svodka!$J$1</f>
        <v>0</v>
      </c>
      <c r="U57" s="481">
        <f>M57*$F57*Svodka!$J$1</f>
        <v>88500</v>
      </c>
      <c r="V57" s="464" t="s">
        <v>11</v>
      </c>
      <c r="W57" s="466">
        <f t="shared" si="10"/>
        <v>88500</v>
      </c>
    </row>
    <row r="58" spans="1:23" ht="26.25">
      <c r="A58" s="411">
        <v>47</v>
      </c>
      <c r="B58" s="244">
        <v>11</v>
      </c>
      <c r="C58" s="13">
        <v>2</v>
      </c>
      <c r="D58" s="388" t="s">
        <v>183</v>
      </c>
      <c r="E58" s="460" t="s">
        <v>247</v>
      </c>
      <c r="F58" s="461">
        <f>'3 OP - Řízení kvality'!K26+'5 OP - Struktura, org. a říz.'!K58</f>
        <v>18.85</v>
      </c>
      <c r="G58" s="461"/>
      <c r="H58" s="395">
        <v>1</v>
      </c>
      <c r="I58" s="394">
        <v>0</v>
      </c>
      <c r="J58" s="394">
        <v>0</v>
      </c>
      <c r="K58" s="394">
        <v>0</v>
      </c>
      <c r="L58" s="394">
        <v>0</v>
      </c>
      <c r="M58" s="396">
        <v>0</v>
      </c>
      <c r="N58" s="456">
        <f t="shared" si="9"/>
        <v>1</v>
      </c>
      <c r="O58" s="13" t="s">
        <v>184</v>
      </c>
      <c r="P58" s="480">
        <f>H58*$F58*Svodka!$J$1</f>
        <v>188500</v>
      </c>
      <c r="Q58" s="479">
        <f>I58*$F58*Svodka!$J$1</f>
        <v>0</v>
      </c>
      <c r="R58" s="479">
        <f>J58*$F58*Svodka!$J$1</f>
        <v>0</v>
      </c>
      <c r="S58" s="479">
        <f>K58*$F58*Svodka!$J$1</f>
        <v>0</v>
      </c>
      <c r="T58" s="479">
        <f>L58*$F58*Svodka!$J$1</f>
        <v>0</v>
      </c>
      <c r="U58" s="481">
        <f>M58*$F58*Svodka!$J$1</f>
        <v>0</v>
      </c>
      <c r="V58" s="464" t="s">
        <v>11</v>
      </c>
      <c r="W58" s="466">
        <f t="shared" si="10"/>
        <v>188500</v>
      </c>
    </row>
    <row r="59" spans="1:23" ht="26.25">
      <c r="A59" s="443">
        <v>48</v>
      </c>
      <c r="B59" s="244">
        <v>11</v>
      </c>
      <c r="C59" s="13">
        <v>3</v>
      </c>
      <c r="D59" s="444" t="s">
        <v>185</v>
      </c>
      <c r="E59" s="299" t="s">
        <v>247</v>
      </c>
      <c r="F59" s="303">
        <f>'3 OP - Řízení kvality'!K27+'5 OP - Struktura, org. a říz.'!K59</f>
        <v>18.85</v>
      </c>
      <c r="G59" s="303"/>
      <c r="H59" s="445">
        <v>0</v>
      </c>
      <c r="I59" s="446">
        <v>0</v>
      </c>
      <c r="J59" s="446">
        <v>0</v>
      </c>
      <c r="K59" s="446">
        <v>0</v>
      </c>
      <c r="L59" s="446">
        <v>0</v>
      </c>
      <c r="M59" s="447">
        <v>1</v>
      </c>
      <c r="N59" s="456">
        <f t="shared" si="9"/>
        <v>1</v>
      </c>
      <c r="O59" s="13" t="s">
        <v>187</v>
      </c>
      <c r="P59" s="480">
        <f>H59*$F59*Svodka!$J$1</f>
        <v>0</v>
      </c>
      <c r="Q59" s="479">
        <f>I59*$F59*Svodka!$J$1</f>
        <v>0</v>
      </c>
      <c r="R59" s="479">
        <f>J59*$F59*Svodka!$J$1</f>
        <v>0</v>
      </c>
      <c r="S59" s="479">
        <f>K59*$F59*Svodka!$J$1</f>
        <v>0</v>
      </c>
      <c r="T59" s="479">
        <f>L59*$F59*Svodka!$J$1</f>
        <v>0</v>
      </c>
      <c r="U59" s="481">
        <f>M59*$F59*Svodka!$J$1</f>
        <v>188500</v>
      </c>
      <c r="V59" s="464" t="s">
        <v>11</v>
      </c>
      <c r="W59" s="466">
        <f t="shared" si="10"/>
        <v>188500</v>
      </c>
    </row>
    <row r="60" spans="1:23" ht="26.25">
      <c r="A60" s="439">
        <v>49</v>
      </c>
      <c r="B60" s="244">
        <v>11</v>
      </c>
      <c r="C60" s="13">
        <v>6</v>
      </c>
      <c r="D60" s="440" t="s">
        <v>41</v>
      </c>
      <c r="E60" s="299" t="s">
        <v>247</v>
      </c>
      <c r="F60" s="303">
        <f>'1 OP - Informační základna'!K47</f>
        <v>9.9</v>
      </c>
      <c r="G60" s="303"/>
      <c r="H60" s="434">
        <v>0</v>
      </c>
      <c r="I60" s="435">
        <v>0</v>
      </c>
      <c r="J60" s="435">
        <v>0</v>
      </c>
      <c r="K60" s="435">
        <v>0</v>
      </c>
      <c r="L60" s="435">
        <v>1</v>
      </c>
      <c r="M60" s="436">
        <v>0</v>
      </c>
      <c r="N60" s="456">
        <f t="shared" si="9"/>
        <v>1</v>
      </c>
      <c r="O60" s="13" t="s">
        <v>42</v>
      </c>
      <c r="P60" s="480">
        <f>H60*$F60*Svodka!$J$1</f>
        <v>0</v>
      </c>
      <c r="Q60" s="479">
        <f>I60*$F60*Svodka!$J$1</f>
        <v>0</v>
      </c>
      <c r="R60" s="479">
        <f>J60*$F60*Svodka!$J$1</f>
        <v>0</v>
      </c>
      <c r="S60" s="479">
        <f>K60*$F60*Svodka!$J$1</f>
        <v>0</v>
      </c>
      <c r="T60" s="479">
        <f>L60*$F60*Svodka!$J$1</f>
        <v>99000</v>
      </c>
      <c r="U60" s="481">
        <f>M60*$F60*Svodka!$J$1</f>
        <v>0</v>
      </c>
      <c r="V60" s="464" t="s">
        <v>8</v>
      </c>
      <c r="W60" s="466">
        <f t="shared" si="10"/>
        <v>99000</v>
      </c>
    </row>
    <row r="61" spans="1:23" ht="26.25">
      <c r="A61" s="443">
        <v>50</v>
      </c>
      <c r="B61" s="244">
        <v>11</v>
      </c>
      <c r="C61" s="13">
        <v>10</v>
      </c>
      <c r="D61" s="444" t="s">
        <v>49</v>
      </c>
      <c r="E61" s="299" t="s">
        <v>247</v>
      </c>
      <c r="F61" s="303">
        <f>'1 OP - Informační základna'!K32</f>
        <v>1.3</v>
      </c>
      <c r="G61" s="303"/>
      <c r="H61" s="445">
        <v>0</v>
      </c>
      <c r="I61" s="446">
        <v>0</v>
      </c>
      <c r="J61" s="446">
        <v>0</v>
      </c>
      <c r="K61" s="446">
        <v>0</v>
      </c>
      <c r="L61" s="446">
        <v>0</v>
      </c>
      <c r="M61" s="447">
        <v>1</v>
      </c>
      <c r="N61" s="456">
        <f t="shared" si="9"/>
        <v>1</v>
      </c>
      <c r="O61" s="13" t="s">
        <v>50</v>
      </c>
      <c r="P61" s="480">
        <f>H61*$F61*Svodka!$J$1</f>
        <v>0</v>
      </c>
      <c r="Q61" s="479">
        <f>I61*$F61*Svodka!$J$1</f>
        <v>0</v>
      </c>
      <c r="R61" s="479">
        <f>J61*$F61*Svodka!$J$1</f>
        <v>0</v>
      </c>
      <c r="S61" s="479">
        <f>K61*$F61*Svodka!$J$1</f>
        <v>0</v>
      </c>
      <c r="T61" s="479">
        <f>L61*$F61*Svodka!$J$1</f>
        <v>0</v>
      </c>
      <c r="U61" s="481">
        <f>M61*$F61*Svodka!$J$1</f>
        <v>13000</v>
      </c>
      <c r="V61" s="464" t="s">
        <v>8</v>
      </c>
      <c r="W61" s="466">
        <f t="shared" si="10"/>
        <v>13000</v>
      </c>
    </row>
    <row r="62" spans="1:23" ht="26.25">
      <c r="A62" s="443">
        <v>51</v>
      </c>
      <c r="B62" s="244">
        <v>11</v>
      </c>
      <c r="C62" s="13">
        <v>12</v>
      </c>
      <c r="D62" s="444" t="s">
        <v>192</v>
      </c>
      <c r="E62" s="299" t="s">
        <v>247</v>
      </c>
      <c r="F62" s="303">
        <f>'3 OP - Řízení kvality'!K6</f>
        <v>4</v>
      </c>
      <c r="G62" s="303"/>
      <c r="H62" s="445">
        <v>0</v>
      </c>
      <c r="I62" s="446">
        <v>0</v>
      </c>
      <c r="J62" s="446">
        <v>0</v>
      </c>
      <c r="K62" s="446">
        <v>0</v>
      </c>
      <c r="L62" s="446">
        <v>0</v>
      </c>
      <c r="M62" s="447">
        <v>1</v>
      </c>
      <c r="N62" s="456">
        <f t="shared" si="9"/>
        <v>1</v>
      </c>
      <c r="O62" s="13" t="s">
        <v>193</v>
      </c>
      <c r="P62" s="480">
        <f>H62*$F62*Svodka!$J$1</f>
        <v>0</v>
      </c>
      <c r="Q62" s="479">
        <f>I62*$F62*Svodka!$J$1</f>
        <v>0</v>
      </c>
      <c r="R62" s="479">
        <f>J62*$F62*Svodka!$J$1</f>
        <v>0</v>
      </c>
      <c r="S62" s="479">
        <f>K62*$F62*Svodka!$J$1</f>
        <v>0</v>
      </c>
      <c r="T62" s="479">
        <f>L62*$F62*Svodka!$J$1</f>
        <v>0</v>
      </c>
      <c r="U62" s="481">
        <f>M62*$F62*Svodka!$J$1</f>
        <v>40000</v>
      </c>
      <c r="V62" s="464" t="s">
        <v>12</v>
      </c>
      <c r="W62" s="466">
        <f t="shared" si="10"/>
        <v>40000</v>
      </c>
    </row>
    <row r="63" spans="1:23" ht="12.75">
      <c r="A63" s="411">
        <v>52</v>
      </c>
      <c r="B63" s="244">
        <v>11</v>
      </c>
      <c r="C63" s="13">
        <v>26</v>
      </c>
      <c r="D63" s="388" t="s">
        <v>460</v>
      </c>
      <c r="E63" s="299" t="s">
        <v>247</v>
      </c>
      <c r="F63" s="303">
        <f>'6 OP - Rozvoj a koordinace'!K11</f>
        <v>8.5</v>
      </c>
      <c r="G63" s="303"/>
      <c r="H63" s="395">
        <v>1</v>
      </c>
      <c r="I63" s="394">
        <v>0</v>
      </c>
      <c r="J63" s="394">
        <v>0</v>
      </c>
      <c r="K63" s="394">
        <v>0</v>
      </c>
      <c r="L63" s="394">
        <v>0</v>
      </c>
      <c r="M63" s="396">
        <v>0</v>
      </c>
      <c r="N63" s="456">
        <f t="shared" si="9"/>
        <v>1</v>
      </c>
      <c r="O63" s="13" t="s">
        <v>461</v>
      </c>
      <c r="P63" s="480">
        <f>H63*$F63*Svodka!$J$1</f>
        <v>85000</v>
      </c>
      <c r="Q63" s="479">
        <f>I63*$F63*Svodka!$J$1</f>
        <v>0</v>
      </c>
      <c r="R63" s="479">
        <f>J63*$F63*Svodka!$J$1</f>
        <v>0</v>
      </c>
      <c r="S63" s="479">
        <f>K63*$F63*Svodka!$J$1</f>
        <v>0</v>
      </c>
      <c r="T63" s="479">
        <f>L63*$F63*Svodka!$J$1</f>
        <v>0</v>
      </c>
      <c r="U63" s="481">
        <f>M63*$F63*Svodka!$J$1</f>
        <v>0</v>
      </c>
      <c r="V63" s="463" t="s">
        <v>26</v>
      </c>
      <c r="W63" s="466">
        <f t="shared" si="10"/>
        <v>85000</v>
      </c>
    </row>
    <row r="64" spans="1:23" ht="26.25">
      <c r="A64" s="403">
        <v>53</v>
      </c>
      <c r="B64" s="244">
        <v>11</v>
      </c>
      <c r="C64" s="13">
        <v>38</v>
      </c>
      <c r="D64" s="404" t="s">
        <v>539</v>
      </c>
      <c r="E64" s="299" t="s">
        <v>247</v>
      </c>
      <c r="F64" s="303">
        <f>'5 OP - Struktura, org. a říz.'!K63+'6 OP - Rozvoj a koordinace'!K79</f>
        <v>8.75</v>
      </c>
      <c r="G64" s="303"/>
      <c r="H64" s="405">
        <v>0</v>
      </c>
      <c r="I64" s="406">
        <v>1</v>
      </c>
      <c r="J64" s="406">
        <v>0</v>
      </c>
      <c r="K64" s="406">
        <v>0</v>
      </c>
      <c r="L64" s="406">
        <v>0</v>
      </c>
      <c r="M64" s="407">
        <v>0</v>
      </c>
      <c r="N64" s="456">
        <f t="shared" si="9"/>
        <v>1</v>
      </c>
      <c r="O64" s="13" t="s">
        <v>540</v>
      </c>
      <c r="P64" s="480">
        <f>H64*$F64*Svodka!$J$1</f>
        <v>0</v>
      </c>
      <c r="Q64" s="479">
        <f>I64*$F64*Svodka!$J$1</f>
        <v>87500</v>
      </c>
      <c r="R64" s="479">
        <f>J64*$F64*Svodka!$J$1</f>
        <v>0</v>
      </c>
      <c r="S64" s="479">
        <f>K64*$F64*Svodka!$J$1</f>
        <v>0</v>
      </c>
      <c r="T64" s="479">
        <f>L64*$F64*Svodka!$J$1</f>
        <v>0</v>
      </c>
      <c r="U64" s="481">
        <f>M64*$F64*Svodka!$J$1</f>
        <v>0</v>
      </c>
      <c r="V64" s="464" t="s">
        <v>14</v>
      </c>
      <c r="W64" s="466">
        <f t="shared" si="10"/>
        <v>87500</v>
      </c>
    </row>
    <row r="65" spans="1:23" ht="39.75" thickBot="1">
      <c r="A65" s="408">
        <v>54</v>
      </c>
      <c r="B65" s="245">
        <v>11</v>
      </c>
      <c r="C65" s="15">
        <v>39</v>
      </c>
      <c r="D65" s="409" t="s">
        <v>202</v>
      </c>
      <c r="E65" s="298" t="s">
        <v>247</v>
      </c>
      <c r="F65" s="307">
        <f>'3 OP - Řízení kvality'!K7</f>
        <v>3.5</v>
      </c>
      <c r="G65" s="307"/>
      <c r="H65" s="405">
        <v>0</v>
      </c>
      <c r="I65" s="406">
        <v>1</v>
      </c>
      <c r="J65" s="406">
        <v>0</v>
      </c>
      <c r="K65" s="406">
        <v>0</v>
      </c>
      <c r="L65" s="406">
        <v>0</v>
      </c>
      <c r="M65" s="407">
        <v>0</v>
      </c>
      <c r="N65" s="456">
        <f t="shared" si="9"/>
        <v>1</v>
      </c>
      <c r="O65" s="13" t="s">
        <v>223</v>
      </c>
      <c r="P65" s="480">
        <f>H65*$F65*Svodka!$J$1</f>
        <v>0</v>
      </c>
      <c r="Q65" s="479">
        <f>I65*$F65*Svodka!$J$1</f>
        <v>35000</v>
      </c>
      <c r="R65" s="479">
        <f>J65*$F65*Svodka!$J$1</f>
        <v>0</v>
      </c>
      <c r="S65" s="479">
        <f>K65*$F65*Svodka!$J$1</f>
        <v>0</v>
      </c>
      <c r="T65" s="479">
        <f>L65*$F65*Svodka!$J$1</f>
        <v>0</v>
      </c>
      <c r="U65" s="481">
        <f>M65*$F65*Svodka!$J$1</f>
        <v>0</v>
      </c>
      <c r="V65" s="464" t="s">
        <v>12</v>
      </c>
      <c r="W65" s="466">
        <f t="shared" si="10"/>
        <v>35000</v>
      </c>
    </row>
    <row r="66" spans="1:23" ht="39">
      <c r="A66" s="421">
        <v>55</v>
      </c>
      <c r="B66" s="295">
        <v>12</v>
      </c>
      <c r="C66" s="296">
        <v>4</v>
      </c>
      <c r="D66" s="422" t="s">
        <v>444</v>
      </c>
      <c r="E66" s="297" t="s">
        <v>247</v>
      </c>
      <c r="F66" s="306">
        <f>'6 OP - Rozvoj a koordinace'!K76</f>
        <v>46.62</v>
      </c>
      <c r="G66" s="306">
        <f>SUM(F66:F69)</f>
        <v>300.05999999999995</v>
      </c>
      <c r="H66" s="416">
        <v>0</v>
      </c>
      <c r="I66" s="417">
        <v>0</v>
      </c>
      <c r="J66" s="417">
        <v>1</v>
      </c>
      <c r="K66" s="417">
        <v>0</v>
      </c>
      <c r="L66" s="417">
        <v>0</v>
      </c>
      <c r="M66" s="418">
        <v>0</v>
      </c>
      <c r="N66" s="456">
        <f t="shared" si="9"/>
        <v>1</v>
      </c>
      <c r="O66" s="13" t="s">
        <v>445</v>
      </c>
      <c r="P66" s="480">
        <f>H66*$F66*Svodka!$J$1</f>
        <v>0</v>
      </c>
      <c r="Q66" s="479">
        <f>I66*$F66*Svodka!$J$1</f>
        <v>0</v>
      </c>
      <c r="R66" s="479">
        <f>J66*$F66*Svodka!$J$1</f>
        <v>466200</v>
      </c>
      <c r="S66" s="479">
        <f>K66*$F66*Svodka!$J$1</f>
        <v>0</v>
      </c>
      <c r="T66" s="479">
        <f>L66*$F66*Svodka!$J$1</f>
        <v>0</v>
      </c>
      <c r="U66" s="481">
        <f>M66*$F66*Svodka!$J$1</f>
        <v>0</v>
      </c>
      <c r="V66" s="463" t="s">
        <v>26</v>
      </c>
      <c r="W66" s="466">
        <f t="shared" si="10"/>
        <v>466200</v>
      </c>
    </row>
    <row r="67" spans="1:23" ht="52.5">
      <c r="A67" s="423">
        <v>56</v>
      </c>
      <c r="B67" s="244">
        <v>12</v>
      </c>
      <c r="C67" s="13">
        <v>27</v>
      </c>
      <c r="D67" s="424" t="s">
        <v>462</v>
      </c>
      <c r="E67" s="299" t="s">
        <v>247</v>
      </c>
      <c r="F67" s="303">
        <f>'6 OP - Rozvoj a koordinace'!K74</f>
        <v>9.02</v>
      </c>
      <c r="G67" s="303"/>
      <c r="H67" s="425">
        <v>0</v>
      </c>
      <c r="I67" s="426">
        <v>0</v>
      </c>
      <c r="J67" s="426">
        <v>0</v>
      </c>
      <c r="K67" s="426">
        <v>1</v>
      </c>
      <c r="L67" s="426">
        <v>0</v>
      </c>
      <c r="M67" s="427">
        <v>0</v>
      </c>
      <c r="N67" s="456">
        <f t="shared" si="9"/>
        <v>1</v>
      </c>
      <c r="O67" s="13" t="s">
        <v>463</v>
      </c>
      <c r="P67" s="480">
        <f>H67*$F67*Svodka!$J$1</f>
        <v>0</v>
      </c>
      <c r="Q67" s="479">
        <f>I67*$F67*Svodka!$J$1</f>
        <v>0</v>
      </c>
      <c r="R67" s="479">
        <f>J67*$F67*Svodka!$J$1</f>
        <v>0</v>
      </c>
      <c r="S67" s="479">
        <f>K67*$F67*Svodka!$J$1</f>
        <v>90200</v>
      </c>
      <c r="T67" s="479">
        <f>L67*$F67*Svodka!$J$1</f>
        <v>0</v>
      </c>
      <c r="U67" s="481">
        <f>M67*$F67*Svodka!$J$1</f>
        <v>0</v>
      </c>
      <c r="V67" s="463" t="s">
        <v>26</v>
      </c>
      <c r="W67" s="466">
        <f t="shared" si="10"/>
        <v>90200</v>
      </c>
    </row>
    <row r="68" spans="1:23" ht="39">
      <c r="A68" s="414">
        <v>57</v>
      </c>
      <c r="B68" s="244">
        <v>12</v>
      </c>
      <c r="C68" s="13">
        <v>30</v>
      </c>
      <c r="D68" s="415" t="s">
        <v>470</v>
      </c>
      <c r="E68" s="299" t="s">
        <v>247</v>
      </c>
      <c r="F68" s="303">
        <f>'6 OP - Rozvoj a koordinace'!K77</f>
        <v>92.52</v>
      </c>
      <c r="G68" s="303"/>
      <c r="H68" s="416">
        <v>0</v>
      </c>
      <c r="I68" s="417">
        <v>0</v>
      </c>
      <c r="J68" s="417">
        <v>1</v>
      </c>
      <c r="K68" s="417">
        <v>0</v>
      </c>
      <c r="L68" s="417">
        <v>0</v>
      </c>
      <c r="M68" s="418">
        <v>0</v>
      </c>
      <c r="N68" s="456">
        <f t="shared" si="9"/>
        <v>1</v>
      </c>
      <c r="O68" s="13" t="s">
        <v>22</v>
      </c>
      <c r="P68" s="480">
        <f>H68*$F68*Svodka!$J$1</f>
        <v>0</v>
      </c>
      <c r="Q68" s="479">
        <f>I68*$F68*Svodka!$J$1</f>
        <v>0</v>
      </c>
      <c r="R68" s="479">
        <f>J68*$F68*Svodka!$J$1</f>
        <v>925200</v>
      </c>
      <c r="S68" s="479">
        <f>K68*$F68*Svodka!$J$1</f>
        <v>0</v>
      </c>
      <c r="T68" s="479">
        <f>L68*$F68*Svodka!$J$1</f>
        <v>0</v>
      </c>
      <c r="U68" s="481">
        <f>M68*$F68*Svodka!$J$1</f>
        <v>0</v>
      </c>
      <c r="V68" s="463" t="s">
        <v>26</v>
      </c>
      <c r="W68" s="466">
        <f t="shared" si="10"/>
        <v>925200</v>
      </c>
    </row>
    <row r="69" spans="1:23" ht="27" thickBot="1">
      <c r="A69" s="441">
        <v>58</v>
      </c>
      <c r="B69" s="245">
        <v>12</v>
      </c>
      <c r="C69" s="15">
        <v>41</v>
      </c>
      <c r="D69" s="448" t="s">
        <v>128</v>
      </c>
      <c r="E69" s="298" t="s">
        <v>247</v>
      </c>
      <c r="F69" s="307">
        <f>'1 OP - Informační základna'!K6+'4 OP - Výstavba'!K8+'5 OP - Struktura, org. a říz.'!K18+'6 OP - Rozvoj a koordinace'!K29</f>
        <v>151.89999999999998</v>
      </c>
      <c r="G69" s="307"/>
      <c r="H69" s="445">
        <v>0</v>
      </c>
      <c r="I69" s="446">
        <v>0</v>
      </c>
      <c r="J69" s="446">
        <v>0</v>
      </c>
      <c r="K69" s="446">
        <v>0</v>
      </c>
      <c r="L69" s="446">
        <v>0</v>
      </c>
      <c r="M69" s="447">
        <v>1</v>
      </c>
      <c r="N69" s="456">
        <f t="shared" si="9"/>
        <v>1</v>
      </c>
      <c r="O69" s="13" t="s">
        <v>129</v>
      </c>
      <c r="P69" s="480">
        <f>H69*$F69*Svodka!$J$1</f>
        <v>0</v>
      </c>
      <c r="Q69" s="479">
        <f>I69*$F69*Svodka!$J$1</f>
        <v>0</v>
      </c>
      <c r="R69" s="479">
        <f>J69*$F69*Svodka!$J$1</f>
        <v>0</v>
      </c>
      <c r="S69" s="479">
        <f>K69*$F69*Svodka!$J$1</f>
        <v>0</v>
      </c>
      <c r="T69" s="479">
        <f>L69*$F69*Svodka!$J$1</f>
        <v>0</v>
      </c>
      <c r="U69" s="481">
        <f>M69*$F69*Svodka!$J$1</f>
        <v>1518999.9999999998</v>
      </c>
      <c r="V69" s="464" t="s">
        <v>16</v>
      </c>
      <c r="W69" s="466">
        <f t="shared" si="10"/>
        <v>1518999.9999999998</v>
      </c>
    </row>
    <row r="70" spans="1:23" ht="66">
      <c r="A70" s="449">
        <v>59</v>
      </c>
      <c r="B70" s="295">
        <v>13</v>
      </c>
      <c r="C70" s="296">
        <v>6</v>
      </c>
      <c r="D70" s="450" t="s">
        <v>450</v>
      </c>
      <c r="E70" s="297" t="s">
        <v>252</v>
      </c>
      <c r="F70" s="306">
        <f>'6 OP - Rozvoj a koordinace'!K33</f>
        <v>3.12</v>
      </c>
      <c r="G70" s="306">
        <f>SUM(F70:F71)</f>
        <v>6.24</v>
      </c>
      <c r="H70" s="445">
        <v>0</v>
      </c>
      <c r="I70" s="446">
        <v>0</v>
      </c>
      <c r="J70" s="446">
        <v>0</v>
      </c>
      <c r="K70" s="446">
        <v>0</v>
      </c>
      <c r="L70" s="446">
        <v>0</v>
      </c>
      <c r="M70" s="447">
        <v>1</v>
      </c>
      <c r="N70" s="456">
        <f t="shared" si="9"/>
        <v>1</v>
      </c>
      <c r="O70" s="13" t="s">
        <v>451</v>
      </c>
      <c r="P70" s="480">
        <f>H70*$F70*Svodka!$J$1</f>
        <v>0</v>
      </c>
      <c r="Q70" s="479">
        <f>I70*$F70*Svodka!$J$1</f>
        <v>0</v>
      </c>
      <c r="R70" s="479">
        <f>J70*$F70*Svodka!$J$1</f>
        <v>0</v>
      </c>
      <c r="S70" s="479">
        <f>K70*$F70*Svodka!$J$1</f>
        <v>0</v>
      </c>
      <c r="T70" s="479">
        <f>L70*$F70*Svodka!$J$1</f>
        <v>0</v>
      </c>
      <c r="U70" s="481">
        <f>M70*$F70*Svodka!$J$1</f>
        <v>31200</v>
      </c>
      <c r="V70" s="463" t="s">
        <v>26</v>
      </c>
      <c r="W70" s="466">
        <f t="shared" si="10"/>
        <v>31200</v>
      </c>
    </row>
    <row r="71" spans="1:23" ht="39.75" thickBot="1">
      <c r="A71" s="419">
        <v>60</v>
      </c>
      <c r="B71" s="245">
        <v>13</v>
      </c>
      <c r="C71" s="15">
        <v>13</v>
      </c>
      <c r="D71" s="420" t="s">
        <v>495</v>
      </c>
      <c r="E71" s="298" t="s">
        <v>250</v>
      </c>
      <c r="F71" s="307">
        <f>'6 OP - Rozvoj a koordinace'!K34</f>
        <v>3.12</v>
      </c>
      <c r="G71" s="307"/>
      <c r="H71" s="416">
        <v>0</v>
      </c>
      <c r="I71" s="417">
        <v>0</v>
      </c>
      <c r="J71" s="417">
        <v>1</v>
      </c>
      <c r="K71" s="417">
        <v>0</v>
      </c>
      <c r="L71" s="417">
        <v>0</v>
      </c>
      <c r="M71" s="418">
        <v>0</v>
      </c>
      <c r="N71" s="456">
        <f t="shared" si="9"/>
        <v>1</v>
      </c>
      <c r="O71" s="13" t="s">
        <v>496</v>
      </c>
      <c r="P71" s="480">
        <f>H71*$F71*Svodka!$J$1</f>
        <v>0</v>
      </c>
      <c r="Q71" s="479">
        <f>I71*$F71*Svodka!$J$1</f>
        <v>0</v>
      </c>
      <c r="R71" s="479">
        <f>J71*$F71*Svodka!$J$1</f>
        <v>31200</v>
      </c>
      <c r="S71" s="479">
        <f>K71*$F71*Svodka!$J$1</f>
        <v>0</v>
      </c>
      <c r="T71" s="479">
        <f>L71*$F71*Svodka!$J$1</f>
        <v>0</v>
      </c>
      <c r="U71" s="481">
        <f>M71*$F71*Svodka!$J$1</f>
        <v>0</v>
      </c>
      <c r="V71" s="463" t="s">
        <v>26</v>
      </c>
      <c r="W71" s="466">
        <f t="shared" si="10"/>
        <v>31200</v>
      </c>
    </row>
    <row r="72" spans="1:23" ht="39">
      <c r="A72" s="412">
        <v>61</v>
      </c>
      <c r="B72" s="295">
        <v>14</v>
      </c>
      <c r="C72" s="296">
        <v>5</v>
      </c>
      <c r="D72" s="385" t="s">
        <v>448</v>
      </c>
      <c r="E72" s="297" t="s">
        <v>250</v>
      </c>
      <c r="F72" s="306">
        <f>'6 OP - Rozvoj a koordinace'!K17</f>
        <v>5.9</v>
      </c>
      <c r="G72" s="306">
        <f>SUM(F72:F74)</f>
        <v>39.2</v>
      </c>
      <c r="H72" s="405">
        <v>0</v>
      </c>
      <c r="I72" s="406">
        <v>1</v>
      </c>
      <c r="J72" s="406">
        <v>0</v>
      </c>
      <c r="K72" s="406">
        <v>0</v>
      </c>
      <c r="L72" s="406">
        <v>0</v>
      </c>
      <c r="M72" s="407">
        <v>0</v>
      </c>
      <c r="N72" s="456">
        <f t="shared" si="9"/>
        <v>1</v>
      </c>
      <c r="O72" s="13" t="s">
        <v>449</v>
      </c>
      <c r="P72" s="480">
        <f>H72*$F72*Svodka!$J$1</f>
        <v>0</v>
      </c>
      <c r="Q72" s="479">
        <f>I72*$F72*Svodka!$J$1</f>
        <v>59000</v>
      </c>
      <c r="R72" s="479">
        <f>J72*$F72*Svodka!$J$1</f>
        <v>0</v>
      </c>
      <c r="S72" s="479">
        <f>K72*$F72*Svodka!$J$1</f>
        <v>0</v>
      </c>
      <c r="T72" s="479">
        <f>L72*$F72*Svodka!$J$1</f>
        <v>0</v>
      </c>
      <c r="U72" s="481">
        <f>M72*$F72*Svodka!$J$1</f>
        <v>0</v>
      </c>
      <c r="V72" s="464" t="s">
        <v>14</v>
      </c>
      <c r="W72" s="466">
        <f t="shared" si="10"/>
        <v>59000</v>
      </c>
    </row>
    <row r="73" spans="1:23" ht="92.25">
      <c r="A73" s="443">
        <v>62</v>
      </c>
      <c r="B73" s="244">
        <v>14</v>
      </c>
      <c r="C73" s="13">
        <v>7</v>
      </c>
      <c r="D73" s="444" t="s">
        <v>196</v>
      </c>
      <c r="E73" s="299" t="s">
        <v>250</v>
      </c>
      <c r="F73" s="303">
        <f>'3 OP - Řízení kvality'!K22+'6 OP - Rozvoj a koordinace'!K71</f>
        <v>17.3</v>
      </c>
      <c r="G73" s="303"/>
      <c r="H73" s="445">
        <v>0</v>
      </c>
      <c r="I73" s="446">
        <v>0</v>
      </c>
      <c r="J73" s="446">
        <v>0</v>
      </c>
      <c r="K73" s="446">
        <v>0</v>
      </c>
      <c r="L73" s="446">
        <v>0</v>
      </c>
      <c r="M73" s="447">
        <v>1</v>
      </c>
      <c r="N73" s="456">
        <f t="shared" si="9"/>
        <v>1</v>
      </c>
      <c r="O73" s="13" t="s">
        <v>197</v>
      </c>
      <c r="P73" s="480">
        <f>H73*$F73*Svodka!$J$1</f>
        <v>0</v>
      </c>
      <c r="Q73" s="479">
        <f>I73*$F73*Svodka!$J$1</f>
        <v>0</v>
      </c>
      <c r="R73" s="479">
        <f>J73*$F73*Svodka!$J$1</f>
        <v>0</v>
      </c>
      <c r="S73" s="479">
        <f>K73*$F73*Svodka!$J$1</f>
        <v>0</v>
      </c>
      <c r="T73" s="479">
        <f>L73*$F73*Svodka!$J$1</f>
        <v>0</v>
      </c>
      <c r="U73" s="481">
        <f>M73*$F73*Svodka!$J$1</f>
        <v>173000</v>
      </c>
      <c r="V73" s="464" t="s">
        <v>9</v>
      </c>
      <c r="W73" s="466">
        <f t="shared" si="10"/>
        <v>173000</v>
      </c>
    </row>
    <row r="74" spans="1:23" ht="27" thickBot="1">
      <c r="A74" s="437">
        <v>63</v>
      </c>
      <c r="B74" s="245">
        <v>14</v>
      </c>
      <c r="C74" s="15">
        <v>10</v>
      </c>
      <c r="D74" s="438" t="s">
        <v>198</v>
      </c>
      <c r="E74" s="298" t="s">
        <v>250</v>
      </c>
      <c r="F74" s="307">
        <f>'3 OP - Řízení kvality'!K25</f>
        <v>16</v>
      </c>
      <c r="G74" s="307"/>
      <c r="H74" s="434">
        <v>0</v>
      </c>
      <c r="I74" s="435">
        <v>0</v>
      </c>
      <c r="J74" s="435">
        <v>0</v>
      </c>
      <c r="K74" s="435">
        <v>0</v>
      </c>
      <c r="L74" s="435">
        <v>1</v>
      </c>
      <c r="M74" s="436">
        <v>0</v>
      </c>
      <c r="N74" s="456">
        <f t="shared" si="9"/>
        <v>1</v>
      </c>
      <c r="O74" s="13" t="s">
        <v>199</v>
      </c>
      <c r="P74" s="480">
        <f>H74*$F74*Svodka!$J$1</f>
        <v>0</v>
      </c>
      <c r="Q74" s="479">
        <f>I74*$F74*Svodka!$J$1</f>
        <v>0</v>
      </c>
      <c r="R74" s="479">
        <f>J74*$F74*Svodka!$J$1</f>
        <v>0</v>
      </c>
      <c r="S74" s="479">
        <f>K74*$F74*Svodka!$J$1</f>
        <v>0</v>
      </c>
      <c r="T74" s="479">
        <f>L74*$F74*Svodka!$J$1</f>
        <v>160000</v>
      </c>
      <c r="U74" s="481">
        <f>M74*$F74*Svodka!$J$1</f>
        <v>0</v>
      </c>
      <c r="V74" s="464" t="s">
        <v>12</v>
      </c>
      <c r="W74" s="466">
        <f t="shared" si="10"/>
        <v>160000</v>
      </c>
    </row>
    <row r="75" spans="1:23" ht="66" thickBot="1">
      <c r="A75" s="413">
        <v>64</v>
      </c>
      <c r="B75" s="300">
        <v>15</v>
      </c>
      <c r="C75" s="301">
        <v>4</v>
      </c>
      <c r="D75" s="397" t="s">
        <v>260</v>
      </c>
      <c r="E75" s="302" t="s">
        <v>250</v>
      </c>
      <c r="F75" s="308">
        <f>'1 OP - Informační základna'!K19+'2 OP - Provoz'!K20+'7 OP - Výkon a rozsah'!K17</f>
        <v>78.4</v>
      </c>
      <c r="G75" s="308">
        <f>SUM(F75)</f>
        <v>78.4</v>
      </c>
      <c r="H75" s="405">
        <v>0</v>
      </c>
      <c r="I75" s="406">
        <v>1</v>
      </c>
      <c r="J75" s="406">
        <v>0</v>
      </c>
      <c r="K75" s="406">
        <v>0</v>
      </c>
      <c r="L75" s="406">
        <v>0</v>
      </c>
      <c r="M75" s="407">
        <v>0</v>
      </c>
      <c r="N75" s="456">
        <f t="shared" si="9"/>
        <v>1</v>
      </c>
      <c r="O75" s="13" t="s">
        <v>46</v>
      </c>
      <c r="P75" s="480">
        <f>H75*$F75*Svodka!$J$1</f>
        <v>0</v>
      </c>
      <c r="Q75" s="479">
        <f>I75*$F75*Svodka!$J$1</f>
        <v>784000</v>
      </c>
      <c r="R75" s="479">
        <f>J75*$F75*Svodka!$J$1</f>
        <v>0</v>
      </c>
      <c r="S75" s="479">
        <f>K75*$F75*Svodka!$J$1</f>
        <v>0</v>
      </c>
      <c r="T75" s="479">
        <f>L75*$F75*Svodka!$J$1</f>
        <v>0</v>
      </c>
      <c r="U75" s="481">
        <f>M75*$F75*Svodka!$J$1</f>
        <v>0</v>
      </c>
      <c r="V75" s="464" t="s">
        <v>18</v>
      </c>
      <c r="W75" s="466">
        <f t="shared" si="10"/>
        <v>784000</v>
      </c>
    </row>
    <row r="76" spans="1:23" ht="39">
      <c r="A76" s="449">
        <v>65</v>
      </c>
      <c r="B76" s="295">
        <v>16</v>
      </c>
      <c r="C76" s="296">
        <v>1</v>
      </c>
      <c r="D76" s="450" t="s">
        <v>605</v>
      </c>
      <c r="E76" s="297" t="s">
        <v>250</v>
      </c>
      <c r="F76" s="306">
        <f>'1 OP - Informační základna'!K23+'3 OP - Řízení kvality'!K17</f>
        <v>4.8</v>
      </c>
      <c r="G76" s="306">
        <f>SUM(F76:F79)</f>
        <v>44.8</v>
      </c>
      <c r="H76" s="445">
        <v>0</v>
      </c>
      <c r="I76" s="446">
        <v>0</v>
      </c>
      <c r="J76" s="446">
        <v>0</v>
      </c>
      <c r="K76" s="446">
        <v>0</v>
      </c>
      <c r="L76" s="446">
        <v>0</v>
      </c>
      <c r="M76" s="447">
        <v>1</v>
      </c>
      <c r="N76" s="456">
        <f t="shared" si="9"/>
        <v>1</v>
      </c>
      <c r="O76" s="13" t="s">
        <v>0</v>
      </c>
      <c r="P76" s="480">
        <f>H76*$F76*Svodka!$J$1</f>
        <v>0</v>
      </c>
      <c r="Q76" s="479">
        <f>I76*$F76*Svodka!$J$1</f>
        <v>0</v>
      </c>
      <c r="R76" s="479">
        <f>J76*$F76*Svodka!$J$1</f>
        <v>0</v>
      </c>
      <c r="S76" s="479">
        <f>K76*$F76*Svodka!$J$1</f>
        <v>0</v>
      </c>
      <c r="T76" s="479">
        <f>L76*$F76*Svodka!$J$1</f>
        <v>0</v>
      </c>
      <c r="U76" s="481">
        <f>M76*$F76*Svodka!$J$1</f>
        <v>48000</v>
      </c>
      <c r="V76" s="464" t="s">
        <v>8</v>
      </c>
      <c r="W76" s="466">
        <f t="shared" si="10"/>
        <v>48000</v>
      </c>
    </row>
    <row r="77" spans="1:23" ht="26.25">
      <c r="A77" s="439">
        <v>66</v>
      </c>
      <c r="B77" s="244">
        <v>16</v>
      </c>
      <c r="C77" s="13">
        <v>2</v>
      </c>
      <c r="D77" s="440" t="s">
        <v>188</v>
      </c>
      <c r="E77" s="299" t="s">
        <v>250</v>
      </c>
      <c r="F77" s="303">
        <f>'3 OP - Řízení kvality'!K8</f>
        <v>3.5</v>
      </c>
      <c r="G77" s="303"/>
      <c r="H77" s="434">
        <v>0</v>
      </c>
      <c r="I77" s="435">
        <v>0</v>
      </c>
      <c r="J77" s="435">
        <v>0</v>
      </c>
      <c r="K77" s="435">
        <v>0</v>
      </c>
      <c r="L77" s="435">
        <v>1</v>
      </c>
      <c r="M77" s="436">
        <v>0</v>
      </c>
      <c r="N77" s="456">
        <f aca="true" t="shared" si="11" ref="N77:N122">SUM(H77:M77)</f>
        <v>1</v>
      </c>
      <c r="O77" s="13" t="s">
        <v>189</v>
      </c>
      <c r="P77" s="480">
        <f>H77*$F77*Svodka!$J$1</f>
        <v>0</v>
      </c>
      <c r="Q77" s="479">
        <f>I77*$F77*Svodka!$J$1</f>
        <v>0</v>
      </c>
      <c r="R77" s="479">
        <f>J77*$F77*Svodka!$J$1</f>
        <v>0</v>
      </c>
      <c r="S77" s="479">
        <f>K77*$F77*Svodka!$J$1</f>
        <v>0</v>
      </c>
      <c r="T77" s="479">
        <f>L77*$F77*Svodka!$J$1</f>
        <v>35000</v>
      </c>
      <c r="U77" s="481">
        <f>M77*$F77*Svodka!$J$1</f>
        <v>0</v>
      </c>
      <c r="V77" s="464" t="s">
        <v>12</v>
      </c>
      <c r="W77" s="466">
        <f aca="true" t="shared" si="12" ref="W77:W122">SUM(P77:U77)</f>
        <v>35000</v>
      </c>
    </row>
    <row r="78" spans="1:23" ht="26.25">
      <c r="A78" s="439">
        <v>67</v>
      </c>
      <c r="B78" s="244">
        <v>16</v>
      </c>
      <c r="C78" s="13">
        <v>8</v>
      </c>
      <c r="D78" s="440" t="s">
        <v>115</v>
      </c>
      <c r="E78" s="299" t="s">
        <v>250</v>
      </c>
      <c r="F78" s="303">
        <f>'1 OP - Informační základna'!K21+'3 OP - Řízení kvality'!K16+'6 OP - Rozvoj a koordinace'!K62</f>
        <v>18</v>
      </c>
      <c r="G78" s="303"/>
      <c r="H78" s="434">
        <v>0</v>
      </c>
      <c r="I78" s="435">
        <v>0</v>
      </c>
      <c r="J78" s="435">
        <v>0</v>
      </c>
      <c r="K78" s="435">
        <v>0</v>
      </c>
      <c r="L78" s="435">
        <v>1</v>
      </c>
      <c r="M78" s="436">
        <v>0</v>
      </c>
      <c r="N78" s="456">
        <f t="shared" si="11"/>
        <v>1</v>
      </c>
      <c r="O78" s="13" t="s">
        <v>116</v>
      </c>
      <c r="P78" s="480">
        <f>H78*$F78*Svodka!$J$1</f>
        <v>0</v>
      </c>
      <c r="Q78" s="479">
        <f>I78*$F78*Svodka!$J$1</f>
        <v>0</v>
      </c>
      <c r="R78" s="479">
        <f>J78*$F78*Svodka!$J$1</f>
        <v>0</v>
      </c>
      <c r="S78" s="479">
        <f>K78*$F78*Svodka!$J$1</f>
        <v>0</v>
      </c>
      <c r="T78" s="479">
        <f>L78*$F78*Svodka!$J$1</f>
        <v>180000</v>
      </c>
      <c r="U78" s="481">
        <f>M78*$F78*Svodka!$J$1</f>
        <v>0</v>
      </c>
      <c r="V78" s="464" t="s">
        <v>14</v>
      </c>
      <c r="W78" s="466">
        <f t="shared" si="12"/>
        <v>180000</v>
      </c>
    </row>
    <row r="79" spans="1:23" ht="27" thickBot="1">
      <c r="A79" s="437">
        <v>68</v>
      </c>
      <c r="B79" s="245">
        <v>16</v>
      </c>
      <c r="C79" s="15">
        <v>14</v>
      </c>
      <c r="D79" s="438" t="s">
        <v>253</v>
      </c>
      <c r="E79" s="298" t="s">
        <v>250</v>
      </c>
      <c r="F79" s="307">
        <f>'2 OP - Provoz'!K14+'3 OP - Řízení kvality'!K28</f>
        <v>18.5</v>
      </c>
      <c r="G79" s="307"/>
      <c r="H79" s="434">
        <v>0</v>
      </c>
      <c r="I79" s="435">
        <v>0</v>
      </c>
      <c r="J79" s="435">
        <v>0</v>
      </c>
      <c r="K79" s="435">
        <v>0</v>
      </c>
      <c r="L79" s="435">
        <v>1</v>
      </c>
      <c r="M79" s="436">
        <v>0</v>
      </c>
      <c r="N79" s="456">
        <f t="shared" si="11"/>
        <v>1</v>
      </c>
      <c r="O79" s="13" t="s">
        <v>169</v>
      </c>
      <c r="P79" s="480">
        <f>H79*$F79*Svodka!$J$1</f>
        <v>0</v>
      </c>
      <c r="Q79" s="479">
        <f>I79*$F79*Svodka!$J$1</f>
        <v>0</v>
      </c>
      <c r="R79" s="479">
        <f>J79*$F79*Svodka!$J$1</f>
        <v>0</v>
      </c>
      <c r="S79" s="479">
        <f>K79*$F79*Svodka!$J$1</f>
        <v>0</v>
      </c>
      <c r="T79" s="479">
        <f>L79*$F79*Svodka!$J$1</f>
        <v>185000</v>
      </c>
      <c r="U79" s="481">
        <f>M79*$F79*Svodka!$J$1</f>
        <v>0</v>
      </c>
      <c r="V79" s="464" t="s">
        <v>18</v>
      </c>
      <c r="W79" s="466">
        <f t="shared" si="12"/>
        <v>185000</v>
      </c>
    </row>
    <row r="80" spans="1:23" ht="12.75">
      <c r="A80" s="412">
        <v>69</v>
      </c>
      <c r="B80" s="295">
        <v>17</v>
      </c>
      <c r="C80" s="296">
        <v>11</v>
      </c>
      <c r="D80" s="385" t="s">
        <v>254</v>
      </c>
      <c r="E80" s="297" t="s">
        <v>250</v>
      </c>
      <c r="F80" s="306">
        <f>'5 OP - Struktura, org. a říz.'!K30+'6 OP - Rozvoj a koordinace'!K47</f>
        <v>16.8</v>
      </c>
      <c r="G80" s="306">
        <f>SUM(F80:F81)</f>
        <v>41.82</v>
      </c>
      <c r="H80" s="405">
        <v>0</v>
      </c>
      <c r="I80" s="406">
        <v>1</v>
      </c>
      <c r="J80" s="406">
        <v>0</v>
      </c>
      <c r="K80" s="406">
        <v>0</v>
      </c>
      <c r="L80" s="406">
        <v>0</v>
      </c>
      <c r="M80" s="407">
        <v>0</v>
      </c>
      <c r="N80" s="456">
        <f t="shared" si="11"/>
        <v>1</v>
      </c>
      <c r="O80" s="13" t="s">
        <v>436</v>
      </c>
      <c r="P80" s="480">
        <f>H80*$F80*Svodka!$J$1</f>
        <v>0</v>
      </c>
      <c r="Q80" s="479">
        <f>I80*$F80*Svodka!$J$1</f>
        <v>168000</v>
      </c>
      <c r="R80" s="479">
        <f>J80*$F80*Svodka!$J$1</f>
        <v>0</v>
      </c>
      <c r="S80" s="479">
        <f>K80*$F80*Svodka!$J$1</f>
        <v>0</v>
      </c>
      <c r="T80" s="479">
        <f>L80*$F80*Svodka!$J$1</f>
        <v>0</v>
      </c>
      <c r="U80" s="481">
        <f>M80*$F80*Svodka!$J$1</f>
        <v>0</v>
      </c>
      <c r="V80" s="464" t="s">
        <v>16</v>
      </c>
      <c r="W80" s="466">
        <f t="shared" si="12"/>
        <v>168000</v>
      </c>
    </row>
    <row r="81" spans="1:23" ht="53.25" thickBot="1">
      <c r="A81" s="441">
        <v>70</v>
      </c>
      <c r="B81" s="245">
        <v>17</v>
      </c>
      <c r="C81" s="15">
        <v>9</v>
      </c>
      <c r="D81" s="448" t="s">
        <v>120</v>
      </c>
      <c r="E81" s="298" t="s">
        <v>250</v>
      </c>
      <c r="F81" s="307">
        <f>'1 OP - Informační základna'!K39+'2 OP - Provoz'!K21+'4 OP - Výstavba'!K14+'5 OP - Struktura, org. a říz.'!K48+'6 OP - Rozvoj a koordinace'!K65</f>
        <v>25.02</v>
      </c>
      <c r="G81" s="307"/>
      <c r="H81" s="445">
        <v>0</v>
      </c>
      <c r="I81" s="446">
        <v>0</v>
      </c>
      <c r="J81" s="446">
        <v>0</v>
      </c>
      <c r="K81" s="446">
        <v>0</v>
      </c>
      <c r="L81" s="446">
        <v>0</v>
      </c>
      <c r="M81" s="447">
        <v>1</v>
      </c>
      <c r="N81" s="456">
        <f t="shared" si="11"/>
        <v>1</v>
      </c>
      <c r="O81" s="13" t="s">
        <v>121</v>
      </c>
      <c r="P81" s="480">
        <f>H81*$F81*Svodka!$J$1</f>
        <v>0</v>
      </c>
      <c r="Q81" s="479">
        <f>I81*$F81*Svodka!$J$1</f>
        <v>0</v>
      </c>
      <c r="R81" s="479">
        <f>J81*$F81*Svodka!$J$1</f>
        <v>0</v>
      </c>
      <c r="S81" s="479">
        <f>K81*$F81*Svodka!$J$1</f>
        <v>0</v>
      </c>
      <c r="T81" s="479">
        <f>L81*$F81*Svodka!$J$1</f>
        <v>0</v>
      </c>
      <c r="U81" s="481">
        <f>M81*$F81*Svodka!$J$1</f>
        <v>250200</v>
      </c>
      <c r="V81" s="463" t="s">
        <v>26</v>
      </c>
      <c r="W81" s="466">
        <f t="shared" si="12"/>
        <v>250200</v>
      </c>
    </row>
    <row r="82" spans="1:23" ht="66">
      <c r="A82" s="412">
        <v>71</v>
      </c>
      <c r="B82" s="295">
        <v>18</v>
      </c>
      <c r="C82" s="296">
        <v>15</v>
      </c>
      <c r="D82" s="385" t="s">
        <v>255</v>
      </c>
      <c r="E82" s="297" t="s">
        <v>256</v>
      </c>
      <c r="F82" s="306">
        <f>'1 OP - Informační základna'!K11+'3 OP - Řízení kvality'!K15+'6 OP - Rozvoj a koordinace'!K60</f>
        <v>20.4</v>
      </c>
      <c r="G82" s="306">
        <f>SUM(F82:F87)</f>
        <v>267</v>
      </c>
      <c r="H82" s="395">
        <v>1</v>
      </c>
      <c r="I82" s="394">
        <v>0</v>
      </c>
      <c r="J82" s="394">
        <v>0</v>
      </c>
      <c r="K82" s="394">
        <v>0</v>
      </c>
      <c r="L82" s="394">
        <v>0</v>
      </c>
      <c r="M82" s="396">
        <v>0</v>
      </c>
      <c r="N82" s="456">
        <f t="shared" si="11"/>
        <v>1</v>
      </c>
      <c r="O82" s="13" t="s">
        <v>63</v>
      </c>
      <c r="P82" s="480">
        <f>H82*$F82*Svodka!$J$1</f>
        <v>204000</v>
      </c>
      <c r="Q82" s="479">
        <f>I82*$F82*Svodka!$J$1</f>
        <v>0</v>
      </c>
      <c r="R82" s="479">
        <f>J82*$F82*Svodka!$J$1</f>
        <v>0</v>
      </c>
      <c r="S82" s="479">
        <f>K82*$F82*Svodka!$J$1</f>
        <v>0</v>
      </c>
      <c r="T82" s="479">
        <f>L82*$F82*Svodka!$J$1</f>
        <v>0</v>
      </c>
      <c r="U82" s="481">
        <f>M82*$F82*Svodka!$J$1</f>
        <v>0</v>
      </c>
      <c r="V82" s="464" t="s">
        <v>9</v>
      </c>
      <c r="W82" s="466">
        <f t="shared" si="12"/>
        <v>204000</v>
      </c>
    </row>
    <row r="83" spans="1:23" ht="78.75">
      <c r="A83" s="439">
        <v>72</v>
      </c>
      <c r="B83" s="244">
        <v>18</v>
      </c>
      <c r="C83" s="13">
        <v>16</v>
      </c>
      <c r="D83" s="440" t="s">
        <v>94</v>
      </c>
      <c r="E83" s="299" t="s">
        <v>256</v>
      </c>
      <c r="F83" s="303">
        <f>'1 OP - Informační základna'!K35+'3 OP - Řízení kvality'!K19+'6 OP - Rozvoj a koordinace'!K68+'7 OP - Výkon a rozsah'!K21</f>
        <v>24.62</v>
      </c>
      <c r="G83" s="303"/>
      <c r="H83" s="434">
        <v>0</v>
      </c>
      <c r="I83" s="435">
        <v>0</v>
      </c>
      <c r="J83" s="435">
        <v>0</v>
      </c>
      <c r="K83" s="435">
        <v>0</v>
      </c>
      <c r="L83" s="435">
        <v>1</v>
      </c>
      <c r="M83" s="436">
        <v>0</v>
      </c>
      <c r="N83" s="456">
        <f t="shared" si="11"/>
        <v>1</v>
      </c>
      <c r="O83" s="13" t="s">
        <v>21</v>
      </c>
      <c r="P83" s="480">
        <f>H83*$F83*Svodka!$J$1</f>
        <v>0</v>
      </c>
      <c r="Q83" s="479">
        <f>I83*$F83*Svodka!$J$1</f>
        <v>0</v>
      </c>
      <c r="R83" s="479">
        <f>J83*$F83*Svodka!$J$1</f>
        <v>0</v>
      </c>
      <c r="S83" s="479">
        <f>K83*$F83*Svodka!$J$1</f>
        <v>0</v>
      </c>
      <c r="T83" s="479">
        <f>L83*$F83*Svodka!$J$1</f>
        <v>246200</v>
      </c>
      <c r="U83" s="481">
        <f>M83*$F83*Svodka!$J$1</f>
        <v>0</v>
      </c>
      <c r="V83" s="464" t="s">
        <v>10</v>
      </c>
      <c r="W83" s="466">
        <f t="shared" si="12"/>
        <v>246200</v>
      </c>
    </row>
    <row r="84" spans="1:23" ht="26.25">
      <c r="A84" s="443">
        <v>73</v>
      </c>
      <c r="B84" s="244">
        <v>18</v>
      </c>
      <c r="C84" s="13">
        <v>25</v>
      </c>
      <c r="D84" s="444" t="s">
        <v>109</v>
      </c>
      <c r="E84" s="299" t="s">
        <v>256</v>
      </c>
      <c r="F84" s="303">
        <f>'1 OP - Informační základna'!K12+'3 OP - Řízení kvality'!K13+'5 OP - Struktura, org. a říz.'!K42+'6 OP - Rozvoj a koordinace'!K58</f>
        <v>22.12</v>
      </c>
      <c r="G84" s="303"/>
      <c r="H84" s="445">
        <v>0</v>
      </c>
      <c r="I84" s="446">
        <v>0</v>
      </c>
      <c r="J84" s="446">
        <v>0</v>
      </c>
      <c r="K84" s="446">
        <v>0</v>
      </c>
      <c r="L84" s="446">
        <v>0</v>
      </c>
      <c r="M84" s="447">
        <v>1</v>
      </c>
      <c r="N84" s="456">
        <f t="shared" si="11"/>
        <v>1</v>
      </c>
      <c r="O84" s="13" t="s">
        <v>110</v>
      </c>
      <c r="P84" s="480">
        <f>H84*$F84*Svodka!$J$1</f>
        <v>0</v>
      </c>
      <c r="Q84" s="479">
        <f>I84*$F84*Svodka!$J$1</f>
        <v>0</v>
      </c>
      <c r="R84" s="479">
        <f>J84*$F84*Svodka!$J$1</f>
        <v>0</v>
      </c>
      <c r="S84" s="479">
        <f>K84*$F84*Svodka!$J$1</f>
        <v>0</v>
      </c>
      <c r="T84" s="479">
        <f>L84*$F84*Svodka!$J$1</f>
        <v>0</v>
      </c>
      <c r="U84" s="481">
        <f>M84*$F84*Svodka!$J$1</f>
        <v>221200</v>
      </c>
      <c r="V84" s="464" t="s">
        <v>10</v>
      </c>
      <c r="W84" s="466">
        <f t="shared" si="12"/>
        <v>221200</v>
      </c>
    </row>
    <row r="85" spans="1:23" ht="26.25">
      <c r="A85" s="443">
        <v>74</v>
      </c>
      <c r="B85" s="244">
        <v>18</v>
      </c>
      <c r="C85" s="13">
        <v>26</v>
      </c>
      <c r="D85" s="444" t="s">
        <v>111</v>
      </c>
      <c r="E85" s="299" t="s">
        <v>256</v>
      </c>
      <c r="F85" s="303">
        <f>'1 OP - Informační základna'!K44+'5 OP - Struktura, org. a říz.'!K22+'6 OP - Rozvoj a koordinace'!K41</f>
        <v>156.62</v>
      </c>
      <c r="G85" s="303"/>
      <c r="H85" s="445">
        <v>0</v>
      </c>
      <c r="I85" s="446">
        <v>0</v>
      </c>
      <c r="J85" s="446">
        <v>0</v>
      </c>
      <c r="K85" s="446">
        <v>0</v>
      </c>
      <c r="L85" s="446">
        <v>0</v>
      </c>
      <c r="M85" s="447">
        <v>1</v>
      </c>
      <c r="N85" s="456">
        <f t="shared" si="11"/>
        <v>1</v>
      </c>
      <c r="O85" s="13" t="s">
        <v>112</v>
      </c>
      <c r="P85" s="480">
        <f>H85*$F85*Svodka!$J$1</f>
        <v>0</v>
      </c>
      <c r="Q85" s="479">
        <f>I85*$F85*Svodka!$J$1</f>
        <v>0</v>
      </c>
      <c r="R85" s="479">
        <f>J85*$F85*Svodka!$J$1</f>
        <v>0</v>
      </c>
      <c r="S85" s="479">
        <f>K85*$F85*Svodka!$J$1</f>
        <v>0</v>
      </c>
      <c r="T85" s="479">
        <f>L85*$F85*Svodka!$J$1</f>
        <v>0</v>
      </c>
      <c r="U85" s="481">
        <f>M85*$F85*Svodka!$J$1</f>
        <v>1566200</v>
      </c>
      <c r="V85" s="463" t="s">
        <v>26</v>
      </c>
      <c r="W85" s="466">
        <f t="shared" si="12"/>
        <v>1566200</v>
      </c>
    </row>
    <row r="86" spans="1:23" ht="52.5">
      <c r="A86" s="414">
        <v>75</v>
      </c>
      <c r="B86" s="244">
        <v>18</v>
      </c>
      <c r="C86" s="13">
        <v>24</v>
      </c>
      <c r="D86" s="415" t="s">
        <v>117</v>
      </c>
      <c r="E86" s="299" t="s">
        <v>256</v>
      </c>
      <c r="F86" s="303">
        <f>'1 OP - Informační základna'!K38+'6 OP - Rozvoj a koordinace'!K70+'7 OP - Výkon a rozsah'!K22</f>
        <v>21.12</v>
      </c>
      <c r="G86" s="303"/>
      <c r="H86" s="416">
        <v>0</v>
      </c>
      <c r="I86" s="417">
        <v>0</v>
      </c>
      <c r="J86" s="417">
        <v>1</v>
      </c>
      <c r="K86" s="417">
        <v>0</v>
      </c>
      <c r="L86" s="417">
        <v>0</v>
      </c>
      <c r="M86" s="418">
        <v>0</v>
      </c>
      <c r="N86" s="456">
        <f t="shared" si="11"/>
        <v>1</v>
      </c>
      <c r="O86" s="13" t="s">
        <v>119</v>
      </c>
      <c r="P86" s="480">
        <f>H86*$F86*Svodka!$J$1</f>
        <v>0</v>
      </c>
      <c r="Q86" s="479">
        <f>I86*$F86*Svodka!$J$1</f>
        <v>0</v>
      </c>
      <c r="R86" s="479">
        <f>J86*$F86*Svodka!$J$1</f>
        <v>211200</v>
      </c>
      <c r="S86" s="479">
        <f>K86*$F86*Svodka!$J$1</f>
        <v>0</v>
      </c>
      <c r="T86" s="479">
        <f>L86*$F86*Svodka!$J$1</f>
        <v>0</v>
      </c>
      <c r="U86" s="481">
        <f>M86*$F86*Svodka!$J$1</f>
        <v>0</v>
      </c>
      <c r="V86" s="464" t="s">
        <v>10</v>
      </c>
      <c r="W86" s="466">
        <f t="shared" si="12"/>
        <v>211200</v>
      </c>
    </row>
    <row r="87" spans="1:23" ht="27" thickBot="1">
      <c r="A87" s="408">
        <v>76</v>
      </c>
      <c r="B87" s="245">
        <v>18</v>
      </c>
      <c r="C87" s="15">
        <v>31</v>
      </c>
      <c r="D87" s="409" t="s">
        <v>124</v>
      </c>
      <c r="E87" s="298" t="s">
        <v>256</v>
      </c>
      <c r="F87" s="307">
        <f>'1 OP - Informační základna'!K13+'3 OP - Řízení kvality'!K14+'5 OP - Struktura, org. a říz.'!K43+'6 OP - Rozvoj a koordinace'!K59</f>
        <v>22.12</v>
      </c>
      <c r="G87" s="307"/>
      <c r="H87" s="405">
        <v>0</v>
      </c>
      <c r="I87" s="406">
        <v>1</v>
      </c>
      <c r="J87" s="406">
        <v>0</v>
      </c>
      <c r="K87" s="406">
        <v>0</v>
      </c>
      <c r="L87" s="406">
        <v>0</v>
      </c>
      <c r="M87" s="407">
        <v>0</v>
      </c>
      <c r="N87" s="456">
        <f t="shared" si="11"/>
        <v>1</v>
      </c>
      <c r="O87" s="13" t="s">
        <v>125</v>
      </c>
      <c r="P87" s="480">
        <f>H87*$F87*Svodka!$J$1</f>
        <v>0</v>
      </c>
      <c r="Q87" s="479">
        <f>I87*$F87*Svodka!$J$1</f>
        <v>221200</v>
      </c>
      <c r="R87" s="479">
        <f>J87*$F87*Svodka!$J$1</f>
        <v>0</v>
      </c>
      <c r="S87" s="479">
        <f>K87*$F87*Svodka!$J$1</f>
        <v>0</v>
      </c>
      <c r="T87" s="479">
        <f>L87*$F87*Svodka!$J$1</f>
        <v>0</v>
      </c>
      <c r="U87" s="481">
        <f>M87*$F87*Svodka!$J$1</f>
        <v>0</v>
      </c>
      <c r="V87" s="464" t="s">
        <v>10</v>
      </c>
      <c r="W87" s="466">
        <f t="shared" si="12"/>
        <v>221200</v>
      </c>
    </row>
    <row r="88" spans="1:23" ht="66">
      <c r="A88" s="432">
        <v>77</v>
      </c>
      <c r="B88" s="295">
        <v>19</v>
      </c>
      <c r="C88" s="296">
        <v>5</v>
      </c>
      <c r="D88" s="433" t="s">
        <v>35</v>
      </c>
      <c r="E88" s="297" t="s">
        <v>256</v>
      </c>
      <c r="F88" s="306">
        <f>'1 OP - Informační základna'!K45+'5 OP - Struktura, org. a říz.'!K21+'6 OP - Rozvoj a koordinace'!K39</f>
        <v>85.32</v>
      </c>
      <c r="G88" s="306">
        <f>SUM(F88:F93)</f>
        <v>324.02</v>
      </c>
      <c r="H88" s="434">
        <v>0</v>
      </c>
      <c r="I88" s="435">
        <v>0</v>
      </c>
      <c r="J88" s="435">
        <v>0</v>
      </c>
      <c r="K88" s="435">
        <v>0</v>
      </c>
      <c r="L88" s="435">
        <v>1</v>
      </c>
      <c r="M88" s="436">
        <v>0</v>
      </c>
      <c r="N88" s="456">
        <f t="shared" si="11"/>
        <v>1</v>
      </c>
      <c r="O88" s="13" t="s">
        <v>36</v>
      </c>
      <c r="P88" s="480">
        <f>H88*$F88*Svodka!$J$1</f>
        <v>0</v>
      </c>
      <c r="Q88" s="479">
        <f>I88*$F88*Svodka!$J$1</f>
        <v>0</v>
      </c>
      <c r="R88" s="479">
        <f>J88*$F88*Svodka!$J$1</f>
        <v>0</v>
      </c>
      <c r="S88" s="479">
        <f>K88*$F88*Svodka!$J$1</f>
        <v>0</v>
      </c>
      <c r="T88" s="479">
        <f>L88*$F88*Svodka!$J$1</f>
        <v>853199.9999999999</v>
      </c>
      <c r="U88" s="481">
        <f>M88*$F88*Svodka!$J$1</f>
        <v>0</v>
      </c>
      <c r="V88" s="463" t="s">
        <v>26</v>
      </c>
      <c r="W88" s="466">
        <f t="shared" si="12"/>
        <v>853199.9999999999</v>
      </c>
    </row>
    <row r="89" spans="1:23" ht="39">
      <c r="A89" s="439">
        <v>78</v>
      </c>
      <c r="B89" s="244">
        <v>19</v>
      </c>
      <c r="C89" s="13">
        <v>8</v>
      </c>
      <c r="D89" s="440" t="s">
        <v>190</v>
      </c>
      <c r="E89" s="299" t="s">
        <v>256</v>
      </c>
      <c r="F89" s="303">
        <f>'3 OP - Řízení kvality'!K24+'5 OP - Struktura, org. a říz.'!K57+'6 OP - Rozvoj a koordinace'!K72+'7 OP - Výkon a rozsah'!K23</f>
        <v>43.4</v>
      </c>
      <c r="G89" s="303"/>
      <c r="H89" s="434">
        <v>0</v>
      </c>
      <c r="I89" s="435">
        <v>0</v>
      </c>
      <c r="J89" s="435">
        <v>0</v>
      </c>
      <c r="K89" s="435">
        <v>0</v>
      </c>
      <c r="L89" s="435">
        <v>1</v>
      </c>
      <c r="M89" s="436">
        <v>0</v>
      </c>
      <c r="N89" s="456">
        <f t="shared" si="11"/>
        <v>1</v>
      </c>
      <c r="O89" s="13" t="s">
        <v>191</v>
      </c>
      <c r="P89" s="480">
        <f>H89*$F89*Svodka!$J$1</f>
        <v>0</v>
      </c>
      <c r="Q89" s="479">
        <f>I89*$F89*Svodka!$J$1</f>
        <v>0</v>
      </c>
      <c r="R89" s="479">
        <f>J89*$F89*Svodka!$J$1</f>
        <v>0</v>
      </c>
      <c r="S89" s="479">
        <f>K89*$F89*Svodka!$J$1</f>
        <v>0</v>
      </c>
      <c r="T89" s="479">
        <f>L89*$F89*Svodka!$J$1</f>
        <v>434000</v>
      </c>
      <c r="U89" s="481">
        <f>M89*$F89*Svodka!$J$1</f>
        <v>0</v>
      </c>
      <c r="V89" s="464" t="s">
        <v>14</v>
      </c>
      <c r="W89" s="466">
        <f t="shared" si="12"/>
        <v>434000</v>
      </c>
    </row>
    <row r="90" spans="1:23" ht="39">
      <c r="A90" s="443">
        <v>79</v>
      </c>
      <c r="B90" s="244">
        <v>19</v>
      </c>
      <c r="C90" s="13">
        <v>11</v>
      </c>
      <c r="D90" s="444" t="s">
        <v>57</v>
      </c>
      <c r="E90" s="299" t="s">
        <v>256</v>
      </c>
      <c r="F90" s="303">
        <f>'1 OP - Informační základna'!K33+'5 OP - Struktura, org. a říz.'!K47+'7 OP - Výkon a rozsah'!K19</f>
        <v>65.3</v>
      </c>
      <c r="G90" s="303"/>
      <c r="H90" s="445">
        <v>0</v>
      </c>
      <c r="I90" s="446">
        <v>0</v>
      </c>
      <c r="J90" s="446">
        <v>0</v>
      </c>
      <c r="K90" s="446">
        <v>0</v>
      </c>
      <c r="L90" s="446">
        <v>0</v>
      </c>
      <c r="M90" s="447">
        <v>1</v>
      </c>
      <c r="N90" s="456">
        <f t="shared" si="11"/>
        <v>1</v>
      </c>
      <c r="O90" s="13" t="s">
        <v>58</v>
      </c>
      <c r="P90" s="480">
        <f>H90*$F90*Svodka!$J$1</f>
        <v>0</v>
      </c>
      <c r="Q90" s="479">
        <f>I90*$F90*Svodka!$J$1</f>
        <v>0</v>
      </c>
      <c r="R90" s="479">
        <f>J90*$F90*Svodka!$J$1</f>
        <v>0</v>
      </c>
      <c r="S90" s="479">
        <f>K90*$F90*Svodka!$J$1</f>
        <v>0</v>
      </c>
      <c r="T90" s="479">
        <f>L90*$F90*Svodka!$J$1</f>
        <v>0</v>
      </c>
      <c r="U90" s="481">
        <f>M90*$F90*Svodka!$J$1</f>
        <v>653000</v>
      </c>
      <c r="V90" s="464" t="s">
        <v>13</v>
      </c>
      <c r="W90" s="466">
        <f t="shared" si="12"/>
        <v>653000</v>
      </c>
    </row>
    <row r="91" spans="1:23" ht="39">
      <c r="A91" s="439">
        <v>80</v>
      </c>
      <c r="B91" s="244">
        <v>19</v>
      </c>
      <c r="C91" s="13">
        <v>14</v>
      </c>
      <c r="D91" s="440" t="s">
        <v>61</v>
      </c>
      <c r="E91" s="299" t="s">
        <v>256</v>
      </c>
      <c r="F91" s="303">
        <f>'1 OP - Informační základna'!K5+'4 OP - Výstavba'!K9+'5 OP - Struktura, org. a říz.'!K19+'6 OP - Rozvoj a koordinace'!K30</f>
        <v>66.2</v>
      </c>
      <c r="G91" s="303"/>
      <c r="H91" s="434">
        <v>0</v>
      </c>
      <c r="I91" s="435">
        <v>0</v>
      </c>
      <c r="J91" s="435">
        <v>0</v>
      </c>
      <c r="K91" s="435">
        <v>0</v>
      </c>
      <c r="L91" s="435">
        <v>1</v>
      </c>
      <c r="M91" s="436">
        <v>0</v>
      </c>
      <c r="N91" s="456">
        <f t="shared" si="11"/>
        <v>1</v>
      </c>
      <c r="O91" s="13" t="s">
        <v>62</v>
      </c>
      <c r="P91" s="480">
        <f>H91*$F91*Svodka!$J$1</f>
        <v>0</v>
      </c>
      <c r="Q91" s="479">
        <f>I91*$F91*Svodka!$J$1</f>
        <v>0</v>
      </c>
      <c r="R91" s="479">
        <f>J91*$F91*Svodka!$J$1</f>
        <v>0</v>
      </c>
      <c r="S91" s="479">
        <f>K91*$F91*Svodka!$J$1</f>
        <v>0</v>
      </c>
      <c r="T91" s="479">
        <f>L91*$F91*Svodka!$J$1</f>
        <v>662000</v>
      </c>
      <c r="U91" s="481">
        <f>M91*$F91*Svodka!$J$1</f>
        <v>0</v>
      </c>
      <c r="V91" s="464" t="s">
        <v>9</v>
      </c>
      <c r="W91" s="466">
        <f t="shared" si="12"/>
        <v>662000</v>
      </c>
    </row>
    <row r="92" spans="1:23" ht="52.5">
      <c r="A92" s="423">
        <v>81</v>
      </c>
      <c r="B92" s="244">
        <v>19</v>
      </c>
      <c r="C92" s="13">
        <v>22</v>
      </c>
      <c r="D92" s="424" t="s">
        <v>105</v>
      </c>
      <c r="E92" s="299" t="s">
        <v>256</v>
      </c>
      <c r="F92" s="303">
        <f>'1 OP - Informační základna'!K16+'3 OP - Řízení kvality'!K11+'6 OP - Rozvoj a koordinace'!K35+'7 OP - Výkon a rozsah'!K11</f>
        <v>54.1</v>
      </c>
      <c r="G92" s="303"/>
      <c r="H92" s="425">
        <v>0</v>
      </c>
      <c r="I92" s="426">
        <v>0</v>
      </c>
      <c r="J92" s="426">
        <v>0</v>
      </c>
      <c r="K92" s="426">
        <v>1</v>
      </c>
      <c r="L92" s="426">
        <v>0</v>
      </c>
      <c r="M92" s="427">
        <v>0</v>
      </c>
      <c r="N92" s="456">
        <f t="shared" si="11"/>
        <v>1</v>
      </c>
      <c r="O92" s="13" t="s">
        <v>106</v>
      </c>
      <c r="P92" s="480">
        <f>H92*$F92*Svodka!$J$1</f>
        <v>0</v>
      </c>
      <c r="Q92" s="479">
        <f>I92*$F92*Svodka!$J$1</f>
        <v>0</v>
      </c>
      <c r="R92" s="479">
        <f>J92*$F92*Svodka!$J$1</f>
        <v>0</v>
      </c>
      <c r="S92" s="479">
        <f>K92*$F92*Svodka!$J$1</f>
        <v>541000</v>
      </c>
      <c r="T92" s="479">
        <f>L92*$F92*Svodka!$J$1</f>
        <v>0</v>
      </c>
      <c r="U92" s="481">
        <f>M92*$F92*Svodka!$J$1</f>
        <v>0</v>
      </c>
      <c r="V92" s="464" t="s">
        <v>7</v>
      </c>
      <c r="W92" s="466">
        <f t="shared" si="12"/>
        <v>541000</v>
      </c>
    </row>
    <row r="93" spans="1:23" ht="39.75" thickBot="1">
      <c r="A93" s="437">
        <v>82</v>
      </c>
      <c r="B93" s="245">
        <v>19</v>
      </c>
      <c r="C93" s="15">
        <v>32</v>
      </c>
      <c r="D93" s="438" t="s">
        <v>126</v>
      </c>
      <c r="E93" s="298" t="s">
        <v>256</v>
      </c>
      <c r="F93" s="307">
        <f>'1 OP - Informační základna'!K17+'5 OP - Struktura, org. a říz.'!K20</f>
        <v>9.7</v>
      </c>
      <c r="G93" s="307"/>
      <c r="H93" s="434">
        <v>0</v>
      </c>
      <c r="I93" s="435">
        <v>0</v>
      </c>
      <c r="J93" s="435">
        <v>0</v>
      </c>
      <c r="K93" s="435">
        <v>0</v>
      </c>
      <c r="L93" s="435">
        <v>1</v>
      </c>
      <c r="M93" s="436">
        <v>0</v>
      </c>
      <c r="N93" s="456">
        <f t="shared" si="11"/>
        <v>1</v>
      </c>
      <c r="O93" s="13" t="s">
        <v>127</v>
      </c>
      <c r="P93" s="480">
        <f>H93*$F93*Svodka!$J$1</f>
        <v>0</v>
      </c>
      <c r="Q93" s="479">
        <f>I93*$F93*Svodka!$J$1</f>
        <v>0</v>
      </c>
      <c r="R93" s="479">
        <f>J93*$F93*Svodka!$J$1</f>
        <v>0</v>
      </c>
      <c r="S93" s="479">
        <f>K93*$F93*Svodka!$J$1</f>
        <v>0</v>
      </c>
      <c r="T93" s="479">
        <f>L93*$F93*Svodka!$J$1</f>
        <v>97000</v>
      </c>
      <c r="U93" s="481">
        <f>M93*$F93*Svodka!$J$1</f>
        <v>0</v>
      </c>
      <c r="V93" s="464" t="s">
        <v>17</v>
      </c>
      <c r="W93" s="466">
        <f t="shared" si="12"/>
        <v>97000</v>
      </c>
    </row>
    <row r="94" spans="1:23" ht="26.25">
      <c r="A94" s="432">
        <v>83</v>
      </c>
      <c r="B94" s="295">
        <v>20</v>
      </c>
      <c r="C94" s="296">
        <v>2</v>
      </c>
      <c r="D94" s="433" t="s">
        <v>29</v>
      </c>
      <c r="E94" s="297" t="s">
        <v>256</v>
      </c>
      <c r="F94" s="306">
        <f>'1 OP - Informační základna'!K26+'3 OP - Řízení kvality'!K20+'5 OP - Struktura, org. a říz.'!K51</f>
        <v>22.2</v>
      </c>
      <c r="G94" s="306">
        <f>SUM(F94:F97)</f>
        <v>114.4</v>
      </c>
      <c r="H94" s="434">
        <v>0</v>
      </c>
      <c r="I94" s="435">
        <v>0</v>
      </c>
      <c r="J94" s="435">
        <v>0</v>
      </c>
      <c r="K94" s="435">
        <v>0</v>
      </c>
      <c r="L94" s="435">
        <v>1</v>
      </c>
      <c r="M94" s="436">
        <v>0</v>
      </c>
      <c r="N94" s="456">
        <f t="shared" si="11"/>
        <v>1</v>
      </c>
      <c r="O94" s="13" t="s">
        <v>30</v>
      </c>
      <c r="P94" s="480">
        <f>H94*$F94*Svodka!$J$1</f>
        <v>0</v>
      </c>
      <c r="Q94" s="479">
        <f>I94*$F94*Svodka!$J$1</f>
        <v>0</v>
      </c>
      <c r="R94" s="479">
        <f>J94*$F94*Svodka!$J$1</f>
        <v>0</v>
      </c>
      <c r="S94" s="479">
        <f>K94*$F94*Svodka!$J$1</f>
        <v>0</v>
      </c>
      <c r="T94" s="479">
        <f>L94*$F94*Svodka!$J$1</f>
        <v>222000</v>
      </c>
      <c r="U94" s="481">
        <f>M94*$F94*Svodka!$J$1</f>
        <v>0</v>
      </c>
      <c r="V94" s="464" t="s">
        <v>11</v>
      </c>
      <c r="W94" s="466">
        <f t="shared" si="12"/>
        <v>222000</v>
      </c>
    </row>
    <row r="95" spans="1:23" ht="39">
      <c r="A95" s="443">
        <v>84</v>
      </c>
      <c r="B95" s="244">
        <v>20</v>
      </c>
      <c r="C95" s="13">
        <v>3</v>
      </c>
      <c r="D95" s="444" t="s">
        <v>31</v>
      </c>
      <c r="E95" s="299" t="s">
        <v>256</v>
      </c>
      <c r="F95" s="303">
        <f>'1 OP - Informační základna'!K27+'3 OP - Řízení kvality'!K21+'5 OP - Struktura, org. a říz.'!K55</f>
        <v>22.2</v>
      </c>
      <c r="G95" s="303"/>
      <c r="H95" s="445">
        <v>0</v>
      </c>
      <c r="I95" s="446">
        <v>0</v>
      </c>
      <c r="J95" s="446">
        <v>0</v>
      </c>
      <c r="K95" s="446">
        <v>0</v>
      </c>
      <c r="L95" s="446">
        <v>0</v>
      </c>
      <c r="M95" s="447">
        <v>1</v>
      </c>
      <c r="N95" s="456">
        <f t="shared" si="11"/>
        <v>1</v>
      </c>
      <c r="O95" s="13" t="s">
        <v>32</v>
      </c>
      <c r="P95" s="480">
        <f>H95*$F95*Svodka!$J$1</f>
        <v>0</v>
      </c>
      <c r="Q95" s="479">
        <f>I95*$F95*Svodka!$J$1</f>
        <v>0</v>
      </c>
      <c r="R95" s="479">
        <f>J95*$F95*Svodka!$J$1</f>
        <v>0</v>
      </c>
      <c r="S95" s="479">
        <f>K95*$F95*Svodka!$J$1</f>
        <v>0</v>
      </c>
      <c r="T95" s="479">
        <f>L95*$F95*Svodka!$J$1</f>
        <v>0</v>
      </c>
      <c r="U95" s="481">
        <f>M95*$F95*Svodka!$J$1</f>
        <v>222000</v>
      </c>
      <c r="V95" s="464" t="s">
        <v>11</v>
      </c>
      <c r="W95" s="466">
        <f t="shared" si="12"/>
        <v>222000</v>
      </c>
    </row>
    <row r="96" spans="1:23" ht="39">
      <c r="A96" s="443">
        <v>85</v>
      </c>
      <c r="B96" s="244">
        <v>20</v>
      </c>
      <c r="C96" s="13">
        <v>6</v>
      </c>
      <c r="D96" s="444" t="s">
        <v>37</v>
      </c>
      <c r="E96" s="299" t="s">
        <v>256</v>
      </c>
      <c r="F96" s="303">
        <f>'1 OP - Informační základna'!K29+'2 OP - Provoz'!K22+'5 OP - Struktura, org. a říz.'!K52</f>
        <v>35.5</v>
      </c>
      <c r="G96" s="303"/>
      <c r="H96" s="445">
        <v>0</v>
      </c>
      <c r="I96" s="446">
        <v>0</v>
      </c>
      <c r="J96" s="446">
        <v>0</v>
      </c>
      <c r="K96" s="446">
        <v>0</v>
      </c>
      <c r="L96" s="446">
        <v>0</v>
      </c>
      <c r="M96" s="447">
        <v>1</v>
      </c>
      <c r="N96" s="456">
        <f t="shared" si="11"/>
        <v>1</v>
      </c>
      <c r="O96" s="13" t="s">
        <v>38</v>
      </c>
      <c r="P96" s="480">
        <f>H96*$F96*Svodka!$J$1</f>
        <v>0</v>
      </c>
      <c r="Q96" s="479">
        <f>I96*$F96*Svodka!$J$1</f>
        <v>0</v>
      </c>
      <c r="R96" s="479">
        <f>J96*$F96*Svodka!$J$1</f>
        <v>0</v>
      </c>
      <c r="S96" s="479">
        <f>K96*$F96*Svodka!$J$1</f>
        <v>0</v>
      </c>
      <c r="T96" s="479">
        <f>L96*$F96*Svodka!$J$1</f>
        <v>0</v>
      </c>
      <c r="U96" s="481">
        <f>M96*$F96*Svodka!$J$1</f>
        <v>355000</v>
      </c>
      <c r="V96" s="464" t="s">
        <v>11</v>
      </c>
      <c r="W96" s="466">
        <f t="shared" si="12"/>
        <v>355000</v>
      </c>
    </row>
    <row r="97" spans="1:23" ht="66" thickBot="1">
      <c r="A97" s="441">
        <v>86</v>
      </c>
      <c r="B97" s="245">
        <v>20</v>
      </c>
      <c r="C97" s="15">
        <v>12</v>
      </c>
      <c r="D97" s="448" t="s">
        <v>163</v>
      </c>
      <c r="E97" s="298" t="s">
        <v>256</v>
      </c>
      <c r="F97" s="307">
        <f>'2 OP - Provoz'!K12+'5 OP - Struktura, org. a říz.'!K60</f>
        <v>34.5</v>
      </c>
      <c r="G97" s="307"/>
      <c r="H97" s="445">
        <v>0</v>
      </c>
      <c r="I97" s="446">
        <v>0</v>
      </c>
      <c r="J97" s="446">
        <v>0</v>
      </c>
      <c r="K97" s="446">
        <v>0</v>
      </c>
      <c r="L97" s="446">
        <v>0</v>
      </c>
      <c r="M97" s="447">
        <v>1</v>
      </c>
      <c r="N97" s="456">
        <f t="shared" si="11"/>
        <v>1</v>
      </c>
      <c r="O97" s="13" t="s">
        <v>164</v>
      </c>
      <c r="P97" s="480">
        <f>H97*$F97*Svodka!$J$1</f>
        <v>0</v>
      </c>
      <c r="Q97" s="479">
        <f>I97*$F97*Svodka!$J$1</f>
        <v>0</v>
      </c>
      <c r="R97" s="479">
        <f>J97*$F97*Svodka!$J$1</f>
        <v>0</v>
      </c>
      <c r="S97" s="479">
        <f>K97*$F97*Svodka!$J$1</f>
        <v>0</v>
      </c>
      <c r="T97" s="479">
        <f>L97*$F97*Svodka!$J$1</f>
        <v>0</v>
      </c>
      <c r="U97" s="481">
        <f>M97*$F97*Svodka!$J$1</f>
        <v>345000</v>
      </c>
      <c r="V97" s="464" t="s">
        <v>11</v>
      </c>
      <c r="W97" s="466">
        <f t="shared" si="12"/>
        <v>345000</v>
      </c>
    </row>
    <row r="98" spans="1:23" ht="26.25">
      <c r="A98" s="412">
        <v>87</v>
      </c>
      <c r="B98" s="295">
        <v>21</v>
      </c>
      <c r="C98" s="296">
        <v>12</v>
      </c>
      <c r="D98" s="385" t="s">
        <v>437</v>
      </c>
      <c r="E98" s="297" t="s">
        <v>250</v>
      </c>
      <c r="F98" s="306">
        <f>'5 OP - Struktura, org. a říz.'!K36+'6 OP - Rozvoj a koordinace'!K52</f>
        <v>12.52</v>
      </c>
      <c r="G98" s="306">
        <f>SUM(F98:F109)</f>
        <v>272.38</v>
      </c>
      <c r="H98" s="395">
        <v>1</v>
      </c>
      <c r="I98" s="394">
        <v>0</v>
      </c>
      <c r="J98" s="394">
        <v>0</v>
      </c>
      <c r="K98" s="394">
        <v>0</v>
      </c>
      <c r="L98" s="394">
        <v>0</v>
      </c>
      <c r="M98" s="396">
        <v>0</v>
      </c>
      <c r="N98" s="456">
        <f t="shared" si="11"/>
        <v>1</v>
      </c>
      <c r="O98" s="13" t="s">
        <v>95</v>
      </c>
      <c r="P98" s="480">
        <f>H98*$F98*Svodka!$J$1</f>
        <v>125200</v>
      </c>
      <c r="Q98" s="479">
        <f>I98*$F98*Svodka!$J$1</f>
        <v>0</v>
      </c>
      <c r="R98" s="479">
        <f>J98*$F98*Svodka!$J$1</f>
        <v>0</v>
      </c>
      <c r="S98" s="479">
        <f>K98*$F98*Svodka!$J$1</f>
        <v>0</v>
      </c>
      <c r="T98" s="479">
        <f>L98*$F98*Svodka!$J$1</f>
        <v>0</v>
      </c>
      <c r="U98" s="481">
        <f>M98*$F98*Svodka!$J$1</f>
        <v>0</v>
      </c>
      <c r="V98" s="463" t="s">
        <v>26</v>
      </c>
      <c r="W98" s="466">
        <f t="shared" si="12"/>
        <v>125200</v>
      </c>
    </row>
    <row r="99" spans="1:23" ht="78.75">
      <c r="A99" s="411">
        <v>88</v>
      </c>
      <c r="B99" s="244">
        <v>21</v>
      </c>
      <c r="C99" s="13">
        <v>13</v>
      </c>
      <c r="D99" s="388" t="s">
        <v>452</v>
      </c>
      <c r="E99" s="299" t="s">
        <v>256</v>
      </c>
      <c r="F99" s="303">
        <f>'6 OP - Rozvoj a koordinace'!K63</f>
        <v>7.2</v>
      </c>
      <c r="G99" s="303"/>
      <c r="H99" s="395">
        <v>1</v>
      </c>
      <c r="I99" s="394">
        <v>0</v>
      </c>
      <c r="J99" s="394">
        <v>0</v>
      </c>
      <c r="K99" s="394">
        <v>0</v>
      </c>
      <c r="L99" s="394">
        <v>0</v>
      </c>
      <c r="M99" s="396">
        <v>0</v>
      </c>
      <c r="N99" s="456">
        <f t="shared" si="11"/>
        <v>1</v>
      </c>
      <c r="O99" s="13" t="s">
        <v>453</v>
      </c>
      <c r="P99" s="480">
        <f>H99*$F99*Svodka!$J$1</f>
        <v>72000</v>
      </c>
      <c r="Q99" s="479">
        <f>I99*$F99*Svodka!$J$1</f>
        <v>0</v>
      </c>
      <c r="R99" s="479">
        <f>J99*$F99*Svodka!$J$1</f>
        <v>0</v>
      </c>
      <c r="S99" s="479">
        <f>K99*$F99*Svodka!$J$1</f>
        <v>0</v>
      </c>
      <c r="T99" s="479">
        <f>L99*$F99*Svodka!$J$1</f>
        <v>0</v>
      </c>
      <c r="U99" s="481">
        <f>M99*$F99*Svodka!$J$1</f>
        <v>0</v>
      </c>
      <c r="V99" s="464" t="s">
        <v>16</v>
      </c>
      <c r="W99" s="466">
        <f t="shared" si="12"/>
        <v>72000</v>
      </c>
    </row>
    <row r="100" spans="1:23" ht="132">
      <c r="A100" s="414">
        <v>89</v>
      </c>
      <c r="B100" s="244">
        <v>21</v>
      </c>
      <c r="C100" s="13">
        <v>18</v>
      </c>
      <c r="D100" s="415" t="s">
        <v>464</v>
      </c>
      <c r="E100" s="299" t="s">
        <v>256</v>
      </c>
      <c r="F100" s="303">
        <f>'6 OP - Rozvoj a koordinace'!K32</f>
        <v>9.02</v>
      </c>
      <c r="G100" s="303"/>
      <c r="H100" s="416">
        <v>0</v>
      </c>
      <c r="I100" s="417">
        <v>0</v>
      </c>
      <c r="J100" s="417">
        <v>1</v>
      </c>
      <c r="K100" s="417">
        <v>0</v>
      </c>
      <c r="L100" s="417">
        <v>0</v>
      </c>
      <c r="M100" s="418">
        <v>0</v>
      </c>
      <c r="N100" s="456">
        <f t="shared" si="11"/>
        <v>1</v>
      </c>
      <c r="O100" s="13" t="s">
        <v>465</v>
      </c>
      <c r="P100" s="480">
        <f>H100*$F100*Svodka!$J$1</f>
        <v>0</v>
      </c>
      <c r="Q100" s="479">
        <f>I100*$F100*Svodka!$J$1</f>
        <v>0</v>
      </c>
      <c r="R100" s="479">
        <f>J100*$F100*Svodka!$J$1</f>
        <v>90200</v>
      </c>
      <c r="S100" s="479">
        <f>K100*$F100*Svodka!$J$1</f>
        <v>0</v>
      </c>
      <c r="T100" s="479">
        <f>L100*$F100*Svodka!$J$1</f>
        <v>0</v>
      </c>
      <c r="U100" s="481">
        <f>M100*$F100*Svodka!$J$1</f>
        <v>0</v>
      </c>
      <c r="V100" s="463" t="s">
        <v>26</v>
      </c>
      <c r="W100" s="466">
        <f t="shared" si="12"/>
        <v>90200</v>
      </c>
    </row>
    <row r="101" spans="1:23" ht="66">
      <c r="A101" s="423">
        <v>90</v>
      </c>
      <c r="B101" s="244">
        <v>21</v>
      </c>
      <c r="C101" s="13">
        <v>21</v>
      </c>
      <c r="D101" s="424" t="s">
        <v>103</v>
      </c>
      <c r="E101" s="299" t="s">
        <v>256</v>
      </c>
      <c r="F101" s="303">
        <f>'1 OP - Informační základna'!K15+'7 OP - Výkon a rozsah'!K10</f>
        <v>35.8</v>
      </c>
      <c r="G101" s="303"/>
      <c r="H101" s="425">
        <v>0</v>
      </c>
      <c r="I101" s="426">
        <v>0</v>
      </c>
      <c r="J101" s="426">
        <v>0</v>
      </c>
      <c r="K101" s="426">
        <v>1</v>
      </c>
      <c r="L101" s="426">
        <v>0</v>
      </c>
      <c r="M101" s="427">
        <v>0</v>
      </c>
      <c r="N101" s="456">
        <f t="shared" si="11"/>
        <v>1</v>
      </c>
      <c r="O101" s="13" t="s">
        <v>104</v>
      </c>
      <c r="P101" s="480">
        <f>H101*$F101*Svodka!$J$1</f>
        <v>0</v>
      </c>
      <c r="Q101" s="479">
        <f>I101*$F101*Svodka!$J$1</f>
        <v>0</v>
      </c>
      <c r="R101" s="479">
        <f>J101*$F101*Svodka!$J$1</f>
        <v>0</v>
      </c>
      <c r="S101" s="479">
        <f>K101*$F101*Svodka!$J$1</f>
        <v>358000</v>
      </c>
      <c r="T101" s="479">
        <f>L101*$F101*Svodka!$J$1</f>
        <v>0</v>
      </c>
      <c r="U101" s="481">
        <f>M101*$F101*Svodka!$J$1</f>
        <v>0</v>
      </c>
      <c r="V101" s="464" t="s">
        <v>8</v>
      </c>
      <c r="W101" s="466">
        <f t="shared" si="12"/>
        <v>358000</v>
      </c>
    </row>
    <row r="102" spans="1:23" ht="26.25">
      <c r="A102" s="423">
        <v>91</v>
      </c>
      <c r="B102" s="244">
        <v>21</v>
      </c>
      <c r="C102" s="13">
        <v>20</v>
      </c>
      <c r="D102" s="424" t="s">
        <v>432</v>
      </c>
      <c r="E102" s="299" t="s">
        <v>245</v>
      </c>
      <c r="F102" s="303">
        <f>'5 OP - Struktura, org. a říz.'!K35+'6 OP - Rozvoj a koordinace'!K51</f>
        <v>12.9</v>
      </c>
      <c r="G102" s="303"/>
      <c r="H102" s="425">
        <v>0</v>
      </c>
      <c r="I102" s="426">
        <v>0</v>
      </c>
      <c r="J102" s="426">
        <v>0</v>
      </c>
      <c r="K102" s="426">
        <v>1</v>
      </c>
      <c r="L102" s="426">
        <v>0</v>
      </c>
      <c r="M102" s="427">
        <v>0</v>
      </c>
      <c r="N102" s="456">
        <f t="shared" si="11"/>
        <v>1</v>
      </c>
      <c r="O102" s="13" t="s">
        <v>433</v>
      </c>
      <c r="P102" s="480">
        <f>H102*$F102*Svodka!$J$1</f>
        <v>0</v>
      </c>
      <c r="Q102" s="479">
        <f>I102*$F102*Svodka!$J$1</f>
        <v>0</v>
      </c>
      <c r="R102" s="479">
        <f>J102*$F102*Svodka!$J$1</f>
        <v>0</v>
      </c>
      <c r="S102" s="479">
        <f>K102*$F102*Svodka!$J$1</f>
        <v>129000</v>
      </c>
      <c r="T102" s="479">
        <f>L102*$F102*Svodka!$J$1</f>
        <v>0</v>
      </c>
      <c r="U102" s="481">
        <f>M102*$F102*Svodka!$J$1</f>
        <v>0</v>
      </c>
      <c r="V102" s="464" t="s">
        <v>16</v>
      </c>
      <c r="W102" s="466">
        <f t="shared" si="12"/>
        <v>129000</v>
      </c>
    </row>
    <row r="103" spans="1:23" ht="12.75">
      <c r="A103" s="439">
        <v>92</v>
      </c>
      <c r="B103" s="244">
        <v>21</v>
      </c>
      <c r="C103" s="13">
        <v>21</v>
      </c>
      <c r="D103" s="440" t="s">
        <v>434</v>
      </c>
      <c r="E103" s="299" t="s">
        <v>245</v>
      </c>
      <c r="F103" s="303">
        <f>'5 OP - Struktura, org. a říz.'!K33+'6 OP - Rozvoj a koordinace'!K49</f>
        <v>11.22</v>
      </c>
      <c r="G103" s="303"/>
      <c r="H103" s="434">
        <v>0</v>
      </c>
      <c r="I103" s="435">
        <v>0</v>
      </c>
      <c r="J103" s="435">
        <v>0</v>
      </c>
      <c r="K103" s="435">
        <v>0</v>
      </c>
      <c r="L103" s="435">
        <v>1</v>
      </c>
      <c r="M103" s="436">
        <v>0</v>
      </c>
      <c r="N103" s="456">
        <f t="shared" si="11"/>
        <v>1</v>
      </c>
      <c r="O103" s="13" t="s">
        <v>435</v>
      </c>
      <c r="P103" s="480">
        <f>H103*$F103*Svodka!$J$1</f>
        <v>0</v>
      </c>
      <c r="Q103" s="479">
        <f>I103*$F103*Svodka!$J$1</f>
        <v>0</v>
      </c>
      <c r="R103" s="479">
        <f>J103*$F103*Svodka!$J$1</f>
        <v>0</v>
      </c>
      <c r="S103" s="479">
        <f>K103*$F103*Svodka!$J$1</f>
        <v>0</v>
      </c>
      <c r="T103" s="479">
        <f>L103*$F103*Svodka!$J$1</f>
        <v>112200</v>
      </c>
      <c r="U103" s="481">
        <f>M103*$F103*Svodka!$J$1</f>
        <v>0</v>
      </c>
      <c r="V103" s="464" t="s">
        <v>7</v>
      </c>
      <c r="W103" s="466">
        <f t="shared" si="12"/>
        <v>112200</v>
      </c>
    </row>
    <row r="104" spans="1:23" ht="39">
      <c r="A104" s="443">
        <v>93</v>
      </c>
      <c r="B104" s="244">
        <v>21</v>
      </c>
      <c r="C104" s="13">
        <v>22</v>
      </c>
      <c r="D104" s="444" t="s">
        <v>439</v>
      </c>
      <c r="E104" s="299" t="s">
        <v>245</v>
      </c>
      <c r="F104" s="303">
        <f>'5 OP - Struktura, org. a říz.'!K38+'6 OP - Rozvoj a koordinace'!K54</f>
        <v>61.22</v>
      </c>
      <c r="G104" s="303"/>
      <c r="H104" s="445">
        <v>0</v>
      </c>
      <c r="I104" s="446">
        <v>0</v>
      </c>
      <c r="J104" s="446">
        <v>0</v>
      </c>
      <c r="K104" s="446">
        <v>0</v>
      </c>
      <c r="L104" s="446">
        <v>0</v>
      </c>
      <c r="M104" s="447">
        <v>1</v>
      </c>
      <c r="N104" s="456">
        <f t="shared" si="11"/>
        <v>1</v>
      </c>
      <c r="O104" s="13" t="s">
        <v>440</v>
      </c>
      <c r="P104" s="480">
        <f>H104*$F104*Svodka!$J$1</f>
        <v>0</v>
      </c>
      <c r="Q104" s="479">
        <f>I104*$F104*Svodka!$J$1</f>
        <v>0</v>
      </c>
      <c r="R104" s="479">
        <f>J104*$F104*Svodka!$J$1</f>
        <v>0</v>
      </c>
      <c r="S104" s="479">
        <f>K104*$F104*Svodka!$J$1</f>
        <v>0</v>
      </c>
      <c r="T104" s="479">
        <f>L104*$F104*Svodka!$J$1</f>
        <v>0</v>
      </c>
      <c r="U104" s="481">
        <f>M104*$F104*Svodka!$J$1</f>
        <v>612200</v>
      </c>
      <c r="V104" s="464" t="s">
        <v>7</v>
      </c>
      <c r="W104" s="466">
        <f t="shared" si="12"/>
        <v>612200</v>
      </c>
    </row>
    <row r="105" spans="1:23" ht="39">
      <c r="A105" s="423">
        <v>94</v>
      </c>
      <c r="B105" s="244">
        <v>21</v>
      </c>
      <c r="C105" s="13">
        <v>23</v>
      </c>
      <c r="D105" s="424" t="s">
        <v>441</v>
      </c>
      <c r="E105" s="299" t="s">
        <v>245</v>
      </c>
      <c r="F105" s="303">
        <f>'5 OP - Struktura, org. a říz.'!K28+'6 OP - Rozvoj a koordinace'!K45</f>
        <v>35.260000000000005</v>
      </c>
      <c r="G105" s="303"/>
      <c r="H105" s="425">
        <v>0</v>
      </c>
      <c r="I105" s="426">
        <v>0</v>
      </c>
      <c r="J105" s="426">
        <v>0</v>
      </c>
      <c r="K105" s="426">
        <v>1</v>
      </c>
      <c r="L105" s="426">
        <v>0</v>
      </c>
      <c r="M105" s="427">
        <v>0</v>
      </c>
      <c r="N105" s="456">
        <f t="shared" si="11"/>
        <v>1</v>
      </c>
      <c r="O105" s="13" t="s">
        <v>536</v>
      </c>
      <c r="P105" s="480">
        <f>H105*$F105*Svodka!$J$1</f>
        <v>0</v>
      </c>
      <c r="Q105" s="479">
        <f>I105*$F105*Svodka!$J$1</f>
        <v>0</v>
      </c>
      <c r="R105" s="479">
        <f>J105*$F105*Svodka!$J$1</f>
        <v>0</v>
      </c>
      <c r="S105" s="479">
        <f>K105*$F105*Svodka!$J$1</f>
        <v>352600.00000000006</v>
      </c>
      <c r="T105" s="479">
        <f>L105*$F105*Svodka!$J$1</f>
        <v>0</v>
      </c>
      <c r="U105" s="481">
        <f>M105*$F105*Svodka!$J$1</f>
        <v>0</v>
      </c>
      <c r="V105" s="463" t="s">
        <v>26</v>
      </c>
      <c r="W105" s="466">
        <f t="shared" si="12"/>
        <v>352600.00000000006</v>
      </c>
    </row>
    <row r="106" spans="1:23" ht="39">
      <c r="A106" s="423">
        <v>95</v>
      </c>
      <c r="B106" s="244">
        <v>21</v>
      </c>
      <c r="C106" s="13">
        <v>36</v>
      </c>
      <c r="D106" s="424" t="s">
        <v>537</v>
      </c>
      <c r="E106" s="299" t="s">
        <v>247</v>
      </c>
      <c r="F106" s="303">
        <f>'5 OP - Struktura, org. a říz.'!K37+'6 OP - Rozvoj a koordinace'!K53</f>
        <v>35.32</v>
      </c>
      <c r="G106" s="303"/>
      <c r="H106" s="425">
        <v>0</v>
      </c>
      <c r="I106" s="426">
        <v>0</v>
      </c>
      <c r="J106" s="426">
        <v>0</v>
      </c>
      <c r="K106" s="426">
        <v>1</v>
      </c>
      <c r="L106" s="426">
        <v>0</v>
      </c>
      <c r="M106" s="427">
        <v>0</v>
      </c>
      <c r="N106" s="456">
        <f t="shared" si="11"/>
        <v>1</v>
      </c>
      <c r="O106" s="13" t="s">
        <v>538</v>
      </c>
      <c r="P106" s="480">
        <f>H106*$F106*Svodka!$J$1</f>
        <v>0</v>
      </c>
      <c r="Q106" s="479">
        <f>I106*$F106*Svodka!$J$1</f>
        <v>0</v>
      </c>
      <c r="R106" s="479">
        <f>J106*$F106*Svodka!$J$1</f>
        <v>0</v>
      </c>
      <c r="S106" s="479">
        <f>K106*$F106*Svodka!$J$1</f>
        <v>353200</v>
      </c>
      <c r="T106" s="479">
        <f>L106*$F106*Svodka!$J$1</f>
        <v>0</v>
      </c>
      <c r="U106" s="481">
        <f>M106*$F106*Svodka!$J$1</f>
        <v>0</v>
      </c>
      <c r="V106" s="463" t="s">
        <v>26</v>
      </c>
      <c r="W106" s="466">
        <f t="shared" si="12"/>
        <v>353200</v>
      </c>
    </row>
    <row r="107" spans="1:23" ht="118.5">
      <c r="A107" s="423">
        <v>96</v>
      </c>
      <c r="B107" s="244">
        <v>21</v>
      </c>
      <c r="C107" s="13">
        <v>27</v>
      </c>
      <c r="D107" s="424" t="s">
        <v>499</v>
      </c>
      <c r="E107" s="299" t="s">
        <v>256</v>
      </c>
      <c r="F107" s="303">
        <f>'6 OP - Rozvoj a koordinace'!K9</f>
        <v>1.3</v>
      </c>
      <c r="G107" s="303"/>
      <c r="H107" s="425">
        <v>0</v>
      </c>
      <c r="I107" s="426">
        <v>0</v>
      </c>
      <c r="J107" s="426">
        <v>0</v>
      </c>
      <c r="K107" s="426">
        <v>1</v>
      </c>
      <c r="L107" s="426">
        <v>0</v>
      </c>
      <c r="M107" s="427">
        <v>0</v>
      </c>
      <c r="N107" s="456">
        <f t="shared" si="11"/>
        <v>1</v>
      </c>
      <c r="O107" s="13" t="s">
        <v>500</v>
      </c>
      <c r="P107" s="480">
        <f>H107*$F107*Svodka!$J$1</f>
        <v>0</v>
      </c>
      <c r="Q107" s="479">
        <f>I107*$F107*Svodka!$J$1</f>
        <v>0</v>
      </c>
      <c r="R107" s="479">
        <f>J107*$F107*Svodka!$J$1</f>
        <v>0</v>
      </c>
      <c r="S107" s="479">
        <f>K107*$F107*Svodka!$J$1</f>
        <v>13000</v>
      </c>
      <c r="T107" s="479">
        <f>L107*$F107*Svodka!$J$1</f>
        <v>0</v>
      </c>
      <c r="U107" s="481">
        <f>M107*$F107*Svodka!$J$1</f>
        <v>0</v>
      </c>
      <c r="V107" s="464" t="s">
        <v>9</v>
      </c>
      <c r="W107" s="466">
        <f t="shared" si="12"/>
        <v>13000</v>
      </c>
    </row>
    <row r="108" spans="1:23" ht="52.5">
      <c r="A108" s="414">
        <v>97</v>
      </c>
      <c r="B108" s="244">
        <v>21</v>
      </c>
      <c r="C108" s="13">
        <v>25</v>
      </c>
      <c r="D108" s="415" t="s">
        <v>543</v>
      </c>
      <c r="E108" s="299" t="s">
        <v>245</v>
      </c>
      <c r="F108" s="303">
        <f>'5 OP - Struktura, org. a říz.'!K39+'6 OP - Rozvoj a koordinace'!K55</f>
        <v>11.22</v>
      </c>
      <c r="G108" s="303"/>
      <c r="H108" s="416">
        <v>0</v>
      </c>
      <c r="I108" s="417">
        <v>0</v>
      </c>
      <c r="J108" s="417">
        <v>1</v>
      </c>
      <c r="K108" s="417">
        <v>0</v>
      </c>
      <c r="L108" s="417">
        <v>0</v>
      </c>
      <c r="M108" s="418">
        <v>0</v>
      </c>
      <c r="N108" s="456">
        <f t="shared" si="11"/>
        <v>1</v>
      </c>
      <c r="O108" s="13" t="s">
        <v>20</v>
      </c>
      <c r="P108" s="480">
        <f>H108*$F108*Svodka!$J$1</f>
        <v>0</v>
      </c>
      <c r="Q108" s="479">
        <f>I108*$F108*Svodka!$J$1</f>
        <v>0</v>
      </c>
      <c r="R108" s="479">
        <f>J108*$F108*Svodka!$J$1</f>
        <v>112200</v>
      </c>
      <c r="S108" s="479">
        <f>K108*$F108*Svodka!$J$1</f>
        <v>0</v>
      </c>
      <c r="T108" s="479">
        <f>L108*$F108*Svodka!$J$1</f>
        <v>0</v>
      </c>
      <c r="U108" s="481">
        <f>M108*$F108*Svodka!$J$1</f>
        <v>0</v>
      </c>
      <c r="V108" s="464" t="s">
        <v>7</v>
      </c>
      <c r="W108" s="466">
        <f t="shared" si="12"/>
        <v>112200</v>
      </c>
    </row>
    <row r="109" spans="1:23" ht="27" thickBot="1">
      <c r="A109" s="441">
        <v>98</v>
      </c>
      <c r="B109" s="245">
        <v>21</v>
      </c>
      <c r="C109" s="15">
        <v>40</v>
      </c>
      <c r="D109" s="448" t="s">
        <v>545</v>
      </c>
      <c r="E109" s="298" t="s">
        <v>247</v>
      </c>
      <c r="F109" s="307">
        <f>'5 OP - Struktura, org. a říz.'!K29+'6 OP - Rozvoj a koordinace'!K46</f>
        <v>39.4</v>
      </c>
      <c r="G109" s="307"/>
      <c r="H109" s="445">
        <v>0</v>
      </c>
      <c r="I109" s="446">
        <v>0</v>
      </c>
      <c r="J109" s="446">
        <v>0</v>
      </c>
      <c r="K109" s="446">
        <v>0</v>
      </c>
      <c r="L109" s="446">
        <v>0</v>
      </c>
      <c r="M109" s="447">
        <v>1</v>
      </c>
      <c r="N109" s="456">
        <f t="shared" si="11"/>
        <v>1</v>
      </c>
      <c r="O109" s="13" t="s">
        <v>27</v>
      </c>
      <c r="P109" s="480">
        <f>H109*$F109*Svodka!$J$1</f>
        <v>0</v>
      </c>
      <c r="Q109" s="479">
        <f>I109*$F109*Svodka!$J$1</f>
        <v>0</v>
      </c>
      <c r="R109" s="479">
        <f>J109*$F109*Svodka!$J$1</f>
        <v>0</v>
      </c>
      <c r="S109" s="479">
        <f>K109*$F109*Svodka!$J$1</f>
        <v>0</v>
      </c>
      <c r="T109" s="479">
        <f>L109*$F109*Svodka!$J$1</f>
        <v>0</v>
      </c>
      <c r="U109" s="481">
        <f>M109*$F109*Svodka!$J$1</f>
        <v>394000</v>
      </c>
      <c r="V109" s="464" t="s">
        <v>16</v>
      </c>
      <c r="W109" s="466">
        <f t="shared" si="12"/>
        <v>394000</v>
      </c>
    </row>
    <row r="110" spans="1:23" ht="39">
      <c r="A110" s="432">
        <v>99</v>
      </c>
      <c r="B110" s="295">
        <v>22</v>
      </c>
      <c r="C110" s="296">
        <v>1</v>
      </c>
      <c r="D110" s="433" t="s">
        <v>603</v>
      </c>
      <c r="E110" s="297" t="s">
        <v>256</v>
      </c>
      <c r="F110" s="306">
        <f>'1 OP - Informační základna'!K8+'7 OP - Výkon a rozsah'!K12</f>
        <v>24.7</v>
      </c>
      <c r="G110" s="306">
        <f>SUM(F110:F117)</f>
        <v>129.5</v>
      </c>
      <c r="H110" s="434">
        <v>0</v>
      </c>
      <c r="I110" s="435">
        <v>0</v>
      </c>
      <c r="J110" s="435">
        <v>0</v>
      </c>
      <c r="K110" s="435">
        <v>0</v>
      </c>
      <c r="L110" s="435">
        <v>1</v>
      </c>
      <c r="M110" s="436">
        <v>0</v>
      </c>
      <c r="N110" s="456">
        <f t="shared" si="11"/>
        <v>1</v>
      </c>
      <c r="O110" s="13" t="s">
        <v>604</v>
      </c>
      <c r="P110" s="480">
        <f>H110*$F110*Svodka!$J$1</f>
        <v>0</v>
      </c>
      <c r="Q110" s="479">
        <f>I110*$F110*Svodka!$J$1</f>
        <v>0</v>
      </c>
      <c r="R110" s="479">
        <f>J110*$F110*Svodka!$J$1</f>
        <v>0</v>
      </c>
      <c r="S110" s="479">
        <f>K110*$F110*Svodka!$J$1</f>
        <v>0</v>
      </c>
      <c r="T110" s="479">
        <f>L110*$F110*Svodka!$J$1</f>
        <v>247000</v>
      </c>
      <c r="U110" s="481">
        <f>M110*$F110*Svodka!$J$1</f>
        <v>0</v>
      </c>
      <c r="V110" s="464" t="s">
        <v>8</v>
      </c>
      <c r="W110" s="466">
        <f t="shared" si="12"/>
        <v>247000</v>
      </c>
    </row>
    <row r="111" spans="1:23" ht="66">
      <c r="A111" s="414">
        <v>100</v>
      </c>
      <c r="B111" s="244">
        <v>22</v>
      </c>
      <c r="C111" s="13">
        <v>4</v>
      </c>
      <c r="D111" s="415" t="s">
        <v>241</v>
      </c>
      <c r="E111" s="299" t="s">
        <v>256</v>
      </c>
      <c r="F111" s="303">
        <f>'5 OP - Struktura, org. a říz.'!K67+'6 OP - Rozvoj a koordinace'!K81</f>
        <v>23.75</v>
      </c>
      <c r="G111" s="303"/>
      <c r="H111" s="416">
        <v>0</v>
      </c>
      <c r="I111" s="417">
        <v>0</v>
      </c>
      <c r="J111" s="417">
        <v>1</v>
      </c>
      <c r="K111" s="417">
        <v>0</v>
      </c>
      <c r="L111" s="417">
        <v>0</v>
      </c>
      <c r="M111" s="418">
        <v>0</v>
      </c>
      <c r="N111" s="456">
        <f t="shared" si="11"/>
        <v>1</v>
      </c>
      <c r="O111" s="13" t="s">
        <v>278</v>
      </c>
      <c r="P111" s="480">
        <f>H111*$F111*Svodka!$J$1</f>
        <v>0</v>
      </c>
      <c r="Q111" s="479">
        <f>I111*$F111*Svodka!$J$1</f>
        <v>0</v>
      </c>
      <c r="R111" s="479">
        <f>J111*$F111*Svodka!$J$1</f>
        <v>237500</v>
      </c>
      <c r="S111" s="479">
        <f>K111*$F111*Svodka!$J$1</f>
        <v>0</v>
      </c>
      <c r="T111" s="479">
        <f>L111*$F111*Svodka!$J$1</f>
        <v>0</v>
      </c>
      <c r="U111" s="481">
        <f>M111*$F111*Svodka!$J$1</f>
        <v>0</v>
      </c>
      <c r="V111" s="464" t="s">
        <v>14</v>
      </c>
      <c r="W111" s="466">
        <f t="shared" si="12"/>
        <v>237500</v>
      </c>
    </row>
    <row r="112" spans="1:23" ht="26.25">
      <c r="A112" s="439">
        <v>101</v>
      </c>
      <c r="B112" s="244">
        <v>22</v>
      </c>
      <c r="C112" s="13">
        <v>7</v>
      </c>
      <c r="D112" s="440" t="s">
        <v>446</v>
      </c>
      <c r="E112" s="299" t="s">
        <v>256</v>
      </c>
      <c r="F112" s="303">
        <f>'6 OP - Rozvoj a koordinace'!K38</f>
        <v>14.4</v>
      </c>
      <c r="G112" s="303"/>
      <c r="H112" s="434">
        <v>0</v>
      </c>
      <c r="I112" s="435">
        <v>0</v>
      </c>
      <c r="J112" s="435">
        <v>0</v>
      </c>
      <c r="K112" s="435">
        <v>0</v>
      </c>
      <c r="L112" s="435">
        <v>1</v>
      </c>
      <c r="M112" s="436">
        <v>0</v>
      </c>
      <c r="N112" s="456">
        <f t="shared" si="11"/>
        <v>1</v>
      </c>
      <c r="O112" s="13" t="s">
        <v>447</v>
      </c>
      <c r="P112" s="480">
        <f>H112*$F112*Svodka!$J$1</f>
        <v>0</v>
      </c>
      <c r="Q112" s="479">
        <f>I112*$F112*Svodka!$J$1</f>
        <v>0</v>
      </c>
      <c r="R112" s="479">
        <f>J112*$F112*Svodka!$J$1</f>
        <v>0</v>
      </c>
      <c r="S112" s="479">
        <f>K112*$F112*Svodka!$J$1</f>
        <v>0</v>
      </c>
      <c r="T112" s="479">
        <f>L112*$F112*Svodka!$J$1</f>
        <v>144000</v>
      </c>
      <c r="U112" s="481">
        <f>M112*$F112*Svodka!$J$1</f>
        <v>0</v>
      </c>
      <c r="V112" s="464" t="s">
        <v>7</v>
      </c>
      <c r="W112" s="466">
        <f t="shared" si="12"/>
        <v>144000</v>
      </c>
    </row>
    <row r="113" spans="1:23" ht="26.25">
      <c r="A113" s="411">
        <v>102</v>
      </c>
      <c r="B113" s="244">
        <v>22</v>
      </c>
      <c r="C113" s="13">
        <v>9</v>
      </c>
      <c r="D113" s="388" t="s">
        <v>416</v>
      </c>
      <c r="E113" s="299" t="s">
        <v>256</v>
      </c>
      <c r="F113" s="303">
        <f>'5 OP - Struktura, org. a říz.'!K62+'6 OP - Rozvoj a koordinace'!K78</f>
        <v>17.25</v>
      </c>
      <c r="G113" s="303"/>
      <c r="H113" s="395">
        <v>1</v>
      </c>
      <c r="I113" s="394">
        <v>0</v>
      </c>
      <c r="J113" s="394">
        <v>0</v>
      </c>
      <c r="K113" s="394">
        <v>0</v>
      </c>
      <c r="L113" s="394">
        <v>0</v>
      </c>
      <c r="M113" s="396">
        <v>0</v>
      </c>
      <c r="N113" s="456">
        <f t="shared" si="11"/>
        <v>1</v>
      </c>
      <c r="O113" s="13" t="s">
        <v>417</v>
      </c>
      <c r="P113" s="480">
        <f>H113*$F113*Svodka!$J$1</f>
        <v>172500</v>
      </c>
      <c r="Q113" s="479">
        <f>I113*$F113*Svodka!$J$1</f>
        <v>0</v>
      </c>
      <c r="R113" s="479">
        <f>J113*$F113*Svodka!$J$1</f>
        <v>0</v>
      </c>
      <c r="S113" s="479">
        <f>K113*$F113*Svodka!$J$1</f>
        <v>0</v>
      </c>
      <c r="T113" s="479">
        <f>L113*$F113*Svodka!$J$1</f>
        <v>0</v>
      </c>
      <c r="U113" s="481">
        <f>M113*$F113*Svodka!$J$1</f>
        <v>0</v>
      </c>
      <c r="V113" s="464" t="s">
        <v>7</v>
      </c>
      <c r="W113" s="466">
        <f t="shared" si="12"/>
        <v>172500</v>
      </c>
    </row>
    <row r="114" spans="1:23" ht="39">
      <c r="A114" s="443">
        <v>103</v>
      </c>
      <c r="B114" s="244">
        <v>22</v>
      </c>
      <c r="C114" s="13">
        <v>10</v>
      </c>
      <c r="D114" s="444" t="s">
        <v>420</v>
      </c>
      <c r="E114" s="299" t="s">
        <v>256</v>
      </c>
      <c r="F114" s="303">
        <f>'5 OP - Struktura, org. a říz.'!K66</f>
        <v>18.05</v>
      </c>
      <c r="G114" s="303"/>
      <c r="H114" s="445">
        <v>0</v>
      </c>
      <c r="I114" s="446">
        <v>0</v>
      </c>
      <c r="J114" s="446">
        <v>0</v>
      </c>
      <c r="K114" s="446">
        <v>0</v>
      </c>
      <c r="L114" s="446">
        <v>0</v>
      </c>
      <c r="M114" s="447">
        <v>1</v>
      </c>
      <c r="N114" s="456">
        <f t="shared" si="11"/>
        <v>1</v>
      </c>
      <c r="O114" s="13" t="s">
        <v>421</v>
      </c>
      <c r="P114" s="480">
        <f>H114*$F114*Svodka!$J$1</f>
        <v>0</v>
      </c>
      <c r="Q114" s="479">
        <f>I114*$F114*Svodka!$J$1</f>
        <v>0</v>
      </c>
      <c r="R114" s="479">
        <f>J114*$F114*Svodka!$J$1</f>
        <v>0</v>
      </c>
      <c r="S114" s="479">
        <f>K114*$F114*Svodka!$J$1</f>
        <v>0</v>
      </c>
      <c r="T114" s="479">
        <f>L114*$F114*Svodka!$J$1</f>
        <v>0</v>
      </c>
      <c r="U114" s="481">
        <f>M114*$F114*Svodka!$J$1</f>
        <v>180500</v>
      </c>
      <c r="V114" s="464" t="s">
        <v>11</v>
      </c>
      <c r="W114" s="466">
        <f t="shared" si="12"/>
        <v>180500</v>
      </c>
    </row>
    <row r="115" spans="1:23" ht="52.5">
      <c r="A115" s="414">
        <v>104</v>
      </c>
      <c r="B115" s="244">
        <v>22</v>
      </c>
      <c r="C115" s="13">
        <v>17</v>
      </c>
      <c r="D115" s="415" t="s">
        <v>233</v>
      </c>
      <c r="E115" s="299" t="s">
        <v>256</v>
      </c>
      <c r="F115" s="303">
        <f>'4 OP - Výstavba'!K13+'5 OP - Struktura, org. a říz.'!K26</f>
        <v>7.85</v>
      </c>
      <c r="G115" s="303"/>
      <c r="H115" s="416">
        <v>0</v>
      </c>
      <c r="I115" s="417">
        <v>0</v>
      </c>
      <c r="J115" s="417">
        <v>1</v>
      </c>
      <c r="K115" s="417">
        <v>0</v>
      </c>
      <c r="L115" s="417">
        <v>0</v>
      </c>
      <c r="M115" s="418">
        <v>0</v>
      </c>
      <c r="N115" s="456">
        <f t="shared" si="11"/>
        <v>1</v>
      </c>
      <c r="O115" s="13" t="s">
        <v>234</v>
      </c>
      <c r="P115" s="480">
        <f>H115*$F115*Svodka!$J$1</f>
        <v>0</v>
      </c>
      <c r="Q115" s="479">
        <f>I115*$F115*Svodka!$J$1</f>
        <v>0</v>
      </c>
      <c r="R115" s="479">
        <f>J115*$F115*Svodka!$J$1</f>
        <v>78500</v>
      </c>
      <c r="S115" s="479">
        <f>K115*$F115*Svodka!$J$1</f>
        <v>0</v>
      </c>
      <c r="T115" s="479">
        <f>L115*$F115*Svodka!$J$1</f>
        <v>0</v>
      </c>
      <c r="U115" s="481">
        <f>M115*$F115*Svodka!$J$1</f>
        <v>0</v>
      </c>
      <c r="V115" s="464" t="s">
        <v>15</v>
      </c>
      <c r="W115" s="466">
        <f t="shared" si="12"/>
        <v>78500</v>
      </c>
    </row>
    <row r="116" spans="1:23" ht="66">
      <c r="A116" s="423">
        <v>105</v>
      </c>
      <c r="B116" s="244">
        <v>22</v>
      </c>
      <c r="C116" s="13">
        <v>19</v>
      </c>
      <c r="D116" s="424" t="s">
        <v>101</v>
      </c>
      <c r="E116" s="299" t="s">
        <v>256</v>
      </c>
      <c r="F116" s="303">
        <f>'1 OP - Informační základna'!K9+'5 OP - Struktura, org. a říz.'!K23+'6 OP - Rozvoj a koordinace'!K42</f>
        <v>17.6</v>
      </c>
      <c r="G116" s="303"/>
      <c r="H116" s="425">
        <v>0</v>
      </c>
      <c r="I116" s="426">
        <v>0</v>
      </c>
      <c r="J116" s="426">
        <v>0</v>
      </c>
      <c r="K116" s="426">
        <v>1</v>
      </c>
      <c r="L116" s="426">
        <v>0</v>
      </c>
      <c r="M116" s="427">
        <v>0</v>
      </c>
      <c r="N116" s="456">
        <f t="shared" si="11"/>
        <v>1</v>
      </c>
      <c r="O116" s="13" t="s">
        <v>102</v>
      </c>
      <c r="P116" s="480">
        <f>H116*$F116*Svodka!$J$1</f>
        <v>0</v>
      </c>
      <c r="Q116" s="479">
        <f>I116*$F116*Svodka!$J$1</f>
        <v>0</v>
      </c>
      <c r="R116" s="479">
        <f>J116*$F116*Svodka!$J$1</f>
        <v>0</v>
      </c>
      <c r="S116" s="479">
        <f>K116*$F116*Svodka!$J$1</f>
        <v>176000</v>
      </c>
      <c r="T116" s="479">
        <f>L116*$F116*Svodka!$J$1</f>
        <v>0</v>
      </c>
      <c r="U116" s="481">
        <f>M116*$F116*Svodka!$J$1</f>
        <v>0</v>
      </c>
      <c r="V116" s="464" t="s">
        <v>14</v>
      </c>
      <c r="W116" s="466">
        <f t="shared" si="12"/>
        <v>176000</v>
      </c>
    </row>
    <row r="117" spans="1:23" ht="39.75" thickBot="1">
      <c r="A117" s="419">
        <v>106</v>
      </c>
      <c r="B117" s="245">
        <v>22</v>
      </c>
      <c r="C117" s="15">
        <v>20</v>
      </c>
      <c r="D117" s="420" t="s">
        <v>468</v>
      </c>
      <c r="E117" s="298" t="s">
        <v>256</v>
      </c>
      <c r="F117" s="307">
        <f>'6 OP - Rozvoj a koordinace'!K18</f>
        <v>5.9</v>
      </c>
      <c r="G117" s="307"/>
      <c r="H117" s="416">
        <v>0</v>
      </c>
      <c r="I117" s="417">
        <v>0</v>
      </c>
      <c r="J117" s="417">
        <v>1</v>
      </c>
      <c r="K117" s="417">
        <v>0</v>
      </c>
      <c r="L117" s="417">
        <v>0</v>
      </c>
      <c r="M117" s="418">
        <v>0</v>
      </c>
      <c r="N117" s="456">
        <f t="shared" si="11"/>
        <v>1</v>
      </c>
      <c r="O117" s="13" t="s">
        <v>469</v>
      </c>
      <c r="P117" s="480">
        <f>H117*$F117*Svodka!$J$1</f>
        <v>0</v>
      </c>
      <c r="Q117" s="479">
        <f>I117*$F117*Svodka!$J$1</f>
        <v>0</v>
      </c>
      <c r="R117" s="479">
        <f>J117*$F117*Svodka!$J$1</f>
        <v>59000</v>
      </c>
      <c r="S117" s="479">
        <f>K117*$F117*Svodka!$J$1</f>
        <v>0</v>
      </c>
      <c r="T117" s="479">
        <f>L117*$F117*Svodka!$J$1</f>
        <v>0</v>
      </c>
      <c r="U117" s="481">
        <f>M117*$F117*Svodka!$J$1</f>
        <v>0</v>
      </c>
      <c r="V117" s="464" t="s">
        <v>14</v>
      </c>
      <c r="W117" s="466">
        <f t="shared" si="12"/>
        <v>59000</v>
      </c>
    </row>
    <row r="118" spans="1:23" ht="39">
      <c r="A118" s="421">
        <v>107</v>
      </c>
      <c r="B118" s="295">
        <v>23</v>
      </c>
      <c r="C118" s="296">
        <v>35</v>
      </c>
      <c r="D118" s="422" t="s">
        <v>157</v>
      </c>
      <c r="E118" s="297" t="s">
        <v>247</v>
      </c>
      <c r="F118" s="306">
        <f>'2 OP - Provoz'!K9</f>
        <v>8.4</v>
      </c>
      <c r="G118" s="306">
        <f>SUM(F118:F122)</f>
        <v>152.5</v>
      </c>
      <c r="H118" s="416">
        <v>0</v>
      </c>
      <c r="I118" s="417">
        <v>0</v>
      </c>
      <c r="J118" s="417">
        <v>1</v>
      </c>
      <c r="K118" s="417">
        <v>0</v>
      </c>
      <c r="L118" s="417">
        <v>0</v>
      </c>
      <c r="M118" s="418">
        <v>0</v>
      </c>
      <c r="N118" s="456">
        <f t="shared" si="11"/>
        <v>1</v>
      </c>
      <c r="O118" s="13" t="s">
        <v>158</v>
      </c>
      <c r="P118" s="480">
        <f>H118*$F118*Svodka!$J$1</f>
        <v>0</v>
      </c>
      <c r="Q118" s="479">
        <f>I118*$F118*Svodka!$J$1</f>
        <v>0</v>
      </c>
      <c r="R118" s="479">
        <f>J118*$F118*Svodka!$J$1</f>
        <v>84000</v>
      </c>
      <c r="S118" s="479">
        <f>K118*$F118*Svodka!$J$1</f>
        <v>0</v>
      </c>
      <c r="T118" s="479">
        <f>L118*$F118*Svodka!$J$1</f>
        <v>0</v>
      </c>
      <c r="U118" s="481">
        <f>M118*$F118*Svodka!$J$1</f>
        <v>0</v>
      </c>
      <c r="V118" s="464" t="s">
        <v>18</v>
      </c>
      <c r="W118" s="466">
        <f t="shared" si="12"/>
        <v>84000</v>
      </c>
    </row>
    <row r="119" spans="1:23" ht="26.25">
      <c r="A119" s="414">
        <v>108</v>
      </c>
      <c r="B119" s="244">
        <v>23</v>
      </c>
      <c r="C119" s="13">
        <v>18</v>
      </c>
      <c r="D119" s="415" t="s">
        <v>155</v>
      </c>
      <c r="E119" s="299" t="s">
        <v>245</v>
      </c>
      <c r="F119" s="303">
        <f>'2 OP - Provoz'!K8</f>
        <v>8.6</v>
      </c>
      <c r="G119" s="303"/>
      <c r="H119" s="416">
        <v>0</v>
      </c>
      <c r="I119" s="417">
        <v>0</v>
      </c>
      <c r="J119" s="417">
        <v>1</v>
      </c>
      <c r="K119" s="417">
        <v>0</v>
      </c>
      <c r="L119" s="417">
        <v>0</v>
      </c>
      <c r="M119" s="418">
        <v>0</v>
      </c>
      <c r="N119" s="456">
        <f t="shared" si="11"/>
        <v>1</v>
      </c>
      <c r="O119" s="13" t="s">
        <v>156</v>
      </c>
      <c r="P119" s="480">
        <f>H119*$F119*Svodka!$J$1</f>
        <v>0</v>
      </c>
      <c r="Q119" s="479">
        <f>I119*$F119*Svodka!$J$1</f>
        <v>0</v>
      </c>
      <c r="R119" s="479">
        <f>J119*$F119*Svodka!$J$1</f>
        <v>86000</v>
      </c>
      <c r="S119" s="479">
        <f>K119*$F119*Svodka!$J$1</f>
        <v>0</v>
      </c>
      <c r="T119" s="479">
        <f>L119*$F119*Svodka!$J$1</f>
        <v>0</v>
      </c>
      <c r="U119" s="481">
        <f>M119*$F119*Svodka!$J$1</f>
        <v>0</v>
      </c>
      <c r="V119" s="464" t="s">
        <v>18</v>
      </c>
      <c r="W119" s="466">
        <f t="shared" si="12"/>
        <v>86000</v>
      </c>
    </row>
    <row r="120" spans="1:23" ht="52.5">
      <c r="A120" s="443">
        <v>109</v>
      </c>
      <c r="B120" s="244">
        <v>23</v>
      </c>
      <c r="C120" s="13">
        <v>23</v>
      </c>
      <c r="D120" s="444" t="s">
        <v>113</v>
      </c>
      <c r="E120" s="299" t="s">
        <v>256</v>
      </c>
      <c r="F120" s="303">
        <f>'1 OP - Informační základna'!K37+'2 OP - Provoz'!K23</f>
        <v>38.3</v>
      </c>
      <c r="G120" s="303"/>
      <c r="H120" s="445">
        <v>0</v>
      </c>
      <c r="I120" s="446">
        <v>0</v>
      </c>
      <c r="J120" s="446">
        <v>0</v>
      </c>
      <c r="K120" s="446">
        <v>0</v>
      </c>
      <c r="L120" s="446">
        <v>0</v>
      </c>
      <c r="M120" s="447">
        <v>1</v>
      </c>
      <c r="N120" s="456">
        <f t="shared" si="11"/>
        <v>1</v>
      </c>
      <c r="O120" s="13" t="s">
        <v>114</v>
      </c>
      <c r="P120" s="480">
        <f>H120*$F120*Svodka!$J$1</f>
        <v>0</v>
      </c>
      <c r="Q120" s="479">
        <f>I120*$F120*Svodka!$J$1</f>
        <v>0</v>
      </c>
      <c r="R120" s="479">
        <f>J120*$F120*Svodka!$J$1</f>
        <v>0</v>
      </c>
      <c r="S120" s="479">
        <f>K120*$F120*Svodka!$J$1</f>
        <v>0</v>
      </c>
      <c r="T120" s="479">
        <f>L120*$F120*Svodka!$J$1</f>
        <v>0</v>
      </c>
      <c r="U120" s="481">
        <f>M120*$F120*Svodka!$J$1</f>
        <v>383000</v>
      </c>
      <c r="V120" s="464" t="s">
        <v>18</v>
      </c>
      <c r="W120" s="466">
        <f t="shared" si="12"/>
        <v>383000</v>
      </c>
    </row>
    <row r="121" spans="1:23" ht="26.25">
      <c r="A121" s="443">
        <v>110</v>
      </c>
      <c r="B121" s="244">
        <v>23</v>
      </c>
      <c r="C121" s="13">
        <v>29</v>
      </c>
      <c r="D121" s="444" t="s">
        <v>159</v>
      </c>
      <c r="E121" s="299" t="s">
        <v>256</v>
      </c>
      <c r="F121" s="303">
        <f>'2 OP - Provoz'!K10</f>
        <v>28.6</v>
      </c>
      <c r="G121" s="303"/>
      <c r="H121" s="445">
        <v>0</v>
      </c>
      <c r="I121" s="446">
        <v>0</v>
      </c>
      <c r="J121" s="446">
        <v>0</v>
      </c>
      <c r="K121" s="446">
        <v>0</v>
      </c>
      <c r="L121" s="446">
        <v>0</v>
      </c>
      <c r="M121" s="447">
        <v>1</v>
      </c>
      <c r="N121" s="456">
        <f t="shared" si="11"/>
        <v>1</v>
      </c>
      <c r="O121" s="13" t="s">
        <v>160</v>
      </c>
      <c r="P121" s="480">
        <f>H121*$F121*Svodka!$J$1</f>
        <v>0</v>
      </c>
      <c r="Q121" s="479">
        <f>I121*$F121*Svodka!$J$1</f>
        <v>0</v>
      </c>
      <c r="R121" s="479">
        <f>J121*$F121*Svodka!$J$1</f>
        <v>0</v>
      </c>
      <c r="S121" s="479">
        <f>K121*$F121*Svodka!$J$1</f>
        <v>0</v>
      </c>
      <c r="T121" s="479">
        <f>L121*$F121*Svodka!$J$1</f>
        <v>0</v>
      </c>
      <c r="U121" s="481">
        <f>M121*$F121*Svodka!$J$1</f>
        <v>286000</v>
      </c>
      <c r="V121" s="464" t="s">
        <v>18</v>
      </c>
      <c r="W121" s="466">
        <f t="shared" si="12"/>
        <v>286000</v>
      </c>
    </row>
    <row r="122" spans="1:23" ht="53.25" thickBot="1">
      <c r="A122" s="441">
        <v>111</v>
      </c>
      <c r="B122" s="245">
        <v>23</v>
      </c>
      <c r="C122" s="15">
        <v>30</v>
      </c>
      <c r="D122" s="442" t="s">
        <v>174</v>
      </c>
      <c r="E122" s="380" t="s">
        <v>256</v>
      </c>
      <c r="F122" s="381">
        <f>'2 OP - Provoz'!K18</f>
        <v>68.6</v>
      </c>
      <c r="G122" s="381"/>
      <c r="H122" s="471">
        <v>0</v>
      </c>
      <c r="I122" s="472">
        <v>0</v>
      </c>
      <c r="J122" s="472">
        <v>0</v>
      </c>
      <c r="K122" s="472">
        <v>0</v>
      </c>
      <c r="L122" s="472">
        <v>0</v>
      </c>
      <c r="M122" s="473">
        <v>1</v>
      </c>
      <c r="N122" s="474">
        <f t="shared" si="11"/>
        <v>1</v>
      </c>
      <c r="O122" s="15" t="s">
        <v>19</v>
      </c>
      <c r="P122" s="482">
        <f>H122*$F122*Svodka!$J$1</f>
        <v>0</v>
      </c>
      <c r="Q122" s="483">
        <f>I122*$F122*Svodka!$J$1</f>
        <v>0</v>
      </c>
      <c r="R122" s="483">
        <f>J122*$F122*Svodka!$J$1</f>
        <v>0</v>
      </c>
      <c r="S122" s="483">
        <f>K122*$F122*Svodka!$J$1</f>
        <v>0</v>
      </c>
      <c r="T122" s="483">
        <f>L122*$F122*Svodka!$J$1</f>
        <v>0</v>
      </c>
      <c r="U122" s="484">
        <f>M122*$F122*Svodka!$J$1</f>
        <v>686000</v>
      </c>
      <c r="V122" s="465" t="s">
        <v>18</v>
      </c>
      <c r="W122" s="467">
        <f t="shared" si="12"/>
        <v>686000</v>
      </c>
    </row>
    <row r="123" spans="4:23" ht="13.5" thickBot="1">
      <c r="D123" s="382" t="s">
        <v>294</v>
      </c>
      <c r="E123" s="383"/>
      <c r="F123" s="384">
        <f>SUM(F12:F122)</f>
        <v>2879.999999999998</v>
      </c>
      <c r="G123" s="470">
        <f aca="true" t="shared" si="13" ref="G123:N123">SUM(G12:G122)</f>
        <v>2880.0000000000005</v>
      </c>
      <c r="H123" s="475">
        <f t="shared" si="13"/>
        <v>13</v>
      </c>
      <c r="I123" s="476">
        <f t="shared" si="13"/>
        <v>8</v>
      </c>
      <c r="J123" s="476">
        <f t="shared" si="13"/>
        <v>19</v>
      </c>
      <c r="K123" s="476">
        <f t="shared" si="13"/>
        <v>15</v>
      </c>
      <c r="L123" s="476">
        <f t="shared" si="13"/>
        <v>20</v>
      </c>
      <c r="M123" s="476">
        <f t="shared" si="13"/>
        <v>36</v>
      </c>
      <c r="N123" s="477">
        <f t="shared" si="13"/>
        <v>111</v>
      </c>
      <c r="P123" s="238">
        <f aca="true" t="shared" si="14" ref="P123:U123">SUM(P12:P122)</f>
        <v>2347900</v>
      </c>
      <c r="Q123" s="238">
        <f t="shared" si="14"/>
        <v>1385900</v>
      </c>
      <c r="R123" s="238">
        <f t="shared" si="14"/>
        <v>2999200</v>
      </c>
      <c r="S123" s="238">
        <f t="shared" si="14"/>
        <v>4530000</v>
      </c>
      <c r="T123" s="238">
        <f t="shared" si="14"/>
        <v>4916600</v>
      </c>
      <c r="U123" s="238">
        <f t="shared" si="14"/>
        <v>12620400</v>
      </c>
      <c r="W123" s="139">
        <f>SUM(W12:W122)</f>
        <v>28800000</v>
      </c>
    </row>
    <row r="124" spans="5:23" ht="12.75">
      <c r="E124" s="18" t="s">
        <v>186</v>
      </c>
      <c r="M124" s="372">
        <f>SUM(H123:M123)</f>
        <v>111</v>
      </c>
      <c r="N124" s="372">
        <f>N123-M124</f>
        <v>0</v>
      </c>
      <c r="V124" s="18" t="s">
        <v>186</v>
      </c>
      <c r="W124" s="139">
        <f>SUM(P123:U123)-W123</f>
        <v>0</v>
      </c>
    </row>
    <row r="125" ht="12.75">
      <c r="E125" s="18"/>
    </row>
  </sheetData>
  <autoFilter ref="A11:W124"/>
  <printOptions horizontalCentered="1"/>
  <pageMargins left="0.2362204724409449" right="0.15748031496062992" top="0.4330708661417323" bottom="0.35433070866141736" header="0.2755905511811024" footer="0.2362204724409449"/>
  <pageSetup horizontalDpi="600" verticalDpi="600" orientation="portrait" paperSize="9" scale="70" r:id="rId1"/>
</worksheet>
</file>

<file path=xl/worksheets/sheet4.xml><?xml version="1.0" encoding="utf-8"?>
<worksheet xmlns="http://schemas.openxmlformats.org/spreadsheetml/2006/main" xmlns:r="http://schemas.openxmlformats.org/officeDocument/2006/relationships">
  <dimension ref="A1:X97"/>
  <sheetViews>
    <sheetView workbookViewId="0" topLeftCell="E1">
      <selection activeCell="H19" sqref="H19"/>
    </sheetView>
  </sheetViews>
  <sheetFormatPr defaultColWidth="9.140625" defaultRowHeight="12.75"/>
  <cols>
    <col min="1" max="1" width="41.28125" style="0" customWidth="1"/>
    <col min="2" max="2" width="17.7109375" style="0" customWidth="1"/>
    <col min="3" max="3" width="16.28125" style="0" customWidth="1"/>
    <col min="4" max="5" width="27.28125" style="0" customWidth="1"/>
    <col min="6" max="6" width="12.57421875" style="0" customWidth="1"/>
    <col min="7" max="7" width="42.00390625" style="0" customWidth="1"/>
    <col min="8" max="8" width="14.00390625" style="0" customWidth="1"/>
    <col min="9" max="9" width="8.57421875" style="0" customWidth="1"/>
    <col min="10" max="11" width="12.7109375" style="0" customWidth="1"/>
    <col min="12" max="12" width="7.7109375" style="0" customWidth="1"/>
    <col min="13" max="13" width="11.421875" style="139" customWidth="1"/>
    <col min="14" max="14" width="11.28125" style="139" customWidth="1"/>
    <col min="16" max="16" width="11.421875" style="0" customWidth="1"/>
    <col min="17" max="17" width="10.28125" style="0" customWidth="1"/>
    <col min="18" max="18" width="7.7109375" style="0" customWidth="1"/>
    <col min="19" max="19" width="12.00390625" style="0" customWidth="1"/>
    <col min="20" max="20" width="11.7109375" style="0" customWidth="1"/>
    <col min="24" max="24" width="94.28125" style="0" customWidth="1"/>
  </cols>
  <sheetData>
    <row r="1" spans="1:7" ht="18" thickBot="1">
      <c r="A1" s="143" t="s">
        <v>307</v>
      </c>
      <c r="B1" s="157" t="s">
        <v>308</v>
      </c>
      <c r="C1" s="158">
        <f>C4+C11+C24+C34+C42+C47</f>
        <v>95</v>
      </c>
      <c r="D1" s="159"/>
      <c r="E1" s="159"/>
      <c r="F1" s="159"/>
      <c r="G1" s="143" t="s">
        <v>96</v>
      </c>
    </row>
    <row r="2" spans="1:20" ht="13.5" thickBot="1">
      <c r="A2" s="160"/>
      <c r="B2" s="161"/>
      <c r="C2" s="159"/>
      <c r="D2" s="159"/>
      <c r="E2" s="159"/>
      <c r="F2" s="159"/>
      <c r="G2" s="158" t="s">
        <v>408</v>
      </c>
      <c r="I2" s="649" t="s">
        <v>480</v>
      </c>
      <c r="J2" s="639" t="s">
        <v>4</v>
      </c>
      <c r="L2" s="377" t="s">
        <v>480</v>
      </c>
      <c r="M2" s="139" t="s">
        <v>267</v>
      </c>
      <c r="O2" s="377" t="s">
        <v>480</v>
      </c>
      <c r="P2" s="139" t="s">
        <v>285</v>
      </c>
      <c r="Q2" s="139"/>
      <c r="R2" s="377" t="s">
        <v>480</v>
      </c>
      <c r="S2" s="139" t="s">
        <v>286</v>
      </c>
      <c r="T2" s="139"/>
    </row>
    <row r="3" spans="1:24" ht="14.25" thickBot="1">
      <c r="A3" s="162" t="s">
        <v>309</v>
      </c>
      <c r="B3" s="163" t="s">
        <v>310</v>
      </c>
      <c r="C3" s="163" t="s">
        <v>311</v>
      </c>
      <c r="D3" s="164" t="s">
        <v>312</v>
      </c>
      <c r="E3" s="565"/>
      <c r="F3" s="157"/>
      <c r="G3" s="580" t="s">
        <v>393</v>
      </c>
      <c r="H3" s="640">
        <v>30075000</v>
      </c>
      <c r="I3" s="248">
        <v>1</v>
      </c>
      <c r="J3" s="592">
        <v>30075000</v>
      </c>
      <c r="K3" s="272"/>
      <c r="L3" s="578">
        <v>0</v>
      </c>
      <c r="M3" s="355">
        <f>$H$3*L3</f>
        <v>0</v>
      </c>
      <c r="O3" s="315">
        <v>0</v>
      </c>
      <c r="P3" s="355">
        <f>$H$3*O3</f>
        <v>0</v>
      </c>
      <c r="Q3" s="139"/>
      <c r="R3" s="315">
        <v>0</v>
      </c>
      <c r="S3" s="355">
        <f>$H$3*R3</f>
        <v>0</v>
      </c>
      <c r="T3" s="139"/>
      <c r="X3" s="142" t="s">
        <v>297</v>
      </c>
    </row>
    <row r="4" spans="1:24" ht="14.25" thickBot="1">
      <c r="A4" s="165" t="s">
        <v>313</v>
      </c>
      <c r="B4" s="166" t="s">
        <v>314</v>
      </c>
      <c r="C4" s="167">
        <f>SUM(C5:C10)</f>
        <v>25</v>
      </c>
      <c r="D4" s="168"/>
      <c r="E4" s="566"/>
      <c r="F4" s="158"/>
      <c r="G4" s="581" t="s">
        <v>394</v>
      </c>
      <c r="H4" s="641">
        <v>4462900</v>
      </c>
      <c r="I4" s="248">
        <v>1</v>
      </c>
      <c r="J4" s="592">
        <v>4462900</v>
      </c>
      <c r="K4" s="272"/>
      <c r="L4" s="579">
        <v>0</v>
      </c>
      <c r="M4" s="355">
        <f>$H$4*L4</f>
        <v>0</v>
      </c>
      <c r="O4" s="41">
        <v>0</v>
      </c>
      <c r="P4" s="355">
        <f>$H$4*O4</f>
        <v>0</v>
      </c>
      <c r="Q4" s="139"/>
      <c r="R4" s="41">
        <v>0</v>
      </c>
      <c r="S4" s="355">
        <f>$H$4*R4</f>
        <v>0</v>
      </c>
      <c r="T4" s="139"/>
      <c r="X4" s="142" t="s">
        <v>298</v>
      </c>
    </row>
    <row r="5" spans="1:24" ht="14.25" thickBot="1">
      <c r="A5" s="169" t="s">
        <v>315</v>
      </c>
      <c r="B5" s="170"/>
      <c r="C5" s="171">
        <v>8</v>
      </c>
      <c r="D5" s="172"/>
      <c r="E5" s="567"/>
      <c r="F5" s="159"/>
      <c r="G5" s="582" t="s">
        <v>395</v>
      </c>
      <c r="H5" s="642">
        <v>6069600</v>
      </c>
      <c r="I5" s="248">
        <v>1</v>
      </c>
      <c r="J5" s="592">
        <v>6069600</v>
      </c>
      <c r="K5" s="272"/>
      <c r="L5" s="579">
        <v>0</v>
      </c>
      <c r="M5" s="355">
        <f>$H$5*L5</f>
        <v>0</v>
      </c>
      <c r="O5" s="41">
        <v>0</v>
      </c>
      <c r="P5" s="355">
        <f>$H$5*O5</f>
        <v>0</v>
      </c>
      <c r="Q5" s="139"/>
      <c r="R5" s="41">
        <v>1</v>
      </c>
      <c r="S5" s="355">
        <f>$H$5*R5</f>
        <v>6069600</v>
      </c>
      <c r="T5" s="139"/>
      <c r="X5" s="142" t="s">
        <v>299</v>
      </c>
    </row>
    <row r="6" spans="1:24" ht="14.25" thickBot="1">
      <c r="A6" s="173" t="s">
        <v>316</v>
      </c>
      <c r="B6" s="174"/>
      <c r="C6" s="175">
        <v>6</v>
      </c>
      <c r="D6" s="176"/>
      <c r="E6" s="567"/>
      <c r="F6" s="159"/>
      <c r="G6" s="583" t="s">
        <v>396</v>
      </c>
      <c r="H6" s="643">
        <v>7505200</v>
      </c>
      <c r="I6" s="248">
        <v>1</v>
      </c>
      <c r="J6" s="592">
        <v>7505200</v>
      </c>
      <c r="K6" s="272"/>
      <c r="L6" s="579">
        <v>0</v>
      </c>
      <c r="M6" s="355">
        <f>$H$6*L6</f>
        <v>0</v>
      </c>
      <c r="O6" s="41">
        <v>0</v>
      </c>
      <c r="P6" s="355">
        <f>$H$6*O6</f>
        <v>0</v>
      </c>
      <c r="Q6" s="139"/>
      <c r="R6" s="41">
        <v>0</v>
      </c>
      <c r="S6" s="355">
        <f>$H$6*R6</f>
        <v>0</v>
      </c>
      <c r="T6" s="139"/>
      <c r="X6" s="142" t="s">
        <v>300</v>
      </c>
    </row>
    <row r="7" spans="1:24" ht="14.25" thickBot="1">
      <c r="A7" s="173" t="s">
        <v>317</v>
      </c>
      <c r="B7" s="174"/>
      <c r="C7" s="175">
        <v>4</v>
      </c>
      <c r="D7" s="176"/>
      <c r="E7" s="567"/>
      <c r="F7" s="694"/>
      <c r="G7" s="584" t="s">
        <v>397</v>
      </c>
      <c r="H7" s="644">
        <v>73223469.26409501</v>
      </c>
      <c r="I7" s="248">
        <v>1</v>
      </c>
      <c r="J7" s="592">
        <v>73223469.26409501</v>
      </c>
      <c r="K7" s="272"/>
      <c r="L7" s="579">
        <v>0</v>
      </c>
      <c r="M7" s="355">
        <f>$H$7*L7</f>
        <v>0</v>
      </c>
      <c r="O7" s="41">
        <v>0</v>
      </c>
      <c r="P7" s="355">
        <f>$H$7*O7</f>
        <v>0</v>
      </c>
      <c r="Q7" s="139"/>
      <c r="R7" s="41">
        <v>0</v>
      </c>
      <c r="S7" s="355">
        <f>$H$7*R7</f>
        <v>0</v>
      </c>
      <c r="T7" s="139"/>
      <c r="X7" s="142" t="s">
        <v>301</v>
      </c>
    </row>
    <row r="8" spans="1:24" ht="14.25" thickBot="1">
      <c r="A8" s="173" t="s">
        <v>366</v>
      </c>
      <c r="B8" s="174"/>
      <c r="C8" s="175">
        <v>2</v>
      </c>
      <c r="D8" s="176"/>
      <c r="E8" s="567"/>
      <c r="F8" s="693"/>
      <c r="G8" s="585" t="s">
        <v>294</v>
      </c>
      <c r="H8" s="645">
        <f>SUM(H3:H7)</f>
        <v>121336169.26409501</v>
      </c>
      <c r="I8" s="248"/>
      <c r="J8" s="593"/>
      <c r="K8" s="576"/>
      <c r="L8" s="579"/>
      <c r="M8" s="145"/>
      <c r="O8" s="41"/>
      <c r="P8" s="145"/>
      <c r="Q8" s="139"/>
      <c r="R8" s="41"/>
      <c r="S8" s="145"/>
      <c r="T8" s="139"/>
      <c r="X8" s="142" t="s">
        <v>302</v>
      </c>
    </row>
    <row r="9" spans="1:24" ht="14.25" thickBot="1">
      <c r="A9" s="173" t="s">
        <v>318</v>
      </c>
      <c r="B9" s="174"/>
      <c r="C9" s="175">
        <v>0</v>
      </c>
      <c r="D9" s="176"/>
      <c r="E9" s="567"/>
      <c r="F9" s="159"/>
      <c r="G9" s="586" t="s">
        <v>398</v>
      </c>
      <c r="H9" s="646">
        <f>4*2000000</f>
        <v>8000000</v>
      </c>
      <c r="I9" s="248">
        <v>1</v>
      </c>
      <c r="J9" s="592">
        <v>8000000</v>
      </c>
      <c r="K9" s="272"/>
      <c r="L9" s="579">
        <v>1</v>
      </c>
      <c r="M9" s="355">
        <f>$H$9*L9</f>
        <v>8000000</v>
      </c>
      <c r="O9" s="41">
        <v>1</v>
      </c>
      <c r="P9" s="355">
        <f>$H$9*O9</f>
        <v>8000000</v>
      </c>
      <c r="Q9" s="139"/>
      <c r="R9" s="41">
        <v>1</v>
      </c>
      <c r="S9" s="355">
        <f>$H$9*R9</f>
        <v>8000000</v>
      </c>
      <c r="T9" s="139"/>
      <c r="X9" s="142" t="s">
        <v>303</v>
      </c>
    </row>
    <row r="10" spans="1:24" ht="14.25" thickBot="1">
      <c r="A10" s="177" t="s">
        <v>319</v>
      </c>
      <c r="B10" s="178"/>
      <c r="C10" s="179">
        <v>5</v>
      </c>
      <c r="D10" s="180"/>
      <c r="E10" s="568"/>
      <c r="F10" s="694"/>
      <c r="G10" s="587" t="s">
        <v>399</v>
      </c>
      <c r="H10" s="647">
        <f>8000000</f>
        <v>8000000</v>
      </c>
      <c r="I10" s="248">
        <v>1</v>
      </c>
      <c r="J10" s="592">
        <v>8000000</v>
      </c>
      <c r="K10" s="492"/>
      <c r="L10" s="579">
        <v>0</v>
      </c>
      <c r="M10" s="355">
        <f>$H$10*L10</f>
        <v>0</v>
      </c>
      <c r="O10" s="41">
        <v>0</v>
      </c>
      <c r="P10" s="355">
        <f>$H$10*O10</f>
        <v>0</v>
      </c>
      <c r="Q10" s="139"/>
      <c r="R10" s="41">
        <v>0</v>
      </c>
      <c r="S10" s="355">
        <f>$H$10*R10</f>
        <v>0</v>
      </c>
      <c r="T10" s="139"/>
      <c r="X10" s="142" t="s">
        <v>304</v>
      </c>
    </row>
    <row r="11" spans="1:24" ht="14.25" thickBot="1">
      <c r="A11" s="165" t="s">
        <v>320</v>
      </c>
      <c r="B11" s="166" t="s">
        <v>314</v>
      </c>
      <c r="C11" s="167">
        <f>SUM(C12:C23)</f>
        <v>26</v>
      </c>
      <c r="D11" s="168"/>
      <c r="E11" s="566"/>
      <c r="F11" s="158"/>
      <c r="G11" s="587" t="s">
        <v>400</v>
      </c>
      <c r="H11" s="647">
        <v>4130000</v>
      </c>
      <c r="I11" s="248">
        <v>1</v>
      </c>
      <c r="J11" s="592">
        <v>4130000</v>
      </c>
      <c r="K11" s="492"/>
      <c r="L11" s="579">
        <v>0</v>
      </c>
      <c r="M11" s="355">
        <f>$H$11*L11</f>
        <v>0</v>
      </c>
      <c r="O11" s="41">
        <v>1</v>
      </c>
      <c r="P11" s="355">
        <f>$H$11*O11</f>
        <v>4130000</v>
      </c>
      <c r="Q11" s="139"/>
      <c r="R11" s="41">
        <v>1</v>
      </c>
      <c r="S11" s="355">
        <f>$H$11*R11</f>
        <v>4130000</v>
      </c>
      <c r="T11" s="139"/>
      <c r="X11" s="142" t="s">
        <v>305</v>
      </c>
    </row>
    <row r="12" spans="1:24" ht="14.25" thickBot="1">
      <c r="A12" s="169" t="s">
        <v>321</v>
      </c>
      <c r="B12" s="170"/>
      <c r="C12" s="171">
        <v>12</v>
      </c>
      <c r="D12" s="172"/>
      <c r="E12" s="567"/>
      <c r="F12" s="159"/>
      <c r="G12" s="587" t="s">
        <v>401</v>
      </c>
      <c r="H12" s="647">
        <v>0</v>
      </c>
      <c r="I12" s="248">
        <v>1</v>
      </c>
      <c r="J12" s="592">
        <v>0</v>
      </c>
      <c r="K12" s="492"/>
      <c r="L12" s="579">
        <v>0</v>
      </c>
      <c r="M12" s="355">
        <f>$H$12*L12</f>
        <v>0</v>
      </c>
      <c r="O12" s="41">
        <v>0</v>
      </c>
      <c r="P12" s="355">
        <f>$H$12*O12</f>
        <v>0</v>
      </c>
      <c r="Q12" s="139"/>
      <c r="R12" s="41">
        <v>0</v>
      </c>
      <c r="S12" s="355">
        <f>$H$12*R12</f>
        <v>0</v>
      </c>
      <c r="T12" s="139"/>
      <c r="X12" s="142" t="s">
        <v>306</v>
      </c>
    </row>
    <row r="13" spans="1:20" ht="13.5" thickBot="1">
      <c r="A13" s="173" t="s">
        <v>322</v>
      </c>
      <c r="B13" s="174"/>
      <c r="C13" s="175">
        <v>0</v>
      </c>
      <c r="D13" s="176"/>
      <c r="E13" s="567"/>
      <c r="F13" s="159"/>
      <c r="G13" s="587" t="s">
        <v>402</v>
      </c>
      <c r="H13" s="647">
        <v>3500000</v>
      </c>
      <c r="I13" s="248">
        <v>1</v>
      </c>
      <c r="J13" s="592">
        <v>3500000</v>
      </c>
      <c r="K13" s="492"/>
      <c r="L13" s="577">
        <v>0</v>
      </c>
      <c r="M13" s="355">
        <f>$H$13*L13</f>
        <v>0</v>
      </c>
      <c r="N13" s="378">
        <f>SUM(M3:M13)</f>
        <v>8000000</v>
      </c>
      <c r="O13" s="41">
        <v>0</v>
      </c>
      <c r="P13" s="355">
        <f>$H$13*O13</f>
        <v>0</v>
      </c>
      <c r="Q13" s="378">
        <f>SUM(P3:P13)</f>
        <v>12130000</v>
      </c>
      <c r="R13" s="41">
        <v>0</v>
      </c>
      <c r="S13" s="355">
        <f>$H$13*R13</f>
        <v>0</v>
      </c>
      <c r="T13" s="378">
        <f>SUM(S3:S13)</f>
        <v>18199600</v>
      </c>
    </row>
    <row r="14" spans="1:20" ht="13.5" thickBot="1">
      <c r="A14" s="173" t="s">
        <v>323</v>
      </c>
      <c r="B14" s="174"/>
      <c r="C14" s="175">
        <v>0</v>
      </c>
      <c r="D14" s="176"/>
      <c r="E14" s="567"/>
      <c r="F14" s="159"/>
      <c r="G14" s="588" t="s">
        <v>403</v>
      </c>
      <c r="H14" s="648">
        <v>14982944</v>
      </c>
      <c r="I14" s="249">
        <v>1</v>
      </c>
      <c r="J14" s="592">
        <v>14982944</v>
      </c>
      <c r="K14" s="492"/>
      <c r="L14" s="577">
        <v>1</v>
      </c>
      <c r="M14" s="355">
        <f>N13*0.15</f>
        <v>1200000</v>
      </c>
      <c r="O14" s="43">
        <v>1</v>
      </c>
      <c r="P14" s="355">
        <f>Q13*0.15</f>
        <v>1819500</v>
      </c>
      <c r="Q14" s="139"/>
      <c r="R14" s="43">
        <v>1</v>
      </c>
      <c r="S14" s="355">
        <f>T13*0.15</f>
        <v>2729940</v>
      </c>
      <c r="T14" s="139"/>
    </row>
    <row r="15" spans="1:20" ht="13.5" thickBot="1">
      <c r="A15" s="173" t="s">
        <v>367</v>
      </c>
      <c r="B15" s="174"/>
      <c r="C15" s="175">
        <v>0</v>
      </c>
      <c r="D15" s="176"/>
      <c r="E15" s="567"/>
      <c r="F15" s="159"/>
      <c r="G15" s="181" t="s">
        <v>294</v>
      </c>
      <c r="H15" s="147">
        <f>SUM(H8:H14)</f>
        <v>159949113.264095</v>
      </c>
      <c r="J15" s="379">
        <v>159949113.264095</v>
      </c>
      <c r="K15" s="545"/>
      <c r="M15" s="379">
        <f>SUM(M3:M14)</f>
        <v>9200000</v>
      </c>
      <c r="P15" s="379">
        <f>SUM(P3:P14)</f>
        <v>13949500</v>
      </c>
      <c r="Q15" s="139"/>
      <c r="S15" s="379">
        <f>SUM(S3:S14)</f>
        <v>20929540</v>
      </c>
      <c r="T15" s="139"/>
    </row>
    <row r="16" spans="1:19" ht="12.75">
      <c r="A16" s="173" t="s">
        <v>324</v>
      </c>
      <c r="B16" s="174"/>
      <c r="C16" s="175">
        <v>4</v>
      </c>
      <c r="D16" s="176"/>
      <c r="E16" s="567"/>
      <c r="F16" s="159"/>
      <c r="G16" s="159"/>
      <c r="H16" s="139">
        <f>M16+P16+S16+M32+P32+S32</f>
        <v>159949113.264095</v>
      </c>
      <c r="I16" s="139" t="s">
        <v>97</v>
      </c>
      <c r="J16" s="139">
        <v>19005200</v>
      </c>
      <c r="K16" s="139"/>
      <c r="L16" t="s">
        <v>97</v>
      </c>
      <c r="M16" s="494">
        <f>M15</f>
        <v>9200000</v>
      </c>
      <c r="O16" t="s">
        <v>97</v>
      </c>
      <c r="P16" s="494">
        <f>P15-M15</f>
        <v>4749500</v>
      </c>
      <c r="R16" t="s">
        <v>97</v>
      </c>
      <c r="S16" s="494">
        <f>S15-P15</f>
        <v>6980040</v>
      </c>
    </row>
    <row r="17" spans="1:11" ht="12.75">
      <c r="A17" s="173" t="s">
        <v>325</v>
      </c>
      <c r="B17" s="174"/>
      <c r="C17" s="175">
        <v>1</v>
      </c>
      <c r="D17" s="176"/>
      <c r="E17" s="567"/>
      <c r="F17" s="159"/>
      <c r="G17" s="159"/>
      <c r="H17" s="139"/>
      <c r="K17" s="139"/>
    </row>
    <row r="18" spans="1:20" ht="14.25" thickBot="1">
      <c r="A18" s="173" t="s">
        <v>326</v>
      </c>
      <c r="B18" s="174"/>
      <c r="C18" s="175">
        <v>1</v>
      </c>
      <c r="D18" s="176"/>
      <c r="E18" s="567"/>
      <c r="F18" s="159"/>
      <c r="G18" s="358" t="s">
        <v>262</v>
      </c>
      <c r="I18" s="139"/>
      <c r="L18" s="377" t="s">
        <v>480</v>
      </c>
      <c r="M18" s="139" t="s">
        <v>287</v>
      </c>
      <c r="O18" s="377" t="s">
        <v>480</v>
      </c>
      <c r="P18" s="139" t="s">
        <v>288</v>
      </c>
      <c r="Q18" s="139"/>
      <c r="R18" s="377" t="s">
        <v>480</v>
      </c>
      <c r="S18" s="139" t="s">
        <v>4</v>
      </c>
      <c r="T18" s="139"/>
    </row>
    <row r="19" spans="1:20" ht="14.25" thickBot="1">
      <c r="A19" s="173" t="s">
        <v>404</v>
      </c>
      <c r="B19" s="174"/>
      <c r="C19" s="175">
        <v>3</v>
      </c>
      <c r="D19" s="176"/>
      <c r="E19" s="567"/>
      <c r="F19" s="159"/>
      <c r="G19" s="358" t="s">
        <v>263</v>
      </c>
      <c r="L19" s="315">
        <v>0</v>
      </c>
      <c r="M19" s="355">
        <f>$H$3*L19</f>
        <v>0</v>
      </c>
      <c r="O19" s="315">
        <v>1</v>
      </c>
      <c r="P19" s="355">
        <f>$H$3*O19</f>
        <v>30075000</v>
      </c>
      <c r="Q19" s="139"/>
      <c r="R19" s="315">
        <v>1</v>
      </c>
      <c r="S19" s="355">
        <f>$H$3*R19</f>
        <v>30075000</v>
      </c>
      <c r="T19" s="139"/>
    </row>
    <row r="20" spans="1:20" ht="14.25" thickBot="1">
      <c r="A20" s="173" t="s">
        <v>405</v>
      </c>
      <c r="B20" s="174"/>
      <c r="C20" s="175">
        <v>2</v>
      </c>
      <c r="D20" s="182"/>
      <c r="E20" s="569"/>
      <c r="F20" s="159"/>
      <c r="G20" s="358" t="s">
        <v>264</v>
      </c>
      <c r="L20" s="41">
        <v>0</v>
      </c>
      <c r="M20" s="355">
        <f>$H$4*L20</f>
        <v>0</v>
      </c>
      <c r="O20" s="41">
        <v>1</v>
      </c>
      <c r="P20" s="355">
        <f>$H$4*O20</f>
        <v>4462900</v>
      </c>
      <c r="Q20" s="139"/>
      <c r="R20" s="41">
        <v>1</v>
      </c>
      <c r="S20" s="355">
        <f>$H$4*R20</f>
        <v>4462900</v>
      </c>
      <c r="T20" s="139"/>
    </row>
    <row r="21" spans="1:20" ht="14.25" thickBot="1">
      <c r="A21" s="173" t="s">
        <v>368</v>
      </c>
      <c r="B21" s="174"/>
      <c r="C21" s="175">
        <v>1</v>
      </c>
      <c r="D21" s="182" t="s">
        <v>371</v>
      </c>
      <c r="E21" s="569"/>
      <c r="F21" s="159"/>
      <c r="G21" s="358" t="s">
        <v>265</v>
      </c>
      <c r="L21" s="41">
        <v>1</v>
      </c>
      <c r="M21" s="355">
        <f>$H$5*L21</f>
        <v>6069600</v>
      </c>
      <c r="O21" s="41">
        <v>1</v>
      </c>
      <c r="P21" s="355">
        <f>$H$5*O21</f>
        <v>6069600</v>
      </c>
      <c r="Q21" s="139"/>
      <c r="R21" s="41">
        <v>1</v>
      </c>
      <c r="S21" s="355">
        <f>$H$5*R21</f>
        <v>6069600</v>
      </c>
      <c r="T21" s="139"/>
    </row>
    <row r="22" spans="1:20" ht="14.25" thickBot="1">
      <c r="A22" s="173" t="s">
        <v>368</v>
      </c>
      <c r="B22" s="174"/>
      <c r="C22" s="175">
        <v>1</v>
      </c>
      <c r="D22" s="182" t="s">
        <v>369</v>
      </c>
      <c r="E22" s="569"/>
      <c r="F22" s="159"/>
      <c r="G22" s="358" t="s">
        <v>266</v>
      </c>
      <c r="L22" s="41">
        <v>0</v>
      </c>
      <c r="M22" s="355">
        <f>$H$6*L22</f>
        <v>0</v>
      </c>
      <c r="O22" s="41">
        <v>0</v>
      </c>
      <c r="P22" s="355">
        <f>$H$6*O22</f>
        <v>0</v>
      </c>
      <c r="Q22" s="139"/>
      <c r="R22" s="41">
        <v>1</v>
      </c>
      <c r="S22" s="355">
        <f>$H$6*R22</f>
        <v>7505200</v>
      </c>
      <c r="T22" s="139"/>
    </row>
    <row r="23" spans="1:20" ht="13.5" thickBot="1">
      <c r="A23" s="177" t="s">
        <v>368</v>
      </c>
      <c r="B23" s="178"/>
      <c r="C23" s="179">
        <v>1</v>
      </c>
      <c r="D23" s="183" t="s">
        <v>370</v>
      </c>
      <c r="E23" s="569"/>
      <c r="F23" s="159"/>
      <c r="L23" s="41">
        <v>1</v>
      </c>
      <c r="M23" s="355">
        <f>$H$7*L23</f>
        <v>73223469.26409501</v>
      </c>
      <c r="O23" s="41">
        <v>1</v>
      </c>
      <c r="P23" s="355">
        <f>$H$7*O23</f>
        <v>73223469.26409501</v>
      </c>
      <c r="Q23" s="139"/>
      <c r="R23" s="41">
        <v>1</v>
      </c>
      <c r="S23" s="355">
        <f>$H$7*R23</f>
        <v>73223469.26409501</v>
      </c>
      <c r="T23" s="139"/>
    </row>
    <row r="24" spans="1:20" ht="53.25" thickBot="1">
      <c r="A24" s="165" t="s">
        <v>328</v>
      </c>
      <c r="B24" s="166" t="s">
        <v>314</v>
      </c>
      <c r="C24" s="167">
        <f>SUM(C25:C33)</f>
        <v>0</v>
      </c>
      <c r="D24" s="168"/>
      <c r="E24" s="575"/>
      <c r="F24" s="224" t="s">
        <v>210</v>
      </c>
      <c r="G24" s="547" t="s">
        <v>211</v>
      </c>
      <c r="H24" s="548" t="s">
        <v>203</v>
      </c>
      <c r="I24" s="549" t="s">
        <v>212</v>
      </c>
      <c r="J24" s="590" t="s">
        <v>213</v>
      </c>
      <c r="K24" s="589"/>
      <c r="L24" s="41"/>
      <c r="M24" s="145"/>
      <c r="O24" s="41"/>
      <c r="P24" s="145"/>
      <c r="Q24" s="139"/>
      <c r="R24" s="41"/>
      <c r="S24" s="145"/>
      <c r="T24" s="139"/>
    </row>
    <row r="25" spans="1:20" ht="13.5" thickBot="1">
      <c r="A25" s="184" t="s">
        <v>329</v>
      </c>
      <c r="B25" s="170"/>
      <c r="C25" s="185">
        <v>0</v>
      </c>
      <c r="D25" s="198"/>
      <c r="E25" s="570"/>
      <c r="F25" s="550" t="s">
        <v>267</v>
      </c>
      <c r="G25" s="551" t="s">
        <v>204</v>
      </c>
      <c r="H25" s="650">
        <f>M15</f>
        <v>9200000</v>
      </c>
      <c r="I25" s="651">
        <f>M16</f>
        <v>9200000</v>
      </c>
      <c r="J25" s="652">
        <f>M15-M15</f>
        <v>0</v>
      </c>
      <c r="K25" s="139"/>
      <c r="L25" s="41">
        <v>1</v>
      </c>
      <c r="M25" s="355">
        <f>$H$9*L25</f>
        <v>8000000</v>
      </c>
      <c r="O25" s="41">
        <v>1</v>
      </c>
      <c r="P25" s="355">
        <f>$H$9*O25</f>
        <v>8000000</v>
      </c>
      <c r="Q25" s="139"/>
      <c r="R25" s="41">
        <v>1</v>
      </c>
      <c r="S25" s="355">
        <f>$H$9*R25</f>
        <v>8000000</v>
      </c>
      <c r="T25" s="139"/>
    </row>
    <row r="26" spans="1:20" ht="13.5" thickBot="1">
      <c r="A26" s="186" t="s">
        <v>330</v>
      </c>
      <c r="B26" s="174"/>
      <c r="C26" s="187">
        <v>0</v>
      </c>
      <c r="D26" s="176"/>
      <c r="E26" s="571"/>
      <c r="F26" s="553" t="s">
        <v>285</v>
      </c>
      <c r="G26" s="554" t="s">
        <v>205</v>
      </c>
      <c r="H26" s="653">
        <f>P15</f>
        <v>13949500</v>
      </c>
      <c r="I26" s="654">
        <f>P16</f>
        <v>4749500</v>
      </c>
      <c r="J26" s="655">
        <f>P15-M15</f>
        <v>4749500</v>
      </c>
      <c r="L26" s="41">
        <v>1</v>
      </c>
      <c r="M26" s="355">
        <f>$H$10*L26</f>
        <v>8000000</v>
      </c>
      <c r="O26" s="41">
        <v>0</v>
      </c>
      <c r="P26" s="355">
        <f>$H$10*O26</f>
        <v>0</v>
      </c>
      <c r="Q26" s="139"/>
      <c r="R26" s="41">
        <v>1</v>
      </c>
      <c r="S26" s="355">
        <f>$H$10*R26</f>
        <v>8000000</v>
      </c>
      <c r="T26" s="139"/>
    </row>
    <row r="27" spans="1:20" ht="13.5" thickBot="1">
      <c r="A27" s="186" t="s">
        <v>331</v>
      </c>
      <c r="B27" s="174"/>
      <c r="C27" s="187">
        <v>0</v>
      </c>
      <c r="D27" s="176"/>
      <c r="E27" s="571"/>
      <c r="F27" s="555" t="s">
        <v>286</v>
      </c>
      <c r="G27" s="556" t="s">
        <v>206</v>
      </c>
      <c r="H27" s="653">
        <f>S15</f>
        <v>20929540</v>
      </c>
      <c r="I27" s="654">
        <f>S16</f>
        <v>6980040</v>
      </c>
      <c r="J27" s="655">
        <f>S15-M15</f>
        <v>11729540</v>
      </c>
      <c r="L27" s="41">
        <v>1</v>
      </c>
      <c r="M27" s="355">
        <f>$H$11*L27</f>
        <v>4130000</v>
      </c>
      <c r="O27" s="41">
        <v>1</v>
      </c>
      <c r="P27" s="355">
        <f>$H$11*O27</f>
        <v>4130000</v>
      </c>
      <c r="Q27" s="139"/>
      <c r="R27" s="41">
        <v>1</v>
      </c>
      <c r="S27" s="355">
        <f>$H$11*R27</f>
        <v>4130000</v>
      </c>
      <c r="T27" s="139"/>
    </row>
    <row r="28" spans="1:20" ht="13.5" thickBot="1">
      <c r="A28" s="186" t="s">
        <v>332</v>
      </c>
      <c r="B28" s="174"/>
      <c r="C28" s="187">
        <v>0</v>
      </c>
      <c r="D28" s="176"/>
      <c r="E28" s="571"/>
      <c r="F28" s="557" t="s">
        <v>287</v>
      </c>
      <c r="G28" s="558" t="s">
        <v>207</v>
      </c>
      <c r="H28" s="653">
        <f>M31</f>
        <v>114336529.65370926</v>
      </c>
      <c r="I28" s="654">
        <f>M32</f>
        <v>93406989.65370926</v>
      </c>
      <c r="J28" s="655">
        <f>M31-M15</f>
        <v>105136529.65370926</v>
      </c>
      <c r="L28" s="41">
        <v>0</v>
      </c>
      <c r="M28" s="355">
        <f>$H$12*L28</f>
        <v>0</v>
      </c>
      <c r="O28" s="41">
        <v>0</v>
      </c>
      <c r="P28" s="355">
        <f>$H$12*O28</f>
        <v>0</v>
      </c>
      <c r="Q28" s="139"/>
      <c r="R28" s="41">
        <v>1</v>
      </c>
      <c r="S28" s="355">
        <f>$H$12*R28</f>
        <v>0</v>
      </c>
      <c r="T28" s="492"/>
    </row>
    <row r="29" spans="1:20" ht="13.5" thickBot="1">
      <c r="A29" s="186" t="s">
        <v>333</v>
      </c>
      <c r="B29" s="174"/>
      <c r="C29" s="187">
        <v>0</v>
      </c>
      <c r="D29" s="176"/>
      <c r="E29" s="571"/>
      <c r="F29" s="559" t="s">
        <v>288</v>
      </c>
      <c r="G29" s="560" t="s">
        <v>208</v>
      </c>
      <c r="H29" s="653">
        <f>P31</f>
        <v>140943913.264095</v>
      </c>
      <c r="I29" s="654">
        <f>P32</f>
        <v>26607383.610385746</v>
      </c>
      <c r="J29" s="655">
        <f>P31-M15</f>
        <v>131743913.26409501</v>
      </c>
      <c r="L29" s="41">
        <v>0</v>
      </c>
      <c r="M29" s="355">
        <f>$H$13*L29</f>
        <v>0</v>
      </c>
      <c r="N29" s="378">
        <f>SUM(M19:M29)</f>
        <v>99423069.26409501</v>
      </c>
      <c r="O29" s="41">
        <v>0</v>
      </c>
      <c r="P29" s="493">
        <f>$H$13*O29</f>
        <v>0</v>
      </c>
      <c r="Q29" s="492"/>
      <c r="R29" s="41">
        <v>1</v>
      </c>
      <c r="S29" s="493">
        <f>$H$13*R29</f>
        <v>3500000</v>
      </c>
      <c r="T29" s="492"/>
    </row>
    <row r="30" spans="1:20" ht="13.5" thickBot="1">
      <c r="A30" s="186" t="s">
        <v>334</v>
      </c>
      <c r="B30" s="174"/>
      <c r="C30" s="187">
        <v>0</v>
      </c>
      <c r="D30" s="176"/>
      <c r="E30" s="572"/>
      <c r="F30" s="561" t="s">
        <v>4</v>
      </c>
      <c r="G30" s="562" t="s">
        <v>209</v>
      </c>
      <c r="H30" s="656">
        <f>S31</f>
        <v>159949113.264095</v>
      </c>
      <c r="I30" s="657">
        <f>S32</f>
        <v>19005200</v>
      </c>
      <c r="J30" s="658">
        <f>S31-M15</f>
        <v>150749113.264095</v>
      </c>
      <c r="L30" s="43">
        <v>1</v>
      </c>
      <c r="M30" s="355">
        <f>N29*0.15</f>
        <v>14913460.38961425</v>
      </c>
      <c r="O30" s="43">
        <v>1</v>
      </c>
      <c r="P30" s="355">
        <f>H14</f>
        <v>14982944</v>
      </c>
      <c r="Q30" s="139"/>
      <c r="R30" s="43">
        <v>1</v>
      </c>
      <c r="S30" s="355">
        <f>H14</f>
        <v>14982944</v>
      </c>
      <c r="T30" s="139"/>
    </row>
    <row r="31" spans="1:20" ht="13.5" thickBot="1">
      <c r="A31" s="186" t="s">
        <v>335</v>
      </c>
      <c r="B31" s="174"/>
      <c r="C31" s="187">
        <v>0</v>
      </c>
      <c r="D31" s="176"/>
      <c r="E31" s="567"/>
      <c r="F31" s="159"/>
      <c r="M31" s="379">
        <f>SUM(M19:M30)</f>
        <v>114336529.65370926</v>
      </c>
      <c r="P31" s="379">
        <f>SUM(P19:P30)</f>
        <v>140943913.264095</v>
      </c>
      <c r="Q31" s="139"/>
      <c r="S31" s="379">
        <f>SUM(S19:S30)</f>
        <v>159949113.264095</v>
      </c>
      <c r="T31" s="139"/>
    </row>
    <row r="32" spans="1:19" ht="12.75">
      <c r="A32" s="186" t="s">
        <v>336</v>
      </c>
      <c r="B32" s="174"/>
      <c r="C32" s="187">
        <v>0</v>
      </c>
      <c r="D32" s="176"/>
      <c r="E32" s="567"/>
      <c r="F32" s="159"/>
      <c r="L32" t="s">
        <v>97</v>
      </c>
      <c r="M32" s="494">
        <f>M31-S15</f>
        <v>93406989.65370926</v>
      </c>
      <c r="O32" t="s">
        <v>97</v>
      </c>
      <c r="P32" s="494">
        <f>P31-M31</f>
        <v>26607383.610385746</v>
      </c>
      <c r="R32" t="s">
        <v>97</v>
      </c>
      <c r="S32" s="494">
        <f>S31-P31</f>
        <v>19005200</v>
      </c>
    </row>
    <row r="33" spans="1:7" ht="13.5" thickBot="1">
      <c r="A33" s="186" t="s">
        <v>337</v>
      </c>
      <c r="B33" s="174"/>
      <c r="C33" s="187">
        <v>0</v>
      </c>
      <c r="D33" s="176"/>
      <c r="E33" s="567"/>
      <c r="F33" s="159"/>
      <c r="G33" s="159"/>
    </row>
    <row r="34" spans="1:7" ht="13.5" thickBot="1">
      <c r="A34" s="165" t="s">
        <v>338</v>
      </c>
      <c r="B34" s="166" t="s">
        <v>314</v>
      </c>
      <c r="C34" s="167">
        <f>SUM(C35:C41)</f>
        <v>18</v>
      </c>
      <c r="D34" s="168"/>
      <c r="E34" s="566"/>
      <c r="F34" s="158"/>
      <c r="G34" s="158"/>
    </row>
    <row r="35" spans="1:7" ht="13.5" thickBot="1">
      <c r="A35" s="169" t="s">
        <v>388</v>
      </c>
      <c r="B35" s="170"/>
      <c r="C35" s="171">
        <v>2</v>
      </c>
      <c r="D35" s="172"/>
      <c r="E35" s="567"/>
      <c r="F35" s="159"/>
      <c r="G35" s="159" t="s">
        <v>268</v>
      </c>
    </row>
    <row r="36" spans="1:11" ht="39.75" thickBot="1">
      <c r="A36" s="173" t="s">
        <v>389</v>
      </c>
      <c r="B36" s="174"/>
      <c r="C36" s="175">
        <v>7</v>
      </c>
      <c r="D36" s="176"/>
      <c r="E36" s="567"/>
      <c r="F36" s="159"/>
      <c r="G36" s="159"/>
      <c r="H36" s="359" t="s">
        <v>269</v>
      </c>
      <c r="I36" s="546"/>
      <c r="J36" s="546"/>
      <c r="K36" s="546"/>
    </row>
    <row r="37" spans="1:11" ht="39">
      <c r="A37" s="173" t="s">
        <v>390</v>
      </c>
      <c r="B37" s="174"/>
      <c r="C37" s="175">
        <v>5</v>
      </c>
      <c r="D37" s="176"/>
      <c r="E37" s="567"/>
      <c r="F37" s="159"/>
      <c r="G37" s="159"/>
      <c r="H37" s="343" t="s">
        <v>130</v>
      </c>
      <c r="I37" s="364"/>
      <c r="J37" s="364"/>
      <c r="K37" s="364"/>
    </row>
    <row r="38" spans="1:11" ht="26.25">
      <c r="A38" s="173" t="s">
        <v>391</v>
      </c>
      <c r="B38" s="174"/>
      <c r="C38" s="175">
        <v>4</v>
      </c>
      <c r="D38" s="176"/>
      <c r="E38" s="567"/>
      <c r="F38" s="159"/>
      <c r="G38" s="159"/>
      <c r="H38" s="12" t="s">
        <v>132</v>
      </c>
      <c r="I38" s="364"/>
      <c r="J38" s="364"/>
      <c r="K38" s="364"/>
    </row>
    <row r="39" spans="1:11" ht="26.25">
      <c r="A39" s="173" t="s">
        <v>380</v>
      </c>
      <c r="B39" s="174"/>
      <c r="C39" s="175">
        <v>0</v>
      </c>
      <c r="D39" s="176"/>
      <c r="E39" s="567"/>
      <c r="F39" s="159"/>
      <c r="G39" s="159"/>
      <c r="H39" s="12" t="s">
        <v>134</v>
      </c>
      <c r="I39" s="364"/>
      <c r="J39" s="364"/>
      <c r="K39" s="364"/>
    </row>
    <row r="40" spans="1:11" ht="39">
      <c r="A40" s="173" t="s">
        <v>381</v>
      </c>
      <c r="B40" s="174"/>
      <c r="C40" s="175">
        <v>0</v>
      </c>
      <c r="D40" s="176"/>
      <c r="E40" s="567"/>
      <c r="F40" s="159"/>
      <c r="G40" s="159"/>
      <c r="H40" s="12" t="s">
        <v>136</v>
      </c>
      <c r="I40" s="364"/>
      <c r="J40" s="364"/>
      <c r="K40" s="364"/>
    </row>
    <row r="41" spans="1:11" ht="39.75" thickBot="1">
      <c r="A41" s="177" t="s">
        <v>382</v>
      </c>
      <c r="B41" s="178"/>
      <c r="C41" s="179">
        <v>0</v>
      </c>
      <c r="D41" s="188"/>
      <c r="E41" s="567"/>
      <c r="F41" s="159"/>
      <c r="G41" s="159"/>
      <c r="H41" s="12" t="s">
        <v>138</v>
      </c>
      <c r="I41" s="364"/>
      <c r="J41" s="364"/>
      <c r="K41" s="364"/>
    </row>
    <row r="42" spans="1:11" ht="27" thickBot="1">
      <c r="A42" s="165" t="s">
        <v>339</v>
      </c>
      <c r="B42" s="166" t="s">
        <v>314</v>
      </c>
      <c r="C42" s="167">
        <f>SUM(C43:C46)</f>
        <v>13</v>
      </c>
      <c r="D42" s="168"/>
      <c r="E42" s="566"/>
      <c r="F42" s="158"/>
      <c r="G42" s="158"/>
      <c r="H42" s="10" t="s">
        <v>140</v>
      </c>
      <c r="I42" s="364"/>
      <c r="J42" s="364"/>
      <c r="K42" s="364"/>
    </row>
    <row r="43" spans="1:11" ht="13.5" thickBot="1">
      <c r="A43" s="189" t="s">
        <v>340</v>
      </c>
      <c r="B43" s="190"/>
      <c r="C43" s="171">
        <v>2</v>
      </c>
      <c r="D43" s="172"/>
      <c r="E43" s="567"/>
      <c r="F43" s="159"/>
      <c r="G43" s="159"/>
      <c r="H43" s="359" t="s">
        <v>270</v>
      </c>
      <c r="I43" s="546"/>
      <c r="J43" s="546"/>
      <c r="K43" s="546"/>
    </row>
    <row r="44" spans="1:11" ht="39">
      <c r="A44" s="191" t="s">
        <v>387</v>
      </c>
      <c r="B44" s="192"/>
      <c r="C44" s="175">
        <v>7</v>
      </c>
      <c r="D44" s="176"/>
      <c r="E44" s="567"/>
      <c r="F44" s="159"/>
      <c r="G44" s="159"/>
      <c r="H44" s="8" t="s">
        <v>147</v>
      </c>
      <c r="I44" s="364"/>
      <c r="J44" s="364"/>
      <c r="K44" s="364"/>
    </row>
    <row r="45" spans="1:11" ht="66" thickBot="1">
      <c r="A45" s="193" t="s">
        <v>341</v>
      </c>
      <c r="B45" s="194"/>
      <c r="C45" s="179">
        <v>2</v>
      </c>
      <c r="D45" s="188"/>
      <c r="E45" s="567"/>
      <c r="F45" s="159"/>
      <c r="G45" s="159"/>
      <c r="H45" s="12" t="s">
        <v>149</v>
      </c>
      <c r="I45" s="364"/>
      <c r="J45" s="364"/>
      <c r="K45" s="364"/>
    </row>
    <row r="46" spans="1:11" ht="26.25">
      <c r="A46" s="195" t="s">
        <v>392</v>
      </c>
      <c r="B46" s="196"/>
      <c r="C46" s="197">
        <v>2</v>
      </c>
      <c r="D46" s="198"/>
      <c r="E46" s="567"/>
      <c r="F46" s="159"/>
      <c r="G46" s="159"/>
      <c r="H46" s="12" t="s">
        <v>151</v>
      </c>
      <c r="I46" s="364"/>
      <c r="J46" s="364"/>
      <c r="K46" s="364"/>
    </row>
    <row r="47" spans="1:11" ht="27" thickBot="1">
      <c r="A47" s="199" t="s">
        <v>342</v>
      </c>
      <c r="B47" s="200" t="s">
        <v>314</v>
      </c>
      <c r="C47" s="201">
        <f>SUM(C48:C70)</f>
        <v>13</v>
      </c>
      <c r="D47" s="202"/>
      <c r="E47" s="566"/>
      <c r="F47" s="158"/>
      <c r="G47" s="158"/>
      <c r="H47" s="12" t="s">
        <v>161</v>
      </c>
      <c r="I47" s="364"/>
      <c r="J47" s="364"/>
      <c r="K47" s="364"/>
    </row>
    <row r="48" spans="1:11" ht="39.75" thickBot="1">
      <c r="A48" s="169" t="s">
        <v>343</v>
      </c>
      <c r="B48" s="170"/>
      <c r="C48" s="171">
        <v>2</v>
      </c>
      <c r="D48" s="172" t="s">
        <v>406</v>
      </c>
      <c r="E48" s="567"/>
      <c r="F48" s="159"/>
      <c r="G48" s="159"/>
      <c r="H48" s="10" t="s">
        <v>170</v>
      </c>
      <c r="I48" s="364"/>
      <c r="J48" s="364"/>
      <c r="K48" s="364"/>
    </row>
    <row r="49" spans="1:11" ht="27" thickBot="1">
      <c r="A49" s="186" t="s">
        <v>344</v>
      </c>
      <c r="B49" s="174"/>
      <c r="C49" s="187">
        <v>1</v>
      </c>
      <c r="D49" s="176" t="s">
        <v>345</v>
      </c>
      <c r="E49" s="567"/>
      <c r="F49" s="159"/>
      <c r="G49" s="159"/>
      <c r="H49" s="359" t="s">
        <v>271</v>
      </c>
      <c r="I49" s="546"/>
      <c r="J49" s="546"/>
      <c r="K49" s="546"/>
    </row>
    <row r="50" spans="1:11" ht="26.25">
      <c r="A50" s="173" t="s">
        <v>321</v>
      </c>
      <c r="B50" s="174"/>
      <c r="C50" s="187">
        <v>0</v>
      </c>
      <c r="D50" s="176" t="s">
        <v>345</v>
      </c>
      <c r="E50" s="567"/>
      <c r="F50" s="159"/>
      <c r="G50" s="159"/>
      <c r="H50" s="8" t="s">
        <v>224</v>
      </c>
      <c r="I50" s="364"/>
      <c r="J50" s="364"/>
      <c r="K50" s="364"/>
    </row>
    <row r="51" spans="1:11" ht="53.25" thickBot="1">
      <c r="A51" s="173" t="s">
        <v>322</v>
      </c>
      <c r="B51" s="174"/>
      <c r="C51" s="187">
        <v>0</v>
      </c>
      <c r="D51" s="176" t="s">
        <v>345</v>
      </c>
      <c r="E51" s="567"/>
      <c r="F51" s="159"/>
      <c r="G51" s="159"/>
      <c r="H51" s="10" t="s">
        <v>272</v>
      </c>
      <c r="I51" s="364"/>
      <c r="J51" s="364"/>
      <c r="K51" s="364"/>
    </row>
    <row r="52" spans="1:11" ht="13.5" thickBot="1">
      <c r="A52" s="173" t="s">
        <v>323</v>
      </c>
      <c r="B52" s="174"/>
      <c r="C52" s="187">
        <v>0</v>
      </c>
      <c r="D52" s="176" t="s">
        <v>345</v>
      </c>
      <c r="E52" s="567"/>
      <c r="F52" s="159"/>
      <c r="G52" s="159"/>
      <c r="H52" s="359" t="s">
        <v>273</v>
      </c>
      <c r="I52" s="546"/>
      <c r="J52" s="546"/>
      <c r="K52" s="546"/>
    </row>
    <row r="53" spans="1:11" ht="39">
      <c r="A53" s="173" t="s">
        <v>367</v>
      </c>
      <c r="B53" s="174"/>
      <c r="C53" s="187">
        <v>0</v>
      </c>
      <c r="D53" s="176" t="s">
        <v>345</v>
      </c>
      <c r="E53" s="567"/>
      <c r="F53" s="159"/>
      <c r="G53" s="159"/>
      <c r="H53" s="8" t="s">
        <v>235</v>
      </c>
      <c r="I53" s="364"/>
      <c r="J53" s="364"/>
      <c r="K53" s="364"/>
    </row>
    <row r="54" spans="1:11" ht="52.5">
      <c r="A54" s="173" t="s">
        <v>324</v>
      </c>
      <c r="B54" s="174"/>
      <c r="C54" s="187">
        <v>0</v>
      </c>
      <c r="D54" s="176" t="s">
        <v>345</v>
      </c>
      <c r="E54" s="567"/>
      <c r="F54" s="159"/>
      <c r="G54" s="159"/>
      <c r="H54" s="12" t="s">
        <v>237</v>
      </c>
      <c r="I54" s="364"/>
      <c r="J54" s="364"/>
      <c r="K54" s="364"/>
    </row>
    <row r="55" spans="1:11" ht="53.25" thickBot="1">
      <c r="A55" s="173" t="s">
        <v>325</v>
      </c>
      <c r="B55" s="174"/>
      <c r="C55" s="187">
        <v>0</v>
      </c>
      <c r="D55" s="176" t="s">
        <v>345</v>
      </c>
      <c r="E55" s="567"/>
      <c r="F55" s="159"/>
      <c r="G55" s="159"/>
      <c r="H55" s="10" t="s">
        <v>239</v>
      </c>
      <c r="I55" s="364"/>
      <c r="J55" s="364"/>
      <c r="K55" s="364"/>
    </row>
    <row r="56" spans="1:11" ht="39.75" thickBot="1">
      <c r="A56" s="173" t="s">
        <v>326</v>
      </c>
      <c r="B56" s="174"/>
      <c r="C56" s="187">
        <v>0</v>
      </c>
      <c r="D56" s="176" t="s">
        <v>345</v>
      </c>
      <c r="E56" s="567"/>
      <c r="F56" s="159"/>
      <c r="G56" s="159"/>
      <c r="H56" s="359" t="s">
        <v>274</v>
      </c>
      <c r="I56" s="546"/>
      <c r="J56" s="546"/>
      <c r="K56" s="546"/>
    </row>
    <row r="57" spans="1:11" ht="26.25">
      <c r="A57" s="173" t="s">
        <v>327</v>
      </c>
      <c r="B57" s="174"/>
      <c r="C57" s="187">
        <v>0</v>
      </c>
      <c r="D57" s="176" t="s">
        <v>345</v>
      </c>
      <c r="E57" s="567"/>
      <c r="F57" s="159"/>
      <c r="G57" s="159"/>
      <c r="H57" s="8" t="s">
        <v>547</v>
      </c>
      <c r="I57" s="364"/>
      <c r="J57" s="364"/>
      <c r="K57" s="364"/>
    </row>
    <row r="58" spans="1:11" ht="26.25">
      <c r="A58" s="173" t="s">
        <v>407</v>
      </c>
      <c r="B58" s="174"/>
      <c r="C58" s="187">
        <v>1</v>
      </c>
      <c r="D58" s="176"/>
      <c r="E58" s="567"/>
      <c r="F58" s="159"/>
      <c r="G58" s="159"/>
      <c r="H58" s="12" t="s">
        <v>581</v>
      </c>
      <c r="I58" s="364"/>
      <c r="J58" s="364"/>
      <c r="K58" s="364"/>
    </row>
    <row r="59" spans="1:11" ht="52.5">
      <c r="A59" s="173" t="s">
        <v>372</v>
      </c>
      <c r="B59" s="174"/>
      <c r="C59" s="175">
        <v>1</v>
      </c>
      <c r="D59" s="176"/>
      <c r="E59" s="567"/>
      <c r="F59" s="159"/>
      <c r="G59" s="159"/>
      <c r="H59" s="12" t="s">
        <v>583</v>
      </c>
      <c r="I59" s="364"/>
      <c r="J59" s="364"/>
      <c r="K59" s="364"/>
    </row>
    <row r="60" spans="1:11" ht="39">
      <c r="A60" s="173" t="s">
        <v>373</v>
      </c>
      <c r="B60" s="174"/>
      <c r="C60" s="175">
        <v>1</v>
      </c>
      <c r="D60" s="176" t="s">
        <v>345</v>
      </c>
      <c r="E60" s="567"/>
      <c r="F60" s="159"/>
      <c r="G60" s="159"/>
      <c r="H60" s="12" t="s">
        <v>585</v>
      </c>
      <c r="I60" s="364"/>
      <c r="J60" s="364"/>
      <c r="K60" s="364"/>
    </row>
    <row r="61" spans="1:11" ht="26.25">
      <c r="A61" s="173" t="s">
        <v>346</v>
      </c>
      <c r="B61" s="174"/>
      <c r="C61" s="187">
        <v>0</v>
      </c>
      <c r="D61" s="176" t="s">
        <v>345</v>
      </c>
      <c r="E61" s="567"/>
      <c r="F61" s="159"/>
      <c r="G61" s="159"/>
      <c r="H61" s="12" t="s">
        <v>587</v>
      </c>
      <c r="I61" s="364"/>
      <c r="J61" s="364"/>
      <c r="K61" s="364"/>
    </row>
    <row r="62" spans="1:11" ht="26.25">
      <c r="A62" s="173" t="s">
        <v>374</v>
      </c>
      <c r="B62" s="174"/>
      <c r="C62" s="175">
        <v>2</v>
      </c>
      <c r="D62" s="176"/>
      <c r="E62" s="567"/>
      <c r="F62" s="159"/>
      <c r="G62" s="159"/>
      <c r="H62" s="12" t="s">
        <v>589</v>
      </c>
      <c r="I62" s="364"/>
      <c r="J62" s="364"/>
      <c r="K62" s="364"/>
    </row>
    <row r="63" spans="1:11" ht="26.25">
      <c r="A63" s="176" t="s">
        <v>375</v>
      </c>
      <c r="B63" s="174"/>
      <c r="C63" s="175">
        <v>1</v>
      </c>
      <c r="D63" s="176" t="s">
        <v>345</v>
      </c>
      <c r="E63" s="567"/>
      <c r="F63" s="159"/>
      <c r="G63" s="159"/>
      <c r="H63" s="12" t="s">
        <v>591</v>
      </c>
      <c r="I63" s="364"/>
      <c r="J63" s="364"/>
      <c r="K63" s="364"/>
    </row>
    <row r="64" spans="1:11" ht="39">
      <c r="A64" s="173" t="s">
        <v>376</v>
      </c>
      <c r="B64" s="192"/>
      <c r="C64" s="175">
        <v>1</v>
      </c>
      <c r="D64" s="176" t="s">
        <v>345</v>
      </c>
      <c r="E64" s="567"/>
      <c r="F64" s="159"/>
      <c r="G64" s="159"/>
      <c r="H64" s="12" t="s">
        <v>593</v>
      </c>
      <c r="I64" s="364"/>
      <c r="J64" s="364"/>
      <c r="K64" s="364"/>
    </row>
    <row r="65" spans="1:11" ht="52.5">
      <c r="A65" s="173" t="s">
        <v>377</v>
      </c>
      <c r="B65" s="192"/>
      <c r="C65" s="175">
        <v>1</v>
      </c>
      <c r="D65" s="176" t="s">
        <v>345</v>
      </c>
      <c r="E65" s="567"/>
      <c r="F65" s="159"/>
      <c r="G65" s="159"/>
      <c r="H65" s="12" t="s">
        <v>595</v>
      </c>
      <c r="I65" s="364"/>
      <c r="J65" s="364"/>
      <c r="K65" s="364"/>
    </row>
    <row r="66" spans="1:11" ht="39">
      <c r="A66" s="173" t="s">
        <v>378</v>
      </c>
      <c r="B66" s="192"/>
      <c r="C66" s="175">
        <v>1</v>
      </c>
      <c r="D66" s="176" t="s">
        <v>345</v>
      </c>
      <c r="E66" s="567"/>
      <c r="F66" s="159"/>
      <c r="G66" s="159"/>
      <c r="H66" s="12" t="s">
        <v>597</v>
      </c>
      <c r="I66" s="364"/>
      <c r="J66" s="364"/>
      <c r="K66" s="364"/>
    </row>
    <row r="67" spans="1:11" ht="26.25">
      <c r="A67" s="173" t="s">
        <v>379</v>
      </c>
      <c r="B67" s="192"/>
      <c r="C67" s="175">
        <v>1</v>
      </c>
      <c r="D67" s="176" t="s">
        <v>345</v>
      </c>
      <c r="E67" s="567"/>
      <c r="F67" s="159"/>
      <c r="G67" s="159"/>
      <c r="H67" s="12" t="s">
        <v>599</v>
      </c>
      <c r="I67" s="364"/>
      <c r="J67" s="364"/>
      <c r="K67" s="364"/>
    </row>
    <row r="68" spans="1:11" ht="39.75" thickBot="1">
      <c r="A68" s="173" t="s">
        <v>380</v>
      </c>
      <c r="B68" s="174"/>
      <c r="C68" s="187">
        <v>0</v>
      </c>
      <c r="D68" s="176" t="s">
        <v>345</v>
      </c>
      <c r="E68" s="567"/>
      <c r="F68" s="159"/>
      <c r="G68" s="159"/>
      <c r="H68" s="10" t="s">
        <v>601</v>
      </c>
      <c r="I68" s="364"/>
      <c r="J68" s="364"/>
      <c r="K68" s="364"/>
    </row>
    <row r="69" spans="1:11" ht="27" thickBot="1">
      <c r="A69" s="173" t="s">
        <v>381</v>
      </c>
      <c r="B69" s="174"/>
      <c r="C69" s="187">
        <v>0</v>
      </c>
      <c r="D69" s="176" t="s">
        <v>345</v>
      </c>
      <c r="E69" s="567"/>
      <c r="F69" s="159"/>
      <c r="G69" s="159"/>
      <c r="H69" s="359" t="s">
        <v>275</v>
      </c>
      <c r="I69" s="546"/>
      <c r="J69" s="546"/>
      <c r="K69" s="546"/>
    </row>
    <row r="70" spans="1:11" ht="39.75" thickBot="1">
      <c r="A70" s="203" t="s">
        <v>382</v>
      </c>
      <c r="B70" s="204"/>
      <c r="C70" s="205">
        <v>0</v>
      </c>
      <c r="D70" s="206" t="s">
        <v>345</v>
      </c>
      <c r="E70" s="567"/>
      <c r="F70" s="159"/>
      <c r="G70" s="159"/>
      <c r="H70" s="8" t="s">
        <v>276</v>
      </c>
      <c r="I70" s="364"/>
      <c r="J70" s="364"/>
      <c r="K70" s="364"/>
    </row>
    <row r="71" spans="1:11" ht="39">
      <c r="A71" s="160"/>
      <c r="B71" s="161"/>
      <c r="C71" s="159"/>
      <c r="D71" s="159"/>
      <c r="E71" s="159"/>
      <c r="F71" s="159"/>
      <c r="G71" s="159"/>
      <c r="H71" s="12" t="s">
        <v>502</v>
      </c>
      <c r="I71" s="364"/>
      <c r="J71" s="364"/>
      <c r="K71" s="364"/>
    </row>
    <row r="72" spans="1:11" ht="66" thickBot="1">
      <c r="A72" s="160"/>
      <c r="B72" s="161"/>
      <c r="C72" s="159"/>
      <c r="D72" s="159"/>
      <c r="E72" s="159"/>
      <c r="F72" s="159"/>
      <c r="G72" s="159"/>
      <c r="H72" s="12" t="s">
        <v>504</v>
      </c>
      <c r="I72" s="364"/>
      <c r="J72" s="364"/>
      <c r="K72" s="364"/>
    </row>
    <row r="73" spans="1:11" ht="79.5" thickBot="1">
      <c r="A73" s="165" t="s">
        <v>347</v>
      </c>
      <c r="B73" s="207" t="s">
        <v>348</v>
      </c>
      <c r="C73" s="208" t="s">
        <v>349</v>
      </c>
      <c r="D73" s="208" t="s">
        <v>350</v>
      </c>
      <c r="E73" s="573"/>
      <c r="F73" s="209" t="s">
        <v>351</v>
      </c>
      <c r="G73" s="210" t="s">
        <v>294</v>
      </c>
      <c r="H73" s="12" t="s">
        <v>508</v>
      </c>
      <c r="I73" s="364"/>
      <c r="J73" s="364"/>
      <c r="K73" s="364"/>
    </row>
    <row r="74" spans="1:11" ht="39">
      <c r="A74" s="211" t="s">
        <v>352</v>
      </c>
      <c r="B74" s="212"/>
      <c r="C74" s="185"/>
      <c r="D74" s="185"/>
      <c r="E74" s="185"/>
      <c r="F74" s="187"/>
      <c r="G74" s="213">
        <f aca="true" t="shared" si="0" ref="G74:G85">SUM(B74:F74)</f>
        <v>0</v>
      </c>
      <c r="H74" s="12" t="s">
        <v>506</v>
      </c>
      <c r="I74" s="364"/>
      <c r="J74" s="364"/>
      <c r="K74" s="364"/>
    </row>
    <row r="75" spans="1:11" ht="39">
      <c r="A75" s="214" t="s">
        <v>353</v>
      </c>
      <c r="B75" s="215"/>
      <c r="C75" s="187"/>
      <c r="D75" s="187"/>
      <c r="E75" s="187"/>
      <c r="F75" s="187"/>
      <c r="G75" s="216">
        <f t="shared" si="0"/>
        <v>0</v>
      </c>
      <c r="H75" s="12" t="s">
        <v>510</v>
      </c>
      <c r="I75" s="364"/>
      <c r="J75" s="364"/>
      <c r="K75" s="364"/>
    </row>
    <row r="76" spans="1:11" ht="39">
      <c r="A76" s="214" t="s">
        <v>383</v>
      </c>
      <c r="B76" s="215"/>
      <c r="C76" s="187"/>
      <c r="D76" s="187"/>
      <c r="E76" s="187"/>
      <c r="F76" s="187"/>
      <c r="G76" s="216">
        <f t="shared" si="0"/>
        <v>0</v>
      </c>
      <c r="H76" s="12" t="s">
        <v>512</v>
      </c>
      <c r="I76" s="364"/>
      <c r="J76" s="364"/>
      <c r="K76" s="364"/>
    </row>
    <row r="77" spans="1:11" ht="52.5">
      <c r="A77" s="214" t="s">
        <v>354</v>
      </c>
      <c r="B77" s="215"/>
      <c r="C77" s="187"/>
      <c r="D77" s="187"/>
      <c r="E77" s="217"/>
      <c r="F77" s="217"/>
      <c r="G77" s="216">
        <f t="shared" si="0"/>
        <v>0</v>
      </c>
      <c r="H77" s="12" t="s">
        <v>516</v>
      </c>
      <c r="I77" s="364"/>
      <c r="J77" s="364"/>
      <c r="K77" s="364"/>
    </row>
    <row r="78" spans="1:11" ht="39">
      <c r="A78" s="214" t="s">
        <v>355</v>
      </c>
      <c r="B78" s="215"/>
      <c r="C78" s="187"/>
      <c r="D78" s="187"/>
      <c r="E78" s="187"/>
      <c r="F78" s="187"/>
      <c r="G78" s="216">
        <f t="shared" si="0"/>
        <v>0</v>
      </c>
      <c r="H78" s="12" t="s">
        <v>518</v>
      </c>
      <c r="I78" s="364"/>
      <c r="J78" s="364"/>
      <c r="K78" s="364"/>
    </row>
    <row r="79" spans="1:11" ht="13.5" thickBot="1">
      <c r="A79" s="214" t="s">
        <v>356</v>
      </c>
      <c r="B79" s="215"/>
      <c r="C79" s="187"/>
      <c r="D79" s="187"/>
      <c r="E79" s="187"/>
      <c r="F79" s="187"/>
      <c r="G79" s="213">
        <f t="shared" si="0"/>
        <v>0</v>
      </c>
      <c r="H79" s="10" t="s">
        <v>520</v>
      </c>
      <c r="I79" s="364"/>
      <c r="J79" s="364"/>
      <c r="K79" s="364"/>
    </row>
    <row r="80" spans="1:11" ht="27" thickBot="1">
      <c r="A80" s="214" t="s">
        <v>357</v>
      </c>
      <c r="B80" s="215"/>
      <c r="C80" s="187"/>
      <c r="D80" s="187"/>
      <c r="E80" s="187"/>
      <c r="F80" s="187"/>
      <c r="G80" s="213">
        <f t="shared" si="0"/>
        <v>0</v>
      </c>
      <c r="H80" s="359" t="s">
        <v>277</v>
      </c>
      <c r="I80" s="546"/>
      <c r="J80" s="546"/>
      <c r="K80" s="546"/>
    </row>
    <row r="81" spans="1:7" ht="12.75">
      <c r="A81" s="214" t="s">
        <v>384</v>
      </c>
      <c r="B81" s="215"/>
      <c r="C81" s="187"/>
      <c r="D81" s="187"/>
      <c r="E81" s="187"/>
      <c r="F81" s="187"/>
      <c r="G81" s="213">
        <f t="shared" si="0"/>
        <v>0</v>
      </c>
    </row>
    <row r="82" spans="1:7" ht="12.75">
      <c r="A82" s="214" t="s">
        <v>385</v>
      </c>
      <c r="B82" s="215"/>
      <c r="C82" s="187"/>
      <c r="D82" s="187"/>
      <c r="E82" s="187"/>
      <c r="F82" s="187"/>
      <c r="G82" s="213">
        <f t="shared" si="0"/>
        <v>0</v>
      </c>
    </row>
    <row r="83" spans="1:7" ht="12.75">
      <c r="A83" s="214" t="s">
        <v>386</v>
      </c>
      <c r="B83" s="215"/>
      <c r="C83" s="187"/>
      <c r="D83" s="187"/>
      <c r="E83" s="187"/>
      <c r="F83" s="187"/>
      <c r="G83" s="213">
        <f t="shared" si="0"/>
        <v>0</v>
      </c>
    </row>
    <row r="84" spans="1:7" ht="12.75">
      <c r="A84" s="214" t="s">
        <v>358</v>
      </c>
      <c r="B84" s="215"/>
      <c r="C84" s="187"/>
      <c r="D84" s="187"/>
      <c r="E84" s="187"/>
      <c r="F84" s="187"/>
      <c r="G84" s="213">
        <f t="shared" si="0"/>
        <v>0</v>
      </c>
    </row>
    <row r="85" spans="1:7" ht="13.5" thickBot="1">
      <c r="A85" s="218" t="s">
        <v>359</v>
      </c>
      <c r="B85" s="219"/>
      <c r="C85" s="220"/>
      <c r="D85" s="220"/>
      <c r="E85" s="220"/>
      <c r="F85" s="187"/>
      <c r="G85" s="213">
        <f t="shared" si="0"/>
        <v>0</v>
      </c>
    </row>
    <row r="86" spans="1:7" ht="13.5" thickBot="1">
      <c r="A86" s="165" t="s">
        <v>294</v>
      </c>
      <c r="B86" s="221">
        <f>SUM(B74:B85)</f>
        <v>0</v>
      </c>
      <c r="C86" s="221">
        <f>SUM(C74:C85)</f>
        <v>0</v>
      </c>
      <c r="D86" s="221">
        <f>SUM(D74:D85)</f>
        <v>0</v>
      </c>
      <c r="E86" s="222"/>
      <c r="F86" s="222">
        <f>SUM(F74:F85)</f>
        <v>0</v>
      </c>
      <c r="G86" s="223">
        <f>SUM(G74:G85)</f>
        <v>0</v>
      </c>
    </row>
    <row r="87" spans="1:7" ht="12.75">
      <c r="A87" s="160"/>
      <c r="B87" s="161"/>
      <c r="C87" s="159"/>
      <c r="D87" s="159"/>
      <c r="E87" s="159"/>
      <c r="F87" s="159"/>
      <c r="G87" s="159"/>
    </row>
    <row r="88" spans="1:7" ht="13.5" thickBot="1">
      <c r="A88" s="160"/>
      <c r="B88" s="161"/>
      <c r="C88" s="159"/>
      <c r="D88" s="159"/>
      <c r="E88" s="159"/>
      <c r="F88" s="159"/>
      <c r="G88" s="159"/>
    </row>
    <row r="89" spans="1:7" ht="27" thickBot="1">
      <c r="A89" s="224" t="s">
        <v>360</v>
      </c>
      <c r="B89" s="207" t="s">
        <v>348</v>
      </c>
      <c r="C89" s="207" t="s">
        <v>349</v>
      </c>
      <c r="D89" s="207" t="s">
        <v>350</v>
      </c>
      <c r="E89" s="574"/>
      <c r="F89" s="209" t="s">
        <v>351</v>
      </c>
      <c r="G89" s="225" t="s">
        <v>294</v>
      </c>
    </row>
    <row r="90" spans="1:7" ht="12.75">
      <c r="A90" s="211" t="s">
        <v>361</v>
      </c>
      <c r="B90" s="212"/>
      <c r="C90" s="212"/>
      <c r="D90" s="212"/>
      <c r="E90" s="212"/>
      <c r="F90" s="215"/>
      <c r="G90" s="226">
        <f aca="true" t="shared" si="1" ref="G90:G97">SUM(B90:F90)</f>
        <v>0</v>
      </c>
    </row>
    <row r="91" spans="1:7" ht="12.75">
      <c r="A91" s="214" t="s">
        <v>362</v>
      </c>
      <c r="B91" s="215"/>
      <c r="C91" s="215"/>
      <c r="D91" s="215"/>
      <c r="E91" s="227"/>
      <c r="F91" s="227"/>
      <c r="G91" s="228">
        <f t="shared" si="1"/>
        <v>0</v>
      </c>
    </row>
    <row r="92" spans="1:7" ht="12.75">
      <c r="A92" s="214" t="s">
        <v>363</v>
      </c>
      <c r="B92" s="215"/>
      <c r="C92" s="215"/>
      <c r="D92" s="215"/>
      <c r="E92" s="215"/>
      <c r="F92" s="215"/>
      <c r="G92" s="228">
        <f t="shared" si="1"/>
        <v>0</v>
      </c>
    </row>
    <row r="93" spans="1:7" ht="12.75">
      <c r="A93" s="214" t="s">
        <v>364</v>
      </c>
      <c r="B93" s="215"/>
      <c r="C93" s="215"/>
      <c r="D93" s="215"/>
      <c r="E93" s="215"/>
      <c r="F93" s="215"/>
      <c r="G93" s="228">
        <f t="shared" si="1"/>
        <v>0</v>
      </c>
    </row>
    <row r="94" spans="1:7" ht="12.75">
      <c r="A94" s="214" t="s">
        <v>365</v>
      </c>
      <c r="B94" s="215"/>
      <c r="C94" s="215"/>
      <c r="D94" s="215"/>
      <c r="E94" s="215"/>
      <c r="F94" s="215"/>
      <c r="G94" s="228">
        <f t="shared" si="1"/>
        <v>0</v>
      </c>
    </row>
    <row r="95" spans="1:7" ht="12.75">
      <c r="A95" s="214"/>
      <c r="B95" s="215"/>
      <c r="C95" s="215"/>
      <c r="D95" s="215"/>
      <c r="E95" s="215"/>
      <c r="F95" s="215"/>
      <c r="G95" s="228">
        <f t="shared" si="1"/>
        <v>0</v>
      </c>
    </row>
    <row r="96" spans="1:7" ht="13.5" thickBot="1">
      <c r="A96" s="218"/>
      <c r="B96" s="215"/>
      <c r="C96" s="215"/>
      <c r="D96" s="215"/>
      <c r="E96" s="215"/>
      <c r="F96" s="215"/>
      <c r="G96" s="229">
        <f t="shared" si="1"/>
        <v>0</v>
      </c>
    </row>
    <row r="97" spans="1:7" ht="13.5" thickBot="1">
      <c r="A97" s="165" t="s">
        <v>294</v>
      </c>
      <c r="B97" s="221">
        <f>SUM(B90:B96)</f>
        <v>0</v>
      </c>
      <c r="C97" s="221">
        <f>SUM(C90:C96)</f>
        <v>0</v>
      </c>
      <c r="D97" s="221">
        <f>SUM(D90:D96)</f>
        <v>0</v>
      </c>
      <c r="E97" s="222"/>
      <c r="F97" s="222">
        <f>SUM(F90:F96)</f>
        <v>0</v>
      </c>
      <c r="G97" s="230">
        <f t="shared" si="1"/>
        <v>0</v>
      </c>
    </row>
  </sheetData>
  <printOptions/>
  <pageMargins left="0.75" right="0.75" top="1" bottom="1"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4:G225"/>
  <sheetViews>
    <sheetView workbookViewId="0" topLeftCell="A1">
      <selection activeCell="B4" sqref="B4"/>
    </sheetView>
  </sheetViews>
  <sheetFormatPr defaultColWidth="9.140625" defaultRowHeight="12.75"/>
  <cols>
    <col min="1" max="1" width="13.57421875" style="0" customWidth="1"/>
    <col min="2" max="2" width="63.57421875" style="0" customWidth="1"/>
    <col min="3" max="3" width="10.140625" style="0" bestFit="1" customWidth="1"/>
    <col min="5" max="5" width="11.28125" style="0" bestFit="1" customWidth="1"/>
  </cols>
  <sheetData>
    <row r="3" ht="13.5" thickBot="1"/>
    <row r="4" spans="1:4" ht="13.5" thickBot="1">
      <c r="A4" s="313" t="s">
        <v>513</v>
      </c>
      <c r="B4" s="4" t="s">
        <v>143</v>
      </c>
      <c r="C4" s="314" t="s">
        <v>290</v>
      </c>
      <c r="D4" s="47" t="s">
        <v>289</v>
      </c>
    </row>
    <row r="5" spans="1:7" ht="12.75">
      <c r="A5" s="315">
        <v>14</v>
      </c>
      <c r="B5" s="296" t="s">
        <v>61</v>
      </c>
      <c r="C5" s="316">
        <f>D5*Svodka!$J$1</f>
        <v>100000</v>
      </c>
      <c r="D5" s="317">
        <v>10</v>
      </c>
      <c r="E5" s="318">
        <f>D5+D6+D7+D8</f>
        <v>66.2</v>
      </c>
      <c r="F5">
        <v>66.2</v>
      </c>
      <c r="G5">
        <f>E5-F5</f>
        <v>0</v>
      </c>
    </row>
    <row r="6" spans="1:5" ht="12.75">
      <c r="A6" s="49">
        <v>14</v>
      </c>
      <c r="B6" s="13" t="s">
        <v>61</v>
      </c>
      <c r="C6" s="309">
        <f>D6*Svodka!$J$1</f>
        <v>150000</v>
      </c>
      <c r="D6" s="50">
        <f>5+10</f>
        <v>15</v>
      </c>
      <c r="E6" s="319"/>
    </row>
    <row r="7" spans="1:5" ht="12.75">
      <c r="A7" s="49">
        <v>14</v>
      </c>
      <c r="B7" s="13" t="s">
        <v>61</v>
      </c>
      <c r="C7" s="310">
        <f>D7*Svodka!$J$1</f>
        <v>112000</v>
      </c>
      <c r="D7" s="50">
        <f>6.7+4.5</f>
        <v>11.2</v>
      </c>
      <c r="E7" s="319"/>
    </row>
    <row r="8" spans="1:5" ht="13.5" thickBot="1">
      <c r="A8" s="51">
        <v>14</v>
      </c>
      <c r="B8" s="15" t="s">
        <v>61</v>
      </c>
      <c r="C8" s="312">
        <f>D8*Svodka!$J$1</f>
        <v>300000</v>
      </c>
      <c r="D8" s="52">
        <f>30</f>
        <v>30</v>
      </c>
      <c r="E8" s="320"/>
    </row>
    <row r="9" spans="1:7" ht="13.5" thickBot="1">
      <c r="A9" s="288">
        <v>39</v>
      </c>
      <c r="B9" s="301" t="s">
        <v>202</v>
      </c>
      <c r="C9" s="321">
        <f>D9*Svodka!$J$1</f>
        <v>35000</v>
      </c>
      <c r="D9" s="322">
        <v>3.5</v>
      </c>
      <c r="E9" s="323">
        <f>D9</f>
        <v>3.5</v>
      </c>
      <c r="F9">
        <v>3.5</v>
      </c>
      <c r="G9">
        <f>E9-F9</f>
        <v>0</v>
      </c>
    </row>
    <row r="10" spans="1:7" ht="12.75">
      <c r="A10" s="315">
        <v>38</v>
      </c>
      <c r="B10" s="296" t="s">
        <v>539</v>
      </c>
      <c r="C10" s="324">
        <f>D10*Svodka!$J$1</f>
        <v>28500</v>
      </c>
      <c r="D10" s="325">
        <f>2.85</f>
        <v>2.85</v>
      </c>
      <c r="E10" s="318">
        <f>D10+D11</f>
        <v>8.75</v>
      </c>
      <c r="F10">
        <v>8.75</v>
      </c>
      <c r="G10">
        <f>E10-F10</f>
        <v>0</v>
      </c>
    </row>
    <row r="11" spans="1:5" ht="13.5" thickBot="1">
      <c r="A11" s="43">
        <v>38</v>
      </c>
      <c r="B11" s="15" t="s">
        <v>539</v>
      </c>
      <c r="C11" s="312">
        <f>D11*Svodka!$J$1</f>
        <v>59000</v>
      </c>
      <c r="D11" s="44">
        <f>5.9</f>
        <v>5.9</v>
      </c>
      <c r="E11" s="320"/>
    </row>
    <row r="12" spans="1:7" ht="12.75">
      <c r="A12" s="315">
        <v>24</v>
      </c>
      <c r="B12" s="296" t="s">
        <v>541</v>
      </c>
      <c r="C12" s="324">
        <f>D12*Svodka!$J$1</f>
        <v>150000</v>
      </c>
      <c r="D12" s="325">
        <f>15</f>
        <v>15</v>
      </c>
      <c r="E12" s="318">
        <f>D12+D13+D14</f>
        <v>77.52</v>
      </c>
      <c r="F12">
        <v>77.52</v>
      </c>
      <c r="G12">
        <f>E12-F12</f>
        <v>0</v>
      </c>
    </row>
    <row r="13" spans="1:5" ht="12.75">
      <c r="A13" s="41">
        <v>24</v>
      </c>
      <c r="B13" s="13" t="s">
        <v>541</v>
      </c>
      <c r="C13" s="310">
        <f>D13*Svodka!$J$1</f>
        <v>125200</v>
      </c>
      <c r="D13" s="42">
        <f>1.3+5.9+3.5+1.82</f>
        <v>12.52</v>
      </c>
      <c r="E13" s="319"/>
    </row>
    <row r="14" spans="1:5" ht="13.5" thickBot="1">
      <c r="A14" s="51">
        <v>24</v>
      </c>
      <c r="B14" s="15" t="s">
        <v>541</v>
      </c>
      <c r="C14" s="311">
        <f>D14*Svodka!$J$1</f>
        <v>500000</v>
      </c>
      <c r="D14" s="52">
        <f>20+30</f>
        <v>50</v>
      </c>
      <c r="E14" s="320"/>
    </row>
    <row r="15" spans="1:7" ht="13.5" thickBot="1">
      <c r="A15" s="288">
        <v>33</v>
      </c>
      <c r="B15" s="301" t="s">
        <v>472</v>
      </c>
      <c r="C15" s="326">
        <f>D15*Svodka!$J$1</f>
        <v>35000</v>
      </c>
      <c r="D15" s="327">
        <f>3.5</f>
        <v>3.5</v>
      </c>
      <c r="E15" s="323">
        <f>D15</f>
        <v>3.5</v>
      </c>
      <c r="F15">
        <v>3.5</v>
      </c>
      <c r="G15">
        <f aca="true" t="shared" si="0" ref="G15:G20">E15-F15</f>
        <v>0</v>
      </c>
    </row>
    <row r="16" spans="1:7" ht="13.5" thickBot="1">
      <c r="A16" s="288">
        <v>34</v>
      </c>
      <c r="B16" s="301" t="s">
        <v>485</v>
      </c>
      <c r="C16" s="326">
        <f>D16*Svodka!$J$1</f>
        <v>40000</v>
      </c>
      <c r="D16" s="327">
        <f>4</f>
        <v>4</v>
      </c>
      <c r="E16" s="323">
        <f>D16</f>
        <v>4</v>
      </c>
      <c r="F16">
        <v>4</v>
      </c>
      <c r="G16">
        <f t="shared" si="0"/>
        <v>0</v>
      </c>
    </row>
    <row r="17" spans="1:7" ht="13.5" thickBot="1">
      <c r="A17" s="288">
        <v>28</v>
      </c>
      <c r="B17" s="301" t="s">
        <v>466</v>
      </c>
      <c r="C17" s="326">
        <f>D17*Svodka!$J$1</f>
        <v>13000</v>
      </c>
      <c r="D17" s="327">
        <f>1.3</f>
        <v>1.3</v>
      </c>
      <c r="E17" s="323">
        <f>D17</f>
        <v>1.3</v>
      </c>
      <c r="F17">
        <v>1.3</v>
      </c>
      <c r="G17">
        <f t="shared" si="0"/>
        <v>0</v>
      </c>
    </row>
    <row r="18" spans="1:7" ht="13.5" thickBot="1">
      <c r="A18" s="288">
        <v>17</v>
      </c>
      <c r="B18" s="301" t="s">
        <v>456</v>
      </c>
      <c r="C18" s="326">
        <f>D18*Svodka!$J$1</f>
        <v>13000</v>
      </c>
      <c r="D18" s="327">
        <f>1.3</f>
        <v>1.3</v>
      </c>
      <c r="E18" s="323">
        <f>D18</f>
        <v>1.3</v>
      </c>
      <c r="F18">
        <v>1.3</v>
      </c>
      <c r="G18">
        <f t="shared" si="0"/>
        <v>0</v>
      </c>
    </row>
    <row r="19" spans="1:7" ht="13.5" thickBot="1">
      <c r="A19" s="288">
        <v>31</v>
      </c>
      <c r="B19" s="301" t="s">
        <v>200</v>
      </c>
      <c r="C19" s="321">
        <f>D19*Svodka!$J$1</f>
        <v>35000</v>
      </c>
      <c r="D19" s="322">
        <v>3.5</v>
      </c>
      <c r="E19" s="323">
        <f>D19</f>
        <v>3.5</v>
      </c>
      <c r="F19">
        <v>3.5</v>
      </c>
      <c r="G19">
        <f t="shared" si="0"/>
        <v>0</v>
      </c>
    </row>
    <row r="20" spans="1:7" ht="12.75">
      <c r="A20" s="315">
        <v>21</v>
      </c>
      <c r="B20" s="296" t="s">
        <v>103</v>
      </c>
      <c r="C20" s="316">
        <f>D20*Svodka!$J$1</f>
        <v>58000</v>
      </c>
      <c r="D20" s="317">
        <v>5.8</v>
      </c>
      <c r="E20" s="318">
        <f>D20+D21</f>
        <v>35.8</v>
      </c>
      <c r="F20">
        <v>35.8</v>
      </c>
      <c r="G20">
        <f t="shared" si="0"/>
        <v>0</v>
      </c>
    </row>
    <row r="21" spans="1:5" ht="13.5" thickBot="1">
      <c r="A21" s="51">
        <v>21</v>
      </c>
      <c r="B21" s="15" t="s">
        <v>103</v>
      </c>
      <c r="C21" s="311">
        <f>D21*Svodka!$J$1</f>
        <v>300000</v>
      </c>
      <c r="D21" s="52">
        <f>30</f>
        <v>30</v>
      </c>
      <c r="E21" s="320"/>
    </row>
    <row r="22" spans="1:7" ht="13.5" thickBot="1">
      <c r="A22" s="328">
        <v>6</v>
      </c>
      <c r="B22" s="301" t="s">
        <v>41</v>
      </c>
      <c r="C22" s="329">
        <f>D22*Svodka!$J$1</f>
        <v>99000</v>
      </c>
      <c r="D22" s="330">
        <f>8.6+1.3</f>
        <v>9.9</v>
      </c>
      <c r="E22" s="323">
        <f>D22</f>
        <v>9.9</v>
      </c>
      <c r="F22">
        <v>9.9</v>
      </c>
      <c r="G22">
        <f>E22-F22</f>
        <v>0</v>
      </c>
    </row>
    <row r="23" spans="1:7" ht="12.75">
      <c r="A23" s="315">
        <v>6</v>
      </c>
      <c r="B23" s="296" t="s">
        <v>37</v>
      </c>
      <c r="C23" s="316">
        <f>D23*Svodka!$J$1</f>
        <v>13000</v>
      </c>
      <c r="D23" s="317">
        <v>1.3</v>
      </c>
      <c r="E23" s="318">
        <f>D23+D24+D25</f>
        <v>35.5</v>
      </c>
      <c r="F23">
        <v>35.5</v>
      </c>
      <c r="G23">
        <f>E23-F23</f>
        <v>0</v>
      </c>
    </row>
    <row r="24" spans="1:5" ht="12.75">
      <c r="A24" s="49">
        <v>6</v>
      </c>
      <c r="B24" s="13" t="s">
        <v>37</v>
      </c>
      <c r="C24" s="48">
        <f>D24*Svodka!$J$1</f>
        <v>170000</v>
      </c>
      <c r="D24" s="99">
        <f>17</f>
        <v>17</v>
      </c>
      <c r="E24" s="319"/>
    </row>
    <row r="25" spans="1:5" ht="13.5" thickBot="1">
      <c r="A25" s="51">
        <v>6</v>
      </c>
      <c r="B25" s="15" t="s">
        <v>37</v>
      </c>
      <c r="C25" s="312">
        <f>D25*Svodka!$J$1</f>
        <v>172000</v>
      </c>
      <c r="D25" s="52">
        <f>5+5.7+6.5</f>
        <v>17.2</v>
      </c>
      <c r="E25" s="320"/>
    </row>
    <row r="26" spans="1:7" ht="13.5" thickBot="1">
      <c r="A26" s="331">
        <v>5</v>
      </c>
      <c r="B26" s="332" t="s">
        <v>39</v>
      </c>
      <c r="C26" s="333">
        <f>D26*Svodka!$J$1</f>
        <v>99000</v>
      </c>
      <c r="D26" s="334">
        <f>8.6+1.3</f>
        <v>9.9</v>
      </c>
      <c r="E26" s="318">
        <f>D26</f>
        <v>9.9</v>
      </c>
      <c r="F26">
        <v>9.9</v>
      </c>
      <c r="G26">
        <f>E26-F26</f>
        <v>0</v>
      </c>
    </row>
    <row r="27" spans="1:7" ht="12.75">
      <c r="A27" s="315">
        <v>15</v>
      </c>
      <c r="B27" s="296" t="s">
        <v>255</v>
      </c>
      <c r="C27" s="316">
        <f>D27*Svodka!$J$1</f>
        <v>134000</v>
      </c>
      <c r="D27" s="317">
        <v>13.4</v>
      </c>
      <c r="E27" s="318">
        <f>D27+D28+D29</f>
        <v>20.4</v>
      </c>
      <c r="F27">
        <v>20.4</v>
      </c>
      <c r="G27">
        <f>E27-F27</f>
        <v>0</v>
      </c>
    </row>
    <row r="28" spans="1:5" ht="12.75">
      <c r="A28" s="49">
        <v>15</v>
      </c>
      <c r="B28" s="13" t="s">
        <v>255</v>
      </c>
      <c r="C28" s="309">
        <f>D28*Svodka!$J$1</f>
        <v>35000</v>
      </c>
      <c r="D28" s="50">
        <f>3.5</f>
        <v>3.5</v>
      </c>
      <c r="E28" s="319"/>
    </row>
    <row r="29" spans="1:5" ht="13.5" thickBot="1">
      <c r="A29" s="51">
        <v>15</v>
      </c>
      <c r="B29" s="15" t="s">
        <v>255</v>
      </c>
      <c r="C29" s="312">
        <f>D29*Svodka!$J$1</f>
        <v>35000</v>
      </c>
      <c r="D29" s="52">
        <f>3.5</f>
        <v>3.5</v>
      </c>
      <c r="E29" s="320"/>
    </row>
    <row r="30" spans="1:7" ht="12.75">
      <c r="A30" s="335">
        <v>1</v>
      </c>
      <c r="B30" s="296" t="s">
        <v>172</v>
      </c>
      <c r="C30" s="336">
        <f>D30*Svodka!$J$1</f>
        <v>200000</v>
      </c>
      <c r="D30" s="337">
        <v>20</v>
      </c>
      <c r="E30" s="318">
        <f>D30+D31</f>
        <v>32.519999999999996</v>
      </c>
      <c r="F30">
        <v>32.52</v>
      </c>
      <c r="G30">
        <f>E30-F30</f>
        <v>0</v>
      </c>
    </row>
    <row r="31" spans="1:5" ht="13.5" thickBot="1">
      <c r="A31" s="43">
        <v>1</v>
      </c>
      <c r="B31" s="15" t="s">
        <v>172</v>
      </c>
      <c r="C31" s="312">
        <f>D31*Svodka!$J$1</f>
        <v>125200</v>
      </c>
      <c r="D31" s="44">
        <f>1.3+5.9+3.5+1.82</f>
        <v>12.52</v>
      </c>
      <c r="E31" s="320"/>
    </row>
    <row r="32" spans="1:7" ht="12.75">
      <c r="A32" s="335">
        <v>2</v>
      </c>
      <c r="B32" s="296" t="s">
        <v>183</v>
      </c>
      <c r="C32" s="338">
        <f>D32*Svodka!$J$1</f>
        <v>35000</v>
      </c>
      <c r="D32" s="339">
        <f>3.5</f>
        <v>3.5</v>
      </c>
      <c r="E32" s="318">
        <f>D32+D33</f>
        <v>18.85</v>
      </c>
      <c r="F32">
        <v>18.85</v>
      </c>
      <c r="G32">
        <f>E32-F32</f>
        <v>0</v>
      </c>
    </row>
    <row r="33" spans="1:5" ht="13.5" thickBot="1">
      <c r="A33" s="51">
        <v>2</v>
      </c>
      <c r="B33" s="15" t="s">
        <v>183</v>
      </c>
      <c r="C33" s="312">
        <f>D33*Svodka!$J$1</f>
        <v>153500</v>
      </c>
      <c r="D33" s="52">
        <f>2.85+4.5+8</f>
        <v>15.35</v>
      </c>
      <c r="E33" s="320"/>
    </row>
    <row r="34" spans="1:7" ht="12.75">
      <c r="A34" s="315">
        <v>23</v>
      </c>
      <c r="B34" s="296" t="s">
        <v>113</v>
      </c>
      <c r="C34" s="316">
        <f>D34*Svodka!$J$1</f>
        <v>13000</v>
      </c>
      <c r="D34" s="317">
        <v>1.3</v>
      </c>
      <c r="E34" s="318">
        <f>D34+D35</f>
        <v>38.3</v>
      </c>
      <c r="F34">
        <v>38.3</v>
      </c>
      <c r="G34">
        <f>E34-F34</f>
        <v>0</v>
      </c>
    </row>
    <row r="35" spans="1:5" ht="13.5" thickBot="1">
      <c r="A35" s="51">
        <v>23</v>
      </c>
      <c r="B35" s="15" t="s">
        <v>113</v>
      </c>
      <c r="C35" s="80">
        <f>D35*Svodka!$J$1</f>
        <v>370000</v>
      </c>
      <c r="D35" s="340">
        <f>17+20</f>
        <v>37</v>
      </c>
      <c r="E35" s="320"/>
    </row>
    <row r="36" spans="1:7" ht="13.5" thickBot="1">
      <c r="A36" s="288">
        <v>18</v>
      </c>
      <c r="B36" s="301" t="s">
        <v>155</v>
      </c>
      <c r="C36" s="341">
        <f>D36*Svodka!$J$1</f>
        <v>86000</v>
      </c>
      <c r="D36" s="322">
        <v>8.6</v>
      </c>
      <c r="E36" s="323">
        <f>D36</f>
        <v>8.6</v>
      </c>
      <c r="F36">
        <v>8.6</v>
      </c>
      <c r="G36">
        <f>E36-F36</f>
        <v>0</v>
      </c>
    </row>
    <row r="37" spans="1:7" ht="13.5" thickBot="1">
      <c r="A37" s="290">
        <v>18</v>
      </c>
      <c r="B37" s="301" t="s">
        <v>424</v>
      </c>
      <c r="C37" s="326">
        <f>D37*Svodka!$J$1</f>
        <v>68500</v>
      </c>
      <c r="D37" s="342">
        <f>2.85+4</f>
        <v>6.85</v>
      </c>
      <c r="E37" s="350">
        <f>D37</f>
        <v>6.85</v>
      </c>
      <c r="F37">
        <v>6.85</v>
      </c>
      <c r="G37">
        <f>E37-F37</f>
        <v>0</v>
      </c>
    </row>
    <row r="38" spans="1:7" ht="12.75">
      <c r="A38" s="315">
        <v>3</v>
      </c>
      <c r="B38" s="296" t="s">
        <v>3</v>
      </c>
      <c r="C38" s="316">
        <f>D38*Svodka!$J$1</f>
        <v>13000</v>
      </c>
      <c r="D38" s="317">
        <v>1.3</v>
      </c>
      <c r="E38" s="318">
        <f>D38+D39+D40</f>
        <v>23.8</v>
      </c>
      <c r="F38">
        <v>23.8</v>
      </c>
      <c r="G38">
        <f>E38-F38</f>
        <v>0</v>
      </c>
    </row>
    <row r="39" spans="1:5" ht="12.75">
      <c r="A39" s="49">
        <v>3</v>
      </c>
      <c r="B39" s="13" t="s">
        <v>3</v>
      </c>
      <c r="C39" s="310">
        <f>D39*Svodka!$J$1</f>
        <v>45000</v>
      </c>
      <c r="D39" s="50">
        <f>4.5</f>
        <v>4.5</v>
      </c>
      <c r="E39" s="319"/>
    </row>
    <row r="40" spans="1:5" ht="13.5" thickBot="1">
      <c r="A40" s="51">
        <v>3</v>
      </c>
      <c r="B40" s="15" t="s">
        <v>3</v>
      </c>
      <c r="C40" s="311">
        <f>D40*Svodka!$J$1</f>
        <v>180000</v>
      </c>
      <c r="D40" s="52">
        <f>18</f>
        <v>18</v>
      </c>
      <c r="E40" s="320"/>
    </row>
    <row r="41" spans="1:7" ht="12.75">
      <c r="A41" s="250">
        <v>1</v>
      </c>
      <c r="B41" s="343" t="s">
        <v>1</v>
      </c>
      <c r="C41" s="316">
        <f>D41*Svodka!$J$1</f>
        <v>14000</v>
      </c>
      <c r="D41" s="317">
        <v>1.4</v>
      </c>
      <c r="E41" s="318">
        <f>D41+D42</f>
        <v>8.85</v>
      </c>
      <c r="F41">
        <v>8.85</v>
      </c>
      <c r="G41">
        <f>E41-F41</f>
        <v>0</v>
      </c>
    </row>
    <row r="42" spans="1:5" ht="13.5" thickBot="1">
      <c r="A42" s="344">
        <v>1</v>
      </c>
      <c r="B42" s="10" t="s">
        <v>1</v>
      </c>
      <c r="C42" s="345">
        <f>D42*Svodka!$J$1</f>
        <v>74500</v>
      </c>
      <c r="D42" s="265">
        <f>2.95+4.5</f>
        <v>7.45</v>
      </c>
      <c r="E42" s="319"/>
    </row>
    <row r="43" spans="1:7" ht="12.75">
      <c r="A43" s="335">
        <v>29</v>
      </c>
      <c r="B43" s="296" t="s">
        <v>430</v>
      </c>
      <c r="C43" s="324">
        <f>D43*Svodka!$J$1</f>
        <v>35000</v>
      </c>
      <c r="D43" s="339">
        <f>3.5</f>
        <v>3.5</v>
      </c>
      <c r="E43" s="318">
        <f>D43+D44</f>
        <v>12.52</v>
      </c>
      <c r="F43">
        <v>12.52</v>
      </c>
      <c r="G43">
        <f>E43-F43</f>
        <v>0</v>
      </c>
    </row>
    <row r="44" spans="1:5" ht="13.5" thickBot="1">
      <c r="A44" s="51">
        <v>29</v>
      </c>
      <c r="B44" s="15" t="s">
        <v>430</v>
      </c>
      <c r="C44" s="312">
        <f>D44*Svodka!$J$1</f>
        <v>90200</v>
      </c>
      <c r="D44" s="52">
        <f>1.3+5.9+1.82</f>
        <v>9.02</v>
      </c>
      <c r="E44" s="320"/>
    </row>
    <row r="45" spans="1:7" ht="12.75">
      <c r="A45" s="335">
        <v>3</v>
      </c>
      <c r="B45" s="296" t="s">
        <v>281</v>
      </c>
      <c r="C45" s="324">
        <f>D45*Svodka!$J$1</f>
        <v>35000</v>
      </c>
      <c r="D45" s="339">
        <f>3.5</f>
        <v>3.5</v>
      </c>
      <c r="E45" s="318">
        <f>D45+D46+D47</f>
        <v>68.12</v>
      </c>
      <c r="F45">
        <v>68.12</v>
      </c>
      <c r="G45">
        <f>E45-F45</f>
        <v>0</v>
      </c>
    </row>
    <row r="46" spans="1:5" ht="12.75">
      <c r="A46" s="49">
        <v>3</v>
      </c>
      <c r="B46" s="13" t="s">
        <v>281</v>
      </c>
      <c r="C46" s="310">
        <f>D46*Svodka!$J$1</f>
        <v>466200</v>
      </c>
      <c r="D46" s="50">
        <f>1.3+3.5+1.82+40</f>
        <v>46.62</v>
      </c>
      <c r="E46" s="319"/>
    </row>
    <row r="47" spans="1:5" ht="13.5" thickBot="1">
      <c r="A47" s="51">
        <v>3</v>
      </c>
      <c r="B47" s="15" t="s">
        <v>281</v>
      </c>
      <c r="C47" s="311">
        <f>D47*Svodka!$J$1</f>
        <v>180000</v>
      </c>
      <c r="D47" s="52">
        <f>18</f>
        <v>18</v>
      </c>
      <c r="E47" s="320"/>
    </row>
    <row r="48" spans="1:7" ht="13.5" thickBot="1">
      <c r="A48" s="328">
        <v>19</v>
      </c>
      <c r="B48" s="301" t="s">
        <v>489</v>
      </c>
      <c r="C48" s="326">
        <f>D48*Svodka!$J$1</f>
        <v>66200</v>
      </c>
      <c r="D48" s="346">
        <f>1.3+3.5+1.82</f>
        <v>6.62</v>
      </c>
      <c r="E48" s="323">
        <f>D48</f>
        <v>6.62</v>
      </c>
      <c r="F48">
        <v>6.62</v>
      </c>
      <c r="G48">
        <f>E48-F48</f>
        <v>0</v>
      </c>
    </row>
    <row r="49" spans="1:7" ht="13.5" thickBot="1">
      <c r="A49" s="328">
        <v>27</v>
      </c>
      <c r="B49" s="301" t="s">
        <v>462</v>
      </c>
      <c r="C49" s="326">
        <f>D49*Svodka!$J$1</f>
        <v>90200</v>
      </c>
      <c r="D49" s="346">
        <f>1.3+5.9+1.82</f>
        <v>9.02</v>
      </c>
      <c r="E49" s="323">
        <f>D49</f>
        <v>9.02</v>
      </c>
      <c r="F49">
        <v>9.02</v>
      </c>
      <c r="G49">
        <f>E49-F49</f>
        <v>0</v>
      </c>
    </row>
    <row r="50" spans="1:7" ht="13.5" thickBot="1">
      <c r="A50" s="288">
        <v>7</v>
      </c>
      <c r="B50" s="301" t="s">
        <v>491</v>
      </c>
      <c r="C50" s="326">
        <f>D50*Svodka!$J$1</f>
        <v>13000</v>
      </c>
      <c r="D50" s="327">
        <f>1.3</f>
        <v>1.3</v>
      </c>
      <c r="E50" s="323">
        <f>D50</f>
        <v>1.3</v>
      </c>
      <c r="F50">
        <v>1.3</v>
      </c>
      <c r="G50">
        <f>E50-F50</f>
        <v>0</v>
      </c>
    </row>
    <row r="51" spans="1:7" ht="12.75">
      <c r="A51" s="315">
        <v>1</v>
      </c>
      <c r="B51" s="296" t="s">
        <v>605</v>
      </c>
      <c r="C51" s="316">
        <f>D51*Svodka!$J$1</f>
        <v>13000</v>
      </c>
      <c r="D51" s="317">
        <v>1.3</v>
      </c>
      <c r="E51" s="318">
        <f>D51+D52</f>
        <v>4.8</v>
      </c>
      <c r="F51">
        <v>4.8</v>
      </c>
      <c r="G51">
        <f>E51-F51</f>
        <v>0</v>
      </c>
    </row>
    <row r="52" spans="1:5" ht="13.5" thickBot="1">
      <c r="A52" s="51">
        <v>1</v>
      </c>
      <c r="B52" s="15" t="s">
        <v>605</v>
      </c>
      <c r="C52" s="311">
        <f>D52*Svodka!$J$1</f>
        <v>35000</v>
      </c>
      <c r="D52" s="52">
        <v>3.5</v>
      </c>
      <c r="E52" s="320"/>
    </row>
    <row r="53" spans="1:7" ht="13.5" thickBot="1">
      <c r="A53" s="347">
        <v>21</v>
      </c>
      <c r="B53" s="332" t="s">
        <v>442</v>
      </c>
      <c r="C53" s="348">
        <f>D53*Svodka!$J$1</f>
        <v>197000.00000000003</v>
      </c>
      <c r="D53" s="349">
        <f>1.3+9+5.9+3.5</f>
        <v>19.700000000000003</v>
      </c>
      <c r="E53" s="318">
        <f>D53</f>
        <v>19.700000000000003</v>
      </c>
      <c r="F53">
        <v>19.7</v>
      </c>
      <c r="G53">
        <f>E53-F53</f>
        <v>0</v>
      </c>
    </row>
    <row r="54" spans="1:7" ht="13.5" thickBot="1">
      <c r="A54" s="328">
        <v>9</v>
      </c>
      <c r="B54" s="301" t="s">
        <v>47</v>
      </c>
      <c r="C54" s="329">
        <f>D54*Svodka!$J$1</f>
        <v>13000</v>
      </c>
      <c r="D54" s="330">
        <v>1.3</v>
      </c>
      <c r="E54" s="323">
        <f>D54</f>
        <v>1.3</v>
      </c>
      <c r="F54">
        <v>1.3</v>
      </c>
      <c r="G54">
        <f>E54-F54</f>
        <v>0</v>
      </c>
    </row>
    <row r="55" spans="1:7" ht="13.5" thickBot="1">
      <c r="A55" s="288">
        <v>16</v>
      </c>
      <c r="B55" s="301" t="s">
        <v>493</v>
      </c>
      <c r="C55" s="326">
        <f>D55*Svodka!$J$1</f>
        <v>18200</v>
      </c>
      <c r="D55" s="327">
        <f>1.82</f>
        <v>1.82</v>
      </c>
      <c r="E55" s="323">
        <f>D55</f>
        <v>1.82</v>
      </c>
      <c r="F55">
        <v>1.82</v>
      </c>
      <c r="G55">
        <f>E55-F55</f>
        <v>0</v>
      </c>
    </row>
    <row r="56" spans="1:7" ht="12.75">
      <c r="A56" s="315">
        <v>25</v>
      </c>
      <c r="B56" s="296" t="s">
        <v>109</v>
      </c>
      <c r="C56" s="316">
        <f>D56*Svodka!$J$1</f>
        <v>133000</v>
      </c>
      <c r="D56" s="317">
        <v>13.3</v>
      </c>
      <c r="E56" s="318">
        <f>D56+D57+D58+D59</f>
        <v>22.12</v>
      </c>
      <c r="F56">
        <v>22.12</v>
      </c>
      <c r="G56">
        <f>E56-F56</f>
        <v>0</v>
      </c>
    </row>
    <row r="57" spans="1:5" ht="12.75">
      <c r="A57" s="49">
        <v>25</v>
      </c>
      <c r="B57" s="13" t="s">
        <v>109</v>
      </c>
      <c r="C57" s="309">
        <f>D57*Svodka!$J$1</f>
        <v>35000</v>
      </c>
      <c r="D57" s="50">
        <f>3.5</f>
        <v>3.5</v>
      </c>
      <c r="E57" s="319"/>
    </row>
    <row r="58" spans="1:5" ht="12.75">
      <c r="A58" s="49">
        <v>25</v>
      </c>
      <c r="B58" s="13" t="s">
        <v>109</v>
      </c>
      <c r="C58" s="310">
        <f>D58*Svodka!$J$1</f>
        <v>35000</v>
      </c>
      <c r="D58" s="50">
        <f>3.5</f>
        <v>3.5</v>
      </c>
      <c r="E58" s="319"/>
    </row>
    <row r="59" spans="1:5" ht="13.5" thickBot="1">
      <c r="A59" s="51">
        <v>25</v>
      </c>
      <c r="B59" s="15" t="s">
        <v>109</v>
      </c>
      <c r="C59" s="312">
        <f>D59*Svodka!$J$1</f>
        <v>18200</v>
      </c>
      <c r="D59" s="52">
        <f>1.82</f>
        <v>1.82</v>
      </c>
      <c r="E59" s="320"/>
    </row>
    <row r="60" spans="1:7" ht="12.75">
      <c r="A60" s="315">
        <v>31</v>
      </c>
      <c r="B60" s="296" t="s">
        <v>124</v>
      </c>
      <c r="C60" s="316">
        <f>D60*Svodka!$J$1</f>
        <v>133000</v>
      </c>
      <c r="D60" s="317">
        <v>13.3</v>
      </c>
      <c r="E60" s="318">
        <f>D60+D61+D62+D63</f>
        <v>22.12</v>
      </c>
      <c r="F60">
        <v>22.12</v>
      </c>
      <c r="G60">
        <f>E60-F60</f>
        <v>0</v>
      </c>
    </row>
    <row r="61" spans="1:5" ht="12.75">
      <c r="A61" s="49">
        <v>31</v>
      </c>
      <c r="B61" s="13" t="s">
        <v>124</v>
      </c>
      <c r="C61" s="309">
        <f>D61*Svodka!$J$1</f>
        <v>35000</v>
      </c>
      <c r="D61" s="50">
        <f>3.5</f>
        <v>3.5</v>
      </c>
      <c r="E61" s="319"/>
    </row>
    <row r="62" spans="1:5" ht="12.75">
      <c r="A62" s="49">
        <v>31</v>
      </c>
      <c r="B62" s="13" t="s">
        <v>124</v>
      </c>
      <c r="C62" s="310">
        <f>D62*Svodka!$J$1</f>
        <v>35000</v>
      </c>
      <c r="D62" s="50">
        <f>3.5</f>
        <v>3.5</v>
      </c>
      <c r="E62" s="319"/>
    </row>
    <row r="63" spans="1:5" ht="13.5" thickBot="1">
      <c r="A63" s="51">
        <v>31</v>
      </c>
      <c r="B63" s="15" t="s">
        <v>124</v>
      </c>
      <c r="C63" s="312">
        <f>D63*Svodka!$J$1</f>
        <v>18200</v>
      </c>
      <c r="D63" s="52">
        <f>1.82</f>
        <v>1.82</v>
      </c>
      <c r="E63" s="320"/>
    </row>
    <row r="64" spans="1:7" ht="12.75">
      <c r="A64" s="315">
        <v>12</v>
      </c>
      <c r="B64" s="296" t="s">
        <v>64</v>
      </c>
      <c r="C64" s="316">
        <f>D64*Svodka!$J$1</f>
        <v>13000</v>
      </c>
      <c r="D64" s="317">
        <v>1.3</v>
      </c>
      <c r="E64" s="318">
        <f>D64+D65</f>
        <v>8.5</v>
      </c>
      <c r="F64">
        <v>8.5</v>
      </c>
      <c r="G64">
        <f>E64-F64</f>
        <v>0</v>
      </c>
    </row>
    <row r="65" spans="1:5" ht="13.5" thickBot="1">
      <c r="A65" s="43">
        <v>12</v>
      </c>
      <c r="B65" s="15" t="s">
        <v>64</v>
      </c>
      <c r="C65" s="312">
        <f>D65*Svodka!$J$1</f>
        <v>72000</v>
      </c>
      <c r="D65" s="44">
        <f>1.3+5.9</f>
        <v>7.2</v>
      </c>
      <c r="E65" s="320"/>
    </row>
    <row r="66" spans="1:7" ht="12.75">
      <c r="A66" s="335">
        <v>8</v>
      </c>
      <c r="B66" s="296" t="s">
        <v>283</v>
      </c>
      <c r="C66" s="324">
        <f>D66*Svodka!$J$1</f>
        <v>45000</v>
      </c>
      <c r="D66" s="339">
        <f>4.5</f>
        <v>4.5</v>
      </c>
      <c r="E66" s="318">
        <f>D66+D67+D68</f>
        <v>74.32</v>
      </c>
      <c r="F66">
        <v>74.32</v>
      </c>
      <c r="G66">
        <f>E66-F66</f>
        <v>0</v>
      </c>
    </row>
    <row r="67" spans="1:5" ht="12.75">
      <c r="A67" s="41">
        <v>8</v>
      </c>
      <c r="B67" s="13" t="s">
        <v>283</v>
      </c>
      <c r="C67" s="310">
        <f>D67*Svodka!$J$1</f>
        <v>518200</v>
      </c>
      <c r="D67" s="42">
        <f>50+1.82</f>
        <v>51.82</v>
      </c>
      <c r="E67" s="319"/>
    </row>
    <row r="68" spans="1:5" ht="13.5" thickBot="1">
      <c r="A68" s="51">
        <v>8</v>
      </c>
      <c r="B68" s="15" t="s">
        <v>283</v>
      </c>
      <c r="C68" s="311">
        <f>D68*Svodka!$J$1</f>
        <v>180000</v>
      </c>
      <c r="D68" s="52">
        <f>18</f>
        <v>18</v>
      </c>
      <c r="E68" s="320"/>
    </row>
    <row r="69" spans="1:7" ht="12.75">
      <c r="A69" s="315">
        <v>4</v>
      </c>
      <c r="B69" s="296" t="s">
        <v>33</v>
      </c>
      <c r="C69" s="316">
        <f>D69*Svodka!$J$1</f>
        <v>13000</v>
      </c>
      <c r="D69" s="317">
        <v>1.3</v>
      </c>
      <c r="E69" s="318">
        <f>D69+D70</f>
        <v>4.15</v>
      </c>
      <c r="F69">
        <v>4.15</v>
      </c>
      <c r="G69">
        <f>E69-F69</f>
        <v>0</v>
      </c>
    </row>
    <row r="70" spans="1:5" ht="13.5" thickBot="1">
      <c r="A70" s="51">
        <v>4</v>
      </c>
      <c r="B70" s="15" t="s">
        <v>33</v>
      </c>
      <c r="C70" s="312">
        <f>D70*Svodka!$J$1</f>
        <v>28500</v>
      </c>
      <c r="D70" s="52">
        <f>2.85</f>
        <v>2.85</v>
      </c>
      <c r="E70" s="320"/>
    </row>
    <row r="71" spans="1:7" ht="12.75">
      <c r="A71" s="335">
        <v>9</v>
      </c>
      <c r="B71" s="296" t="s">
        <v>416</v>
      </c>
      <c r="C71" s="324">
        <f>D71*Svodka!$J$1</f>
        <v>28500</v>
      </c>
      <c r="D71" s="339">
        <f>2.85</f>
        <v>2.85</v>
      </c>
      <c r="E71" s="318">
        <f>D71+D72</f>
        <v>17.25</v>
      </c>
      <c r="F71">
        <v>17.25</v>
      </c>
      <c r="G71">
        <f>E71-F71</f>
        <v>0</v>
      </c>
    </row>
    <row r="72" spans="1:5" ht="13.5" thickBot="1">
      <c r="A72" s="43">
        <v>9</v>
      </c>
      <c r="B72" s="15" t="s">
        <v>416</v>
      </c>
      <c r="C72" s="312">
        <f>D72*Svodka!$J$1</f>
        <v>144000</v>
      </c>
      <c r="D72" s="44">
        <f>8.5+5.9</f>
        <v>14.4</v>
      </c>
      <c r="E72" s="320"/>
    </row>
    <row r="73" spans="1:7" ht="12.75">
      <c r="A73" s="335">
        <v>16</v>
      </c>
      <c r="B73" s="296" t="s">
        <v>422</v>
      </c>
      <c r="C73" s="324">
        <f>D73*Svodka!$J$1</f>
        <v>35000</v>
      </c>
      <c r="D73" s="339">
        <f>3.5</f>
        <v>3.5</v>
      </c>
      <c r="E73" s="318">
        <f>D73+D74</f>
        <v>33.5</v>
      </c>
      <c r="F73">
        <v>33.5</v>
      </c>
      <c r="G73">
        <f>E73-F73</f>
        <v>0</v>
      </c>
    </row>
    <row r="74" spans="1:5" ht="13.5" thickBot="1">
      <c r="A74" s="51">
        <v>16</v>
      </c>
      <c r="B74" s="15" t="s">
        <v>422</v>
      </c>
      <c r="C74" s="311">
        <f>D74*Svodka!$J$1</f>
        <v>300000</v>
      </c>
      <c r="D74" s="52">
        <f>30</f>
        <v>30</v>
      </c>
      <c r="E74" s="320"/>
    </row>
    <row r="75" spans="1:7" ht="12.75">
      <c r="A75" s="335">
        <v>8</v>
      </c>
      <c r="B75" s="296" t="s">
        <v>190</v>
      </c>
      <c r="C75" s="338">
        <f>D75*Svodka!$J$1</f>
        <v>35000</v>
      </c>
      <c r="D75" s="339">
        <f>3.5</f>
        <v>3.5</v>
      </c>
      <c r="E75" s="318">
        <f>D75+D76+D77+D78</f>
        <v>43.4</v>
      </c>
      <c r="F75">
        <v>43.4</v>
      </c>
      <c r="G75">
        <f>E75-F75</f>
        <v>0</v>
      </c>
    </row>
    <row r="76" spans="1:5" ht="12.75">
      <c r="A76" s="49">
        <v>8</v>
      </c>
      <c r="B76" s="13" t="s">
        <v>190</v>
      </c>
      <c r="C76" s="310">
        <f>D76*Svodka!$J$1</f>
        <v>40000</v>
      </c>
      <c r="D76" s="50">
        <v>4</v>
      </c>
      <c r="E76" s="319"/>
    </row>
    <row r="77" spans="1:5" ht="12.75">
      <c r="A77" s="41">
        <v>8</v>
      </c>
      <c r="B77" s="13" t="s">
        <v>190</v>
      </c>
      <c r="C77" s="310">
        <f>D77*Svodka!$J$1</f>
        <v>59000</v>
      </c>
      <c r="D77" s="42">
        <f>5.9</f>
        <v>5.9</v>
      </c>
      <c r="E77" s="319"/>
    </row>
    <row r="78" spans="1:5" ht="13.5" thickBot="1">
      <c r="A78" s="51">
        <v>8</v>
      </c>
      <c r="B78" s="15" t="s">
        <v>190</v>
      </c>
      <c r="C78" s="311">
        <f>D78*Svodka!$J$1</f>
        <v>300000</v>
      </c>
      <c r="D78" s="52">
        <f>30</f>
        <v>30</v>
      </c>
      <c r="E78" s="320"/>
    </row>
    <row r="79" spans="1:7" ht="12.75">
      <c r="A79" s="335">
        <v>7</v>
      </c>
      <c r="B79" s="296" t="s">
        <v>196</v>
      </c>
      <c r="C79" s="338">
        <f>D79*Svodka!$J$1</f>
        <v>160000</v>
      </c>
      <c r="D79" s="339">
        <f>16</f>
        <v>16</v>
      </c>
      <c r="E79" s="318">
        <f>D79+D80</f>
        <v>17.3</v>
      </c>
      <c r="F79">
        <v>17.3</v>
      </c>
      <c r="G79">
        <f>E79-F79</f>
        <v>0</v>
      </c>
    </row>
    <row r="80" spans="1:5" ht="13.5" thickBot="1">
      <c r="A80" s="43">
        <v>7</v>
      </c>
      <c r="B80" s="15" t="s">
        <v>196</v>
      </c>
      <c r="C80" s="312">
        <f>D80*Svodka!$J$1</f>
        <v>13000</v>
      </c>
      <c r="D80" s="44">
        <f>1.3</f>
        <v>1.3</v>
      </c>
      <c r="E80" s="320"/>
    </row>
    <row r="81" spans="1:7" ht="13.5" thickBot="1">
      <c r="A81" s="288">
        <v>12</v>
      </c>
      <c r="B81" s="301" t="s">
        <v>192</v>
      </c>
      <c r="C81" s="321">
        <f>D81*Svodka!$J$1</f>
        <v>40000</v>
      </c>
      <c r="D81" s="322">
        <v>4</v>
      </c>
      <c r="E81" s="323">
        <f>D81</f>
        <v>4</v>
      </c>
      <c r="F81">
        <v>4</v>
      </c>
      <c r="G81">
        <f>E81-F81</f>
        <v>0</v>
      </c>
    </row>
    <row r="82" spans="1:7" ht="12.75">
      <c r="A82" s="315">
        <v>9</v>
      </c>
      <c r="B82" s="296" t="s">
        <v>120</v>
      </c>
      <c r="C82" s="316">
        <f>D82*Svodka!$J$1</f>
        <v>13000</v>
      </c>
      <c r="D82" s="317">
        <v>1.3</v>
      </c>
      <c r="E82" s="318">
        <f>D82+D83+D84+D85+D86</f>
        <v>25.02</v>
      </c>
      <c r="F82">
        <v>25.02</v>
      </c>
      <c r="G82">
        <f>E82-F82</f>
        <v>0</v>
      </c>
    </row>
    <row r="83" spans="1:5" ht="12.75">
      <c r="A83" s="49">
        <v>9</v>
      </c>
      <c r="B83" s="13" t="s">
        <v>120</v>
      </c>
      <c r="C83" s="48">
        <f>D83*Svodka!$J$1</f>
        <v>86000</v>
      </c>
      <c r="D83" s="99">
        <v>8.6</v>
      </c>
      <c r="E83" s="319"/>
    </row>
    <row r="84" spans="1:5" ht="12.75">
      <c r="A84" s="49">
        <v>9</v>
      </c>
      <c r="B84" s="13" t="s">
        <v>120</v>
      </c>
      <c r="C84" s="309">
        <f>D84*Svodka!$J$1</f>
        <v>50000</v>
      </c>
      <c r="D84" s="50">
        <f>5</f>
        <v>5</v>
      </c>
      <c r="E84" s="319"/>
    </row>
    <row r="85" spans="1:5" ht="12.75">
      <c r="A85" s="49">
        <v>9</v>
      </c>
      <c r="B85" s="13" t="s">
        <v>120</v>
      </c>
      <c r="C85" s="310">
        <f>D85*Svodka!$J$1</f>
        <v>35000</v>
      </c>
      <c r="D85" s="50">
        <f>3.5</f>
        <v>3.5</v>
      </c>
      <c r="E85" s="319"/>
    </row>
    <row r="86" spans="1:5" ht="13.5" thickBot="1">
      <c r="A86" s="43">
        <v>9</v>
      </c>
      <c r="B86" s="15" t="s">
        <v>120</v>
      </c>
      <c r="C86" s="312">
        <f>D86*Svodka!$J$1</f>
        <v>66200</v>
      </c>
      <c r="D86" s="44">
        <f>1.3+3.5+1.82</f>
        <v>6.62</v>
      </c>
      <c r="E86" s="320"/>
    </row>
    <row r="87" spans="1:7" ht="13.5" thickBot="1">
      <c r="A87" s="288">
        <v>35</v>
      </c>
      <c r="B87" s="301" t="s">
        <v>157</v>
      </c>
      <c r="C87" s="341">
        <f>D87*Svodka!$J$1</f>
        <v>84000</v>
      </c>
      <c r="D87" s="322">
        <v>8.4</v>
      </c>
      <c r="E87" s="323">
        <f>D87</f>
        <v>8.4</v>
      </c>
      <c r="F87">
        <v>8.4</v>
      </c>
      <c r="G87">
        <f>E87-F87</f>
        <v>0</v>
      </c>
    </row>
    <row r="88" spans="1:7" ht="13.5" thickBot="1">
      <c r="A88" s="288">
        <v>11</v>
      </c>
      <c r="B88" s="301" t="s">
        <v>458</v>
      </c>
      <c r="C88" s="326">
        <f>D88*Svodka!$J$1</f>
        <v>18200</v>
      </c>
      <c r="D88" s="327">
        <f>1.82</f>
        <v>1.82</v>
      </c>
      <c r="E88" s="323">
        <f>D88</f>
        <v>1.82</v>
      </c>
      <c r="F88">
        <v>1.82</v>
      </c>
      <c r="G88">
        <f>E88-F88</f>
        <v>0</v>
      </c>
    </row>
    <row r="89" spans="1:7" ht="12.75">
      <c r="A89" s="315">
        <v>8</v>
      </c>
      <c r="B89" s="296" t="s">
        <v>44</v>
      </c>
      <c r="C89" s="316">
        <f>D89*Svodka!$J$1</f>
        <v>99000</v>
      </c>
      <c r="D89" s="317">
        <f>8.6+1.3</f>
        <v>9.9</v>
      </c>
      <c r="E89" s="318">
        <f>D89+D90</f>
        <v>14.4</v>
      </c>
      <c r="F89">
        <v>14.4</v>
      </c>
      <c r="G89">
        <f>E89-F89</f>
        <v>0</v>
      </c>
    </row>
    <row r="90" spans="1:5" ht="13.5" thickBot="1">
      <c r="A90" s="51">
        <v>8</v>
      </c>
      <c r="B90" s="15" t="s">
        <v>44</v>
      </c>
      <c r="C90" s="312">
        <f>D90*Svodka!$J$1</f>
        <v>45000</v>
      </c>
      <c r="D90" s="52">
        <f>4.5</f>
        <v>4.5</v>
      </c>
      <c r="E90" s="320"/>
    </row>
    <row r="91" spans="1:7" ht="12.75">
      <c r="A91" s="315">
        <v>16</v>
      </c>
      <c r="B91" s="296" t="s">
        <v>94</v>
      </c>
      <c r="C91" s="316">
        <f>D91*Svodka!$J$1</f>
        <v>13000</v>
      </c>
      <c r="D91" s="317">
        <v>1.3</v>
      </c>
      <c r="E91" s="318">
        <f>D91+D92+D93+D94</f>
        <v>24.62</v>
      </c>
      <c r="F91">
        <v>24.62</v>
      </c>
      <c r="G91">
        <f>E91-F91</f>
        <v>0</v>
      </c>
    </row>
    <row r="92" spans="1:5" ht="12.75">
      <c r="A92" s="49">
        <v>16</v>
      </c>
      <c r="B92" s="13" t="s">
        <v>94</v>
      </c>
      <c r="C92" s="309">
        <f>D92*Svodka!$J$1</f>
        <v>35000</v>
      </c>
      <c r="D92" s="50">
        <f>3.5</f>
        <v>3.5</v>
      </c>
      <c r="E92" s="319"/>
    </row>
    <row r="93" spans="1:5" ht="12.75">
      <c r="A93" s="41">
        <v>16</v>
      </c>
      <c r="B93" s="13" t="s">
        <v>94</v>
      </c>
      <c r="C93" s="310">
        <f>D93*Svodka!$J$1</f>
        <v>18200</v>
      </c>
      <c r="D93" s="42">
        <f>1.82</f>
        <v>1.82</v>
      </c>
      <c r="E93" s="319"/>
    </row>
    <row r="94" spans="1:5" ht="13.5" thickBot="1">
      <c r="A94" s="51">
        <v>16</v>
      </c>
      <c r="B94" s="15" t="s">
        <v>94</v>
      </c>
      <c r="C94" s="311">
        <f>D94*Svodka!$J$1</f>
        <v>180000</v>
      </c>
      <c r="D94" s="52">
        <f>18</f>
        <v>18</v>
      </c>
      <c r="E94" s="320"/>
    </row>
    <row r="95" spans="1:7" ht="12.75">
      <c r="A95" s="315">
        <v>5</v>
      </c>
      <c r="B95" s="296" t="s">
        <v>35</v>
      </c>
      <c r="C95" s="316">
        <f>D95*Svodka!$J$1</f>
        <v>137000</v>
      </c>
      <c r="D95" s="317">
        <f>6.7+5.7+1.3</f>
        <v>13.700000000000001</v>
      </c>
      <c r="E95" s="318">
        <f>D95+D96+D97</f>
        <v>85.32</v>
      </c>
      <c r="F95">
        <v>85.32</v>
      </c>
      <c r="G95">
        <f>E95-F95</f>
        <v>0</v>
      </c>
    </row>
    <row r="96" spans="1:5" ht="12.75">
      <c r="A96" s="49">
        <v>5</v>
      </c>
      <c r="B96" s="13" t="s">
        <v>35</v>
      </c>
      <c r="C96" s="310">
        <f>D96*Svodka!$J$1</f>
        <v>219000</v>
      </c>
      <c r="D96" s="50">
        <f>4.5+5+5.7+6.7</f>
        <v>21.9</v>
      </c>
      <c r="E96" s="319"/>
    </row>
    <row r="97" spans="1:5" ht="13.5" thickBot="1">
      <c r="A97" s="51">
        <v>5</v>
      </c>
      <c r="B97" s="15" t="s">
        <v>35</v>
      </c>
      <c r="C97" s="312">
        <f>D97*Svodka!$J$1</f>
        <v>497200</v>
      </c>
      <c r="D97" s="52">
        <f>8.5+30+5.9+3.5+1.82</f>
        <v>49.72</v>
      </c>
      <c r="E97" s="320"/>
    </row>
    <row r="98" spans="1:7" ht="12.75">
      <c r="A98" s="335">
        <v>24</v>
      </c>
      <c r="B98" s="296" t="s">
        <v>229</v>
      </c>
      <c r="C98" s="338">
        <f>D98*Svodka!$J$1</f>
        <v>50000</v>
      </c>
      <c r="D98" s="339">
        <f>5</f>
        <v>5</v>
      </c>
      <c r="E98" s="318">
        <f>D98+D99+D100</f>
        <v>10.8</v>
      </c>
      <c r="F98">
        <v>10.8</v>
      </c>
      <c r="G98">
        <f>E98-F98</f>
        <v>0</v>
      </c>
    </row>
    <row r="99" spans="1:5" ht="12.75">
      <c r="A99" s="49">
        <v>24</v>
      </c>
      <c r="B99" s="13" t="s">
        <v>229</v>
      </c>
      <c r="C99" s="310">
        <f>D99*Svodka!$J$1</f>
        <v>45000</v>
      </c>
      <c r="D99" s="50">
        <f>4.5</f>
        <v>4.5</v>
      </c>
      <c r="E99" s="319"/>
    </row>
    <row r="100" spans="1:5" ht="13.5" thickBot="1">
      <c r="A100" s="51">
        <v>24</v>
      </c>
      <c r="B100" s="15" t="s">
        <v>229</v>
      </c>
      <c r="C100" s="312">
        <f>D100*Svodka!$J$1</f>
        <v>13000</v>
      </c>
      <c r="D100" s="52">
        <f>1.3</f>
        <v>1.3</v>
      </c>
      <c r="E100" s="320"/>
    </row>
    <row r="101" spans="1:7" ht="12.75">
      <c r="A101" s="335">
        <v>12</v>
      </c>
      <c r="B101" s="296" t="s">
        <v>163</v>
      </c>
      <c r="C101" s="336">
        <f>D101*Svodka!$J$1</f>
        <v>170000</v>
      </c>
      <c r="D101" s="337">
        <v>17</v>
      </c>
      <c r="E101" s="318">
        <f>D101+D102</f>
        <v>34.5</v>
      </c>
      <c r="F101">
        <v>34.5</v>
      </c>
      <c r="G101">
        <f>E101-F101</f>
        <v>0</v>
      </c>
    </row>
    <row r="102" spans="1:5" ht="13.5" thickBot="1">
      <c r="A102" s="51">
        <v>12</v>
      </c>
      <c r="B102" s="15" t="s">
        <v>163</v>
      </c>
      <c r="C102" s="312">
        <f>D102*Svodka!$J$1</f>
        <v>175000</v>
      </c>
      <c r="D102" s="52">
        <f>5+5.8+6.7</f>
        <v>17.5</v>
      </c>
      <c r="E102" s="320"/>
    </row>
    <row r="103" spans="1:7" ht="12.75">
      <c r="A103" s="315">
        <v>41</v>
      </c>
      <c r="B103" s="296" t="s">
        <v>128</v>
      </c>
      <c r="C103" s="316">
        <f>D103*Svodka!$J$1</f>
        <v>100000</v>
      </c>
      <c r="D103" s="317">
        <v>10</v>
      </c>
      <c r="E103" s="318">
        <f>D103+D104+D105+D106</f>
        <v>151.89999999999998</v>
      </c>
      <c r="F103">
        <v>151.9</v>
      </c>
      <c r="G103">
        <f>E103-F103</f>
        <v>0</v>
      </c>
    </row>
    <row r="104" spans="1:5" ht="12.75">
      <c r="A104" s="49">
        <v>41</v>
      </c>
      <c r="B104" s="13" t="s">
        <v>128</v>
      </c>
      <c r="C104" s="309">
        <f>D104*Svodka!$J$1</f>
        <v>1050000</v>
      </c>
      <c r="D104" s="50">
        <f>5+100</f>
        <v>105</v>
      </c>
      <c r="E104" s="319"/>
    </row>
    <row r="105" spans="1:5" ht="12.75">
      <c r="A105" s="49">
        <v>41</v>
      </c>
      <c r="B105" s="13" t="s">
        <v>128</v>
      </c>
      <c r="C105" s="310">
        <f>D105*Svodka!$J$1</f>
        <v>297000</v>
      </c>
      <c r="D105" s="50">
        <f>15+6.7+3.5+4.5</f>
        <v>29.7</v>
      </c>
      <c r="E105" s="319"/>
    </row>
    <row r="106" spans="1:5" ht="13.5" thickBot="1">
      <c r="A106" s="51">
        <v>41</v>
      </c>
      <c r="B106" s="15" t="s">
        <v>128</v>
      </c>
      <c r="C106" s="312">
        <f>D106*Svodka!$J$1</f>
        <v>72000</v>
      </c>
      <c r="D106" s="52">
        <f>1.3+5.9</f>
        <v>7.2</v>
      </c>
      <c r="E106" s="320"/>
    </row>
    <row r="107" spans="1:7" ht="13.5" thickBot="1">
      <c r="A107" s="288">
        <v>26</v>
      </c>
      <c r="B107" s="29" t="s">
        <v>460</v>
      </c>
      <c r="C107" s="326">
        <f>D107*Svodka!$J$1</f>
        <v>85000</v>
      </c>
      <c r="D107" s="327">
        <f>8.5</f>
        <v>8.5</v>
      </c>
      <c r="E107" s="323">
        <f>D107</f>
        <v>8.5</v>
      </c>
      <c r="F107">
        <v>8.5</v>
      </c>
      <c r="G107">
        <f>E107-F107</f>
        <v>0</v>
      </c>
    </row>
    <row r="108" spans="1:7" ht="13.5" thickBot="1">
      <c r="A108" s="290">
        <v>15</v>
      </c>
      <c r="B108" s="301" t="s">
        <v>454</v>
      </c>
      <c r="C108" s="326">
        <f>D108*Svodka!$J$1</f>
        <v>13000</v>
      </c>
      <c r="D108" s="327">
        <f>1.3</f>
        <v>1.3</v>
      </c>
      <c r="E108" s="323">
        <f>D108</f>
        <v>1.3</v>
      </c>
      <c r="F108">
        <v>1.3</v>
      </c>
      <c r="G108">
        <f>E108-F108</f>
        <v>0</v>
      </c>
    </row>
    <row r="109" spans="1:7" ht="13.5" thickBot="1">
      <c r="A109" s="328">
        <v>10</v>
      </c>
      <c r="B109" s="301" t="s">
        <v>49</v>
      </c>
      <c r="C109" s="329">
        <f>D109*Svodka!$J$1</f>
        <v>13000</v>
      </c>
      <c r="D109" s="330">
        <v>1.3</v>
      </c>
      <c r="E109" s="323">
        <f>D109</f>
        <v>1.3</v>
      </c>
      <c r="F109">
        <v>1.3</v>
      </c>
      <c r="G109">
        <f>E109-F109</f>
        <v>0</v>
      </c>
    </row>
    <row r="110" spans="1:7" ht="13.5" thickBot="1">
      <c r="A110" s="288">
        <v>7</v>
      </c>
      <c r="B110" s="301" t="s">
        <v>446</v>
      </c>
      <c r="C110" s="326">
        <f>D110*Svodka!$J$1</f>
        <v>144000</v>
      </c>
      <c r="D110" s="289">
        <f>8.5+5.9</f>
        <v>14.4</v>
      </c>
      <c r="E110" s="323">
        <f>D110</f>
        <v>14.4</v>
      </c>
      <c r="F110">
        <v>14.4</v>
      </c>
      <c r="G110">
        <f>E110-F110</f>
        <v>0</v>
      </c>
    </row>
    <row r="111" spans="1:7" ht="12.75">
      <c r="A111" s="315">
        <v>7</v>
      </c>
      <c r="B111" s="296" t="s">
        <v>53</v>
      </c>
      <c r="C111" s="316">
        <f>D111*Svodka!$J$1</f>
        <v>86000</v>
      </c>
      <c r="D111" s="317">
        <v>8.6</v>
      </c>
      <c r="E111" s="318">
        <f>D111+D112</f>
        <v>26.6</v>
      </c>
      <c r="F111">
        <v>26.6</v>
      </c>
      <c r="G111">
        <f>E111-F111</f>
        <v>0</v>
      </c>
    </row>
    <row r="112" spans="1:5" ht="13.5" thickBot="1">
      <c r="A112" s="51">
        <v>7</v>
      </c>
      <c r="B112" s="15" t="s">
        <v>53</v>
      </c>
      <c r="C112" s="311">
        <f>D112*Svodka!$J$1</f>
        <v>180000</v>
      </c>
      <c r="D112" s="52">
        <f>18</f>
        <v>18</v>
      </c>
      <c r="E112" s="320"/>
    </row>
    <row r="113" spans="1:7" ht="13.5" thickBot="1">
      <c r="A113" s="288">
        <v>5</v>
      </c>
      <c r="B113" s="301" t="s">
        <v>448</v>
      </c>
      <c r="C113" s="326">
        <f>D113*Svodka!$J$1</f>
        <v>59000</v>
      </c>
      <c r="D113" s="327">
        <f>5.9</f>
        <v>5.9</v>
      </c>
      <c r="E113" s="323">
        <f>D113</f>
        <v>5.9</v>
      </c>
      <c r="F113">
        <v>5.9</v>
      </c>
      <c r="G113">
        <f>E113-F113</f>
        <v>0</v>
      </c>
    </row>
    <row r="114" spans="1:7" ht="12.75">
      <c r="A114" s="335">
        <v>36</v>
      </c>
      <c r="B114" s="296" t="s">
        <v>537</v>
      </c>
      <c r="C114" s="324">
        <f>D114*Svodka!$J$1</f>
        <v>35000</v>
      </c>
      <c r="D114" s="339">
        <f>3.5</f>
        <v>3.5</v>
      </c>
      <c r="E114" s="318">
        <f>D114+D115</f>
        <v>35.32</v>
      </c>
      <c r="F114">
        <v>35.32</v>
      </c>
      <c r="G114">
        <f>E114-F114</f>
        <v>0</v>
      </c>
    </row>
    <row r="115" spans="1:5" ht="13.5" thickBot="1">
      <c r="A115" s="51">
        <v>36</v>
      </c>
      <c r="B115" s="15" t="s">
        <v>537</v>
      </c>
      <c r="C115" s="312">
        <f>D115*Svodka!$J$1</f>
        <v>318200</v>
      </c>
      <c r="D115" s="52">
        <f>30+1.82</f>
        <v>31.82</v>
      </c>
      <c r="E115" s="320"/>
    </row>
    <row r="116" spans="1:7" ht="12.75">
      <c r="A116" s="335">
        <v>25</v>
      </c>
      <c r="B116" s="296" t="s">
        <v>543</v>
      </c>
      <c r="C116" s="324">
        <f>D116*Svodka!$J$1</f>
        <v>35000</v>
      </c>
      <c r="D116" s="339">
        <f>3.5</f>
        <v>3.5</v>
      </c>
      <c r="E116" s="318">
        <f>D116+D117</f>
        <v>11.22</v>
      </c>
      <c r="F116">
        <v>11.22</v>
      </c>
      <c r="G116">
        <f>E116-F116</f>
        <v>0</v>
      </c>
    </row>
    <row r="117" spans="1:5" ht="13.5" thickBot="1">
      <c r="A117" s="51">
        <v>25</v>
      </c>
      <c r="B117" s="15" t="s">
        <v>543</v>
      </c>
      <c r="C117" s="312">
        <f>D117*Svodka!$J$1</f>
        <v>77200</v>
      </c>
      <c r="D117" s="52">
        <f>5.9+1.82</f>
        <v>7.720000000000001</v>
      </c>
      <c r="E117" s="320"/>
    </row>
    <row r="118" spans="1:7" ht="12.75">
      <c r="A118" s="315">
        <v>32</v>
      </c>
      <c r="B118" s="296" t="s">
        <v>126</v>
      </c>
      <c r="C118" s="316">
        <f>D118*Svodka!$J$1</f>
        <v>57000</v>
      </c>
      <c r="D118" s="317">
        <v>5.7</v>
      </c>
      <c r="E118" s="318">
        <f>D118+D119</f>
        <v>9.7</v>
      </c>
      <c r="F118">
        <v>9.7</v>
      </c>
      <c r="G118">
        <f>E118-F118</f>
        <v>0</v>
      </c>
    </row>
    <row r="119" spans="1:5" ht="13.5" thickBot="1">
      <c r="A119" s="51">
        <v>32</v>
      </c>
      <c r="B119" s="15" t="s">
        <v>126</v>
      </c>
      <c r="C119" s="312">
        <f>D119*Svodka!$J$1</f>
        <v>40000</v>
      </c>
      <c r="D119" s="52">
        <f>4</f>
        <v>4</v>
      </c>
      <c r="E119" s="320"/>
    </row>
    <row r="120" spans="1:7" ht="13.5" thickBot="1">
      <c r="A120" s="328">
        <v>32</v>
      </c>
      <c r="B120" s="301" t="s">
        <v>251</v>
      </c>
      <c r="C120" s="329">
        <f>D120*Svodka!$J$1</f>
        <v>13000</v>
      </c>
      <c r="D120" s="330">
        <v>1.3</v>
      </c>
      <c r="E120" s="323">
        <f>D120</f>
        <v>1.3</v>
      </c>
      <c r="F120">
        <v>1.3</v>
      </c>
      <c r="G120">
        <f>E120-F120</f>
        <v>0</v>
      </c>
    </row>
    <row r="121" spans="1:7" ht="12.75">
      <c r="A121" s="315">
        <v>2</v>
      </c>
      <c r="B121" s="296" t="s">
        <v>29</v>
      </c>
      <c r="C121" s="316">
        <f>D121*Svodka!$J$1</f>
        <v>13000</v>
      </c>
      <c r="D121" s="317">
        <v>1.3</v>
      </c>
      <c r="E121" s="318">
        <f>D121+D122+D123</f>
        <v>22.2</v>
      </c>
      <c r="F121">
        <v>22.2</v>
      </c>
      <c r="G121">
        <f>E121-F121</f>
        <v>0</v>
      </c>
    </row>
    <row r="122" spans="1:5" ht="12.75">
      <c r="A122" s="49">
        <v>2</v>
      </c>
      <c r="B122" s="13" t="s">
        <v>29</v>
      </c>
      <c r="C122" s="309">
        <f>D122*Svodka!$J$1</f>
        <v>35000</v>
      </c>
      <c r="D122" s="50">
        <f>3.5</f>
        <v>3.5</v>
      </c>
      <c r="E122" s="319"/>
    </row>
    <row r="123" spans="1:5" ht="13.5" thickBot="1">
      <c r="A123" s="51">
        <v>2</v>
      </c>
      <c r="B123" s="15" t="s">
        <v>29</v>
      </c>
      <c r="C123" s="312">
        <f>D123*Svodka!$J$1</f>
        <v>174000</v>
      </c>
      <c r="D123" s="52">
        <f>5+5.7+6.7</f>
        <v>17.4</v>
      </c>
      <c r="E123" s="320"/>
    </row>
    <row r="124" spans="1:7" ht="13.5" thickBot="1">
      <c r="A124" s="347">
        <v>18</v>
      </c>
      <c r="B124" s="332" t="s">
        <v>464</v>
      </c>
      <c r="C124" s="348">
        <f>D124*Svodka!$J$1</f>
        <v>90200</v>
      </c>
      <c r="D124" s="349">
        <f>1.3+5.9+1.82</f>
        <v>9.02</v>
      </c>
      <c r="E124" s="318">
        <f>D124</f>
        <v>9.02</v>
      </c>
      <c r="F124">
        <v>9.02</v>
      </c>
      <c r="G124">
        <f>E124-F124</f>
        <v>0</v>
      </c>
    </row>
    <row r="125" spans="1:7" ht="13.5" thickBot="1">
      <c r="A125" s="288">
        <v>27</v>
      </c>
      <c r="B125" s="301" t="s">
        <v>499</v>
      </c>
      <c r="C125" s="326">
        <f>D125*Svodka!$J$1</f>
        <v>13000</v>
      </c>
      <c r="D125" s="327">
        <f>1.3</f>
        <v>1.3</v>
      </c>
      <c r="E125" s="323">
        <f>D125</f>
        <v>1.3</v>
      </c>
      <c r="F125">
        <v>1.3</v>
      </c>
      <c r="G125">
        <f>E125-F125</f>
        <v>0</v>
      </c>
    </row>
    <row r="126" spans="1:7" ht="12.75">
      <c r="A126" s="335">
        <v>40</v>
      </c>
      <c r="B126" s="296" t="s">
        <v>545</v>
      </c>
      <c r="C126" s="324">
        <f>D126*Svodka!$J$1</f>
        <v>35000</v>
      </c>
      <c r="D126" s="339">
        <f>3.5</f>
        <v>3.5</v>
      </c>
      <c r="E126" s="318">
        <f>D126+D127</f>
        <v>39.4</v>
      </c>
      <c r="F126">
        <v>39.4</v>
      </c>
      <c r="G126">
        <f>E126-F126</f>
        <v>0</v>
      </c>
    </row>
    <row r="127" spans="1:5" ht="13.5" thickBot="1">
      <c r="A127" s="51">
        <v>40</v>
      </c>
      <c r="B127" s="15" t="s">
        <v>545</v>
      </c>
      <c r="C127" s="312">
        <f>D127*Svodka!$J$1</f>
        <v>359000</v>
      </c>
      <c r="D127" s="52">
        <f>30+5.9</f>
        <v>35.9</v>
      </c>
      <c r="E127" s="320"/>
    </row>
    <row r="128" spans="1:7" ht="12.75">
      <c r="A128" s="315">
        <v>3</v>
      </c>
      <c r="B128" s="296" t="s">
        <v>31</v>
      </c>
      <c r="C128" s="316">
        <f>D128*Svodka!$J$1</f>
        <v>13000</v>
      </c>
      <c r="D128" s="317">
        <v>1.3</v>
      </c>
      <c r="E128" s="318">
        <f>D128+D129+D130</f>
        <v>22.2</v>
      </c>
      <c r="F128">
        <v>22.2</v>
      </c>
      <c r="G128">
        <f>E128-F128</f>
        <v>0</v>
      </c>
    </row>
    <row r="129" spans="1:5" ht="12.75">
      <c r="A129" s="49">
        <v>3</v>
      </c>
      <c r="B129" s="13" t="s">
        <v>31</v>
      </c>
      <c r="C129" s="309">
        <f>D129*Svodka!$J$1</f>
        <v>35000</v>
      </c>
      <c r="D129" s="50">
        <f>3.5</f>
        <v>3.5</v>
      </c>
      <c r="E129" s="319"/>
    </row>
    <row r="130" spans="1:5" ht="13.5" thickBot="1">
      <c r="A130" s="51">
        <v>3</v>
      </c>
      <c r="B130" s="15" t="s">
        <v>31</v>
      </c>
      <c r="C130" s="312">
        <f>D130*Svodka!$J$1</f>
        <v>174000</v>
      </c>
      <c r="D130" s="52">
        <f>5+5.7+6.7</f>
        <v>17.4</v>
      </c>
      <c r="E130" s="320"/>
    </row>
    <row r="131" spans="1:7" ht="12.75">
      <c r="A131" s="335">
        <v>3</v>
      </c>
      <c r="B131" s="296" t="s">
        <v>185</v>
      </c>
      <c r="C131" s="338">
        <f>D131*Svodka!$J$1</f>
        <v>35000</v>
      </c>
      <c r="D131" s="339">
        <f>3.5</f>
        <v>3.5</v>
      </c>
      <c r="E131" s="318">
        <f>D131+D132</f>
        <v>18.85</v>
      </c>
      <c r="F131">
        <v>18.85</v>
      </c>
      <c r="G131">
        <f>E131-F131</f>
        <v>0</v>
      </c>
    </row>
    <row r="132" spans="1:5" ht="13.5" thickBot="1">
      <c r="A132" s="51">
        <v>3</v>
      </c>
      <c r="B132" s="15" t="s">
        <v>185</v>
      </c>
      <c r="C132" s="312">
        <f>D132*Svodka!$J$1</f>
        <v>153500</v>
      </c>
      <c r="D132" s="52">
        <f>2.85+4.5+8</f>
        <v>15.35</v>
      </c>
      <c r="E132" s="320"/>
    </row>
    <row r="133" spans="1:7" ht="12.75">
      <c r="A133" s="335">
        <v>25</v>
      </c>
      <c r="B133" s="296" t="s">
        <v>231</v>
      </c>
      <c r="C133" s="338">
        <f>D133*Svodka!$J$1</f>
        <v>1050000</v>
      </c>
      <c r="D133" s="339">
        <f>5+100</f>
        <v>105</v>
      </c>
      <c r="E133" s="318">
        <f>D133+D134+D135</f>
        <v>126.9</v>
      </c>
      <c r="F133">
        <v>126.9</v>
      </c>
      <c r="G133">
        <f>E133-F133</f>
        <v>0</v>
      </c>
    </row>
    <row r="134" spans="1:5" ht="12.75">
      <c r="A134" s="49">
        <v>25</v>
      </c>
      <c r="B134" s="13" t="s">
        <v>231</v>
      </c>
      <c r="C134" s="310">
        <f>D134*Svodka!$J$1</f>
        <v>112000</v>
      </c>
      <c r="D134" s="50">
        <f>6.7+4.5</f>
        <v>11.2</v>
      </c>
      <c r="E134" s="319"/>
    </row>
    <row r="135" spans="1:5" ht="13.5" thickBot="1">
      <c r="A135" s="51">
        <v>25</v>
      </c>
      <c r="B135" s="15" t="s">
        <v>231</v>
      </c>
      <c r="C135" s="312">
        <f>D135*Svodka!$J$1</f>
        <v>107000</v>
      </c>
      <c r="D135" s="52">
        <f>1.3+5.9+3.5</f>
        <v>10.7</v>
      </c>
      <c r="E135" s="320"/>
    </row>
    <row r="136" spans="1:7" ht="13.5" thickBot="1">
      <c r="A136" s="288">
        <v>30</v>
      </c>
      <c r="B136" s="301" t="s">
        <v>174</v>
      </c>
      <c r="C136" s="341">
        <f>D136*Svodka!$J$1</f>
        <v>686000</v>
      </c>
      <c r="D136" s="322">
        <f>60+8.6</f>
        <v>68.6</v>
      </c>
      <c r="E136" s="323">
        <f>D136</f>
        <v>68.6</v>
      </c>
      <c r="F136">
        <v>68.6</v>
      </c>
      <c r="G136">
        <f>E136-F136</f>
        <v>0</v>
      </c>
    </row>
    <row r="137" spans="1:7" ht="12.75">
      <c r="A137" s="335">
        <v>22</v>
      </c>
      <c r="B137" s="296" t="s">
        <v>176</v>
      </c>
      <c r="C137" s="336">
        <f>D137*Svodka!$J$1</f>
        <v>256000</v>
      </c>
      <c r="D137" s="337">
        <f>8.6+17</f>
        <v>25.6</v>
      </c>
      <c r="E137" s="318">
        <f>D137+D138</f>
        <v>28.720000000000002</v>
      </c>
      <c r="F137">
        <v>28.72</v>
      </c>
      <c r="G137">
        <f>E137-F137</f>
        <v>0</v>
      </c>
    </row>
    <row r="138" spans="1:5" ht="13.5" thickBot="1">
      <c r="A138" s="51">
        <v>22</v>
      </c>
      <c r="B138" s="15" t="s">
        <v>176</v>
      </c>
      <c r="C138" s="312">
        <f>D138*Svodka!$J$1</f>
        <v>31200</v>
      </c>
      <c r="D138" s="52">
        <f>1.3+1.82</f>
        <v>3.12</v>
      </c>
      <c r="E138" s="320"/>
    </row>
    <row r="139" spans="1:7" ht="13.5" thickBot="1">
      <c r="A139" s="328">
        <v>10</v>
      </c>
      <c r="B139" s="301" t="s">
        <v>420</v>
      </c>
      <c r="C139" s="326">
        <f>D139*Svodka!$J$1</f>
        <v>180500</v>
      </c>
      <c r="D139" s="346">
        <f>2.85+4.5+5+5.7</f>
        <v>18.05</v>
      </c>
      <c r="E139" s="323">
        <f>D139</f>
        <v>18.05</v>
      </c>
      <c r="F139">
        <v>18.05</v>
      </c>
      <c r="G139">
        <f>E139-F139</f>
        <v>0</v>
      </c>
    </row>
    <row r="140" spans="1:7" ht="12.75">
      <c r="A140" s="335">
        <v>13</v>
      </c>
      <c r="B140" s="296" t="s">
        <v>194</v>
      </c>
      <c r="C140" s="338">
        <f>D140*Svodka!$J$1</f>
        <v>35000</v>
      </c>
      <c r="D140" s="339">
        <f>3.5</f>
        <v>3.5</v>
      </c>
      <c r="E140" s="318">
        <f>D140+D141+D142</f>
        <v>17</v>
      </c>
      <c r="F140">
        <v>17</v>
      </c>
      <c r="G140">
        <f>E140-F140</f>
        <v>0</v>
      </c>
    </row>
    <row r="141" spans="1:5" ht="12.75">
      <c r="A141" s="49">
        <v>13</v>
      </c>
      <c r="B141" s="13" t="s">
        <v>194</v>
      </c>
      <c r="C141" s="309">
        <f>D141*Svodka!$J$1</f>
        <v>50000</v>
      </c>
      <c r="D141" s="50">
        <f>5</f>
        <v>5</v>
      </c>
      <c r="E141" s="319"/>
    </row>
    <row r="142" spans="1:5" ht="13.5" thickBot="1">
      <c r="A142" s="51">
        <v>13</v>
      </c>
      <c r="B142" s="15" t="s">
        <v>194</v>
      </c>
      <c r="C142" s="312">
        <f>D142*Svodka!$J$1</f>
        <v>85000</v>
      </c>
      <c r="D142" s="52">
        <f>4+4.5</f>
        <v>8.5</v>
      </c>
      <c r="E142" s="320"/>
    </row>
    <row r="143" spans="1:7" ht="13.5" thickBot="1">
      <c r="A143" s="328">
        <v>30</v>
      </c>
      <c r="B143" s="301" t="s">
        <v>470</v>
      </c>
      <c r="C143" s="326">
        <f>D143*Svodka!$J$1</f>
        <v>925200</v>
      </c>
      <c r="D143" s="346">
        <f>1.3+40+5.9+3.5+1.82+40</f>
        <v>92.52</v>
      </c>
      <c r="E143" s="323">
        <f>D143</f>
        <v>92.52</v>
      </c>
      <c r="F143">
        <v>92.52</v>
      </c>
      <c r="G143">
        <f>E143-F143</f>
        <v>0</v>
      </c>
    </row>
    <row r="144" spans="1:7" ht="12.75">
      <c r="A144" s="315">
        <v>15</v>
      </c>
      <c r="B144" s="296" t="s">
        <v>122</v>
      </c>
      <c r="C144" s="316">
        <f>D144*Svodka!$J$1</f>
        <v>13000</v>
      </c>
      <c r="D144" s="317">
        <v>1.3</v>
      </c>
      <c r="E144" s="318">
        <f>D144+D145+D146+D147</f>
        <v>22.6</v>
      </c>
      <c r="F144">
        <v>22.6</v>
      </c>
      <c r="G144">
        <f>E144-F144</f>
        <v>0</v>
      </c>
    </row>
    <row r="145" spans="1:5" ht="12.75">
      <c r="A145" s="49">
        <v>15</v>
      </c>
      <c r="B145" s="13" t="s">
        <v>122</v>
      </c>
      <c r="C145" s="309">
        <f>D145*Svodka!$J$1</f>
        <v>160000</v>
      </c>
      <c r="D145" s="50">
        <f>16</f>
        <v>16</v>
      </c>
      <c r="E145" s="319"/>
    </row>
    <row r="146" spans="1:5" ht="12.75">
      <c r="A146" s="49">
        <v>15</v>
      </c>
      <c r="B146" s="13" t="s">
        <v>122</v>
      </c>
      <c r="C146" s="310">
        <f>D146*Svodka!$J$1</f>
        <v>40000</v>
      </c>
      <c r="D146" s="50">
        <f>4</f>
        <v>4</v>
      </c>
      <c r="E146" s="319"/>
    </row>
    <row r="147" spans="1:5" ht="13.5" thickBot="1">
      <c r="A147" s="43">
        <v>15</v>
      </c>
      <c r="B147" s="15" t="s">
        <v>122</v>
      </c>
      <c r="C147" s="312">
        <f>D147*Svodka!$J$1</f>
        <v>13000</v>
      </c>
      <c r="D147" s="44">
        <f>1.3</f>
        <v>1.3</v>
      </c>
      <c r="E147" s="320"/>
    </row>
    <row r="148" spans="1:7" ht="13.5" thickBot="1">
      <c r="A148" s="328">
        <v>13</v>
      </c>
      <c r="B148" s="301" t="s">
        <v>452</v>
      </c>
      <c r="C148" s="326">
        <f>D148*Svodka!$J$1</f>
        <v>72000</v>
      </c>
      <c r="D148" s="346">
        <f>1.3+5.9</f>
        <v>7.2</v>
      </c>
      <c r="E148" s="323">
        <f>D148</f>
        <v>7.2</v>
      </c>
      <c r="F148">
        <v>7.2</v>
      </c>
      <c r="G148">
        <f>E148-F148</f>
        <v>0</v>
      </c>
    </row>
    <row r="149" spans="1:7" ht="12.75">
      <c r="A149" s="335">
        <v>10</v>
      </c>
      <c r="B149" s="296" t="s">
        <v>418</v>
      </c>
      <c r="C149" s="324">
        <f>D149*Svodka!$J$1</f>
        <v>67000</v>
      </c>
      <c r="D149" s="339">
        <f>6.7</f>
        <v>6.7</v>
      </c>
      <c r="E149" s="318">
        <f>D149+D150</f>
        <v>24.7</v>
      </c>
      <c r="F149">
        <v>24.7</v>
      </c>
      <c r="G149">
        <f>E149-F149</f>
        <v>0</v>
      </c>
    </row>
    <row r="150" spans="1:5" ht="13.5" thickBot="1">
      <c r="A150" s="51">
        <v>10</v>
      </c>
      <c r="B150" s="15" t="s">
        <v>418</v>
      </c>
      <c r="C150" s="311">
        <f>D150*Svodka!$J$1</f>
        <v>180000</v>
      </c>
      <c r="D150" s="52">
        <f>18</f>
        <v>18</v>
      </c>
      <c r="E150" s="320"/>
    </row>
    <row r="151" spans="1:7" ht="12.75">
      <c r="A151" s="315">
        <v>19</v>
      </c>
      <c r="B151" s="296" t="s">
        <v>426</v>
      </c>
      <c r="C151" s="324">
        <f>D151*Svodka!$J$1</f>
        <v>108500</v>
      </c>
      <c r="D151" s="325">
        <f>2.85+8</f>
        <v>10.85</v>
      </c>
      <c r="E151" s="318">
        <f>D151+D152</f>
        <v>12.15</v>
      </c>
      <c r="F151">
        <v>12.15</v>
      </c>
      <c r="G151">
        <f>E151-F151</f>
        <v>0</v>
      </c>
    </row>
    <row r="152" spans="1:5" ht="13.5" thickBot="1">
      <c r="A152" s="43">
        <v>19</v>
      </c>
      <c r="B152" s="15" t="s">
        <v>426</v>
      </c>
      <c r="C152" s="312">
        <f>D152*Svodka!$J$1</f>
        <v>13000</v>
      </c>
      <c r="D152" s="44">
        <f>1.3</f>
        <v>1.3</v>
      </c>
      <c r="E152" s="320"/>
    </row>
    <row r="153" spans="1:7" ht="13.5" thickBot="1">
      <c r="A153" s="328">
        <v>5</v>
      </c>
      <c r="B153" s="301" t="s">
        <v>279</v>
      </c>
      <c r="C153" s="326">
        <f>D153*Svodka!$J$1</f>
        <v>193500</v>
      </c>
      <c r="D153" s="346">
        <f>2.85+4.5+4+8</f>
        <v>19.35</v>
      </c>
      <c r="E153" s="323">
        <f>D153</f>
        <v>19.35</v>
      </c>
      <c r="F153">
        <v>19.35</v>
      </c>
      <c r="G153">
        <f>E153-F153</f>
        <v>0</v>
      </c>
    </row>
    <row r="154" spans="1:7" ht="12.75">
      <c r="A154" s="335">
        <v>14</v>
      </c>
      <c r="B154" s="296" t="s">
        <v>168</v>
      </c>
      <c r="C154" s="336">
        <f>D154*Svodka!$J$1</f>
        <v>150000</v>
      </c>
      <c r="D154" s="337">
        <v>15</v>
      </c>
      <c r="E154" s="318">
        <f>D154+D155</f>
        <v>18.5</v>
      </c>
      <c r="F154">
        <v>18.5</v>
      </c>
      <c r="G154">
        <f>E154-F154</f>
        <v>0</v>
      </c>
    </row>
    <row r="155" spans="1:5" ht="13.5" thickBot="1">
      <c r="A155" s="51">
        <v>14</v>
      </c>
      <c r="B155" s="15" t="s">
        <v>168</v>
      </c>
      <c r="C155" s="311">
        <f>D155*Svodka!$J$1</f>
        <v>35000</v>
      </c>
      <c r="D155" s="52">
        <f>3.5</f>
        <v>3.5</v>
      </c>
      <c r="E155" s="320"/>
    </row>
    <row r="156" spans="1:7" ht="13.5" thickBot="1">
      <c r="A156" s="288">
        <v>13</v>
      </c>
      <c r="B156" s="301" t="s">
        <v>495</v>
      </c>
      <c r="C156" s="326">
        <f>D156*Svodka!$J$1</f>
        <v>31200</v>
      </c>
      <c r="D156" s="289">
        <f>1.3+1.82</f>
        <v>3.12</v>
      </c>
      <c r="E156" s="323">
        <f>D156</f>
        <v>3.12</v>
      </c>
      <c r="F156">
        <v>3.12</v>
      </c>
      <c r="G156">
        <f>E156-F156</f>
        <v>0</v>
      </c>
    </row>
    <row r="157" spans="1:7" ht="13.5" thickBot="1">
      <c r="A157" s="288">
        <v>6</v>
      </c>
      <c r="B157" s="301" t="s">
        <v>450</v>
      </c>
      <c r="C157" s="326">
        <f>D157*Svodka!$J$1</f>
        <v>31200</v>
      </c>
      <c r="D157" s="289">
        <f>1.3+1.82</f>
        <v>3.12</v>
      </c>
      <c r="E157" s="323">
        <f>D157</f>
        <v>3.12</v>
      </c>
      <c r="F157">
        <v>3.12</v>
      </c>
      <c r="G157">
        <f>E157-F157</f>
        <v>0</v>
      </c>
    </row>
    <row r="158" spans="1:7" ht="12.75">
      <c r="A158" s="315">
        <v>19</v>
      </c>
      <c r="B158" s="296" t="s">
        <v>101</v>
      </c>
      <c r="C158" s="316">
        <f>D158*Svodka!$J$1</f>
        <v>67000</v>
      </c>
      <c r="D158" s="317">
        <v>6.7</v>
      </c>
      <c r="E158" s="318">
        <f>D158+D159+D160</f>
        <v>17.6</v>
      </c>
      <c r="F158">
        <v>17.6</v>
      </c>
      <c r="G158">
        <f>E158-F158</f>
        <v>0</v>
      </c>
    </row>
    <row r="159" spans="1:5" ht="12.75">
      <c r="A159" s="49">
        <v>19</v>
      </c>
      <c r="B159" s="13" t="s">
        <v>101</v>
      </c>
      <c r="C159" s="310">
        <f>D159*Svodka!$J$1</f>
        <v>50000</v>
      </c>
      <c r="D159" s="50">
        <f>5</f>
        <v>5</v>
      </c>
      <c r="E159" s="319"/>
    </row>
    <row r="160" spans="1:5" ht="13.5" thickBot="1">
      <c r="A160" s="51">
        <v>19</v>
      </c>
      <c r="B160" s="15" t="s">
        <v>101</v>
      </c>
      <c r="C160" s="312">
        <f>D160*Svodka!$J$1</f>
        <v>59000</v>
      </c>
      <c r="D160" s="52">
        <f>5.9</f>
        <v>5.9</v>
      </c>
      <c r="E160" s="320"/>
    </row>
    <row r="161" spans="1:7" ht="12.75">
      <c r="A161" s="315">
        <v>4</v>
      </c>
      <c r="B161" s="296" t="s">
        <v>241</v>
      </c>
      <c r="C161" s="324">
        <f>D161*Svodka!$J$1</f>
        <v>178500</v>
      </c>
      <c r="D161" s="325">
        <f>2.85+15</f>
        <v>17.85</v>
      </c>
      <c r="E161" s="318">
        <f>D161+D162</f>
        <v>23.75</v>
      </c>
      <c r="F161">
        <v>23.75</v>
      </c>
      <c r="G161">
        <f>E161-F161</f>
        <v>0</v>
      </c>
    </row>
    <row r="162" spans="1:5" ht="13.5" thickBot="1">
      <c r="A162" s="43">
        <v>4</v>
      </c>
      <c r="B162" s="15" t="s">
        <v>241</v>
      </c>
      <c r="C162" s="312">
        <f>D162*Svodka!$J$1</f>
        <v>59000</v>
      </c>
      <c r="D162" s="44">
        <f>5.9</f>
        <v>5.9</v>
      </c>
      <c r="E162" s="320"/>
    </row>
    <row r="163" spans="1:7" ht="12.75">
      <c r="A163" s="335">
        <v>17</v>
      </c>
      <c r="B163" s="296" t="s">
        <v>233</v>
      </c>
      <c r="C163" s="338">
        <f>D163*Svodka!$J$1</f>
        <v>50000</v>
      </c>
      <c r="D163" s="339">
        <f>5</f>
        <v>5</v>
      </c>
      <c r="E163" s="318">
        <f>D163+D164</f>
        <v>7.85</v>
      </c>
      <c r="F163">
        <v>7.85</v>
      </c>
      <c r="G163">
        <f>E163-F163</f>
        <v>0</v>
      </c>
    </row>
    <row r="164" spans="1:5" ht="13.5" thickBot="1">
      <c r="A164" s="51">
        <v>17</v>
      </c>
      <c r="B164" s="15" t="s">
        <v>233</v>
      </c>
      <c r="C164" s="312">
        <f>D164*Svodka!$J$1</f>
        <v>28500</v>
      </c>
      <c r="D164" s="52">
        <f>2.85</f>
        <v>2.85</v>
      </c>
      <c r="E164" s="320"/>
    </row>
    <row r="165" spans="1:7" ht="12.75">
      <c r="A165" s="315">
        <v>24</v>
      </c>
      <c r="B165" s="296" t="s">
        <v>117</v>
      </c>
      <c r="C165" s="316">
        <f>D165*Svodka!$J$1</f>
        <v>13000</v>
      </c>
      <c r="D165" s="317">
        <v>1.3</v>
      </c>
      <c r="E165" s="318">
        <f>D165+D166+D167</f>
        <v>21.12</v>
      </c>
      <c r="F165">
        <v>21.12</v>
      </c>
      <c r="G165">
        <f>E165-F165</f>
        <v>0</v>
      </c>
    </row>
    <row r="166" spans="1:5" ht="12.75">
      <c r="A166" s="41">
        <v>24</v>
      </c>
      <c r="B166" s="13" t="s">
        <v>117</v>
      </c>
      <c r="C166" s="310">
        <f>D166*Svodka!$J$1</f>
        <v>18200</v>
      </c>
      <c r="D166" s="42">
        <f>1.82</f>
        <v>1.82</v>
      </c>
      <c r="E166" s="319"/>
    </row>
    <row r="167" spans="1:5" ht="13.5" thickBot="1">
      <c r="A167" s="51">
        <v>24</v>
      </c>
      <c r="B167" s="15" t="s">
        <v>117</v>
      </c>
      <c r="C167" s="311">
        <f>D167*Svodka!$J$1</f>
        <v>180000</v>
      </c>
      <c r="D167" s="52">
        <f>18</f>
        <v>18</v>
      </c>
      <c r="E167" s="320"/>
    </row>
    <row r="168" spans="1:7" ht="13.5" thickBot="1">
      <c r="A168" s="288">
        <v>37</v>
      </c>
      <c r="B168" s="301" t="s">
        <v>497</v>
      </c>
      <c r="C168" s="326">
        <f>D168*Svodka!$J$1</f>
        <v>18200</v>
      </c>
      <c r="D168" s="327">
        <f>1.82</f>
        <v>1.82</v>
      </c>
      <c r="E168" s="323">
        <f>D168</f>
        <v>1.82</v>
      </c>
      <c r="F168">
        <v>1.82</v>
      </c>
      <c r="G168">
        <f>E168-F168</f>
        <v>0</v>
      </c>
    </row>
    <row r="169" spans="1:7" ht="13.5" thickBot="1">
      <c r="A169" s="288">
        <v>10</v>
      </c>
      <c r="B169" s="301" t="s">
        <v>198</v>
      </c>
      <c r="C169" s="321">
        <f>D169*Svodka!$J$1</f>
        <v>160000</v>
      </c>
      <c r="D169" s="289">
        <f>16</f>
        <v>16</v>
      </c>
      <c r="E169" s="323">
        <f>D169</f>
        <v>16</v>
      </c>
      <c r="F169">
        <v>16</v>
      </c>
      <c r="G169">
        <f>E169-F169</f>
        <v>0</v>
      </c>
    </row>
    <row r="170" spans="1:7" ht="12.75">
      <c r="A170" s="315">
        <v>26</v>
      </c>
      <c r="B170" s="296" t="s">
        <v>111</v>
      </c>
      <c r="C170" s="316">
        <f>D170*Svodka!$J$1</f>
        <v>124000</v>
      </c>
      <c r="D170" s="317">
        <f>6.7+5.7</f>
        <v>12.4</v>
      </c>
      <c r="E170" s="318">
        <f>D170+D171+D172</f>
        <v>156.62</v>
      </c>
      <c r="F170">
        <v>156.62</v>
      </c>
      <c r="G170">
        <f>E170-F170</f>
        <v>0</v>
      </c>
    </row>
    <row r="171" spans="1:5" ht="12.75">
      <c r="A171" s="49">
        <v>26</v>
      </c>
      <c r="B171" s="13" t="s">
        <v>111</v>
      </c>
      <c r="C171" s="310">
        <f>D171*Svodka!$J$1</f>
        <v>617000</v>
      </c>
      <c r="D171" s="50">
        <f>15+40+6.7</f>
        <v>61.7</v>
      </c>
      <c r="E171" s="319"/>
    </row>
    <row r="172" spans="1:5" ht="13.5" thickBot="1">
      <c r="A172" s="51">
        <v>26</v>
      </c>
      <c r="B172" s="15" t="s">
        <v>111</v>
      </c>
      <c r="C172" s="312">
        <f>D172*Svodka!$J$1</f>
        <v>825200</v>
      </c>
      <c r="D172" s="52">
        <f>1.3+30+40+5.9+3.5+1.82</f>
        <v>82.52</v>
      </c>
      <c r="E172" s="320"/>
    </row>
    <row r="173" spans="1:7" ht="12.75">
      <c r="A173" s="335">
        <v>20</v>
      </c>
      <c r="B173" s="296" t="s">
        <v>428</v>
      </c>
      <c r="C173" s="324">
        <f>D173*Svodka!$J$1</f>
        <v>35000</v>
      </c>
      <c r="D173" s="339">
        <f>3.5</f>
        <v>3.5</v>
      </c>
      <c r="E173" s="318">
        <f>D173+D174</f>
        <v>114.72</v>
      </c>
      <c r="F173">
        <v>114.72</v>
      </c>
      <c r="G173">
        <f>E173-F173</f>
        <v>0</v>
      </c>
    </row>
    <row r="174" spans="1:5" ht="13.5" thickBot="1">
      <c r="A174" s="51">
        <v>20</v>
      </c>
      <c r="B174" s="15" t="s">
        <v>428</v>
      </c>
      <c r="C174" s="312">
        <f>D174*Svodka!$J$1</f>
        <v>1112200</v>
      </c>
      <c r="D174" s="52">
        <f>30+30+40+5.9+3.5+1.82</f>
        <v>111.22</v>
      </c>
      <c r="E174" s="320"/>
    </row>
    <row r="175" spans="1:7" ht="12.75">
      <c r="A175" s="335">
        <v>22</v>
      </c>
      <c r="B175" s="296" t="s">
        <v>439</v>
      </c>
      <c r="C175" s="324">
        <f>D175*Svodka!$J$1</f>
        <v>35000</v>
      </c>
      <c r="D175" s="339">
        <f>3.5</f>
        <v>3.5</v>
      </c>
      <c r="E175" s="318">
        <f>D175+D176</f>
        <v>61.22</v>
      </c>
      <c r="F175">
        <v>61.22</v>
      </c>
      <c r="G175">
        <f>E175-F175</f>
        <v>0</v>
      </c>
    </row>
    <row r="176" spans="1:5" ht="13.5" thickBot="1">
      <c r="A176" s="51">
        <v>22</v>
      </c>
      <c r="B176" s="15" t="s">
        <v>439</v>
      </c>
      <c r="C176" s="312">
        <f>D176*Svodka!$J$1</f>
        <v>577200</v>
      </c>
      <c r="D176" s="52">
        <f>50+5.9+1.82</f>
        <v>57.72</v>
      </c>
      <c r="E176" s="320"/>
    </row>
    <row r="177" spans="1:7" ht="12.75">
      <c r="A177" s="335">
        <v>20</v>
      </c>
      <c r="B177" s="296" t="s">
        <v>432</v>
      </c>
      <c r="C177" s="324">
        <f>D177*Svodka!$J$1</f>
        <v>35000</v>
      </c>
      <c r="D177" s="339">
        <f>3.5</f>
        <v>3.5</v>
      </c>
      <c r="E177" s="318">
        <f>D177+D178</f>
        <v>12.9</v>
      </c>
      <c r="F177">
        <v>12.9</v>
      </c>
      <c r="G177">
        <f>E177-F177</f>
        <v>0</v>
      </c>
    </row>
    <row r="178" spans="1:5" ht="13.5" thickBot="1">
      <c r="A178" s="51">
        <v>20</v>
      </c>
      <c r="B178" s="15" t="s">
        <v>432</v>
      </c>
      <c r="C178" s="312">
        <f>D178*Svodka!$J$1</f>
        <v>94000</v>
      </c>
      <c r="D178" s="52">
        <f>5.9+3.5</f>
        <v>9.4</v>
      </c>
      <c r="E178" s="320"/>
    </row>
    <row r="179" spans="1:7" ht="12.75">
      <c r="A179" s="335">
        <v>21</v>
      </c>
      <c r="B179" s="296" t="s">
        <v>434</v>
      </c>
      <c r="C179" s="324">
        <f>D179*Svodka!$J$1</f>
        <v>35000</v>
      </c>
      <c r="D179" s="339">
        <f>3.5</f>
        <v>3.5</v>
      </c>
      <c r="E179" s="318">
        <f>D179+D180</f>
        <v>11.22</v>
      </c>
      <c r="F179">
        <v>11.22</v>
      </c>
      <c r="G179">
        <f>E179-F179</f>
        <v>0</v>
      </c>
    </row>
    <row r="180" spans="1:5" ht="13.5" thickBot="1">
      <c r="A180" s="51">
        <v>21</v>
      </c>
      <c r="B180" s="15" t="s">
        <v>434</v>
      </c>
      <c r="C180" s="312">
        <f>D180*Svodka!$J$1</f>
        <v>77200</v>
      </c>
      <c r="D180" s="52">
        <f>5.9+1.82</f>
        <v>7.720000000000001</v>
      </c>
      <c r="E180" s="320"/>
    </row>
    <row r="181" spans="1:7" ht="12.75">
      <c r="A181" s="335">
        <v>23</v>
      </c>
      <c r="B181" s="296" t="s">
        <v>441</v>
      </c>
      <c r="C181" s="324">
        <f>D181*Svodka!$J$1</f>
        <v>35000</v>
      </c>
      <c r="D181" s="339">
        <f>3.5</f>
        <v>3.5</v>
      </c>
      <c r="E181" s="318">
        <f>D181+D182</f>
        <v>35.260000000000005</v>
      </c>
      <c r="F181">
        <v>35.26</v>
      </c>
      <c r="G181">
        <f>E181-F181</f>
        <v>0</v>
      </c>
    </row>
    <row r="182" spans="1:5" ht="13.5" thickBot="1">
      <c r="A182" s="51">
        <v>23</v>
      </c>
      <c r="B182" s="15" t="s">
        <v>441</v>
      </c>
      <c r="C182" s="312">
        <f>D182*Svodka!$J$1</f>
        <v>317600</v>
      </c>
      <c r="D182" s="52">
        <f>30+1.76</f>
        <v>31.76</v>
      </c>
      <c r="E182" s="320"/>
    </row>
    <row r="183" spans="1:7" ht="12.75">
      <c r="A183" s="335">
        <v>11</v>
      </c>
      <c r="B183" s="296" t="s">
        <v>254</v>
      </c>
      <c r="C183" s="324">
        <f>D183*Svodka!$J$1</f>
        <v>70000</v>
      </c>
      <c r="D183" s="339">
        <f>6.5+0.5</f>
        <v>7</v>
      </c>
      <c r="E183" s="318">
        <f>D183+D184</f>
        <v>16.8</v>
      </c>
      <c r="F183">
        <v>16.8</v>
      </c>
      <c r="G183">
        <f>E183-F183</f>
        <v>0</v>
      </c>
    </row>
    <row r="184" spans="1:5" ht="13.5" thickBot="1">
      <c r="A184" s="51">
        <v>11</v>
      </c>
      <c r="B184" s="15" t="s">
        <v>254</v>
      </c>
      <c r="C184" s="312">
        <f>D184*Svodka!$J$1</f>
        <v>98000</v>
      </c>
      <c r="D184" s="52">
        <f>1+5.3+3.5</f>
        <v>9.8</v>
      </c>
      <c r="E184" s="320"/>
    </row>
    <row r="185" spans="1:7" ht="13.5" thickBot="1">
      <c r="A185" s="288">
        <v>23</v>
      </c>
      <c r="B185" s="29" t="s">
        <v>523</v>
      </c>
      <c r="C185" s="321">
        <f>D185*Svodka!$J$1</f>
        <v>180000</v>
      </c>
      <c r="D185" s="327">
        <f>18</f>
        <v>18</v>
      </c>
      <c r="E185" s="323">
        <f>D185</f>
        <v>18</v>
      </c>
      <c r="F185">
        <v>18</v>
      </c>
      <c r="G185">
        <f>E185-F185</f>
        <v>0</v>
      </c>
    </row>
    <row r="186" spans="1:7" ht="12.75">
      <c r="A186" s="335">
        <v>21</v>
      </c>
      <c r="B186" s="296" t="s">
        <v>153</v>
      </c>
      <c r="C186" s="336">
        <f>D186*Svodka!$J$1</f>
        <v>86000</v>
      </c>
      <c r="D186" s="337">
        <v>8.6</v>
      </c>
      <c r="E186" s="318">
        <f>D186+D187+D188</f>
        <v>16.72</v>
      </c>
      <c r="F186">
        <v>16.72</v>
      </c>
      <c r="G186">
        <f>E186-F186</f>
        <v>0</v>
      </c>
    </row>
    <row r="187" spans="1:5" ht="12.75">
      <c r="A187" s="49">
        <v>21</v>
      </c>
      <c r="B187" s="13" t="s">
        <v>153</v>
      </c>
      <c r="C187" s="309">
        <f>D187*Svodka!$J$1</f>
        <v>50000</v>
      </c>
      <c r="D187" s="50">
        <f>5</f>
        <v>5</v>
      </c>
      <c r="E187" s="319"/>
    </row>
    <row r="188" spans="1:5" ht="13.5" thickBot="1">
      <c r="A188" s="51">
        <v>21</v>
      </c>
      <c r="B188" s="15" t="s">
        <v>153</v>
      </c>
      <c r="C188" s="312">
        <f>D188*Svodka!$J$1</f>
        <v>31200</v>
      </c>
      <c r="D188" s="52">
        <f>1.3+1.82</f>
        <v>3.12</v>
      </c>
      <c r="E188" s="320"/>
    </row>
    <row r="189" spans="1:7" ht="13.5" thickBot="1">
      <c r="A189" s="328">
        <v>11</v>
      </c>
      <c r="B189" s="301" t="s">
        <v>55</v>
      </c>
      <c r="C189" s="329">
        <f>D189*Svodka!$J$1</f>
        <v>124000</v>
      </c>
      <c r="D189" s="330">
        <f>6.7+5.7</f>
        <v>12.4</v>
      </c>
      <c r="E189" s="323">
        <f>D189</f>
        <v>12.4</v>
      </c>
      <c r="F189">
        <v>12.4</v>
      </c>
      <c r="G189">
        <f>E189-F189</f>
        <v>0</v>
      </c>
    </row>
    <row r="190" spans="1:7" ht="12.75">
      <c r="A190" s="315">
        <v>14</v>
      </c>
      <c r="B190" s="296" t="s">
        <v>107</v>
      </c>
      <c r="C190" s="316">
        <f>D190*Svodka!$J$1</f>
        <v>13000</v>
      </c>
      <c r="D190" s="317">
        <v>1.3</v>
      </c>
      <c r="E190" s="318">
        <f>D190+D191</f>
        <v>3.12</v>
      </c>
      <c r="F190">
        <v>3.12</v>
      </c>
      <c r="G190">
        <f>E190-F190</f>
        <v>0</v>
      </c>
    </row>
    <row r="191" spans="1:5" ht="13.5" thickBot="1">
      <c r="A191" s="43">
        <v>14</v>
      </c>
      <c r="B191" s="15" t="s">
        <v>107</v>
      </c>
      <c r="C191" s="312">
        <f>D191*Svodka!$J$1</f>
        <v>18200</v>
      </c>
      <c r="D191" s="44">
        <f>1.82</f>
        <v>1.82</v>
      </c>
      <c r="E191" s="320"/>
    </row>
    <row r="192" spans="1:7" ht="12.75">
      <c r="A192" s="315">
        <v>4</v>
      </c>
      <c r="B192" s="296" t="s">
        <v>260</v>
      </c>
      <c r="C192" s="316">
        <f>D192*Svodka!$J$1</f>
        <v>84000</v>
      </c>
      <c r="D192" s="317">
        <v>8.4</v>
      </c>
      <c r="E192" s="318">
        <f>D192+D193+D194</f>
        <v>78.4</v>
      </c>
      <c r="F192">
        <v>78.4</v>
      </c>
      <c r="G192">
        <f>E192-F192</f>
        <v>0</v>
      </c>
    </row>
    <row r="193" spans="1:5" ht="12.75">
      <c r="A193" s="49">
        <v>4</v>
      </c>
      <c r="B193" s="13" t="s">
        <v>260</v>
      </c>
      <c r="C193" s="48">
        <f>D193*Svodka!$J$1</f>
        <v>400000</v>
      </c>
      <c r="D193" s="99">
        <f>40</f>
        <v>40</v>
      </c>
      <c r="E193" s="319"/>
    </row>
    <row r="194" spans="1:5" ht="13.5" thickBot="1">
      <c r="A194" s="51">
        <v>4</v>
      </c>
      <c r="B194" s="15" t="s">
        <v>260</v>
      </c>
      <c r="C194" s="311">
        <f>D194*Svodka!$J$1</f>
        <v>300000</v>
      </c>
      <c r="D194" s="52">
        <f>30</f>
        <v>30</v>
      </c>
      <c r="E194" s="320"/>
    </row>
    <row r="195" spans="1:7" ht="13.5" thickBot="1">
      <c r="A195" s="288">
        <v>29</v>
      </c>
      <c r="B195" s="301" t="s">
        <v>159</v>
      </c>
      <c r="C195" s="341">
        <f>D195*Svodka!$J$1</f>
        <v>286000</v>
      </c>
      <c r="D195" s="322">
        <f>8.6+20</f>
        <v>28.6</v>
      </c>
      <c r="E195" s="323">
        <f>D195</f>
        <v>28.6</v>
      </c>
      <c r="F195">
        <v>28.6</v>
      </c>
      <c r="G195">
        <f>E195-F195</f>
        <v>0</v>
      </c>
    </row>
    <row r="196" spans="1:7" ht="13.5" thickBot="1">
      <c r="A196" s="288">
        <v>2</v>
      </c>
      <c r="B196" s="301" t="s">
        <v>188</v>
      </c>
      <c r="C196" s="321">
        <f>D196*Svodka!$J$1</f>
        <v>35000</v>
      </c>
      <c r="D196" s="322">
        <v>3.5</v>
      </c>
      <c r="E196" s="323">
        <f>D196</f>
        <v>3.5</v>
      </c>
      <c r="F196">
        <v>3.5</v>
      </c>
      <c r="G196">
        <f>E196-F196</f>
        <v>0</v>
      </c>
    </row>
    <row r="197" spans="1:7" ht="13.5" thickBot="1">
      <c r="A197" s="328">
        <v>4</v>
      </c>
      <c r="B197" s="301" t="s">
        <v>444</v>
      </c>
      <c r="C197" s="326">
        <f>D197*Svodka!$J$1</f>
        <v>466200</v>
      </c>
      <c r="D197" s="346">
        <f>1.3+3.5+1.82+40</f>
        <v>46.62</v>
      </c>
      <c r="E197" s="323">
        <f>D197</f>
        <v>46.62</v>
      </c>
      <c r="F197">
        <v>46.62</v>
      </c>
      <c r="G197">
        <f>E197-F197</f>
        <v>0</v>
      </c>
    </row>
    <row r="198" spans="1:7" ht="12.75">
      <c r="A198" s="315">
        <v>13</v>
      </c>
      <c r="B198" s="296" t="s">
        <v>59</v>
      </c>
      <c r="C198" s="316">
        <f>D198*Svodka!$J$1</f>
        <v>122000</v>
      </c>
      <c r="D198" s="317">
        <f>6.5+5.7</f>
        <v>12.2</v>
      </c>
      <c r="E198" s="318">
        <f>D198+D199+D200</f>
        <v>34.1</v>
      </c>
      <c r="F198">
        <v>34.1</v>
      </c>
      <c r="G198">
        <f>E198-F198</f>
        <v>0</v>
      </c>
    </row>
    <row r="199" spans="1:5" ht="12.75">
      <c r="A199" s="49">
        <v>13</v>
      </c>
      <c r="B199" s="13" t="s">
        <v>59</v>
      </c>
      <c r="C199" s="309">
        <f>D199*Svodka!$J$1</f>
        <v>160000</v>
      </c>
      <c r="D199" s="50">
        <f>16</f>
        <v>16</v>
      </c>
      <c r="E199" s="319"/>
    </row>
    <row r="200" spans="1:5" ht="13.5" thickBot="1">
      <c r="A200" s="51">
        <v>13</v>
      </c>
      <c r="B200" s="15" t="s">
        <v>59</v>
      </c>
      <c r="C200" s="312">
        <f>D200*Svodka!$J$1</f>
        <v>59000</v>
      </c>
      <c r="D200" s="52">
        <f>5.9</f>
        <v>5.9</v>
      </c>
      <c r="E200" s="320"/>
    </row>
    <row r="201" spans="1:7" ht="12.75">
      <c r="A201" s="335">
        <v>12</v>
      </c>
      <c r="B201" s="296" t="s">
        <v>437</v>
      </c>
      <c r="C201" s="324">
        <f>D201*Svodka!$J$1</f>
        <v>35000</v>
      </c>
      <c r="D201" s="339">
        <f>3.5</f>
        <v>3.5</v>
      </c>
      <c r="E201" s="318">
        <f>D201+D202</f>
        <v>12.52</v>
      </c>
      <c r="F201">
        <v>12.52</v>
      </c>
      <c r="G201">
        <f>E201-F201</f>
        <v>0</v>
      </c>
    </row>
    <row r="202" spans="1:5" ht="13.5" thickBot="1">
      <c r="A202" s="51">
        <v>12</v>
      </c>
      <c r="B202" s="15" t="s">
        <v>437</v>
      </c>
      <c r="C202" s="312">
        <f>D202*Svodka!$J$1</f>
        <v>90200</v>
      </c>
      <c r="D202" s="52">
        <f>1.3+5.9+1.82</f>
        <v>9.02</v>
      </c>
      <c r="E202" s="320"/>
    </row>
    <row r="203" spans="1:7" ht="12.75">
      <c r="A203" s="315">
        <v>1</v>
      </c>
      <c r="B203" s="296" t="s">
        <v>603</v>
      </c>
      <c r="C203" s="316">
        <f>D203*Svodka!$J$1</f>
        <v>67000</v>
      </c>
      <c r="D203" s="317">
        <v>6.7</v>
      </c>
      <c r="E203" s="318">
        <f>D203+D204</f>
        <v>24.7</v>
      </c>
      <c r="F203">
        <v>24.7</v>
      </c>
      <c r="G203">
        <f>E203-F203</f>
        <v>0</v>
      </c>
    </row>
    <row r="204" spans="1:5" ht="13.5" thickBot="1">
      <c r="A204" s="51">
        <v>1</v>
      </c>
      <c r="B204" s="15" t="s">
        <v>603</v>
      </c>
      <c r="C204" s="311">
        <f>D204*Svodka!$J$1</f>
        <v>180000</v>
      </c>
      <c r="D204" s="52">
        <f>18</f>
        <v>18</v>
      </c>
      <c r="E204" s="320"/>
    </row>
    <row r="205" spans="1:7" ht="12.75">
      <c r="A205" s="315">
        <v>11</v>
      </c>
      <c r="B205" s="296" t="s">
        <v>57</v>
      </c>
      <c r="C205" s="316">
        <f>D205*Svodka!$J$1</f>
        <v>13000</v>
      </c>
      <c r="D205" s="317">
        <v>1.3</v>
      </c>
      <c r="E205" s="318">
        <f>D205+D206+D207</f>
        <v>65.3</v>
      </c>
      <c r="F205">
        <v>65.3</v>
      </c>
      <c r="G205">
        <f>E205-F205</f>
        <v>0</v>
      </c>
    </row>
    <row r="206" spans="1:5" ht="12.75">
      <c r="A206" s="49">
        <v>11</v>
      </c>
      <c r="B206" s="13" t="s">
        <v>57</v>
      </c>
      <c r="C206" s="310">
        <f>D206*Svodka!$J$1</f>
        <v>40000</v>
      </c>
      <c r="D206" s="50">
        <f>4</f>
        <v>4</v>
      </c>
      <c r="E206" s="319"/>
    </row>
    <row r="207" spans="1:5" ht="13.5" thickBot="1">
      <c r="A207" s="51">
        <v>11</v>
      </c>
      <c r="B207" s="15" t="s">
        <v>57</v>
      </c>
      <c r="C207" s="311">
        <f>D207*Svodka!$J$1</f>
        <v>600000</v>
      </c>
      <c r="D207" s="52">
        <f>30+30</f>
        <v>60</v>
      </c>
      <c r="E207" s="320"/>
    </row>
    <row r="208" spans="1:7" ht="12.75">
      <c r="A208" s="315">
        <v>22</v>
      </c>
      <c r="B208" s="296" t="s">
        <v>105</v>
      </c>
      <c r="C208" s="316">
        <f>D208*Svodka!$J$1</f>
        <v>57000</v>
      </c>
      <c r="D208" s="317">
        <v>5.7</v>
      </c>
      <c r="E208" s="318">
        <f>D208+D209+D210+D211</f>
        <v>54.1</v>
      </c>
      <c r="F208">
        <v>54.1</v>
      </c>
      <c r="G208">
        <f>E208-F208</f>
        <v>0</v>
      </c>
    </row>
    <row r="209" spans="1:5" ht="12.75">
      <c r="A209" s="49">
        <v>22</v>
      </c>
      <c r="B209" s="13" t="s">
        <v>105</v>
      </c>
      <c r="C209" s="309">
        <f>D209*Svodka!$J$1</f>
        <v>160000</v>
      </c>
      <c r="D209" s="50">
        <f>16</f>
        <v>16</v>
      </c>
      <c r="E209" s="319"/>
    </row>
    <row r="210" spans="1:5" ht="12.75">
      <c r="A210" s="49">
        <v>22</v>
      </c>
      <c r="B210" s="13" t="s">
        <v>105</v>
      </c>
      <c r="C210" s="310">
        <f>D210*Svodka!$J$1</f>
        <v>144000</v>
      </c>
      <c r="D210" s="50">
        <f>8.5+5.9</f>
        <v>14.4</v>
      </c>
      <c r="E210" s="319"/>
    </row>
    <row r="211" spans="1:5" ht="13.5" thickBot="1">
      <c r="A211" s="51">
        <v>22</v>
      </c>
      <c r="B211" s="15" t="s">
        <v>105</v>
      </c>
      <c r="C211" s="311">
        <f>D211*Svodka!$J$1</f>
        <v>180000</v>
      </c>
      <c r="D211" s="52">
        <f>18</f>
        <v>18</v>
      </c>
      <c r="E211" s="320"/>
    </row>
    <row r="212" spans="1:7" ht="12.75">
      <c r="A212" s="315">
        <v>8</v>
      </c>
      <c r="B212" s="296" t="s">
        <v>115</v>
      </c>
      <c r="C212" s="316">
        <f>D212*Svodka!$J$1</f>
        <v>86000</v>
      </c>
      <c r="D212" s="317">
        <v>8.6</v>
      </c>
      <c r="E212" s="318">
        <f>D212+D213+D214</f>
        <v>18</v>
      </c>
      <c r="F212">
        <v>18</v>
      </c>
      <c r="G212">
        <f>E212-F212</f>
        <v>0</v>
      </c>
    </row>
    <row r="213" spans="1:5" ht="12.75">
      <c r="A213" s="49">
        <v>8</v>
      </c>
      <c r="B213" s="13" t="s">
        <v>115</v>
      </c>
      <c r="C213" s="309">
        <f>D213*Svodka!$J$1</f>
        <v>35000</v>
      </c>
      <c r="D213" s="50">
        <f>3.5</f>
        <v>3.5</v>
      </c>
      <c r="E213" s="319"/>
    </row>
    <row r="214" spans="1:5" ht="13.5" thickBot="1">
      <c r="A214" s="51">
        <v>8</v>
      </c>
      <c r="B214" s="15" t="s">
        <v>115</v>
      </c>
      <c r="C214" s="312">
        <f>D214*Svodka!$J$1</f>
        <v>59000</v>
      </c>
      <c r="D214" s="52">
        <f>5.9</f>
        <v>5.9</v>
      </c>
      <c r="E214" s="320"/>
    </row>
    <row r="215" spans="1:7" ht="13.5" thickBot="1">
      <c r="A215" s="288">
        <v>20</v>
      </c>
      <c r="B215" s="301" t="s">
        <v>468</v>
      </c>
      <c r="C215" s="326">
        <f>D215*Svodka!$J$1</f>
        <v>59000</v>
      </c>
      <c r="D215" s="327">
        <f>5.9</f>
        <v>5.9</v>
      </c>
      <c r="E215" s="323">
        <f>D215</f>
        <v>5.9</v>
      </c>
      <c r="F215">
        <v>5.9</v>
      </c>
      <c r="G215">
        <f>E215-F215</f>
        <v>0</v>
      </c>
    </row>
    <row r="216" spans="1:7" ht="12.75">
      <c r="A216" s="335">
        <v>9</v>
      </c>
      <c r="B216" s="296" t="s">
        <v>414</v>
      </c>
      <c r="C216" s="324">
        <f>D216*Svodka!$J$1</f>
        <v>80000</v>
      </c>
      <c r="D216" s="339">
        <f>3.5+4.5</f>
        <v>8</v>
      </c>
      <c r="E216" s="318">
        <f>D216+D217</f>
        <v>13.9</v>
      </c>
      <c r="F216">
        <v>13.9</v>
      </c>
      <c r="G216">
        <f>E216-F216</f>
        <v>0</v>
      </c>
    </row>
    <row r="217" spans="1:5" ht="13.5" thickBot="1">
      <c r="A217" s="51">
        <v>8</v>
      </c>
      <c r="B217" s="15" t="s">
        <v>414</v>
      </c>
      <c r="C217" s="312">
        <f>D217*Svodka!$J$1</f>
        <v>59000</v>
      </c>
      <c r="D217" s="52">
        <f>5.9</f>
        <v>5.9</v>
      </c>
      <c r="E217" s="320"/>
    </row>
    <row r="218" spans="1:7" ht="12.75">
      <c r="A218" s="335">
        <v>14</v>
      </c>
      <c r="B218" s="296" t="s">
        <v>166</v>
      </c>
      <c r="C218" s="336">
        <f>D218*Svodka!$J$1</f>
        <v>170000</v>
      </c>
      <c r="D218" s="337">
        <v>17</v>
      </c>
      <c r="E218" s="318">
        <f>D218+D219+D220</f>
        <v>79.75</v>
      </c>
      <c r="F218">
        <v>79.75</v>
      </c>
      <c r="G218">
        <f>E218-F218</f>
        <v>0</v>
      </c>
    </row>
    <row r="219" spans="1:5" ht="12.75">
      <c r="A219" s="49">
        <v>14</v>
      </c>
      <c r="B219" s="13" t="s">
        <v>166</v>
      </c>
      <c r="C219" s="310">
        <f>D219*Svodka!$J$1</f>
        <v>327500</v>
      </c>
      <c r="D219" s="50">
        <f>2.85+4.5+5+5.7+8+6.7</f>
        <v>32.75</v>
      </c>
      <c r="E219" s="319"/>
    </row>
    <row r="220" spans="1:5" ht="13.5" thickBot="1">
      <c r="A220" s="51">
        <v>14</v>
      </c>
      <c r="B220" s="15" t="s">
        <v>166</v>
      </c>
      <c r="C220" s="311">
        <f>D220*Svodka!$J$1</f>
        <v>300000</v>
      </c>
      <c r="D220" s="52">
        <f>30</f>
        <v>30</v>
      </c>
      <c r="E220" s="320"/>
    </row>
    <row r="221" spans="1:7" ht="12.75">
      <c r="A221" s="315">
        <v>6</v>
      </c>
      <c r="B221" s="296" t="s">
        <v>51</v>
      </c>
      <c r="C221" s="316">
        <f>D221*Svodka!$J$1</f>
        <v>99000</v>
      </c>
      <c r="D221" s="317">
        <f>8.6+1.3</f>
        <v>9.9</v>
      </c>
      <c r="E221" s="318">
        <f>D221+D222+D223</f>
        <v>27.15</v>
      </c>
      <c r="F221">
        <v>27.15</v>
      </c>
      <c r="G221">
        <f>E221-F221</f>
        <v>0</v>
      </c>
    </row>
    <row r="222" spans="1:5" ht="12.75">
      <c r="A222" s="49">
        <v>6</v>
      </c>
      <c r="B222" s="13" t="s">
        <v>51</v>
      </c>
      <c r="C222" s="310">
        <f>D222*Svodka!$J$1</f>
        <v>28500</v>
      </c>
      <c r="D222" s="50">
        <f>2.85</f>
        <v>2.85</v>
      </c>
      <c r="E222" s="319"/>
    </row>
    <row r="223" spans="1:5" ht="13.5" thickBot="1">
      <c r="A223" s="51">
        <v>6</v>
      </c>
      <c r="B223" s="15" t="s">
        <v>51</v>
      </c>
      <c r="C223" s="312">
        <f>D223*Svodka!$J$1</f>
        <v>144000</v>
      </c>
      <c r="D223" s="52">
        <f>8.5+5.9</f>
        <v>14.4</v>
      </c>
      <c r="E223" s="320"/>
    </row>
    <row r="224" spans="1:7" ht="13.5" thickBot="1">
      <c r="A224" s="288">
        <v>17</v>
      </c>
      <c r="B224" s="301" t="s">
        <v>487</v>
      </c>
      <c r="C224" s="326">
        <f>D224*Svodka!$J$1</f>
        <v>18200</v>
      </c>
      <c r="D224" s="327">
        <f>1.82</f>
        <v>1.82</v>
      </c>
      <c r="E224" s="323">
        <f>D224</f>
        <v>1.82</v>
      </c>
      <c r="F224">
        <v>1.82</v>
      </c>
      <c r="G224">
        <f>E224-F224</f>
        <v>0</v>
      </c>
    </row>
    <row r="225" spans="3:4" ht="12.75">
      <c r="C225" s="139">
        <f>SUM(C5:C224)</f>
        <v>28800000</v>
      </c>
      <c r="D225">
        <f>SUM(D5:D224)</f>
        <v>2879.9999999999995</v>
      </c>
    </row>
  </sheetData>
  <autoFilter ref="A4:G225"/>
  <printOptions/>
  <pageMargins left="0.75" right="0.75" top="1" bottom="1" header="0.4921259845" footer="0.4921259845"/>
  <pageSetup orientation="portrait" paperSize="9"/>
</worksheet>
</file>

<file path=xl/worksheets/sheet6.xml><?xml version="1.0" encoding="utf-8"?>
<worksheet xmlns="http://schemas.openxmlformats.org/spreadsheetml/2006/main" xmlns:r="http://schemas.openxmlformats.org/officeDocument/2006/relationships">
  <dimension ref="B1:J17"/>
  <sheetViews>
    <sheetView workbookViewId="0" topLeftCell="A1">
      <selection activeCell="D4" sqref="D4"/>
    </sheetView>
  </sheetViews>
  <sheetFormatPr defaultColWidth="9.140625" defaultRowHeight="12.75"/>
  <cols>
    <col min="1" max="1" width="4.8515625" style="0" customWidth="1"/>
    <col min="2" max="2" width="45.28125" style="0" customWidth="1"/>
    <col min="3" max="3" width="15.140625" style="139" customWidth="1"/>
    <col min="4" max="4" width="11.8515625" style="0" customWidth="1"/>
    <col min="5" max="5" width="14.28125" style="0" customWidth="1"/>
    <col min="6" max="6" width="8.28125" style="0" customWidth="1"/>
    <col min="7" max="7" width="13.28125" style="0" customWidth="1"/>
    <col min="8" max="8" width="13.7109375" style="0" customWidth="1"/>
    <col min="9" max="9" width="13.140625" style="0" customWidth="1"/>
  </cols>
  <sheetData>
    <row r="1" spans="2:10" ht="21" thickBot="1">
      <c r="B1" s="16" t="s">
        <v>118</v>
      </c>
      <c r="I1" s="140" t="s">
        <v>296</v>
      </c>
      <c r="J1" s="141">
        <f>8*1250</f>
        <v>10000</v>
      </c>
    </row>
    <row r="2" spans="2:7" ht="13.5" thickBot="1">
      <c r="B2" s="156" t="s">
        <v>412</v>
      </c>
      <c r="G2" s="357" t="s">
        <v>261</v>
      </c>
    </row>
    <row r="3" spans="2:9" ht="13.5" thickBot="1">
      <c r="B3" s="154" t="s">
        <v>410</v>
      </c>
      <c r="C3" s="155" t="s">
        <v>290</v>
      </c>
      <c r="D3" s="71" t="s">
        <v>409</v>
      </c>
      <c r="E3" s="72" t="s">
        <v>293</v>
      </c>
      <c r="G3" s="352" t="s">
        <v>290</v>
      </c>
      <c r="H3" s="78" t="s">
        <v>409</v>
      </c>
      <c r="I3" s="79" t="s">
        <v>293</v>
      </c>
    </row>
    <row r="4" spans="2:9" ht="13.5" thickBot="1">
      <c r="B4" s="148" t="s">
        <v>393</v>
      </c>
      <c r="C4" s="144">
        <f aca="true" t="shared" si="0" ref="C4:C15">SUM(D4:E4)</f>
        <v>30075000</v>
      </c>
      <c r="D4" s="144">
        <f>'Počty pracovišť'!H3</f>
        <v>30075000</v>
      </c>
      <c r="E4" s="42">
        <v>0</v>
      </c>
      <c r="G4" s="353">
        <f>SUM(H4:I4)</f>
        <v>30075000</v>
      </c>
      <c r="H4" s="354">
        <f>'Počty pracovišť'!H3</f>
        <v>30075000</v>
      </c>
      <c r="I4" s="355"/>
    </row>
    <row r="5" spans="2:9" ht="13.5" thickBot="1">
      <c r="B5" s="148" t="s">
        <v>394</v>
      </c>
      <c r="C5" s="144">
        <f t="shared" si="0"/>
        <v>4462900</v>
      </c>
      <c r="D5" s="144">
        <f>'Počty pracovišť'!H4</f>
        <v>4462900</v>
      </c>
      <c r="E5" s="42">
        <v>0</v>
      </c>
      <c r="G5" s="353">
        <f aca="true" t="shared" si="1" ref="G5:G15">SUM(H5:I5)</f>
        <v>4462900</v>
      </c>
      <c r="H5" s="354">
        <f>'Počty pracovišť'!H4</f>
        <v>4462900</v>
      </c>
      <c r="I5" s="145"/>
    </row>
    <row r="6" spans="2:9" ht="13.5" thickBot="1">
      <c r="B6" s="148" t="s">
        <v>395</v>
      </c>
      <c r="C6" s="144">
        <f t="shared" si="0"/>
        <v>6069600</v>
      </c>
      <c r="D6" s="144">
        <f>'Počty pracovišť'!H5</f>
        <v>6069600</v>
      </c>
      <c r="E6" s="42">
        <v>0</v>
      </c>
      <c r="G6" s="353">
        <f t="shared" si="1"/>
        <v>6069600</v>
      </c>
      <c r="H6" s="354">
        <f>'Počty pracovišť'!H5</f>
        <v>6069600</v>
      </c>
      <c r="I6" s="145"/>
    </row>
    <row r="7" spans="2:9" ht="13.5" thickBot="1">
      <c r="B7" s="148" t="s">
        <v>396</v>
      </c>
      <c r="C7" s="144">
        <f t="shared" si="0"/>
        <v>7505200</v>
      </c>
      <c r="D7" s="144">
        <f>'Počty pracovišť'!H6</f>
        <v>7505200</v>
      </c>
      <c r="E7" s="42">
        <v>0</v>
      </c>
      <c r="G7" s="353">
        <f t="shared" si="1"/>
        <v>7505200</v>
      </c>
      <c r="H7" s="354">
        <f>'Počty pracovišť'!H6</f>
        <v>7505200</v>
      </c>
      <c r="I7" s="145"/>
    </row>
    <row r="8" spans="2:9" ht="13.5" thickBot="1">
      <c r="B8" s="148" t="s">
        <v>397</v>
      </c>
      <c r="C8" s="144">
        <f t="shared" si="0"/>
        <v>73223469.26409501</v>
      </c>
      <c r="D8" s="144">
        <f>'Počty pracovišť'!H7</f>
        <v>73223469.26409501</v>
      </c>
      <c r="E8" s="42">
        <v>0</v>
      </c>
      <c r="G8" s="353">
        <f t="shared" si="1"/>
        <v>73223469.26409501</v>
      </c>
      <c r="H8" s="354">
        <f>'Počty pracovišť'!H7</f>
        <v>73223469.26409501</v>
      </c>
      <c r="I8" s="145"/>
    </row>
    <row r="9" spans="2:9" ht="13.5" thickBot="1">
      <c r="B9" s="150" t="s">
        <v>398</v>
      </c>
      <c r="C9" s="144">
        <f t="shared" si="0"/>
        <v>8000000</v>
      </c>
      <c r="D9" s="144">
        <f>'Počty pracovišť'!H9</f>
        <v>8000000</v>
      </c>
      <c r="E9" s="42">
        <v>0</v>
      </c>
      <c r="G9" s="353">
        <f t="shared" si="1"/>
        <v>8000000</v>
      </c>
      <c r="H9" s="354">
        <f>'Počty pracovišť'!H9</f>
        <v>8000000</v>
      </c>
      <c r="I9" s="145"/>
    </row>
    <row r="10" spans="2:9" ht="13.5" thickBot="1">
      <c r="B10" s="150" t="s">
        <v>399</v>
      </c>
      <c r="C10" s="144">
        <f t="shared" si="0"/>
        <v>8000000</v>
      </c>
      <c r="D10" s="144">
        <f>'Počty pracovišť'!H10</f>
        <v>8000000</v>
      </c>
      <c r="E10" s="42">
        <v>0</v>
      </c>
      <c r="G10" s="353">
        <f t="shared" si="1"/>
        <v>8000000</v>
      </c>
      <c r="H10" s="354">
        <f>'Počty pracovišť'!H10</f>
        <v>8000000</v>
      </c>
      <c r="I10" s="145"/>
    </row>
    <row r="11" spans="2:9" ht="13.5" thickBot="1">
      <c r="B11" s="150" t="s">
        <v>400</v>
      </c>
      <c r="C11" s="144">
        <f t="shared" si="0"/>
        <v>4130000</v>
      </c>
      <c r="D11" s="144">
        <f>'Počty pracovišť'!H11</f>
        <v>4130000</v>
      </c>
      <c r="E11" s="42">
        <v>0</v>
      </c>
      <c r="G11" s="353">
        <f t="shared" si="1"/>
        <v>4130000</v>
      </c>
      <c r="H11" s="354">
        <f>'Počty pracovišť'!H11</f>
        <v>4130000</v>
      </c>
      <c r="I11" s="145"/>
    </row>
    <row r="12" spans="2:9" ht="13.5" thickBot="1">
      <c r="B12" s="150" t="s">
        <v>401</v>
      </c>
      <c r="C12" s="144">
        <f t="shared" si="0"/>
        <v>0</v>
      </c>
      <c r="D12" s="144">
        <f>'Počty pracovišť'!H12</f>
        <v>0</v>
      </c>
      <c r="E12" s="42">
        <v>0</v>
      </c>
      <c r="G12" s="353">
        <f t="shared" si="1"/>
        <v>0</v>
      </c>
      <c r="H12" s="354">
        <f>'Počty pracovišť'!H12</f>
        <v>0</v>
      </c>
      <c r="I12" s="145"/>
    </row>
    <row r="13" spans="2:9" ht="13.5" thickBot="1">
      <c r="B13" s="150" t="s">
        <v>402</v>
      </c>
      <c r="C13" s="144">
        <f t="shared" si="0"/>
        <v>3500000</v>
      </c>
      <c r="D13" s="144">
        <f>'Počty pracovišť'!H13</f>
        <v>3500000</v>
      </c>
      <c r="E13" s="42">
        <v>0</v>
      </c>
      <c r="G13" s="353">
        <f t="shared" si="1"/>
        <v>3500000</v>
      </c>
      <c r="H13" s="354">
        <f>'Počty pracovišť'!H13</f>
        <v>3500000</v>
      </c>
      <c r="I13" s="145"/>
    </row>
    <row r="14" spans="2:9" ht="13.5" thickBot="1">
      <c r="B14" s="149" t="s">
        <v>411</v>
      </c>
      <c r="C14" s="152">
        <f>SUM(D14:E14)</f>
        <v>28800000</v>
      </c>
      <c r="D14" s="152">
        <f>'1 OP - Informační základna'!L50+'2 OP - Provoz'!L24+'3 OP - Řízení kvality'!L29+'4 OP - Výstavba'!L16+'5 OP - Struktura, org. a říz.'!L69+'6 OP - Rozvoj a koordinace'!L83+'7 OP - Výkon a rozsah'!L26</f>
        <v>0</v>
      </c>
      <c r="E14" s="153">
        <f>'1 OP - Informační základna'!J50+'2 OP - Provoz'!J24+'3 OP - Řízení kvality'!J29+'4 OP - Výstavba'!J16+'5 OP - Struktura, org. a říz.'!J69+'6 OP - Rozvoj a koordinace'!J83+'7 OP - Výkon a rozsah'!J26</f>
        <v>28800000</v>
      </c>
      <c r="G14" s="353">
        <f t="shared" si="1"/>
        <v>9171400</v>
      </c>
      <c r="H14" s="354">
        <v>0</v>
      </c>
      <c r="I14" s="145">
        <v>9171400</v>
      </c>
    </row>
    <row r="15" spans="2:9" ht="13.5" thickBot="1">
      <c r="B15" s="231" t="s">
        <v>403</v>
      </c>
      <c r="C15" s="151">
        <f t="shared" si="0"/>
        <v>14982944</v>
      </c>
      <c r="D15" s="151">
        <v>0</v>
      </c>
      <c r="E15" s="146">
        <f>'Počty pracovišť'!H14</f>
        <v>14982944</v>
      </c>
      <c r="G15" s="353">
        <f t="shared" si="1"/>
        <v>14982944</v>
      </c>
      <c r="H15" s="354">
        <f>'Počty pracovišť'!H14</f>
        <v>14982944</v>
      </c>
      <c r="I15" s="146"/>
    </row>
    <row r="16" spans="2:7" ht="15.75" thickBot="1">
      <c r="B16" s="232" t="s">
        <v>294</v>
      </c>
      <c r="C16" s="233">
        <f>SUM(C4:C15)</f>
        <v>188749113.264095</v>
      </c>
      <c r="G16" s="356">
        <f>SUM(G4:G15)</f>
        <v>169120513.264095</v>
      </c>
    </row>
    <row r="17" spans="3:4" ht="12.75">
      <c r="C17" s="139">
        <v>188749113.264095</v>
      </c>
      <c r="D17" s="139">
        <f>C16-C17</f>
        <v>0</v>
      </c>
    </row>
  </sheetData>
  <printOptions/>
  <pageMargins left="0.75" right="0.75" top="1" bottom="1"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outlinePr summaryBelow="0" summaryRight="0"/>
  </sheetPr>
  <dimension ref="A1:P51"/>
  <sheetViews>
    <sheetView zoomScale="75" zoomScaleNormal="75" workbookViewId="0" topLeftCell="A1">
      <selection activeCell="A1" sqref="A1"/>
    </sheetView>
  </sheetViews>
  <sheetFormatPr defaultColWidth="9.140625" defaultRowHeight="12.75" outlineLevelRow="1"/>
  <cols>
    <col min="1" max="1" width="19.421875" style="0" customWidth="1"/>
    <col min="2" max="2" width="19.8515625" style="0" customWidth="1"/>
    <col min="3" max="3" width="38.421875" style="2" customWidth="1"/>
    <col min="4" max="4" width="109.28125" style="2" hidden="1" customWidth="1"/>
    <col min="5" max="5" width="8.7109375" style="2" customWidth="1"/>
    <col min="6" max="6" width="6.8515625" style="2" customWidth="1"/>
    <col min="7" max="8" width="8.7109375" style="2" customWidth="1"/>
    <col min="9" max="9" width="8.8515625" style="2" customWidth="1"/>
    <col min="10" max="10" width="12.8515625" style="139" customWidth="1"/>
    <col min="11" max="11" width="10.7109375" style="56" customWidth="1"/>
    <col min="12" max="12" width="11.421875" style="0" customWidth="1"/>
    <col min="13" max="13" width="9.8515625" style="0" customWidth="1"/>
    <col min="14" max="14" width="13.8515625" style="0" customWidth="1"/>
  </cols>
  <sheetData>
    <row r="1" ht="21">
      <c r="C1" s="16" t="s">
        <v>145</v>
      </c>
    </row>
    <row r="2" ht="13.5" thickBot="1"/>
    <row r="3" spans="1:14" s="1" customFormat="1" ht="13.5" thickBot="1">
      <c r="A3" s="258" t="s">
        <v>514</v>
      </c>
      <c r="B3" s="259" t="s">
        <v>513</v>
      </c>
      <c r="C3" s="240" t="s">
        <v>143</v>
      </c>
      <c r="D3" s="4" t="s">
        <v>144</v>
      </c>
      <c r="E3" s="4" t="s">
        <v>284</v>
      </c>
      <c r="F3" s="4" t="s">
        <v>285</v>
      </c>
      <c r="G3" s="4" t="s">
        <v>286</v>
      </c>
      <c r="H3" s="4" t="s">
        <v>287</v>
      </c>
      <c r="I3" s="39" t="s">
        <v>288</v>
      </c>
      <c r="J3" s="234" t="s">
        <v>290</v>
      </c>
      <c r="K3" s="63" t="s">
        <v>289</v>
      </c>
      <c r="L3" s="70" t="s">
        <v>291</v>
      </c>
      <c r="M3" s="71" t="s">
        <v>292</v>
      </c>
      <c r="N3" s="72" t="s">
        <v>293</v>
      </c>
    </row>
    <row r="4" spans="1:14" s="1" customFormat="1" ht="27" collapsed="1" thickBot="1">
      <c r="A4" s="256">
        <v>1</v>
      </c>
      <c r="B4" s="257"/>
      <c r="C4" s="241" t="s">
        <v>130</v>
      </c>
      <c r="D4" s="30" t="s">
        <v>131</v>
      </c>
      <c r="E4" s="6">
        <v>1</v>
      </c>
      <c r="F4" s="7"/>
      <c r="G4" s="7"/>
      <c r="H4" s="7"/>
      <c r="I4" s="30"/>
      <c r="J4" s="235">
        <f>K4*Svodka!$J$1</f>
        <v>200000</v>
      </c>
      <c r="K4" s="64">
        <v>20</v>
      </c>
      <c r="L4" s="93"/>
      <c r="M4" s="94"/>
      <c r="N4" s="95"/>
    </row>
    <row r="5" spans="1:14" ht="26.25" hidden="1" outlineLevel="1">
      <c r="A5" s="250"/>
      <c r="B5" s="251">
        <v>14</v>
      </c>
      <c r="C5" s="242" t="s">
        <v>61</v>
      </c>
      <c r="D5" s="31" t="s">
        <v>62</v>
      </c>
      <c r="E5" s="8"/>
      <c r="F5" s="9"/>
      <c r="G5" s="9"/>
      <c r="H5" s="9"/>
      <c r="I5" s="31"/>
      <c r="J5" s="236">
        <f>K5*Svodka!$J$1</f>
        <v>100000</v>
      </c>
      <c r="K5" s="65">
        <v>10</v>
      </c>
      <c r="L5" s="60"/>
      <c r="M5" s="107"/>
      <c r="N5" s="57"/>
    </row>
    <row r="6" spans="1:14" ht="13.5" hidden="1" outlineLevel="1" thickBot="1">
      <c r="A6" s="252"/>
      <c r="B6" s="253">
        <v>41</v>
      </c>
      <c r="C6" s="243" t="s">
        <v>128</v>
      </c>
      <c r="D6" s="32" t="s">
        <v>129</v>
      </c>
      <c r="E6" s="10"/>
      <c r="F6" s="11"/>
      <c r="G6" s="11"/>
      <c r="H6" s="11"/>
      <c r="I6" s="32"/>
      <c r="J6" s="236">
        <f>K6*Svodka!$J$1</f>
        <v>100000</v>
      </c>
      <c r="K6" s="66">
        <v>10</v>
      </c>
      <c r="L6" s="61"/>
      <c r="M6" s="108"/>
      <c r="N6" s="58"/>
    </row>
    <row r="7" spans="1:16" ht="27" collapsed="1" thickBot="1">
      <c r="A7" s="254">
        <v>2</v>
      </c>
      <c r="B7" s="255"/>
      <c r="C7" s="241" t="s">
        <v>132</v>
      </c>
      <c r="D7" s="30" t="s">
        <v>133</v>
      </c>
      <c r="E7" s="6">
        <v>1</v>
      </c>
      <c r="F7" s="7"/>
      <c r="G7" s="7"/>
      <c r="H7" s="7"/>
      <c r="I7" s="30"/>
      <c r="J7" s="235">
        <f>K7*Svodka!$J$1</f>
        <v>400000</v>
      </c>
      <c r="K7" s="67">
        <v>40</v>
      </c>
      <c r="L7" s="102"/>
      <c r="M7" s="103"/>
      <c r="N7" s="104"/>
      <c r="P7" s="139"/>
    </row>
    <row r="8" spans="1:14" ht="26.25" hidden="1" outlineLevel="1">
      <c r="A8" s="250"/>
      <c r="B8" s="251">
        <v>1</v>
      </c>
      <c r="C8" s="242" t="s">
        <v>603</v>
      </c>
      <c r="D8" s="31" t="s">
        <v>604</v>
      </c>
      <c r="E8" s="8"/>
      <c r="F8" s="9"/>
      <c r="G8" s="9"/>
      <c r="H8" s="9"/>
      <c r="I8" s="31"/>
      <c r="J8" s="236">
        <f>K8*Svodka!$J$1</f>
        <v>67000</v>
      </c>
      <c r="K8" s="65">
        <v>6.7</v>
      </c>
      <c r="L8" s="60"/>
      <c r="M8" s="107"/>
      <c r="N8" s="57"/>
    </row>
    <row r="9" spans="1:14" ht="53.25" hidden="1" outlineLevel="1" thickBot="1">
      <c r="A9" s="252"/>
      <c r="B9" s="253">
        <v>19</v>
      </c>
      <c r="C9" s="243" t="s">
        <v>101</v>
      </c>
      <c r="D9" s="32" t="s">
        <v>102</v>
      </c>
      <c r="E9" s="10"/>
      <c r="F9" s="11"/>
      <c r="G9" s="11"/>
      <c r="H9" s="11"/>
      <c r="I9" s="32"/>
      <c r="J9" s="236">
        <f>K9*Svodka!$J$1</f>
        <v>67000</v>
      </c>
      <c r="K9" s="66">
        <v>6.7</v>
      </c>
      <c r="L9" s="62"/>
      <c r="M9" s="109"/>
      <c r="N9" s="59"/>
    </row>
    <row r="10" spans="1:16" ht="27" collapsed="1" thickBot="1">
      <c r="A10" s="254">
        <v>3</v>
      </c>
      <c r="B10" s="255"/>
      <c r="C10" s="241" t="s">
        <v>134</v>
      </c>
      <c r="D10" s="30" t="s">
        <v>135</v>
      </c>
      <c r="E10" s="6">
        <v>1</v>
      </c>
      <c r="F10" s="7"/>
      <c r="G10" s="7"/>
      <c r="H10" s="7"/>
      <c r="I10" s="30"/>
      <c r="J10" s="235">
        <f>K10*Svodka!$J$1</f>
        <v>400000</v>
      </c>
      <c r="K10" s="67">
        <v>40</v>
      </c>
      <c r="L10" s="110"/>
      <c r="M10" s="111"/>
      <c r="N10" s="112"/>
      <c r="P10" s="139"/>
    </row>
    <row r="11" spans="1:14" ht="52.5" hidden="1" outlineLevel="1">
      <c r="A11" s="250"/>
      <c r="B11" s="251">
        <v>15</v>
      </c>
      <c r="C11" s="242" t="s">
        <v>255</v>
      </c>
      <c r="D11" s="31" t="s">
        <v>63</v>
      </c>
      <c r="E11" s="8"/>
      <c r="F11" s="9"/>
      <c r="G11" s="9"/>
      <c r="H11" s="9"/>
      <c r="I11" s="31"/>
      <c r="J11" s="236">
        <f>K11*Svodka!$J$1</f>
        <v>134000</v>
      </c>
      <c r="K11" s="65">
        <v>13.4</v>
      </c>
      <c r="L11" s="62"/>
      <c r="M11" s="109"/>
      <c r="N11" s="59"/>
    </row>
    <row r="12" spans="1:14" ht="12.75" hidden="1" outlineLevel="1">
      <c r="A12" s="246"/>
      <c r="B12" s="248">
        <v>25</v>
      </c>
      <c r="C12" s="244" t="s">
        <v>109</v>
      </c>
      <c r="D12" s="33" t="s">
        <v>110</v>
      </c>
      <c r="E12" s="12"/>
      <c r="F12" s="13"/>
      <c r="G12" s="13"/>
      <c r="H12" s="13"/>
      <c r="I12" s="33"/>
      <c r="J12" s="236">
        <f>K12*Svodka!$J$1</f>
        <v>133000</v>
      </c>
      <c r="K12" s="68">
        <v>13.3</v>
      </c>
      <c r="L12" s="62"/>
      <c r="M12" s="109"/>
      <c r="N12" s="59"/>
    </row>
    <row r="13" spans="1:14" ht="13.5" hidden="1" outlineLevel="1" thickBot="1">
      <c r="A13" s="252"/>
      <c r="B13" s="253">
        <v>31</v>
      </c>
      <c r="C13" s="243" t="s">
        <v>124</v>
      </c>
      <c r="D13" s="32" t="s">
        <v>125</v>
      </c>
      <c r="E13" s="10"/>
      <c r="F13" s="11"/>
      <c r="G13" s="11"/>
      <c r="H13" s="11"/>
      <c r="I13" s="32"/>
      <c r="J13" s="236">
        <f>K13*Svodka!$J$1</f>
        <v>133000</v>
      </c>
      <c r="K13" s="66">
        <v>13.3</v>
      </c>
      <c r="L13" s="61"/>
      <c r="M13" s="108"/>
      <c r="N13" s="58"/>
    </row>
    <row r="14" spans="1:14" ht="13.5" collapsed="1" thickBot="1">
      <c r="A14" s="254">
        <v>16</v>
      </c>
      <c r="B14" s="255"/>
      <c r="C14" s="241" t="s">
        <v>136</v>
      </c>
      <c r="D14" s="30" t="s">
        <v>137</v>
      </c>
      <c r="E14" s="6">
        <v>1</v>
      </c>
      <c r="F14" s="7"/>
      <c r="G14" s="7"/>
      <c r="H14" s="7"/>
      <c r="I14" s="30"/>
      <c r="J14" s="235">
        <f>K14*Svodka!$J$1</f>
        <v>400000</v>
      </c>
      <c r="K14" s="67">
        <v>40</v>
      </c>
      <c r="L14" s="102"/>
      <c r="M14" s="103"/>
      <c r="N14" s="104"/>
    </row>
    <row r="15" spans="1:14" ht="52.5" hidden="1" outlineLevel="1">
      <c r="A15" s="250"/>
      <c r="B15" s="251">
        <v>21</v>
      </c>
      <c r="C15" s="242" t="s">
        <v>103</v>
      </c>
      <c r="D15" s="31" t="s">
        <v>104</v>
      </c>
      <c r="E15" s="8"/>
      <c r="F15" s="9"/>
      <c r="G15" s="9"/>
      <c r="H15" s="9"/>
      <c r="I15" s="31"/>
      <c r="J15" s="236">
        <f>K15*Svodka!$J$1</f>
        <v>58000</v>
      </c>
      <c r="K15" s="65">
        <v>5.8</v>
      </c>
      <c r="L15" s="60"/>
      <c r="M15" s="107"/>
      <c r="N15" s="57"/>
    </row>
    <row r="16" spans="1:14" ht="39" hidden="1" outlineLevel="1">
      <c r="A16" s="246"/>
      <c r="B16" s="248">
        <v>22</v>
      </c>
      <c r="C16" s="244" t="s">
        <v>105</v>
      </c>
      <c r="D16" s="33" t="s">
        <v>106</v>
      </c>
      <c r="E16" s="12"/>
      <c r="F16" s="13"/>
      <c r="G16" s="13"/>
      <c r="H16" s="13"/>
      <c r="I16" s="33"/>
      <c r="J16" s="236">
        <f>K16*Svodka!$J$1</f>
        <v>57000</v>
      </c>
      <c r="K16" s="68">
        <v>5.7</v>
      </c>
      <c r="L16" s="62"/>
      <c r="M16" s="109"/>
      <c r="N16" s="59"/>
    </row>
    <row r="17" spans="1:14" ht="27" hidden="1" outlineLevel="1" thickBot="1">
      <c r="A17" s="252"/>
      <c r="B17" s="253">
        <v>32</v>
      </c>
      <c r="C17" s="243" t="s">
        <v>126</v>
      </c>
      <c r="D17" s="32" t="s">
        <v>127</v>
      </c>
      <c r="E17" s="10"/>
      <c r="F17" s="11"/>
      <c r="G17" s="11"/>
      <c r="H17" s="11"/>
      <c r="I17" s="32"/>
      <c r="J17" s="236">
        <f>K17*Svodka!$J$1</f>
        <v>57000</v>
      </c>
      <c r="K17" s="66">
        <v>5.7</v>
      </c>
      <c r="L17" s="61"/>
      <c r="M17" s="108"/>
      <c r="N17" s="58"/>
    </row>
    <row r="18" spans="1:14" ht="27" collapsed="1" thickBot="1">
      <c r="A18" s="254">
        <v>30</v>
      </c>
      <c r="B18" s="255"/>
      <c r="C18" s="241" t="s">
        <v>138</v>
      </c>
      <c r="D18" s="30" t="s">
        <v>139</v>
      </c>
      <c r="E18" s="6">
        <v>1</v>
      </c>
      <c r="F18" s="7"/>
      <c r="G18" s="7"/>
      <c r="H18" s="7"/>
      <c r="I18" s="30"/>
      <c r="J18" s="235">
        <f>K18*Svodka!$J$1</f>
        <v>600000</v>
      </c>
      <c r="K18" s="67">
        <v>60</v>
      </c>
      <c r="L18" s="102"/>
      <c r="M18" s="103"/>
      <c r="N18" s="104"/>
    </row>
    <row r="19" spans="1:14" ht="52.5" hidden="1" outlineLevel="1">
      <c r="A19" s="250"/>
      <c r="B19" s="251">
        <v>4</v>
      </c>
      <c r="C19" s="242" t="s">
        <v>260</v>
      </c>
      <c r="D19" s="31" t="s">
        <v>46</v>
      </c>
      <c r="E19" s="8"/>
      <c r="F19" s="9"/>
      <c r="G19" s="9"/>
      <c r="H19" s="9"/>
      <c r="I19" s="31"/>
      <c r="J19" s="236">
        <f>K19*Svodka!$J$1</f>
        <v>84000</v>
      </c>
      <c r="K19" s="65">
        <f>8.4</f>
        <v>8.4</v>
      </c>
      <c r="L19" s="60"/>
      <c r="M19" s="107"/>
      <c r="N19" s="57"/>
    </row>
    <row r="20" spans="1:14" ht="39" hidden="1" outlineLevel="1">
      <c r="A20" s="246"/>
      <c r="B20" s="248">
        <v>7</v>
      </c>
      <c r="C20" s="244" t="s">
        <v>53</v>
      </c>
      <c r="D20" s="33" t="s">
        <v>54</v>
      </c>
      <c r="E20" s="12"/>
      <c r="F20" s="13"/>
      <c r="G20" s="13"/>
      <c r="H20" s="13"/>
      <c r="I20" s="33"/>
      <c r="J20" s="236">
        <f>K20*Svodka!$J$1</f>
        <v>86000</v>
      </c>
      <c r="K20" s="68">
        <v>8.6</v>
      </c>
      <c r="L20" s="62"/>
      <c r="M20" s="109"/>
      <c r="N20" s="59"/>
    </row>
    <row r="21" spans="1:14" ht="13.5" hidden="1" outlineLevel="1" thickBot="1">
      <c r="A21" s="252"/>
      <c r="B21" s="253">
        <v>8</v>
      </c>
      <c r="C21" s="243" t="s">
        <v>115</v>
      </c>
      <c r="D21" s="32" t="s">
        <v>116</v>
      </c>
      <c r="E21" s="10"/>
      <c r="F21" s="11"/>
      <c r="G21" s="11"/>
      <c r="H21" s="11"/>
      <c r="I21" s="32"/>
      <c r="J21" s="236">
        <f>K21*Svodka!$J$1</f>
        <v>86000</v>
      </c>
      <c r="K21" s="66">
        <v>8.6</v>
      </c>
      <c r="L21" s="61"/>
      <c r="M21" s="108"/>
      <c r="N21" s="58"/>
    </row>
    <row r="22" spans="1:14" ht="27" collapsed="1" thickBot="1">
      <c r="A22" s="254">
        <v>33</v>
      </c>
      <c r="B22" s="255"/>
      <c r="C22" s="241" t="s">
        <v>140</v>
      </c>
      <c r="D22" s="30" t="s">
        <v>141</v>
      </c>
      <c r="E22" s="6">
        <v>1</v>
      </c>
      <c r="F22" s="7"/>
      <c r="G22" s="7"/>
      <c r="H22" s="7"/>
      <c r="I22" s="30"/>
      <c r="J22" s="235">
        <f>K22*Svodka!$J$1</f>
        <v>300000</v>
      </c>
      <c r="K22" s="67">
        <v>30</v>
      </c>
      <c r="L22" s="102"/>
      <c r="M22" s="103"/>
      <c r="N22" s="104"/>
    </row>
    <row r="23" spans="1:14" ht="26.25" hidden="1" outlineLevel="1">
      <c r="A23" s="250"/>
      <c r="B23" s="251">
        <v>1</v>
      </c>
      <c r="C23" s="242" t="s">
        <v>605</v>
      </c>
      <c r="D23" s="31" t="s">
        <v>0</v>
      </c>
      <c r="E23" s="8"/>
      <c r="F23" s="9"/>
      <c r="G23" s="9"/>
      <c r="H23" s="9"/>
      <c r="I23" s="31"/>
      <c r="J23" s="236">
        <f>K23*Svodka!$J$1</f>
        <v>13000</v>
      </c>
      <c r="K23" s="65">
        <v>1.3</v>
      </c>
      <c r="L23" s="60"/>
      <c r="M23" s="107"/>
      <c r="N23" s="57"/>
    </row>
    <row r="24" spans="1:14" ht="26.25" hidden="1" outlineLevel="1">
      <c r="A24" s="246"/>
      <c r="B24" s="248">
        <v>1</v>
      </c>
      <c r="C24" s="244" t="s">
        <v>1</v>
      </c>
      <c r="D24" s="33" t="s">
        <v>2</v>
      </c>
      <c r="E24" s="12"/>
      <c r="F24" s="13"/>
      <c r="G24" s="13"/>
      <c r="H24" s="13"/>
      <c r="I24" s="33"/>
      <c r="J24" s="236">
        <f>K24*Svodka!$J$1</f>
        <v>14000</v>
      </c>
      <c r="K24" s="68">
        <v>1.4</v>
      </c>
      <c r="L24" s="62"/>
      <c r="M24" s="109"/>
      <c r="N24" s="59"/>
    </row>
    <row r="25" spans="1:14" ht="52.5" hidden="1" outlineLevel="1">
      <c r="A25" s="246"/>
      <c r="B25" s="248">
        <v>3</v>
      </c>
      <c r="C25" s="244" t="s">
        <v>3</v>
      </c>
      <c r="D25" s="33" t="s">
        <v>28</v>
      </c>
      <c r="E25" s="12"/>
      <c r="F25" s="13"/>
      <c r="G25" s="13"/>
      <c r="H25" s="13"/>
      <c r="I25" s="33"/>
      <c r="J25" s="236">
        <f>K25*Svodka!$J$1</f>
        <v>13000</v>
      </c>
      <c r="K25" s="68">
        <v>1.3</v>
      </c>
      <c r="L25" s="62"/>
      <c r="M25" s="109"/>
      <c r="N25" s="59"/>
    </row>
    <row r="26" spans="1:14" ht="12.75" hidden="1" outlineLevel="1">
      <c r="A26" s="246"/>
      <c r="B26" s="248">
        <v>2</v>
      </c>
      <c r="C26" s="244" t="s">
        <v>29</v>
      </c>
      <c r="D26" s="33" t="s">
        <v>30</v>
      </c>
      <c r="E26" s="12"/>
      <c r="F26" s="13"/>
      <c r="G26" s="13"/>
      <c r="H26" s="13"/>
      <c r="I26" s="33"/>
      <c r="J26" s="236">
        <f>K26*Svodka!$J$1</f>
        <v>13000</v>
      </c>
      <c r="K26" s="68">
        <v>1.3</v>
      </c>
      <c r="L26" s="62"/>
      <c r="M26" s="109"/>
      <c r="N26" s="59"/>
    </row>
    <row r="27" spans="1:14" ht="26.25" hidden="1" outlineLevel="1">
      <c r="A27" s="246"/>
      <c r="B27" s="248">
        <v>3</v>
      </c>
      <c r="C27" s="244" t="s">
        <v>31</v>
      </c>
      <c r="D27" s="33" t="s">
        <v>32</v>
      </c>
      <c r="E27" s="12"/>
      <c r="F27" s="13"/>
      <c r="G27" s="13"/>
      <c r="H27" s="13"/>
      <c r="I27" s="33"/>
      <c r="J27" s="236">
        <f>K27*Svodka!$J$1</f>
        <v>13000</v>
      </c>
      <c r="K27" s="68">
        <v>1.3</v>
      </c>
      <c r="L27" s="62"/>
      <c r="M27" s="109"/>
      <c r="N27" s="59"/>
    </row>
    <row r="28" spans="1:14" ht="52.5" hidden="1" outlineLevel="1">
      <c r="A28" s="246"/>
      <c r="B28" s="248">
        <v>4</v>
      </c>
      <c r="C28" s="244" t="s">
        <v>33</v>
      </c>
      <c r="D28" s="33" t="s">
        <v>34</v>
      </c>
      <c r="E28" s="12"/>
      <c r="F28" s="13"/>
      <c r="G28" s="13"/>
      <c r="H28" s="13"/>
      <c r="I28" s="33"/>
      <c r="J28" s="236">
        <f>K28*Svodka!$J$1</f>
        <v>13000</v>
      </c>
      <c r="K28" s="68">
        <v>1.3</v>
      </c>
      <c r="L28" s="62"/>
      <c r="M28" s="109"/>
      <c r="N28" s="59"/>
    </row>
    <row r="29" spans="1:14" ht="26.25" hidden="1" outlineLevel="1">
      <c r="A29" s="246"/>
      <c r="B29" s="248">
        <v>6</v>
      </c>
      <c r="C29" s="244" t="s">
        <v>37</v>
      </c>
      <c r="D29" s="33" t="s">
        <v>38</v>
      </c>
      <c r="E29" s="12"/>
      <c r="F29" s="13"/>
      <c r="G29" s="13"/>
      <c r="H29" s="13"/>
      <c r="I29" s="33"/>
      <c r="J29" s="236">
        <f>K29*Svodka!$J$1</f>
        <v>13000</v>
      </c>
      <c r="K29" s="68">
        <v>1.3</v>
      </c>
      <c r="L29" s="62"/>
      <c r="M29" s="109"/>
      <c r="N29" s="59"/>
    </row>
    <row r="30" spans="1:14" ht="39" hidden="1" outlineLevel="1">
      <c r="A30" s="246"/>
      <c r="B30" s="248">
        <v>32</v>
      </c>
      <c r="C30" s="244" t="s">
        <v>251</v>
      </c>
      <c r="D30" s="33" t="s">
        <v>43</v>
      </c>
      <c r="E30" s="12"/>
      <c r="F30" s="13"/>
      <c r="G30" s="13"/>
      <c r="H30" s="13"/>
      <c r="I30" s="33"/>
      <c r="J30" s="236">
        <f>K30*Svodka!$J$1</f>
        <v>13000</v>
      </c>
      <c r="K30" s="68">
        <v>1.3</v>
      </c>
      <c r="L30" s="62"/>
      <c r="M30" s="109"/>
      <c r="N30" s="59"/>
    </row>
    <row r="31" spans="1:14" ht="39" hidden="1" outlineLevel="1">
      <c r="A31" s="246"/>
      <c r="B31" s="248">
        <v>9</v>
      </c>
      <c r="C31" s="244" t="s">
        <v>47</v>
      </c>
      <c r="D31" s="33" t="s">
        <v>48</v>
      </c>
      <c r="E31" s="12"/>
      <c r="F31" s="13"/>
      <c r="G31" s="13"/>
      <c r="H31" s="13"/>
      <c r="I31" s="33"/>
      <c r="J31" s="236">
        <f>K31*Svodka!$J$1</f>
        <v>13000</v>
      </c>
      <c r="K31" s="68">
        <v>1.3</v>
      </c>
      <c r="L31" s="62"/>
      <c r="M31" s="109"/>
      <c r="N31" s="59"/>
    </row>
    <row r="32" spans="1:14" ht="26.25" hidden="1" outlineLevel="1">
      <c r="A32" s="246"/>
      <c r="B32" s="248">
        <v>10</v>
      </c>
      <c r="C32" s="244" t="s">
        <v>49</v>
      </c>
      <c r="D32" s="33" t="s">
        <v>50</v>
      </c>
      <c r="E32" s="12"/>
      <c r="F32" s="13"/>
      <c r="G32" s="13"/>
      <c r="H32" s="13"/>
      <c r="I32" s="33"/>
      <c r="J32" s="236">
        <f>K32*Svodka!$J$1</f>
        <v>13000</v>
      </c>
      <c r="K32" s="68">
        <v>1.3</v>
      </c>
      <c r="L32" s="62"/>
      <c r="M32" s="109"/>
      <c r="N32" s="59"/>
    </row>
    <row r="33" spans="1:14" ht="26.25" hidden="1" outlineLevel="1">
      <c r="A33" s="246"/>
      <c r="B33" s="248">
        <v>11</v>
      </c>
      <c r="C33" s="244" t="s">
        <v>57</v>
      </c>
      <c r="D33" s="33" t="s">
        <v>58</v>
      </c>
      <c r="E33" s="12"/>
      <c r="F33" s="13"/>
      <c r="G33" s="13"/>
      <c r="H33" s="13"/>
      <c r="I33" s="33"/>
      <c r="J33" s="236">
        <f>K33*Svodka!$J$1</f>
        <v>13000</v>
      </c>
      <c r="K33" s="68">
        <v>1.3</v>
      </c>
      <c r="L33" s="62"/>
      <c r="M33" s="109"/>
      <c r="N33" s="59"/>
    </row>
    <row r="34" spans="1:14" ht="52.5" hidden="1" outlineLevel="1">
      <c r="A34" s="246"/>
      <c r="B34" s="248">
        <v>12</v>
      </c>
      <c r="C34" s="244" t="s">
        <v>64</v>
      </c>
      <c r="D34" s="33" t="s">
        <v>93</v>
      </c>
      <c r="E34" s="12"/>
      <c r="F34" s="13"/>
      <c r="G34" s="13"/>
      <c r="H34" s="13"/>
      <c r="I34" s="33"/>
      <c r="J34" s="236">
        <f>K34*Svodka!$J$1</f>
        <v>13000</v>
      </c>
      <c r="K34" s="68">
        <v>1.3</v>
      </c>
      <c r="L34" s="62"/>
      <c r="M34" s="109"/>
      <c r="N34" s="59"/>
    </row>
    <row r="35" spans="1:14" ht="52.5" hidden="1" outlineLevel="1">
      <c r="A35" s="246"/>
      <c r="B35" s="248">
        <v>16</v>
      </c>
      <c r="C35" s="244" t="s">
        <v>94</v>
      </c>
      <c r="D35" s="33" t="s">
        <v>100</v>
      </c>
      <c r="E35" s="12"/>
      <c r="F35" s="13"/>
      <c r="G35" s="13"/>
      <c r="H35" s="13"/>
      <c r="I35" s="33"/>
      <c r="J35" s="236">
        <f>K35*Svodka!$J$1</f>
        <v>13000</v>
      </c>
      <c r="K35" s="68">
        <v>1.3</v>
      </c>
      <c r="L35" s="62"/>
      <c r="M35" s="109"/>
      <c r="N35" s="59"/>
    </row>
    <row r="36" spans="1:14" ht="39" hidden="1" outlineLevel="1">
      <c r="A36" s="246"/>
      <c r="B36" s="248">
        <v>14</v>
      </c>
      <c r="C36" s="244" t="s">
        <v>107</v>
      </c>
      <c r="D36" s="33" t="s">
        <v>108</v>
      </c>
      <c r="E36" s="12"/>
      <c r="F36" s="13"/>
      <c r="G36" s="13"/>
      <c r="H36" s="13"/>
      <c r="I36" s="33"/>
      <c r="J36" s="236">
        <f>K36*Svodka!$J$1</f>
        <v>13000</v>
      </c>
      <c r="K36" s="68">
        <v>1.3</v>
      </c>
      <c r="L36" s="62"/>
      <c r="M36" s="109"/>
      <c r="N36" s="59"/>
    </row>
    <row r="37" spans="1:14" ht="39" hidden="1" outlineLevel="1">
      <c r="A37" s="246"/>
      <c r="B37" s="248">
        <v>23</v>
      </c>
      <c r="C37" s="244" t="s">
        <v>113</v>
      </c>
      <c r="D37" s="33" t="s">
        <v>114</v>
      </c>
      <c r="E37" s="12"/>
      <c r="F37" s="13"/>
      <c r="G37" s="13"/>
      <c r="H37" s="13"/>
      <c r="I37" s="33"/>
      <c r="J37" s="236">
        <f>K37*Svodka!$J$1</f>
        <v>13000</v>
      </c>
      <c r="K37" s="68">
        <v>1.3</v>
      </c>
      <c r="L37" s="62"/>
      <c r="M37" s="109"/>
      <c r="N37" s="59"/>
    </row>
    <row r="38" spans="1:14" ht="39" hidden="1" outlineLevel="1">
      <c r="A38" s="246"/>
      <c r="B38" s="248">
        <v>24</v>
      </c>
      <c r="C38" s="244" t="s">
        <v>117</v>
      </c>
      <c r="D38" s="33" t="s">
        <v>119</v>
      </c>
      <c r="E38" s="12"/>
      <c r="F38" s="13"/>
      <c r="G38" s="13"/>
      <c r="H38" s="13"/>
      <c r="I38" s="33"/>
      <c r="J38" s="236">
        <f>K38*Svodka!$J$1</f>
        <v>13000</v>
      </c>
      <c r="K38" s="68">
        <v>1.3</v>
      </c>
      <c r="L38" s="62"/>
      <c r="M38" s="109"/>
      <c r="N38" s="59"/>
    </row>
    <row r="39" spans="1:14" ht="39" hidden="1" outlineLevel="1">
      <c r="A39" s="246"/>
      <c r="B39" s="248">
        <v>9</v>
      </c>
      <c r="C39" s="244" t="s">
        <v>120</v>
      </c>
      <c r="D39" s="33" t="s">
        <v>121</v>
      </c>
      <c r="E39" s="12"/>
      <c r="F39" s="13"/>
      <c r="G39" s="13"/>
      <c r="H39" s="13"/>
      <c r="I39" s="33"/>
      <c r="J39" s="236">
        <f>K39*Svodka!$J$1</f>
        <v>13000</v>
      </c>
      <c r="K39" s="68">
        <v>1.3</v>
      </c>
      <c r="L39" s="62"/>
      <c r="M39" s="109"/>
      <c r="N39" s="59"/>
    </row>
    <row r="40" spans="1:14" ht="39.75" hidden="1" outlineLevel="1" thickBot="1">
      <c r="A40" s="252"/>
      <c r="B40" s="253">
        <v>15</v>
      </c>
      <c r="C40" s="243" t="s">
        <v>122</v>
      </c>
      <c r="D40" s="32" t="s">
        <v>123</v>
      </c>
      <c r="E40" s="10"/>
      <c r="F40" s="11"/>
      <c r="G40" s="11"/>
      <c r="H40" s="11"/>
      <c r="I40" s="32"/>
      <c r="J40" s="236">
        <f>K40*Svodka!$J$1</f>
        <v>13000</v>
      </c>
      <c r="K40" s="68">
        <v>1.3</v>
      </c>
      <c r="L40" s="61"/>
      <c r="M40" s="108"/>
      <c r="N40" s="58"/>
    </row>
    <row r="41" spans="1:14" ht="13.5" collapsed="1" thickBot="1">
      <c r="A41" s="254"/>
      <c r="B41" s="255"/>
      <c r="C41" s="241" t="s">
        <v>142</v>
      </c>
      <c r="D41" s="30"/>
      <c r="E41" s="6"/>
      <c r="F41" s="7"/>
      <c r="G41" s="7"/>
      <c r="H41" s="7"/>
      <c r="I41" s="30"/>
      <c r="J41" s="237"/>
      <c r="K41" s="67"/>
      <c r="L41" s="102"/>
      <c r="M41" s="103"/>
      <c r="N41" s="104"/>
    </row>
    <row r="42" spans="1:14" ht="39" hidden="1" outlineLevel="1">
      <c r="A42" s="250"/>
      <c r="B42" s="251">
        <v>11</v>
      </c>
      <c r="C42" s="242" t="s">
        <v>55</v>
      </c>
      <c r="D42" s="31" t="s">
        <v>56</v>
      </c>
      <c r="E42" s="8"/>
      <c r="F42" s="9"/>
      <c r="G42" s="9"/>
      <c r="H42" s="9"/>
      <c r="I42" s="31"/>
      <c r="J42" s="236">
        <f>K42*Svodka!$J$1</f>
        <v>124000</v>
      </c>
      <c r="K42" s="65">
        <f>6.7+5.7</f>
        <v>12.4</v>
      </c>
      <c r="L42" s="45"/>
      <c r="M42" s="73"/>
      <c r="N42" s="46"/>
    </row>
    <row r="43" spans="1:14" ht="26.25" hidden="1" outlineLevel="1">
      <c r="A43" s="246"/>
      <c r="B43" s="248">
        <v>13</v>
      </c>
      <c r="C43" s="244" t="s">
        <v>59</v>
      </c>
      <c r="D43" s="33" t="s">
        <v>60</v>
      </c>
      <c r="E43" s="12"/>
      <c r="F43" s="13"/>
      <c r="G43" s="13"/>
      <c r="H43" s="13"/>
      <c r="I43" s="33"/>
      <c r="J43" s="236">
        <f>K43*Svodka!$J$1</f>
        <v>122000</v>
      </c>
      <c r="K43" s="68">
        <f>6.5+5.7</f>
        <v>12.2</v>
      </c>
      <c r="L43" s="41"/>
      <c r="M43" s="40"/>
      <c r="N43" s="42"/>
    </row>
    <row r="44" spans="1:14" ht="26.25" hidden="1" outlineLevel="1">
      <c r="A44" s="246"/>
      <c r="B44" s="248">
        <v>26</v>
      </c>
      <c r="C44" s="244" t="s">
        <v>111</v>
      </c>
      <c r="D44" s="33" t="s">
        <v>112</v>
      </c>
      <c r="E44" s="12"/>
      <c r="F44" s="13"/>
      <c r="G44" s="13"/>
      <c r="H44" s="13"/>
      <c r="I44" s="33"/>
      <c r="J44" s="236">
        <f>K44*Svodka!$J$1</f>
        <v>124000</v>
      </c>
      <c r="K44" s="65">
        <f>6.7+5.7</f>
        <v>12.4</v>
      </c>
      <c r="L44" s="41"/>
      <c r="M44" s="40"/>
      <c r="N44" s="42"/>
    </row>
    <row r="45" spans="1:14" ht="39" hidden="1" outlineLevel="1">
      <c r="A45" s="246"/>
      <c r="B45" s="248">
        <v>5</v>
      </c>
      <c r="C45" s="244" t="s">
        <v>35</v>
      </c>
      <c r="D45" s="33" t="s">
        <v>36</v>
      </c>
      <c r="E45" s="12"/>
      <c r="F45" s="13"/>
      <c r="G45" s="13"/>
      <c r="H45" s="13"/>
      <c r="I45" s="33"/>
      <c r="J45" s="236">
        <f>K45*Svodka!$J$1</f>
        <v>137000</v>
      </c>
      <c r="K45" s="65">
        <f>6.7+5.7+1.3</f>
        <v>13.700000000000001</v>
      </c>
      <c r="L45" s="41"/>
      <c r="M45" s="40"/>
      <c r="N45" s="42"/>
    </row>
    <row r="46" spans="1:14" ht="12.75" hidden="1" outlineLevel="1">
      <c r="A46" s="246"/>
      <c r="B46" s="248">
        <v>5</v>
      </c>
      <c r="C46" s="244" t="s">
        <v>39</v>
      </c>
      <c r="D46" s="33" t="s">
        <v>40</v>
      </c>
      <c r="E46" s="12"/>
      <c r="F46" s="13"/>
      <c r="G46" s="13"/>
      <c r="H46" s="13"/>
      <c r="I46" s="33"/>
      <c r="J46" s="236">
        <f>K46*Svodka!$J$1</f>
        <v>99000</v>
      </c>
      <c r="K46" s="68">
        <f>8.6+1.3</f>
        <v>9.9</v>
      </c>
      <c r="L46" s="41"/>
      <c r="M46" s="40"/>
      <c r="N46" s="42"/>
    </row>
    <row r="47" spans="1:14" ht="12.75" hidden="1" outlineLevel="1">
      <c r="A47" s="246"/>
      <c r="B47" s="248">
        <v>6</v>
      </c>
      <c r="C47" s="244" t="s">
        <v>41</v>
      </c>
      <c r="D47" s="33" t="s">
        <v>42</v>
      </c>
      <c r="E47" s="12"/>
      <c r="F47" s="13"/>
      <c r="G47" s="13"/>
      <c r="H47" s="13"/>
      <c r="I47" s="33"/>
      <c r="J47" s="236">
        <f>K47*Svodka!$J$1</f>
        <v>99000</v>
      </c>
      <c r="K47" s="68">
        <f>8.6+1.3</f>
        <v>9.9</v>
      </c>
      <c r="L47" s="41"/>
      <c r="M47" s="40"/>
      <c r="N47" s="42"/>
    </row>
    <row r="48" spans="1:14" ht="39" hidden="1" outlineLevel="1">
      <c r="A48" s="246"/>
      <c r="B48" s="248">
        <v>8</v>
      </c>
      <c r="C48" s="244" t="s">
        <v>44</v>
      </c>
      <c r="D48" s="33" t="s">
        <v>45</v>
      </c>
      <c r="E48" s="12"/>
      <c r="F48" s="13"/>
      <c r="G48" s="13"/>
      <c r="H48" s="13"/>
      <c r="I48" s="33"/>
      <c r="J48" s="236">
        <f>K48*Svodka!$J$1</f>
        <v>99000</v>
      </c>
      <c r="K48" s="68">
        <f>8.6+1.3</f>
        <v>9.9</v>
      </c>
      <c r="L48" s="41"/>
      <c r="M48" s="40"/>
      <c r="N48" s="42"/>
    </row>
    <row r="49" spans="1:14" ht="39.75" hidden="1" outlineLevel="1" thickBot="1">
      <c r="A49" s="247"/>
      <c r="B49" s="249">
        <v>6</v>
      </c>
      <c r="C49" s="245" t="s">
        <v>51</v>
      </c>
      <c r="D49" s="34" t="s">
        <v>52</v>
      </c>
      <c r="E49" s="14"/>
      <c r="F49" s="15"/>
      <c r="G49" s="15"/>
      <c r="H49" s="15"/>
      <c r="I49" s="34"/>
      <c r="J49" s="236">
        <f>K49*Svodka!$J$1</f>
        <v>99000</v>
      </c>
      <c r="K49" s="239">
        <f>8.6+1.3</f>
        <v>9.9</v>
      </c>
      <c r="L49" s="43"/>
      <c r="M49" s="69"/>
      <c r="N49" s="44"/>
    </row>
    <row r="50" spans="3:14" ht="12.75">
      <c r="C50" s="2" t="s">
        <v>294</v>
      </c>
      <c r="J50" s="238">
        <f>J22+J18+J14+J10+J7+J4</f>
        <v>2300000</v>
      </c>
      <c r="L50">
        <f>SUM(L4:L41)</f>
        <v>0</v>
      </c>
      <c r="M50">
        <f>SUM(M4:M41)</f>
        <v>0</v>
      </c>
      <c r="N50">
        <f>SUM(N4:N41)</f>
        <v>0</v>
      </c>
    </row>
    <row r="51" ht="12.75">
      <c r="J51" s="139">
        <f>SUM(J4:J49)-J4-J7-J10-J14-J18-J22</f>
        <v>2300000</v>
      </c>
    </row>
  </sheetData>
  <autoFilter ref="A3:P51"/>
  <printOptions horizontalCentered="1"/>
  <pageMargins left="0.38" right="0.31" top="0.984251968503937" bottom="0.98425196850393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outlinePr summaryBelow="0" summaryRight="0"/>
  </sheetPr>
  <dimension ref="A1:N61"/>
  <sheetViews>
    <sheetView zoomScale="75" zoomScaleNormal="75" workbookViewId="0" topLeftCell="A1">
      <selection activeCell="A1" sqref="A1"/>
    </sheetView>
  </sheetViews>
  <sheetFormatPr defaultColWidth="9.140625" defaultRowHeight="12.75" outlineLevelRow="1"/>
  <cols>
    <col min="1" max="1" width="15.7109375" style="0" customWidth="1"/>
    <col min="2" max="2" width="12.140625" style="0" customWidth="1"/>
    <col min="3" max="3" width="38.7109375" style="2" customWidth="1"/>
    <col min="4" max="4" width="108.7109375" style="2" hidden="1" customWidth="1"/>
    <col min="5" max="5" width="12.28125" style="2" customWidth="1"/>
    <col min="6" max="6" width="6.8515625" style="2" customWidth="1"/>
    <col min="7" max="9" width="8.7109375" style="2" customWidth="1"/>
    <col min="10" max="10" width="15.140625" style="139" customWidth="1"/>
    <col min="11" max="11" width="13.7109375" style="56" customWidth="1"/>
    <col min="12" max="12" width="16.8515625" style="0" customWidth="1"/>
    <col min="13" max="13" width="15.00390625" style="0" customWidth="1"/>
    <col min="14" max="14" width="17.8515625" style="0" customWidth="1"/>
  </cols>
  <sheetData>
    <row r="1" ht="21">
      <c r="C1" s="16" t="s">
        <v>146</v>
      </c>
    </row>
    <row r="2" ht="13.5" thickBot="1"/>
    <row r="3" spans="1:14" s="17" customFormat="1" ht="13.5" thickBot="1">
      <c r="A3" s="261" t="s">
        <v>514</v>
      </c>
      <c r="B3" s="262" t="s">
        <v>513</v>
      </c>
      <c r="C3" s="3" t="s">
        <v>143</v>
      </c>
      <c r="D3" s="4" t="s">
        <v>144</v>
      </c>
      <c r="E3" s="4" t="s">
        <v>284</v>
      </c>
      <c r="F3" s="4" t="s">
        <v>285</v>
      </c>
      <c r="G3" s="4" t="s">
        <v>286</v>
      </c>
      <c r="H3" s="4" t="s">
        <v>287</v>
      </c>
      <c r="I3" s="5" t="s">
        <v>288</v>
      </c>
      <c r="J3" s="234" t="s">
        <v>290</v>
      </c>
      <c r="K3" s="47" t="s">
        <v>289</v>
      </c>
      <c r="L3" s="77" t="s">
        <v>291</v>
      </c>
      <c r="M3" s="78" t="s">
        <v>292</v>
      </c>
      <c r="N3" s="79" t="s">
        <v>293</v>
      </c>
    </row>
    <row r="4" spans="1:14" s="17" customFormat="1" ht="39.75" thickBot="1">
      <c r="A4" s="269">
        <v>4</v>
      </c>
      <c r="B4" s="263"/>
      <c r="C4" s="241" t="s">
        <v>147</v>
      </c>
      <c r="D4" s="30" t="s">
        <v>148</v>
      </c>
      <c r="E4" s="6">
        <v>1</v>
      </c>
      <c r="F4" s="7"/>
      <c r="G4" s="7"/>
      <c r="H4" s="7"/>
      <c r="I4" s="30"/>
      <c r="J4" s="235">
        <f>K4*Svodka!$J$1</f>
        <v>400000</v>
      </c>
      <c r="K4" s="64">
        <v>40</v>
      </c>
      <c r="L4" s="93"/>
      <c r="M4" s="94"/>
      <c r="N4" s="95"/>
    </row>
    <row r="5" spans="1:14" s="19" customFormat="1" ht="27" thickBot="1">
      <c r="A5" s="140">
        <v>13</v>
      </c>
      <c r="B5" s="141"/>
      <c r="C5" s="241" t="s">
        <v>149</v>
      </c>
      <c r="D5" s="30" t="s">
        <v>150</v>
      </c>
      <c r="E5" s="6">
        <v>1</v>
      </c>
      <c r="F5" s="7"/>
      <c r="G5" s="7"/>
      <c r="H5" s="7"/>
      <c r="I5" s="30"/>
      <c r="J5" s="235">
        <f>K5*Svodka!$J$1</f>
        <v>600000</v>
      </c>
      <c r="K5" s="67">
        <v>60</v>
      </c>
      <c r="L5" s="102"/>
      <c r="M5" s="103"/>
      <c r="N5" s="104"/>
    </row>
    <row r="6" spans="1:14" s="19" customFormat="1" ht="13.5" collapsed="1" thickBot="1">
      <c r="A6" s="140">
        <v>17</v>
      </c>
      <c r="B6" s="141"/>
      <c r="C6" s="241" t="s">
        <v>151</v>
      </c>
      <c r="D6" s="30" t="s">
        <v>152</v>
      </c>
      <c r="E6" s="6">
        <v>1</v>
      </c>
      <c r="F6" s="7"/>
      <c r="G6" s="7"/>
      <c r="H6" s="7"/>
      <c r="I6" s="30"/>
      <c r="J6" s="235">
        <f>K6*Svodka!$J$1</f>
        <v>600000</v>
      </c>
      <c r="K6" s="67">
        <v>60</v>
      </c>
      <c r="L6" s="102"/>
      <c r="M6" s="103"/>
      <c r="N6" s="104"/>
    </row>
    <row r="7" spans="1:14" s="19" customFormat="1" ht="52.5" hidden="1" outlineLevel="1">
      <c r="A7" s="53"/>
      <c r="B7" s="54">
        <v>21</v>
      </c>
      <c r="C7" s="242" t="s">
        <v>153</v>
      </c>
      <c r="D7" s="31" t="s">
        <v>154</v>
      </c>
      <c r="E7" s="8"/>
      <c r="F7" s="9"/>
      <c r="G7" s="9"/>
      <c r="H7" s="9"/>
      <c r="I7" s="31"/>
      <c r="J7" s="276">
        <f>K7*Svodka!$J$1</f>
        <v>86000</v>
      </c>
      <c r="K7" s="83">
        <v>8.6</v>
      </c>
      <c r="L7" s="89"/>
      <c r="M7" s="96"/>
      <c r="N7" s="97"/>
    </row>
    <row r="8" spans="1:14" s="19" customFormat="1" ht="26.25" hidden="1" outlineLevel="1">
      <c r="A8" s="49"/>
      <c r="B8" s="50">
        <v>18</v>
      </c>
      <c r="C8" s="244" t="s">
        <v>155</v>
      </c>
      <c r="D8" s="33" t="s">
        <v>156</v>
      </c>
      <c r="E8" s="12"/>
      <c r="F8" s="13"/>
      <c r="G8" s="13"/>
      <c r="H8" s="13"/>
      <c r="I8" s="33"/>
      <c r="J8" s="276">
        <f>K8*Svodka!$J$1</f>
        <v>86000</v>
      </c>
      <c r="K8" s="84">
        <v>8.6</v>
      </c>
      <c r="L8" s="90"/>
      <c r="M8" s="98"/>
      <c r="N8" s="99"/>
    </row>
    <row r="9" spans="1:14" s="19" customFormat="1" ht="26.25" hidden="1" outlineLevel="1">
      <c r="A9" s="49"/>
      <c r="B9" s="50">
        <v>35</v>
      </c>
      <c r="C9" s="244" t="s">
        <v>157</v>
      </c>
      <c r="D9" s="33" t="s">
        <v>158</v>
      </c>
      <c r="E9" s="12"/>
      <c r="F9" s="13"/>
      <c r="G9" s="13"/>
      <c r="H9" s="13"/>
      <c r="I9" s="33"/>
      <c r="J9" s="276">
        <f>K9*Svodka!$J$1</f>
        <v>84000</v>
      </c>
      <c r="K9" s="84">
        <v>8.4</v>
      </c>
      <c r="L9" s="90"/>
      <c r="M9" s="98"/>
      <c r="N9" s="99"/>
    </row>
    <row r="10" spans="1:14" s="19" customFormat="1" ht="27" hidden="1" outlineLevel="1" thickBot="1">
      <c r="A10" s="264"/>
      <c r="B10" s="265">
        <v>29</v>
      </c>
      <c r="C10" s="243" t="s">
        <v>159</v>
      </c>
      <c r="D10" s="32" t="s">
        <v>160</v>
      </c>
      <c r="E10" s="10"/>
      <c r="F10" s="11"/>
      <c r="G10" s="11"/>
      <c r="H10" s="11"/>
      <c r="I10" s="32"/>
      <c r="J10" s="276">
        <f>K10*Svodka!$J$1</f>
        <v>286000</v>
      </c>
      <c r="K10" s="84">
        <f>8.6+20</f>
        <v>28.6</v>
      </c>
      <c r="L10" s="91"/>
      <c r="M10" s="100"/>
      <c r="N10" s="101"/>
    </row>
    <row r="11" spans="1:14" s="19" customFormat="1" ht="27" collapsed="1" thickBot="1">
      <c r="A11" s="140">
        <v>36</v>
      </c>
      <c r="B11" s="141"/>
      <c r="C11" s="241" t="s">
        <v>161</v>
      </c>
      <c r="D11" s="30" t="s">
        <v>162</v>
      </c>
      <c r="E11" s="6">
        <v>1</v>
      </c>
      <c r="F11" s="7"/>
      <c r="G11" s="7"/>
      <c r="H11" s="7"/>
      <c r="I11" s="30"/>
      <c r="J11" s="235">
        <f>K11*Svodka!$J$1</f>
        <v>1000000</v>
      </c>
      <c r="K11" s="67">
        <v>100</v>
      </c>
      <c r="L11" s="102"/>
      <c r="M11" s="103"/>
      <c r="N11" s="104"/>
    </row>
    <row r="12" spans="1:14" s="19" customFormat="1" ht="52.5" hidden="1" outlineLevel="1">
      <c r="A12" s="53"/>
      <c r="B12" s="54">
        <v>12</v>
      </c>
      <c r="C12" s="242" t="s">
        <v>163</v>
      </c>
      <c r="D12" s="31" t="s">
        <v>164</v>
      </c>
      <c r="E12" s="8"/>
      <c r="F12" s="9"/>
      <c r="G12" s="9"/>
      <c r="H12" s="9"/>
      <c r="I12" s="31"/>
      <c r="J12" s="276">
        <f>K12*Svodka!$J$1</f>
        <v>170000</v>
      </c>
      <c r="K12" s="83">
        <v>17</v>
      </c>
      <c r="L12" s="89"/>
      <c r="M12" s="96"/>
      <c r="N12" s="97"/>
    </row>
    <row r="13" spans="1:14" s="19" customFormat="1" ht="26.25" hidden="1" outlineLevel="1">
      <c r="A13" s="49"/>
      <c r="B13" s="50">
        <v>14</v>
      </c>
      <c r="C13" s="244" t="s">
        <v>166</v>
      </c>
      <c r="D13" s="33" t="s">
        <v>167</v>
      </c>
      <c r="E13" s="12"/>
      <c r="F13" s="13"/>
      <c r="G13" s="13"/>
      <c r="H13" s="13"/>
      <c r="I13" s="33"/>
      <c r="J13" s="276">
        <f>K13*Svodka!$J$1</f>
        <v>170000</v>
      </c>
      <c r="K13" s="84">
        <v>17</v>
      </c>
      <c r="L13" s="90"/>
      <c r="M13" s="98"/>
      <c r="N13" s="99"/>
    </row>
    <row r="14" spans="1:14" s="19" customFormat="1" ht="13.5" hidden="1" outlineLevel="1" thickBot="1">
      <c r="A14" s="264"/>
      <c r="B14" s="265">
        <v>14</v>
      </c>
      <c r="C14" s="243" t="s">
        <v>168</v>
      </c>
      <c r="D14" s="32" t="s">
        <v>169</v>
      </c>
      <c r="E14" s="10"/>
      <c r="F14" s="11"/>
      <c r="G14" s="11"/>
      <c r="H14" s="11"/>
      <c r="I14" s="32"/>
      <c r="J14" s="276">
        <f>K14*Svodka!$J$1</f>
        <v>150000</v>
      </c>
      <c r="K14" s="85">
        <v>15</v>
      </c>
      <c r="L14" s="91"/>
      <c r="M14" s="100"/>
      <c r="N14" s="101"/>
    </row>
    <row r="15" spans="1:14" s="19" customFormat="1" ht="27" collapsed="1" thickBot="1">
      <c r="A15" s="140">
        <v>38</v>
      </c>
      <c r="B15" s="141"/>
      <c r="C15" s="241" t="s">
        <v>170</v>
      </c>
      <c r="D15" s="30" t="s">
        <v>171</v>
      </c>
      <c r="E15" s="6">
        <v>1</v>
      </c>
      <c r="F15" s="7"/>
      <c r="G15" s="7"/>
      <c r="H15" s="7"/>
      <c r="I15" s="30"/>
      <c r="J15" s="235">
        <f>K15*Svodka!$J$1</f>
        <v>600000</v>
      </c>
      <c r="K15" s="67">
        <v>60</v>
      </c>
      <c r="L15" s="102"/>
      <c r="M15" s="103"/>
      <c r="N15" s="104"/>
    </row>
    <row r="16" spans="1:14" s="19" customFormat="1" ht="66" hidden="1" outlineLevel="1" thickBot="1">
      <c r="A16" s="266"/>
      <c r="B16" s="267">
        <v>1</v>
      </c>
      <c r="C16" s="260" t="s">
        <v>172</v>
      </c>
      <c r="D16" s="38" t="s">
        <v>173</v>
      </c>
      <c r="E16" s="20"/>
      <c r="F16" s="21"/>
      <c r="G16" s="21"/>
      <c r="H16" s="21"/>
      <c r="I16" s="38"/>
      <c r="J16" s="276">
        <f>K16*Svodka!$J$1</f>
        <v>200000</v>
      </c>
      <c r="K16" s="86">
        <v>20</v>
      </c>
      <c r="L16" s="92"/>
      <c r="M16" s="105"/>
      <c r="N16" s="106"/>
    </row>
    <row r="17" spans="1:14" s="19" customFormat="1" ht="13.5" collapsed="1" thickBot="1">
      <c r="A17" s="140"/>
      <c r="B17" s="141"/>
      <c r="C17" s="241" t="s">
        <v>142</v>
      </c>
      <c r="D17" s="30"/>
      <c r="E17" s="6"/>
      <c r="F17" s="7"/>
      <c r="G17" s="7"/>
      <c r="H17" s="7"/>
      <c r="I17" s="30"/>
      <c r="J17" s="235"/>
      <c r="K17" s="67"/>
      <c r="L17" s="102"/>
      <c r="M17" s="103"/>
      <c r="N17" s="104"/>
    </row>
    <row r="18" spans="1:14" s="19" customFormat="1" ht="39" hidden="1" outlineLevel="1">
      <c r="A18" s="53"/>
      <c r="B18" s="54">
        <v>30</v>
      </c>
      <c r="C18" s="242" t="s">
        <v>174</v>
      </c>
      <c r="D18" s="31" t="s">
        <v>175</v>
      </c>
      <c r="E18" s="8"/>
      <c r="F18" s="9"/>
      <c r="G18" s="9"/>
      <c r="H18" s="9"/>
      <c r="I18" s="31"/>
      <c r="J18" s="276">
        <f>K18*Svodka!$J$1</f>
        <v>686000</v>
      </c>
      <c r="K18" s="83">
        <f>60+8.6</f>
        <v>68.6</v>
      </c>
      <c r="L18" s="53"/>
      <c r="M18" s="55"/>
      <c r="N18" s="54"/>
    </row>
    <row r="19" spans="1:14" s="19" customFormat="1" ht="26.25" hidden="1" outlineLevel="1">
      <c r="A19" s="49"/>
      <c r="B19" s="50">
        <v>22</v>
      </c>
      <c r="C19" s="244" t="s">
        <v>176</v>
      </c>
      <c r="D19" s="33" t="s">
        <v>177</v>
      </c>
      <c r="E19" s="12"/>
      <c r="F19" s="13"/>
      <c r="G19" s="13"/>
      <c r="H19" s="13"/>
      <c r="I19" s="33"/>
      <c r="J19" s="276">
        <f>K19*Svodka!$J$1</f>
        <v>256000</v>
      </c>
      <c r="K19" s="84">
        <f>8.6+17</f>
        <v>25.6</v>
      </c>
      <c r="L19" s="49"/>
      <c r="M19" s="48"/>
      <c r="N19" s="50"/>
    </row>
    <row r="20" spans="1:14" s="19" customFormat="1" ht="52.5" hidden="1" outlineLevel="1">
      <c r="A20" s="49"/>
      <c r="B20" s="50">
        <v>4</v>
      </c>
      <c r="C20" s="244" t="s">
        <v>260</v>
      </c>
      <c r="D20" s="33" t="s">
        <v>46</v>
      </c>
      <c r="E20" s="12"/>
      <c r="F20" s="13"/>
      <c r="G20" s="13"/>
      <c r="H20" s="13"/>
      <c r="I20" s="33"/>
      <c r="J20" s="276">
        <f>K20*Svodka!$J$1</f>
        <v>400000</v>
      </c>
      <c r="K20" s="84">
        <f>40</f>
        <v>40</v>
      </c>
      <c r="L20" s="49"/>
      <c r="M20" s="48"/>
      <c r="N20" s="50"/>
    </row>
    <row r="21" spans="1:14" s="19" customFormat="1" ht="39" hidden="1" outlineLevel="1">
      <c r="A21" s="49"/>
      <c r="B21" s="50">
        <v>9</v>
      </c>
      <c r="C21" s="244" t="s">
        <v>120</v>
      </c>
      <c r="D21" s="33" t="s">
        <v>121</v>
      </c>
      <c r="E21" s="12"/>
      <c r="F21" s="13"/>
      <c r="G21" s="13"/>
      <c r="H21" s="13"/>
      <c r="I21" s="33"/>
      <c r="J21" s="276">
        <f>K21*Svodka!$J$1</f>
        <v>86000</v>
      </c>
      <c r="K21" s="84">
        <v>8.6</v>
      </c>
      <c r="L21" s="49"/>
      <c r="M21" s="48"/>
      <c r="N21" s="50"/>
    </row>
    <row r="22" spans="1:14" s="19" customFormat="1" ht="26.25" hidden="1" outlineLevel="1">
      <c r="A22" s="49"/>
      <c r="B22" s="50">
        <v>6</v>
      </c>
      <c r="C22" s="244" t="s">
        <v>37</v>
      </c>
      <c r="D22" s="33" t="s">
        <v>38</v>
      </c>
      <c r="E22" s="12"/>
      <c r="F22" s="13"/>
      <c r="G22" s="13"/>
      <c r="H22" s="13"/>
      <c r="I22" s="33"/>
      <c r="J22" s="276">
        <f>K22*Svodka!$J$1</f>
        <v>170000</v>
      </c>
      <c r="K22" s="84">
        <f>17</f>
        <v>17</v>
      </c>
      <c r="L22" s="49"/>
      <c r="M22" s="48"/>
      <c r="N22" s="50"/>
    </row>
    <row r="23" spans="1:14" s="19" customFormat="1" ht="39.75" hidden="1" outlineLevel="1" thickBot="1">
      <c r="A23" s="51"/>
      <c r="B23" s="52">
        <v>23</v>
      </c>
      <c r="C23" s="245" t="s">
        <v>113</v>
      </c>
      <c r="D23" s="34" t="s">
        <v>114</v>
      </c>
      <c r="E23" s="14"/>
      <c r="F23" s="15"/>
      <c r="G23" s="15"/>
      <c r="H23" s="15"/>
      <c r="I23" s="34"/>
      <c r="J23" s="276">
        <f>K23*Svodka!$J$1</f>
        <v>370000</v>
      </c>
      <c r="K23" s="87">
        <f>17+20</f>
        <v>37</v>
      </c>
      <c r="L23" s="51"/>
      <c r="M23" s="80"/>
      <c r="N23" s="52"/>
    </row>
    <row r="24" spans="3:14" s="19" customFormat="1" ht="12.75">
      <c r="C24" s="18" t="s">
        <v>294</v>
      </c>
      <c r="D24" s="18"/>
      <c r="E24" s="18"/>
      <c r="F24" s="18"/>
      <c r="G24" s="18"/>
      <c r="H24" s="18"/>
      <c r="I24" s="18"/>
      <c r="J24" s="351">
        <f>J15+J11+J6+J5+J4</f>
        <v>3200000</v>
      </c>
      <c r="K24" s="88"/>
      <c r="L24" s="19">
        <f>SUM(L4:L17)</f>
        <v>0</v>
      </c>
      <c r="M24" s="19">
        <f>SUM(M4:M17)</f>
        <v>0</v>
      </c>
      <c r="N24" s="19">
        <f>SUM(N4:N17)</f>
        <v>0</v>
      </c>
    </row>
    <row r="25" spans="3:11" s="19" customFormat="1" ht="12.75">
      <c r="C25" s="18"/>
      <c r="D25" s="18"/>
      <c r="E25" s="18"/>
      <c r="F25" s="18"/>
      <c r="G25" s="18"/>
      <c r="H25" s="18"/>
      <c r="I25" s="18"/>
      <c r="J25" s="272">
        <f>SUM(J4:J23)-J4-J5-J6-J11-J15</f>
        <v>3200000</v>
      </c>
      <c r="K25" s="88"/>
    </row>
    <row r="26" spans="3:11" s="19" customFormat="1" ht="12.75">
      <c r="C26" s="18"/>
      <c r="D26" s="18"/>
      <c r="E26" s="18"/>
      <c r="F26" s="18"/>
      <c r="G26" s="18"/>
      <c r="H26" s="18"/>
      <c r="I26" s="18"/>
      <c r="J26" s="272"/>
      <c r="K26" s="88"/>
    </row>
    <row r="27" spans="3:11" s="19" customFormat="1" ht="12.75">
      <c r="C27" s="18"/>
      <c r="D27" s="18"/>
      <c r="E27" s="18"/>
      <c r="F27" s="18"/>
      <c r="G27" s="18"/>
      <c r="H27" s="18"/>
      <c r="I27" s="18"/>
      <c r="J27" s="272"/>
      <c r="K27" s="88"/>
    </row>
    <row r="28" spans="3:11" s="19" customFormat="1" ht="12.75">
      <c r="C28" s="18"/>
      <c r="D28" s="18"/>
      <c r="E28" s="18"/>
      <c r="F28" s="18"/>
      <c r="G28" s="18"/>
      <c r="H28" s="18"/>
      <c r="I28" s="18"/>
      <c r="J28" s="272"/>
      <c r="K28" s="88"/>
    </row>
    <row r="29" spans="3:11" s="19" customFormat="1" ht="12.75">
      <c r="C29" s="18"/>
      <c r="D29" s="18"/>
      <c r="E29" s="18"/>
      <c r="F29" s="18"/>
      <c r="G29" s="18"/>
      <c r="H29" s="18"/>
      <c r="I29" s="18"/>
      <c r="J29" s="272"/>
      <c r="K29" s="88"/>
    </row>
    <row r="30" spans="3:11" s="19" customFormat="1" ht="12.75">
      <c r="C30" s="18"/>
      <c r="D30" s="18"/>
      <c r="E30" s="18"/>
      <c r="F30" s="18"/>
      <c r="G30" s="18"/>
      <c r="H30" s="18"/>
      <c r="I30" s="18"/>
      <c r="J30" s="272"/>
      <c r="K30" s="88"/>
    </row>
    <row r="31" spans="3:11" s="19" customFormat="1" ht="12.75">
      <c r="C31" s="18"/>
      <c r="D31" s="18"/>
      <c r="E31" s="18"/>
      <c r="F31" s="18"/>
      <c r="G31" s="18"/>
      <c r="H31" s="18"/>
      <c r="I31" s="18"/>
      <c r="J31" s="272"/>
      <c r="K31" s="88"/>
    </row>
    <row r="32" spans="3:11" s="19" customFormat="1" ht="12.75">
      <c r="C32" s="18"/>
      <c r="D32" s="18"/>
      <c r="E32" s="18"/>
      <c r="F32" s="18"/>
      <c r="G32" s="18"/>
      <c r="H32" s="18"/>
      <c r="I32" s="18"/>
      <c r="J32" s="272"/>
      <c r="K32" s="88"/>
    </row>
    <row r="33" spans="3:11" s="19" customFormat="1" ht="12.75">
      <c r="C33" s="18"/>
      <c r="D33" s="18"/>
      <c r="E33" s="18"/>
      <c r="F33" s="18"/>
      <c r="G33" s="18"/>
      <c r="H33" s="18"/>
      <c r="I33" s="18"/>
      <c r="J33" s="272"/>
      <c r="K33" s="88"/>
    </row>
    <row r="34" spans="3:11" s="19" customFormat="1" ht="12.75">
      <c r="C34" s="18"/>
      <c r="D34" s="18"/>
      <c r="E34" s="18"/>
      <c r="F34" s="18"/>
      <c r="G34" s="18"/>
      <c r="H34" s="18"/>
      <c r="I34" s="18"/>
      <c r="J34" s="272"/>
      <c r="K34" s="88"/>
    </row>
    <row r="35" spans="3:11" s="19" customFormat="1" ht="12.75">
      <c r="C35" s="18"/>
      <c r="D35" s="18"/>
      <c r="E35" s="18"/>
      <c r="F35" s="18"/>
      <c r="G35" s="18"/>
      <c r="H35" s="18"/>
      <c r="I35" s="18"/>
      <c r="J35" s="272"/>
      <c r="K35" s="88"/>
    </row>
    <row r="36" spans="3:11" s="19" customFormat="1" ht="12.75">
      <c r="C36" s="18"/>
      <c r="D36" s="18"/>
      <c r="E36" s="18"/>
      <c r="F36" s="18"/>
      <c r="G36" s="18"/>
      <c r="H36" s="18"/>
      <c r="I36" s="18"/>
      <c r="J36" s="272"/>
      <c r="K36" s="88"/>
    </row>
    <row r="37" spans="3:11" s="19" customFormat="1" ht="12.75">
      <c r="C37" s="18"/>
      <c r="D37" s="18"/>
      <c r="E37" s="18"/>
      <c r="F37" s="18"/>
      <c r="G37" s="18"/>
      <c r="H37" s="18"/>
      <c r="I37" s="18"/>
      <c r="J37" s="272"/>
      <c r="K37" s="88"/>
    </row>
    <row r="38" spans="3:11" s="19" customFormat="1" ht="12.75">
      <c r="C38" s="18"/>
      <c r="D38" s="18"/>
      <c r="E38" s="18"/>
      <c r="F38" s="18"/>
      <c r="G38" s="18"/>
      <c r="H38" s="18"/>
      <c r="I38" s="18"/>
      <c r="J38" s="272"/>
      <c r="K38" s="88"/>
    </row>
    <row r="39" spans="3:11" s="19" customFormat="1" ht="12.75">
      <c r="C39" s="18"/>
      <c r="D39" s="18"/>
      <c r="E39" s="18"/>
      <c r="F39" s="18"/>
      <c r="G39" s="18"/>
      <c r="H39" s="18"/>
      <c r="I39" s="18"/>
      <c r="J39" s="272"/>
      <c r="K39" s="88"/>
    </row>
    <row r="40" spans="3:11" s="19" customFormat="1" ht="12.75">
      <c r="C40" s="18"/>
      <c r="D40" s="18"/>
      <c r="E40" s="18"/>
      <c r="F40" s="18"/>
      <c r="G40" s="18"/>
      <c r="H40" s="18"/>
      <c r="I40" s="18"/>
      <c r="J40" s="272"/>
      <c r="K40" s="88"/>
    </row>
    <row r="41" spans="3:11" s="19" customFormat="1" ht="12.75">
      <c r="C41" s="18"/>
      <c r="D41" s="18"/>
      <c r="E41" s="18"/>
      <c r="F41" s="18"/>
      <c r="G41" s="18"/>
      <c r="H41" s="18"/>
      <c r="I41" s="18"/>
      <c r="J41" s="272"/>
      <c r="K41" s="88"/>
    </row>
    <row r="42" spans="3:11" s="19" customFormat="1" ht="12.75">
      <c r="C42" s="18"/>
      <c r="D42" s="18"/>
      <c r="E42" s="18"/>
      <c r="F42" s="18"/>
      <c r="G42" s="18"/>
      <c r="H42" s="18"/>
      <c r="I42" s="18"/>
      <c r="J42" s="272"/>
      <c r="K42" s="88"/>
    </row>
    <row r="43" spans="3:11" s="19" customFormat="1" ht="12.75">
      <c r="C43" s="18"/>
      <c r="D43" s="18"/>
      <c r="E43" s="18"/>
      <c r="F43" s="18"/>
      <c r="G43" s="18"/>
      <c r="H43" s="18"/>
      <c r="I43" s="18"/>
      <c r="J43" s="272"/>
      <c r="K43" s="88"/>
    </row>
    <row r="44" spans="3:11" s="19" customFormat="1" ht="12.75">
      <c r="C44" s="18"/>
      <c r="D44" s="18"/>
      <c r="E44" s="18"/>
      <c r="F44" s="18"/>
      <c r="G44" s="18"/>
      <c r="H44" s="18"/>
      <c r="I44" s="18"/>
      <c r="J44" s="272"/>
      <c r="K44" s="88"/>
    </row>
    <row r="45" spans="3:11" s="19" customFormat="1" ht="12.75">
      <c r="C45" s="18"/>
      <c r="D45" s="18"/>
      <c r="E45" s="18"/>
      <c r="F45" s="18"/>
      <c r="G45" s="18"/>
      <c r="H45" s="18"/>
      <c r="I45" s="18"/>
      <c r="J45" s="272"/>
      <c r="K45" s="88"/>
    </row>
    <row r="46" spans="3:11" s="19" customFormat="1" ht="12.75">
      <c r="C46" s="18"/>
      <c r="D46" s="18"/>
      <c r="E46" s="18"/>
      <c r="F46" s="18"/>
      <c r="G46" s="18"/>
      <c r="H46" s="18"/>
      <c r="I46" s="18"/>
      <c r="J46" s="272"/>
      <c r="K46" s="88"/>
    </row>
    <row r="47" spans="3:11" s="19" customFormat="1" ht="12.75">
      <c r="C47" s="18"/>
      <c r="D47" s="18"/>
      <c r="E47" s="18"/>
      <c r="F47" s="18"/>
      <c r="G47" s="18"/>
      <c r="H47" s="18"/>
      <c r="I47" s="18"/>
      <c r="J47" s="272"/>
      <c r="K47" s="88"/>
    </row>
    <row r="48" spans="3:11" s="19" customFormat="1" ht="12.75">
      <c r="C48" s="18"/>
      <c r="D48" s="18"/>
      <c r="E48" s="18"/>
      <c r="F48" s="18"/>
      <c r="G48" s="18"/>
      <c r="H48" s="18"/>
      <c r="I48" s="18"/>
      <c r="J48" s="272"/>
      <c r="K48" s="88"/>
    </row>
    <row r="49" spans="3:11" s="19" customFormat="1" ht="12.75">
      <c r="C49" s="18"/>
      <c r="D49" s="18"/>
      <c r="E49" s="18"/>
      <c r="F49" s="18"/>
      <c r="G49" s="18"/>
      <c r="H49" s="18"/>
      <c r="I49" s="18"/>
      <c r="J49" s="272"/>
      <c r="K49" s="88"/>
    </row>
    <row r="50" spans="3:11" s="19" customFormat="1" ht="12.75">
      <c r="C50" s="18"/>
      <c r="D50" s="18"/>
      <c r="E50" s="18"/>
      <c r="F50" s="18"/>
      <c r="G50" s="18"/>
      <c r="H50" s="18"/>
      <c r="I50" s="18"/>
      <c r="J50" s="272"/>
      <c r="K50" s="88"/>
    </row>
    <row r="51" spans="3:11" s="19" customFormat="1" ht="12.75">
      <c r="C51" s="18"/>
      <c r="D51" s="18"/>
      <c r="E51" s="18"/>
      <c r="F51" s="18"/>
      <c r="G51" s="18"/>
      <c r="H51" s="18"/>
      <c r="I51" s="18"/>
      <c r="J51" s="272"/>
      <c r="K51" s="88"/>
    </row>
    <row r="52" spans="3:11" s="19" customFormat="1" ht="12.75">
      <c r="C52" s="18"/>
      <c r="D52" s="18"/>
      <c r="E52" s="18"/>
      <c r="F52" s="18"/>
      <c r="G52" s="18"/>
      <c r="H52" s="18"/>
      <c r="I52" s="18"/>
      <c r="J52" s="272"/>
      <c r="K52" s="88"/>
    </row>
    <row r="53" spans="3:11" s="19" customFormat="1" ht="12.75">
      <c r="C53" s="18"/>
      <c r="D53" s="18"/>
      <c r="E53" s="18"/>
      <c r="F53" s="18"/>
      <c r="G53" s="18"/>
      <c r="H53" s="18"/>
      <c r="I53" s="18"/>
      <c r="J53" s="272"/>
      <c r="K53" s="88"/>
    </row>
    <row r="54" spans="3:11" s="19" customFormat="1" ht="12.75">
      <c r="C54" s="18"/>
      <c r="D54" s="18"/>
      <c r="E54" s="18"/>
      <c r="F54" s="18"/>
      <c r="G54" s="18"/>
      <c r="H54" s="18"/>
      <c r="I54" s="18"/>
      <c r="J54" s="272"/>
      <c r="K54" s="88"/>
    </row>
    <row r="55" spans="3:11" s="19" customFormat="1" ht="12.75">
      <c r="C55" s="18"/>
      <c r="D55" s="18"/>
      <c r="E55" s="18"/>
      <c r="F55" s="18"/>
      <c r="G55" s="18"/>
      <c r="H55" s="18"/>
      <c r="I55" s="18"/>
      <c r="J55" s="272"/>
      <c r="K55" s="88"/>
    </row>
    <row r="56" spans="3:11" s="19" customFormat="1" ht="12.75">
      <c r="C56" s="18"/>
      <c r="D56" s="18"/>
      <c r="E56" s="18"/>
      <c r="F56" s="18"/>
      <c r="G56" s="18"/>
      <c r="H56" s="18"/>
      <c r="I56" s="18"/>
      <c r="J56" s="272"/>
      <c r="K56" s="88"/>
    </row>
    <row r="57" spans="3:11" s="19" customFormat="1" ht="12.75">
      <c r="C57" s="18"/>
      <c r="D57" s="18"/>
      <c r="E57" s="18"/>
      <c r="F57" s="18"/>
      <c r="G57" s="18"/>
      <c r="H57" s="18"/>
      <c r="I57" s="18"/>
      <c r="J57" s="272"/>
      <c r="K57" s="88"/>
    </row>
    <row r="58" spans="3:11" s="19" customFormat="1" ht="12.75">
      <c r="C58" s="18"/>
      <c r="D58" s="18"/>
      <c r="E58" s="18"/>
      <c r="F58" s="18"/>
      <c r="G58" s="18"/>
      <c r="H58" s="18"/>
      <c r="I58" s="18"/>
      <c r="J58" s="272"/>
      <c r="K58" s="88"/>
    </row>
    <row r="59" spans="3:11" s="19" customFormat="1" ht="12.75">
      <c r="C59" s="18"/>
      <c r="D59" s="18"/>
      <c r="E59" s="18"/>
      <c r="F59" s="18"/>
      <c r="G59" s="18"/>
      <c r="H59" s="18"/>
      <c r="I59" s="18"/>
      <c r="J59" s="272"/>
      <c r="K59" s="88"/>
    </row>
    <row r="60" spans="3:11" s="19" customFormat="1" ht="12.75">
      <c r="C60" s="18"/>
      <c r="D60" s="18"/>
      <c r="E60" s="18"/>
      <c r="F60" s="18"/>
      <c r="G60" s="18"/>
      <c r="H60" s="18"/>
      <c r="I60" s="18"/>
      <c r="J60" s="272"/>
      <c r="K60" s="88"/>
    </row>
    <row r="61" spans="3:11" s="19" customFormat="1" ht="12.75">
      <c r="C61" s="18"/>
      <c r="D61" s="18"/>
      <c r="E61" s="18"/>
      <c r="F61" s="18"/>
      <c r="G61" s="18"/>
      <c r="H61" s="18"/>
      <c r="I61" s="18"/>
      <c r="J61" s="272"/>
      <c r="K61" s="88"/>
    </row>
  </sheetData>
  <printOptions horizontalCentered="1"/>
  <pageMargins left="0.38" right="0.31" top="0.984251968503937" bottom="0.98425196850393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outlinePr summaryBelow="0" summaryRight="0"/>
  </sheetPr>
  <dimension ref="A1:N62"/>
  <sheetViews>
    <sheetView zoomScale="75" zoomScaleNormal="75" workbookViewId="0" topLeftCell="A1">
      <selection activeCell="A1" sqref="A1"/>
    </sheetView>
  </sheetViews>
  <sheetFormatPr defaultColWidth="9.140625" defaultRowHeight="12.75" outlineLevelRow="1"/>
  <cols>
    <col min="1" max="1" width="15.7109375" style="0" customWidth="1"/>
    <col min="2" max="2" width="11.28125" style="0" customWidth="1"/>
    <col min="3" max="3" width="38.7109375" style="2" customWidth="1"/>
    <col min="4" max="4" width="108.7109375" style="2" hidden="1" customWidth="1"/>
    <col min="5" max="5" width="12.28125" style="2" customWidth="1"/>
    <col min="6" max="6" width="6.8515625" style="2" customWidth="1"/>
    <col min="7" max="8" width="8.7109375" style="2" customWidth="1"/>
    <col min="9" max="9" width="8.00390625" style="2" customWidth="1"/>
    <col min="10" max="10" width="17.421875" style="139" customWidth="1"/>
    <col min="11" max="11" width="17.8515625" style="0" customWidth="1"/>
    <col min="12" max="12" width="19.57421875" style="0" customWidth="1"/>
    <col min="13" max="13" width="16.140625" style="0" customWidth="1"/>
    <col min="14" max="14" width="18.28125" style="0" customWidth="1"/>
  </cols>
  <sheetData>
    <row r="1" ht="21">
      <c r="C1" s="16" t="s">
        <v>178</v>
      </c>
    </row>
    <row r="2" ht="13.5" thickBot="1"/>
    <row r="3" spans="1:14" s="17" customFormat="1" ht="13.5" thickBot="1">
      <c r="A3" s="261" t="s">
        <v>514</v>
      </c>
      <c r="B3" s="262" t="s">
        <v>513</v>
      </c>
      <c r="C3" s="22" t="s">
        <v>143</v>
      </c>
      <c r="D3" s="23" t="s">
        <v>144</v>
      </c>
      <c r="E3" s="4" t="s">
        <v>284</v>
      </c>
      <c r="F3" s="4" t="s">
        <v>285</v>
      </c>
      <c r="G3" s="4" t="s">
        <v>286</v>
      </c>
      <c r="H3" s="4" t="s">
        <v>287</v>
      </c>
      <c r="I3" s="5" t="s">
        <v>288</v>
      </c>
      <c r="J3" s="234" t="s">
        <v>290</v>
      </c>
      <c r="K3" s="47" t="s">
        <v>289</v>
      </c>
      <c r="L3" s="77" t="s">
        <v>291</v>
      </c>
      <c r="M3" s="78" t="s">
        <v>292</v>
      </c>
      <c r="N3" s="79" t="s">
        <v>293</v>
      </c>
    </row>
    <row r="4" spans="1:14" s="17" customFormat="1" ht="13.5" collapsed="1" thickBot="1">
      <c r="A4" s="268">
        <v>35</v>
      </c>
      <c r="B4" s="263"/>
      <c r="C4" s="241" t="s">
        <v>224</v>
      </c>
      <c r="D4" s="30" t="s">
        <v>225</v>
      </c>
      <c r="E4" s="6">
        <v>1</v>
      </c>
      <c r="F4" s="7"/>
      <c r="G4" s="7"/>
      <c r="H4" s="7"/>
      <c r="I4" s="30"/>
      <c r="J4" s="235">
        <f>K4*Svodka!$J$1</f>
        <v>600000</v>
      </c>
      <c r="K4" s="64">
        <v>60</v>
      </c>
      <c r="L4" s="93"/>
      <c r="M4" s="94"/>
      <c r="N4" s="95"/>
    </row>
    <row r="5" spans="1:14" s="19" customFormat="1" ht="39" hidden="1" outlineLevel="1">
      <c r="A5" s="53"/>
      <c r="B5" s="54">
        <v>31</v>
      </c>
      <c r="C5" s="242" t="s">
        <v>200</v>
      </c>
      <c r="D5" s="31" t="s">
        <v>201</v>
      </c>
      <c r="E5" s="8"/>
      <c r="F5" s="9"/>
      <c r="G5" s="9"/>
      <c r="H5" s="9"/>
      <c r="I5" s="31"/>
      <c r="J5" s="270">
        <f>K5*Svodka!$J$1</f>
        <v>35000</v>
      </c>
      <c r="K5" s="83">
        <v>3.5</v>
      </c>
      <c r="L5" s="89"/>
      <c r="M5" s="96"/>
      <c r="N5" s="97"/>
    </row>
    <row r="6" spans="1:14" s="19" customFormat="1" ht="26.25" hidden="1" outlineLevel="1">
      <c r="A6" s="49"/>
      <c r="B6" s="50">
        <v>12</v>
      </c>
      <c r="C6" s="244" t="s">
        <v>192</v>
      </c>
      <c r="D6" s="33" t="s">
        <v>193</v>
      </c>
      <c r="E6" s="12"/>
      <c r="F6" s="13"/>
      <c r="G6" s="13"/>
      <c r="H6" s="13"/>
      <c r="I6" s="33"/>
      <c r="J6" s="270">
        <f>K6*Svodka!$J$1</f>
        <v>40000</v>
      </c>
      <c r="K6" s="84">
        <v>4</v>
      </c>
      <c r="L6" s="90"/>
      <c r="M6" s="98"/>
      <c r="N6" s="99"/>
    </row>
    <row r="7" spans="1:14" s="19" customFormat="1" ht="26.25" hidden="1" outlineLevel="1">
      <c r="A7" s="49"/>
      <c r="B7" s="50">
        <v>39</v>
      </c>
      <c r="C7" s="244" t="s">
        <v>202</v>
      </c>
      <c r="D7" s="33" t="s">
        <v>223</v>
      </c>
      <c r="E7" s="12"/>
      <c r="F7" s="13"/>
      <c r="G7" s="13"/>
      <c r="H7" s="13"/>
      <c r="I7" s="33"/>
      <c r="J7" s="270">
        <f>K7*Svodka!$J$1</f>
        <v>35000</v>
      </c>
      <c r="K7" s="84">
        <v>3.5</v>
      </c>
      <c r="L7" s="90"/>
      <c r="M7" s="98"/>
      <c r="N7" s="99"/>
    </row>
    <row r="8" spans="1:14" s="19" customFormat="1" ht="27" hidden="1" outlineLevel="1" thickBot="1">
      <c r="A8" s="264"/>
      <c r="B8" s="265">
        <v>2</v>
      </c>
      <c r="C8" s="243" t="s">
        <v>188</v>
      </c>
      <c r="D8" s="32" t="s">
        <v>189</v>
      </c>
      <c r="E8" s="10"/>
      <c r="F8" s="11"/>
      <c r="G8" s="11"/>
      <c r="H8" s="11"/>
      <c r="I8" s="32"/>
      <c r="J8" s="270">
        <f>K8*Svodka!$J$1</f>
        <v>35000</v>
      </c>
      <c r="K8" s="85">
        <v>3.5</v>
      </c>
      <c r="L8" s="91"/>
      <c r="M8" s="100"/>
      <c r="N8" s="101"/>
    </row>
    <row r="9" spans="1:14" s="19" customFormat="1" ht="27" thickBot="1">
      <c r="A9" s="140">
        <v>41</v>
      </c>
      <c r="B9" s="141"/>
      <c r="C9" s="241" t="s">
        <v>228</v>
      </c>
      <c r="D9" s="30" t="s">
        <v>226</v>
      </c>
      <c r="E9" s="6">
        <v>1</v>
      </c>
      <c r="F9" s="7"/>
      <c r="G9" s="7"/>
      <c r="H9" s="7"/>
      <c r="I9" s="30"/>
      <c r="J9" s="235">
        <f>K9*Svodka!$J$1</f>
        <v>800000</v>
      </c>
      <c r="K9" s="67">
        <v>80</v>
      </c>
      <c r="L9" s="102"/>
      <c r="M9" s="103"/>
      <c r="N9" s="104"/>
    </row>
    <row r="10" spans="1:14" s="19" customFormat="1" ht="13.5" collapsed="1" thickBot="1">
      <c r="A10" s="140"/>
      <c r="B10" s="141"/>
      <c r="C10" s="241" t="s">
        <v>142</v>
      </c>
      <c r="D10" s="30"/>
      <c r="E10" s="6"/>
      <c r="F10" s="7"/>
      <c r="G10" s="7"/>
      <c r="H10" s="7"/>
      <c r="I10" s="30"/>
      <c r="J10" s="237"/>
      <c r="K10" s="67"/>
      <c r="L10" s="102"/>
      <c r="M10" s="103"/>
      <c r="N10" s="104"/>
    </row>
    <row r="11" spans="1:14" s="19" customFormat="1" ht="39" hidden="1" outlineLevel="1">
      <c r="A11" s="53"/>
      <c r="B11" s="54">
        <v>22</v>
      </c>
      <c r="C11" s="242" t="s">
        <v>105</v>
      </c>
      <c r="D11" s="31" t="s">
        <v>106</v>
      </c>
      <c r="E11" s="8"/>
      <c r="F11" s="9"/>
      <c r="G11" s="9"/>
      <c r="H11" s="9"/>
      <c r="I11" s="31"/>
      <c r="J11" s="270">
        <f>K11*Svodka!$J$1</f>
        <v>160000</v>
      </c>
      <c r="K11" s="74">
        <f>16</f>
        <v>16</v>
      </c>
      <c r="L11" s="53"/>
      <c r="M11" s="55"/>
      <c r="N11" s="54"/>
    </row>
    <row r="12" spans="1:14" s="19" customFormat="1" ht="26.25" hidden="1" outlineLevel="1">
      <c r="A12" s="49"/>
      <c r="B12" s="50">
        <v>13</v>
      </c>
      <c r="C12" s="244" t="s">
        <v>59</v>
      </c>
      <c r="D12" s="33" t="s">
        <v>60</v>
      </c>
      <c r="E12" s="12"/>
      <c r="F12" s="13"/>
      <c r="G12" s="13"/>
      <c r="H12" s="13"/>
      <c r="I12" s="33"/>
      <c r="J12" s="270">
        <f>K12*Svodka!$J$1</f>
        <v>160000</v>
      </c>
      <c r="K12" s="75">
        <f>16</f>
        <v>16</v>
      </c>
      <c r="L12" s="49"/>
      <c r="M12" s="48"/>
      <c r="N12" s="50"/>
    </row>
    <row r="13" spans="1:14" s="19" customFormat="1" ht="12.75" hidden="1" outlineLevel="1">
      <c r="A13" s="49"/>
      <c r="B13" s="50">
        <v>25</v>
      </c>
      <c r="C13" s="244" t="s">
        <v>109</v>
      </c>
      <c r="D13" s="33" t="s">
        <v>110</v>
      </c>
      <c r="E13" s="12"/>
      <c r="F13" s="13"/>
      <c r="G13" s="13"/>
      <c r="H13" s="13"/>
      <c r="I13" s="33"/>
      <c r="J13" s="270">
        <f>K13*Svodka!$J$1</f>
        <v>35000</v>
      </c>
      <c r="K13" s="75">
        <f>3.5</f>
        <v>3.5</v>
      </c>
      <c r="L13" s="49"/>
      <c r="M13" s="48"/>
      <c r="N13" s="50"/>
    </row>
    <row r="14" spans="1:14" s="19" customFormat="1" ht="12.75" hidden="1" outlineLevel="1">
      <c r="A14" s="49"/>
      <c r="B14" s="50">
        <v>31</v>
      </c>
      <c r="C14" s="244" t="s">
        <v>124</v>
      </c>
      <c r="D14" s="33" t="s">
        <v>125</v>
      </c>
      <c r="E14" s="12"/>
      <c r="F14" s="13"/>
      <c r="G14" s="13"/>
      <c r="H14" s="13"/>
      <c r="I14" s="33"/>
      <c r="J14" s="270">
        <f>K14*Svodka!$J$1</f>
        <v>35000</v>
      </c>
      <c r="K14" s="75">
        <f>3.5</f>
        <v>3.5</v>
      </c>
      <c r="L14" s="49"/>
      <c r="M14" s="48"/>
      <c r="N14" s="50"/>
    </row>
    <row r="15" spans="1:14" s="19" customFormat="1" ht="52.5" hidden="1" outlineLevel="1">
      <c r="A15" s="49"/>
      <c r="B15" s="50">
        <v>15</v>
      </c>
      <c r="C15" s="244" t="s">
        <v>255</v>
      </c>
      <c r="D15" s="33" t="s">
        <v>63</v>
      </c>
      <c r="E15" s="12"/>
      <c r="F15" s="13"/>
      <c r="G15" s="13"/>
      <c r="H15" s="13"/>
      <c r="I15" s="33"/>
      <c r="J15" s="270">
        <f>K15*Svodka!$J$1</f>
        <v>35000</v>
      </c>
      <c r="K15" s="75">
        <f>3.5</f>
        <v>3.5</v>
      </c>
      <c r="L15" s="49"/>
      <c r="M15" s="48"/>
      <c r="N15" s="50"/>
    </row>
    <row r="16" spans="1:14" s="19" customFormat="1" ht="12.75" hidden="1" outlineLevel="1">
      <c r="A16" s="49"/>
      <c r="B16" s="50">
        <v>8</v>
      </c>
      <c r="C16" s="244" t="s">
        <v>115</v>
      </c>
      <c r="D16" s="33" t="s">
        <v>116</v>
      </c>
      <c r="E16" s="12"/>
      <c r="F16" s="13"/>
      <c r="G16" s="13"/>
      <c r="H16" s="13"/>
      <c r="I16" s="33"/>
      <c r="J16" s="270">
        <f>K16*Svodka!$J$1</f>
        <v>35000</v>
      </c>
      <c r="K16" s="75">
        <f>3.5</f>
        <v>3.5</v>
      </c>
      <c r="L16" s="49"/>
      <c r="M16" s="48"/>
      <c r="N16" s="50"/>
    </row>
    <row r="17" spans="1:14" s="19" customFormat="1" ht="26.25" hidden="1" outlineLevel="1">
      <c r="A17" s="49"/>
      <c r="B17" s="50">
        <v>1</v>
      </c>
      <c r="C17" s="244" t="s">
        <v>605</v>
      </c>
      <c r="D17" s="33" t="s">
        <v>0</v>
      </c>
      <c r="E17" s="12"/>
      <c r="F17" s="13"/>
      <c r="G17" s="13"/>
      <c r="H17" s="13"/>
      <c r="I17" s="33"/>
      <c r="J17" s="270">
        <f>K17*Svodka!$J$1</f>
        <v>35000</v>
      </c>
      <c r="K17" s="75">
        <v>3.5</v>
      </c>
      <c r="L17" s="49"/>
      <c r="M17" s="48"/>
      <c r="N17" s="50"/>
    </row>
    <row r="18" spans="1:14" s="19" customFormat="1" ht="39" hidden="1" outlineLevel="1">
      <c r="A18" s="49"/>
      <c r="B18" s="50">
        <v>15</v>
      </c>
      <c r="C18" s="244" t="s">
        <v>122</v>
      </c>
      <c r="D18" s="33" t="s">
        <v>123</v>
      </c>
      <c r="E18" s="12"/>
      <c r="F18" s="13"/>
      <c r="G18" s="13"/>
      <c r="H18" s="13"/>
      <c r="I18" s="33"/>
      <c r="J18" s="270">
        <f>K18*Svodka!$J$1</f>
        <v>160000</v>
      </c>
      <c r="K18" s="75">
        <f>16</f>
        <v>16</v>
      </c>
      <c r="L18" s="49"/>
      <c r="M18" s="48"/>
      <c r="N18" s="50"/>
    </row>
    <row r="19" spans="1:14" s="19" customFormat="1" ht="52.5" hidden="1" outlineLevel="1">
      <c r="A19" s="49"/>
      <c r="B19" s="50">
        <v>16</v>
      </c>
      <c r="C19" s="244" t="s">
        <v>94</v>
      </c>
      <c r="D19" s="33" t="s">
        <v>100</v>
      </c>
      <c r="E19" s="12"/>
      <c r="F19" s="13"/>
      <c r="G19" s="13"/>
      <c r="H19" s="13"/>
      <c r="I19" s="33"/>
      <c r="J19" s="270">
        <f>K19*Svodka!$J$1</f>
        <v>35000</v>
      </c>
      <c r="K19" s="75">
        <f>3.5</f>
        <v>3.5</v>
      </c>
      <c r="L19" s="49"/>
      <c r="M19" s="48"/>
      <c r="N19" s="50"/>
    </row>
    <row r="20" spans="1:14" s="19" customFormat="1" ht="12.75" hidden="1" outlineLevel="1">
      <c r="A20" s="49"/>
      <c r="B20" s="50">
        <v>2</v>
      </c>
      <c r="C20" s="244" t="s">
        <v>29</v>
      </c>
      <c r="D20" s="33" t="s">
        <v>30</v>
      </c>
      <c r="E20" s="12"/>
      <c r="F20" s="13"/>
      <c r="G20" s="13"/>
      <c r="H20" s="13"/>
      <c r="I20" s="33"/>
      <c r="J20" s="270">
        <f>K20*Svodka!$J$1</f>
        <v>35000</v>
      </c>
      <c r="K20" s="75">
        <f>3.5</f>
        <v>3.5</v>
      </c>
      <c r="L20" s="49"/>
      <c r="M20" s="48"/>
      <c r="N20" s="50"/>
    </row>
    <row r="21" spans="1:14" s="19" customFormat="1" ht="26.25" hidden="1" outlineLevel="1">
      <c r="A21" s="49"/>
      <c r="B21" s="50">
        <v>3</v>
      </c>
      <c r="C21" s="244" t="s">
        <v>31</v>
      </c>
      <c r="D21" s="33" t="s">
        <v>32</v>
      </c>
      <c r="E21" s="12"/>
      <c r="F21" s="13"/>
      <c r="G21" s="13"/>
      <c r="H21" s="13"/>
      <c r="I21" s="33"/>
      <c r="J21" s="270">
        <f>K21*Svodka!$J$1</f>
        <v>35000</v>
      </c>
      <c r="K21" s="75">
        <f>3.5</f>
        <v>3.5</v>
      </c>
      <c r="L21" s="49"/>
      <c r="M21" s="48"/>
      <c r="N21" s="50"/>
    </row>
    <row r="22" spans="1:14" s="19" customFormat="1" ht="66" hidden="1" outlineLevel="1">
      <c r="A22" s="49"/>
      <c r="B22" s="50">
        <v>7</v>
      </c>
      <c r="C22" s="244" t="s">
        <v>196</v>
      </c>
      <c r="D22" s="33" t="s">
        <v>197</v>
      </c>
      <c r="E22" s="12"/>
      <c r="F22" s="13"/>
      <c r="G22" s="13"/>
      <c r="H22" s="13"/>
      <c r="I22" s="33"/>
      <c r="J22" s="270">
        <f>K22*Svodka!$J$1</f>
        <v>160000</v>
      </c>
      <c r="K22" s="75">
        <f>16</f>
        <v>16</v>
      </c>
      <c r="L22" s="49"/>
      <c r="M22" s="48"/>
      <c r="N22" s="50"/>
    </row>
    <row r="23" spans="1:14" s="19" customFormat="1" ht="39" hidden="1" outlineLevel="1">
      <c r="A23" s="49"/>
      <c r="B23" s="50">
        <v>13</v>
      </c>
      <c r="C23" s="244" t="s">
        <v>194</v>
      </c>
      <c r="D23" s="33" t="s">
        <v>195</v>
      </c>
      <c r="E23" s="12"/>
      <c r="F23" s="13"/>
      <c r="G23" s="13"/>
      <c r="H23" s="13"/>
      <c r="I23" s="33"/>
      <c r="J23" s="270">
        <f>K23*Svodka!$J$1</f>
        <v>35000</v>
      </c>
      <c r="K23" s="75">
        <f>3.5</f>
        <v>3.5</v>
      </c>
      <c r="L23" s="49"/>
      <c r="M23" s="48"/>
      <c r="N23" s="50"/>
    </row>
    <row r="24" spans="1:14" s="19" customFormat="1" ht="26.25" hidden="1" outlineLevel="1">
      <c r="A24" s="49"/>
      <c r="B24" s="50">
        <v>8</v>
      </c>
      <c r="C24" s="244" t="s">
        <v>190</v>
      </c>
      <c r="D24" s="33" t="s">
        <v>191</v>
      </c>
      <c r="E24" s="12"/>
      <c r="F24" s="13"/>
      <c r="G24" s="13"/>
      <c r="H24" s="13"/>
      <c r="I24" s="33"/>
      <c r="J24" s="270">
        <f>K24*Svodka!$J$1</f>
        <v>35000</v>
      </c>
      <c r="K24" s="75">
        <f>3.5</f>
        <v>3.5</v>
      </c>
      <c r="L24" s="49"/>
      <c r="M24" s="48"/>
      <c r="N24" s="50"/>
    </row>
    <row r="25" spans="1:14" s="19" customFormat="1" ht="26.25" hidden="1" outlineLevel="1">
      <c r="A25" s="49"/>
      <c r="B25" s="50">
        <v>10</v>
      </c>
      <c r="C25" s="244" t="s">
        <v>198</v>
      </c>
      <c r="D25" s="33" t="s">
        <v>199</v>
      </c>
      <c r="E25" s="12"/>
      <c r="F25" s="13"/>
      <c r="G25" s="13"/>
      <c r="H25" s="13"/>
      <c r="I25" s="33"/>
      <c r="J25" s="270">
        <f>K25*Svodka!$J$1</f>
        <v>160000</v>
      </c>
      <c r="K25" s="75">
        <f>16</f>
        <v>16</v>
      </c>
      <c r="L25" s="49"/>
      <c r="M25" s="48"/>
      <c r="N25" s="50"/>
    </row>
    <row r="26" spans="1:14" s="19" customFormat="1" ht="26.25" hidden="1" outlineLevel="1">
      <c r="A26" s="49"/>
      <c r="B26" s="50">
        <v>2</v>
      </c>
      <c r="C26" s="244" t="s">
        <v>183</v>
      </c>
      <c r="D26" s="33" t="s">
        <v>184</v>
      </c>
      <c r="E26" s="12"/>
      <c r="F26" s="13"/>
      <c r="G26" s="13"/>
      <c r="H26" s="13"/>
      <c r="I26" s="33"/>
      <c r="J26" s="270">
        <f>K26*Svodka!$J$1</f>
        <v>35000</v>
      </c>
      <c r="K26" s="75">
        <f>3.5</f>
        <v>3.5</v>
      </c>
      <c r="L26" s="49"/>
      <c r="M26" s="48"/>
      <c r="N26" s="50"/>
    </row>
    <row r="27" spans="1:14" s="19" customFormat="1" ht="12.75" hidden="1" outlineLevel="1">
      <c r="A27" s="49"/>
      <c r="B27" s="50">
        <v>3</v>
      </c>
      <c r="C27" s="244" t="s">
        <v>185</v>
      </c>
      <c r="D27" s="33" t="s">
        <v>187</v>
      </c>
      <c r="E27" s="12"/>
      <c r="F27" s="13"/>
      <c r="G27" s="13"/>
      <c r="H27" s="13"/>
      <c r="I27" s="33"/>
      <c r="J27" s="270">
        <f>K27*Svodka!$J$1</f>
        <v>35000</v>
      </c>
      <c r="K27" s="75">
        <f>3.5</f>
        <v>3.5</v>
      </c>
      <c r="L27" s="49"/>
      <c r="M27" s="48"/>
      <c r="N27" s="50"/>
    </row>
    <row r="28" spans="1:14" s="19" customFormat="1" ht="13.5" hidden="1" outlineLevel="1" thickBot="1">
      <c r="A28" s="51"/>
      <c r="B28" s="52">
        <v>14</v>
      </c>
      <c r="C28" s="245" t="s">
        <v>168</v>
      </c>
      <c r="D28" s="34" t="s">
        <v>169</v>
      </c>
      <c r="E28" s="14"/>
      <c r="F28" s="15"/>
      <c r="G28" s="15"/>
      <c r="H28" s="15"/>
      <c r="I28" s="34"/>
      <c r="J28" s="271">
        <f>K28*Svodka!$J$1</f>
        <v>35000</v>
      </c>
      <c r="K28" s="76">
        <f>3.5</f>
        <v>3.5</v>
      </c>
      <c r="L28" s="51"/>
      <c r="M28" s="80"/>
      <c r="N28" s="52"/>
    </row>
    <row r="29" spans="3:14" s="19" customFormat="1" ht="12.75">
      <c r="C29" s="18" t="s">
        <v>294</v>
      </c>
      <c r="D29" s="18"/>
      <c r="E29" s="18"/>
      <c r="F29" s="18"/>
      <c r="G29" s="18"/>
      <c r="H29" s="18"/>
      <c r="I29" s="18"/>
      <c r="J29" s="351">
        <f>J4+J9</f>
        <v>1400000</v>
      </c>
      <c r="L29" s="19">
        <f>SUM(L4:L10)</f>
        <v>0</v>
      </c>
      <c r="M29" s="19">
        <f>SUM(M4:M10)</f>
        <v>0</v>
      </c>
      <c r="N29" s="19">
        <f>SUM(N4:N10)</f>
        <v>0</v>
      </c>
    </row>
    <row r="30" spans="3:10" s="19" customFormat="1" ht="12.75">
      <c r="C30" s="18"/>
      <c r="D30" s="18"/>
      <c r="E30" s="18"/>
      <c r="F30" s="18"/>
      <c r="G30" s="18"/>
      <c r="H30" s="18"/>
      <c r="I30" s="18"/>
      <c r="J30" s="272">
        <f>SUM(J4:J28)-J4-J9</f>
        <v>1400000</v>
      </c>
    </row>
    <row r="31" spans="3:10" s="19" customFormat="1" ht="12.75">
      <c r="C31" s="18"/>
      <c r="D31" s="18"/>
      <c r="E31" s="18"/>
      <c r="F31" s="18"/>
      <c r="G31" s="18"/>
      <c r="H31" s="18"/>
      <c r="I31" s="18"/>
      <c r="J31" s="272"/>
    </row>
    <row r="32" spans="3:10" s="19" customFormat="1" ht="12.75">
      <c r="C32" s="18"/>
      <c r="D32" s="18"/>
      <c r="E32" s="18"/>
      <c r="F32" s="18"/>
      <c r="G32" s="18"/>
      <c r="H32" s="18"/>
      <c r="I32" s="18"/>
      <c r="J32" s="272"/>
    </row>
    <row r="33" spans="3:10" s="19" customFormat="1" ht="12.75">
      <c r="C33" s="18"/>
      <c r="D33" s="18"/>
      <c r="E33" s="18"/>
      <c r="F33" s="18"/>
      <c r="G33" s="18"/>
      <c r="H33" s="18"/>
      <c r="I33" s="18"/>
      <c r="J33" s="272"/>
    </row>
    <row r="34" spans="3:10" s="19" customFormat="1" ht="12.75">
      <c r="C34" s="18"/>
      <c r="D34" s="18"/>
      <c r="E34" s="18"/>
      <c r="F34" s="18"/>
      <c r="G34" s="18"/>
      <c r="H34" s="18"/>
      <c r="I34" s="18"/>
      <c r="J34" s="272"/>
    </row>
    <row r="35" spans="3:10" s="19" customFormat="1" ht="12.75">
      <c r="C35" s="18"/>
      <c r="D35" s="18"/>
      <c r="E35" s="18"/>
      <c r="F35" s="18"/>
      <c r="G35" s="18"/>
      <c r="H35" s="18"/>
      <c r="I35" s="18"/>
      <c r="J35" s="272"/>
    </row>
    <row r="36" spans="3:10" s="19" customFormat="1" ht="12.75">
      <c r="C36" s="18"/>
      <c r="D36" s="18"/>
      <c r="E36" s="18"/>
      <c r="F36" s="18"/>
      <c r="G36" s="18"/>
      <c r="H36" s="18"/>
      <c r="I36" s="18"/>
      <c r="J36" s="272"/>
    </row>
    <row r="37" spans="3:10" s="19" customFormat="1" ht="12.75">
      <c r="C37" s="18"/>
      <c r="D37" s="18"/>
      <c r="E37" s="18"/>
      <c r="F37" s="18"/>
      <c r="G37" s="18"/>
      <c r="H37" s="18"/>
      <c r="I37" s="18"/>
      <c r="J37" s="272"/>
    </row>
    <row r="38" spans="3:10" s="19" customFormat="1" ht="12.75">
      <c r="C38" s="18"/>
      <c r="D38" s="18"/>
      <c r="E38" s="18"/>
      <c r="F38" s="18"/>
      <c r="G38" s="18"/>
      <c r="H38" s="18"/>
      <c r="I38" s="18"/>
      <c r="J38" s="272"/>
    </row>
    <row r="39" spans="3:10" s="19" customFormat="1" ht="12.75">
      <c r="C39" s="18"/>
      <c r="D39" s="18"/>
      <c r="E39" s="18"/>
      <c r="F39" s="18"/>
      <c r="G39" s="18"/>
      <c r="H39" s="18"/>
      <c r="I39" s="18"/>
      <c r="J39" s="272"/>
    </row>
    <row r="40" spans="3:10" s="19" customFormat="1" ht="12.75">
      <c r="C40" s="18"/>
      <c r="D40" s="18"/>
      <c r="E40" s="18"/>
      <c r="F40" s="18"/>
      <c r="G40" s="18"/>
      <c r="H40" s="18"/>
      <c r="I40" s="18"/>
      <c r="J40" s="272"/>
    </row>
    <row r="41" spans="3:10" s="19" customFormat="1" ht="12.75">
      <c r="C41" s="18"/>
      <c r="D41" s="18"/>
      <c r="E41" s="18"/>
      <c r="F41" s="18"/>
      <c r="G41" s="18"/>
      <c r="H41" s="18" t="s">
        <v>227</v>
      </c>
      <c r="I41" s="18"/>
      <c r="J41" s="272"/>
    </row>
    <row r="42" spans="3:10" s="19" customFormat="1" ht="12.75">
      <c r="C42" s="18"/>
      <c r="D42" s="18"/>
      <c r="E42" s="18"/>
      <c r="F42" s="18"/>
      <c r="G42" s="18"/>
      <c r="H42" s="18"/>
      <c r="I42" s="18"/>
      <c r="J42" s="272"/>
    </row>
    <row r="43" spans="3:10" s="19" customFormat="1" ht="12.75">
      <c r="C43" s="18"/>
      <c r="D43" s="18"/>
      <c r="E43" s="18"/>
      <c r="F43" s="18"/>
      <c r="G43" s="18"/>
      <c r="H43" s="18"/>
      <c r="I43" s="18"/>
      <c r="J43" s="272"/>
    </row>
    <row r="44" spans="3:10" s="19" customFormat="1" ht="12.75">
      <c r="C44" s="18"/>
      <c r="D44" s="18"/>
      <c r="E44" s="18"/>
      <c r="F44" s="18"/>
      <c r="G44" s="18"/>
      <c r="H44" s="18"/>
      <c r="I44" s="18"/>
      <c r="J44" s="272"/>
    </row>
    <row r="45" spans="3:10" s="19" customFormat="1" ht="12.75">
      <c r="C45" s="18"/>
      <c r="D45" s="18"/>
      <c r="E45" s="18"/>
      <c r="F45" s="18"/>
      <c r="G45" s="18"/>
      <c r="H45" s="18"/>
      <c r="I45" s="18"/>
      <c r="J45" s="272"/>
    </row>
    <row r="46" spans="3:10" s="19" customFormat="1" ht="12.75">
      <c r="C46" s="18"/>
      <c r="D46" s="18"/>
      <c r="E46" s="18"/>
      <c r="F46" s="18"/>
      <c r="G46" s="18"/>
      <c r="H46" s="18"/>
      <c r="I46" s="18"/>
      <c r="J46" s="272"/>
    </row>
    <row r="47" spans="3:10" s="19" customFormat="1" ht="12.75">
      <c r="C47" s="18"/>
      <c r="D47" s="18"/>
      <c r="E47" s="18"/>
      <c r="F47" s="18"/>
      <c r="G47" s="18"/>
      <c r="H47" s="18"/>
      <c r="I47" s="18"/>
      <c r="J47" s="272"/>
    </row>
    <row r="48" spans="3:10" s="19" customFormat="1" ht="12.75">
      <c r="C48" s="18"/>
      <c r="D48" s="18"/>
      <c r="E48" s="18"/>
      <c r="F48" s="18"/>
      <c r="G48" s="18"/>
      <c r="H48" s="18"/>
      <c r="I48" s="18"/>
      <c r="J48" s="272"/>
    </row>
    <row r="49" spans="3:10" s="19" customFormat="1" ht="12.75">
      <c r="C49" s="18"/>
      <c r="D49" s="18"/>
      <c r="E49" s="18"/>
      <c r="F49" s="18"/>
      <c r="G49" s="18"/>
      <c r="H49" s="18"/>
      <c r="I49" s="18"/>
      <c r="J49" s="272"/>
    </row>
    <row r="50" spans="3:10" s="19" customFormat="1" ht="12.75">
      <c r="C50" s="18"/>
      <c r="D50" s="18"/>
      <c r="E50" s="18"/>
      <c r="F50" s="18"/>
      <c r="G50" s="18"/>
      <c r="H50" s="18"/>
      <c r="I50" s="18"/>
      <c r="J50" s="272"/>
    </row>
    <row r="51" spans="3:10" s="19" customFormat="1" ht="12.75">
      <c r="C51" s="18"/>
      <c r="D51" s="18"/>
      <c r="E51" s="18"/>
      <c r="F51" s="18"/>
      <c r="G51" s="18"/>
      <c r="H51" s="18"/>
      <c r="I51" s="18"/>
      <c r="J51" s="272"/>
    </row>
    <row r="52" spans="3:10" s="19" customFormat="1" ht="12.75">
      <c r="C52" s="18"/>
      <c r="D52" s="18"/>
      <c r="E52" s="18"/>
      <c r="F52" s="18"/>
      <c r="G52" s="18"/>
      <c r="H52" s="18"/>
      <c r="I52" s="18"/>
      <c r="J52" s="272"/>
    </row>
    <row r="53" spans="3:10" s="19" customFormat="1" ht="12.75">
      <c r="C53" s="18"/>
      <c r="D53" s="18"/>
      <c r="E53" s="18"/>
      <c r="F53" s="18"/>
      <c r="G53" s="18"/>
      <c r="H53" s="18"/>
      <c r="I53" s="18"/>
      <c r="J53" s="272"/>
    </row>
    <row r="54" spans="3:10" s="19" customFormat="1" ht="12.75">
      <c r="C54" s="18"/>
      <c r="D54" s="18"/>
      <c r="E54" s="18"/>
      <c r="F54" s="18"/>
      <c r="G54" s="18"/>
      <c r="H54" s="18"/>
      <c r="I54" s="18"/>
      <c r="J54" s="272"/>
    </row>
    <row r="55" spans="3:10" s="19" customFormat="1" ht="12.75">
      <c r="C55" s="18"/>
      <c r="D55" s="18"/>
      <c r="E55" s="18"/>
      <c r="F55" s="18"/>
      <c r="G55" s="18"/>
      <c r="H55" s="18"/>
      <c r="I55" s="18"/>
      <c r="J55" s="272"/>
    </row>
    <row r="56" spans="3:10" s="19" customFormat="1" ht="12.75">
      <c r="C56" s="18"/>
      <c r="D56" s="18"/>
      <c r="E56" s="18"/>
      <c r="F56" s="18"/>
      <c r="G56" s="18"/>
      <c r="H56" s="18"/>
      <c r="I56" s="18"/>
      <c r="J56" s="272"/>
    </row>
    <row r="57" spans="3:10" s="19" customFormat="1" ht="12.75">
      <c r="C57" s="18"/>
      <c r="D57" s="18"/>
      <c r="E57" s="18"/>
      <c r="F57" s="18"/>
      <c r="G57" s="18"/>
      <c r="H57" s="18"/>
      <c r="I57" s="18"/>
      <c r="J57" s="272"/>
    </row>
    <row r="58" spans="3:10" s="19" customFormat="1" ht="12.75">
      <c r="C58" s="18"/>
      <c r="D58" s="18"/>
      <c r="E58" s="18"/>
      <c r="F58" s="18"/>
      <c r="G58" s="18"/>
      <c r="H58" s="18"/>
      <c r="I58" s="18"/>
      <c r="J58" s="272"/>
    </row>
    <row r="59" spans="3:10" s="19" customFormat="1" ht="12.75">
      <c r="C59" s="18"/>
      <c r="D59" s="18"/>
      <c r="E59" s="18"/>
      <c r="F59" s="18"/>
      <c r="G59" s="18"/>
      <c r="H59" s="18"/>
      <c r="I59" s="18"/>
      <c r="J59" s="272"/>
    </row>
    <row r="60" spans="3:10" s="19" customFormat="1" ht="12.75">
      <c r="C60" s="18"/>
      <c r="D60" s="18"/>
      <c r="E60" s="18"/>
      <c r="F60" s="18"/>
      <c r="G60" s="18"/>
      <c r="H60" s="18"/>
      <c r="I60" s="18"/>
      <c r="J60" s="272"/>
    </row>
    <row r="61" spans="3:10" s="19" customFormat="1" ht="12.75">
      <c r="C61" s="18"/>
      <c r="D61" s="18"/>
      <c r="E61" s="18"/>
      <c r="F61" s="18"/>
      <c r="G61" s="18"/>
      <c r="H61" s="18"/>
      <c r="I61" s="18"/>
      <c r="J61" s="272"/>
    </row>
    <row r="62" spans="3:10" s="19" customFormat="1" ht="12.75">
      <c r="C62" s="18"/>
      <c r="D62" s="18"/>
      <c r="E62" s="18"/>
      <c r="F62" s="18"/>
      <c r="G62" s="18"/>
      <c r="H62" s="18"/>
      <c r="I62" s="18"/>
      <c r="J62" s="272"/>
    </row>
  </sheetData>
  <printOptions horizontalCentered="1"/>
  <pageMargins left="0.38" right="0.31"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2007-12-27T17:45:48Z</cp:lastPrinted>
  <dcterms:created xsi:type="dcterms:W3CDTF">2007-12-15T20:32:14Z</dcterms:created>
  <dcterms:modified xsi:type="dcterms:W3CDTF">2008-01-18T19:16:55Z</dcterms:modified>
  <cp:category/>
  <cp:version/>
  <cp:contentType/>
  <cp:contentStatus/>
</cp:coreProperties>
</file>