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Kryci_list" sheetId="1" r:id="rId1"/>
    <sheet name="Položky" sheetId="2" r:id="rId2"/>
  </sheets>
  <definedNames>
    <definedName name="_xlnm.Print_Titles" localSheetId="1">'Položky'!$4:$6</definedName>
  </definedNames>
  <calcPr fullCalcOnLoad="1"/>
</workbook>
</file>

<file path=xl/sharedStrings.xml><?xml version="1.0" encoding="utf-8"?>
<sst xmlns="http://schemas.openxmlformats.org/spreadsheetml/2006/main" count="482" uniqueCount="197">
  <si>
    <t>Stavba :</t>
  </si>
  <si>
    <t>číslo a název rozpočtu:</t>
  </si>
  <si>
    <t>Název položky</t>
  </si>
  <si>
    <t>jednotka</t>
  </si>
  <si>
    <t>CENA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</si>
  <si>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</si>
  <si>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</si>
  <si>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</si>
  <si>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</si>
  <si>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</si>
  <si>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</si>
  <si>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</si>
  <si>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</si>
  <si>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</si>
  <si>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 xml:space="preserve">T         </t>
  </si>
  <si>
    <t>Položkový rozpočet</t>
  </si>
  <si>
    <t xml:space="preserve">M2        </t>
  </si>
  <si>
    <t>Komunikace</t>
  </si>
  <si>
    <t>Název stavby:</t>
  </si>
  <si>
    <t>Část:</t>
  </si>
  <si>
    <t>Zakázka:</t>
  </si>
  <si>
    <t>Umístění:</t>
  </si>
  <si>
    <t>Stav. objekt č:</t>
  </si>
  <si>
    <t>Investor:</t>
  </si>
  <si>
    <t>Č. rozpočtu:</t>
  </si>
  <si>
    <t>Objednal:</t>
  </si>
  <si>
    <t>Č. dodatku:</t>
  </si>
  <si>
    <t>Zhotovitel:</t>
  </si>
  <si>
    <t>Krajská správa a údržba silnic Vysočiny, příspěvková organizace</t>
  </si>
  <si>
    <t>Archivní číslo:</t>
  </si>
  <si>
    <t>Zpracoval:</t>
  </si>
  <si>
    <t>Ing. Pavel Viktora</t>
  </si>
  <si>
    <t>Datum: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</si>
  <si>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</si>
  <si>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</si>
  <si>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</si>
  <si>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</si>
  <si>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</si>
  <si>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</si>
  <si>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</si>
  <si>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</si>
  <si>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</si>
  <si>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</si>
  <si>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</si>
  <si>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SO01</t>
  </si>
  <si>
    <t>Dne: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</si>
  <si>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</si>
  <si>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</si>
  <si>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</si>
  <si>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</si>
  <si>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</si>
  <si>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</si>
  <si>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</si>
  <si>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</si>
  <si>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</si>
  <si>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</si>
  <si>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</si>
  <si>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Razítko:</t>
  </si>
  <si>
    <t>Celkové naklady (Rozpočet +Ostatní) vč. DPH</t>
  </si>
  <si>
    <t>Účelové měrné jednotky (bez DPH)</t>
  </si>
  <si>
    <t>Název MJ</t>
  </si>
  <si>
    <t>Počet MJ</t>
  </si>
  <si>
    <t>Náklady/MJ</t>
  </si>
  <si>
    <t>Celkem s 21% DPH</t>
  </si>
  <si>
    <t>DPH 21%</t>
  </si>
  <si>
    <t>Počet jednotek</t>
  </si>
  <si>
    <t>Kód položky</t>
  </si>
  <si>
    <t>Poř. č. pol.</t>
  </si>
  <si>
    <t>Zemní práce</t>
  </si>
  <si>
    <t xml:space="preserve">Přesun hmot HSV                                                                                                                                       </t>
  </si>
  <si>
    <t>Pozn.:</t>
  </si>
  <si>
    <t>Fakturováno bude skutečně provedené množství prací dle jednotkových cen.</t>
  </si>
  <si>
    <t>Cenová nabídka k provedení prací</t>
  </si>
  <si>
    <t>99</t>
  </si>
  <si>
    <t>Objednatel nepožaduje provedení zatěžovacích zkoušek. Předpoklad 4.500,- za statickou zatěžovací zkoušku kruhovou deskou.</t>
  </si>
  <si>
    <t>Zhotovitel neručí za podkladní vrstvy komunikace a jejich únosnost a následně za vady krytu (obrusné vsrtvy) těmito vrstvami způsobené.</t>
  </si>
  <si>
    <t>113106123</t>
  </si>
  <si>
    <t>Rozebrání dlažeb nebo dílců komunikací pro pěší ze zámkových dlaždic
Rozebrání stávajícíc dlažby</t>
  </si>
  <si>
    <t>113204111</t>
  </si>
  <si>
    <t>Vytrhání obrub záhonových
Odstranění stávajících záhonových obrubníků</t>
  </si>
  <si>
    <t xml:space="preserve">M         </t>
  </si>
  <si>
    <t>131201101</t>
  </si>
  <si>
    <t>Hloubení jam nezapažených v hornině tř. 3 objemu do 100 m3
Výkop vsakovací jámy, 2x2x1,5m</t>
  </si>
  <si>
    <t xml:space="preserve">M3        </t>
  </si>
  <si>
    <t>132201101</t>
  </si>
  <si>
    <t>Hloubení rýh š do 600 mm v hornině tř. 3 objemu do 100 m3
Prohloubení rýhy pro osazení nových obrubníků</t>
  </si>
  <si>
    <t>Hloubení rýh š do 600 mm v hornině tř. 3 objemu do 100 m3
Hloubení rýhy pro osazení odvodňovacích žlabů</t>
  </si>
  <si>
    <t>Hloubení rýh š do 600 mm v hornině tř. 3 objemu do 100 m3
Rýhy pro osazení nopové folie podél budovy jídelny</t>
  </si>
  <si>
    <t>Hloubení rýh š do 600 mm v hornině tř. 3 objemu do 100 m3
Rýhy pro osazení palisád</t>
  </si>
  <si>
    <t>162601102</t>
  </si>
  <si>
    <t>Vodorovné přemístění do 5000 m výkopku z horniny tř. 1 až 4
Doprava výkopku obrubníky na skládku - TS HB</t>
  </si>
  <si>
    <t>Vodorovné přemístění do 5000 m výkopku z horniny tř. 1 až 4
Doprava výkopku nopová folie na skládku - TS HB</t>
  </si>
  <si>
    <t>Vodorovné přemístění do 5000 m výkopku z horniny tř. 1 až 4
Přeprava výkopku na skládku TS HB - vsakovací jímka</t>
  </si>
  <si>
    <t>167101101</t>
  </si>
  <si>
    <t>Nakládání výkopku z hornin tř. 1 až 4 do 100 m3
Nakládka výkopku na dopr. prostředky - rýhy pro obrubníky</t>
  </si>
  <si>
    <t>Nakládání výkopku z hornin tř. 1 až 4 do 100 m3
Nakládka výkopku na dopr. prostředky - nopová folie</t>
  </si>
  <si>
    <t>Nakládání výkopku z hornin tř. 1 až 4 do 100 m3
Nakládka výkopku na dopr. prostředky - vsakovací jímka</t>
  </si>
  <si>
    <t>174101101</t>
  </si>
  <si>
    <t>Zásyp jam, šachet rýh nebo kolem objektů sypaninou se zhutněním
Zásyp rýh pro nopovou folii, ŠD 11/22</t>
  </si>
  <si>
    <t>Zásyp jam, šachet rýh nebo kolem objektů sypaninou se zhutněním
Zásyp palisád vykopanou zeminou</t>
  </si>
  <si>
    <t>Zásyp jam, šachet rýh nebo kolem objektů sypaninou se zhutněním
Zásyp vsakovací jímky ŠD 16/32 - retenční prostor</t>
  </si>
  <si>
    <t>180402111</t>
  </si>
  <si>
    <t>Založení parkového trávníku výsevem v rovině a ve svahu do 1:5
Osetí ploch travním semenem</t>
  </si>
  <si>
    <t>181102302</t>
  </si>
  <si>
    <t>Úprava pláně v zářezech se zhutněním
Ruční začištění a vyrovnání plochy pod obrubníky vč. přehutnění vibr. deskou</t>
  </si>
  <si>
    <t>Úprava pláně v zářezech se zhutněním
Úprava a přerovnání stáv. podkladních vrstev drtě pod zámkovou dlažbou, vč. zhutnění</t>
  </si>
  <si>
    <t>181301102</t>
  </si>
  <si>
    <t>Rozprostření ornice pl do 500 m2 v rovině nebo ve svahu do 1:5 tl vrstvy do 150 mm
Doplnění (dosypání) ornice podél obrubníků, palisády, svahové úpravy, apod.</t>
  </si>
  <si>
    <t>Rozprostření ornice pl do 500 m2 v rovině nebo ve svahu do 1:5 tl vrstvy do 150 mm
Doplnění ornice - výkop vsakovací jímky</t>
  </si>
  <si>
    <t>Svislé konstrukce</t>
  </si>
  <si>
    <t>332000001</t>
  </si>
  <si>
    <t>DOD. palisáda betonová pr. 20cm
Palisáda betonová pr. 20cm, dl. 1,0m, barva přírodní šedá</t>
  </si>
  <si>
    <t xml:space="preserve">KUS       </t>
  </si>
  <si>
    <t>332311114</t>
  </si>
  <si>
    <t>Osazování palisád betonových jednotl zabeton oblých délky prvku 1 000 mm
Osazení palisády do bet. lože CP20, dl. cca 1,0m</t>
  </si>
  <si>
    <t>Vodorovné konstrukce</t>
  </si>
  <si>
    <t>457971111</t>
  </si>
  <si>
    <t>Zřízení vrstvy z geotextilie
Geotextilie - vsakovací jímka, min. 300g/m2</t>
  </si>
  <si>
    <t>564811111</t>
  </si>
  <si>
    <t>Podklad ze štěrkodrtě ŠD tl 50 mm
Doplnění vrsty ŠD 4/8 (kladecí vrstva), vyrovnání stáv. nerovností, přespádování, apod., 560% plochy</t>
  </si>
  <si>
    <t>564831111</t>
  </si>
  <si>
    <t>Podklad ze štěrkodrtě ŠD tl 100 mm
Nová podkladní vrstvy ŠD 0/32 pod obrubníky</t>
  </si>
  <si>
    <t>596000001</t>
  </si>
  <si>
    <t>DOD. dlažba zámková pro pěší
Dlažba zámková tl. 60mm, 10% prořez</t>
  </si>
  <si>
    <t>596211133</t>
  </si>
  <si>
    <t>Kladení zámkové dlažby komunikací pro pěší tl 60 mm skupiny C pl nad 300 m2
Pokládka zámkové dlažby</t>
  </si>
  <si>
    <t>Úpravy povrchů, podlahy, výplně otvorů</t>
  </si>
  <si>
    <t>627471212</t>
  </si>
  <si>
    <t>Reprofilace podlah sanačními maltami 1 vrstva tl 20 mm
Reprofilace (oprava) betonových konstrukcí akglických dvorků, spec. chemické malty</t>
  </si>
  <si>
    <t>711</t>
  </si>
  <si>
    <t xml:space="preserve">Izolace proti vodě                                                                                                                                    </t>
  </si>
  <si>
    <t>711132210</t>
  </si>
  <si>
    <t>Izolace proti zemní vlhkosti na svislé ploše na sucho pásy
DOD. + MTŽ. nopová folie, kotvení, vč. ukončovací lišty</t>
  </si>
  <si>
    <t>712</t>
  </si>
  <si>
    <t xml:space="preserve">Povlakové krytiny                                                                                                                                     </t>
  </si>
  <si>
    <t>712363005</t>
  </si>
  <si>
    <t>Oprava střechy nad vstupem do jídelny
Oprava hydroizolace a odvodnění, provodení zaústění do odvodňovacích žlabů</t>
  </si>
  <si>
    <t xml:space="preserve">SOUBOR    </t>
  </si>
  <si>
    <t>773</t>
  </si>
  <si>
    <t xml:space="preserve">Podlahy teracové                                                                                                                                      </t>
  </si>
  <si>
    <t>773200940</t>
  </si>
  <si>
    <t>Opravy obkladů schodišť z kamenných obkladů poškozených hran stupňů nebo schodnic
Oprava schodiště (2x rameno z parkoviště + 1x rameno od jídelny směr k bývalé pohotovosti)</t>
  </si>
  <si>
    <t>783</t>
  </si>
  <si>
    <t xml:space="preserve">Nátěry                                                                                                                                                </t>
  </si>
  <si>
    <t>783121112</t>
  </si>
  <si>
    <t>Nátěry syntetické OK těžkých "A" barva dražší lesklý povrch 1x antikorozní, 1x základní, 2x email
Nátěr ocelových roštů anglických dvorků, očištění stáv. rzi</t>
  </si>
  <si>
    <t>8</t>
  </si>
  <si>
    <t xml:space="preserve">Potrubí    </t>
  </si>
  <si>
    <t>871315221</t>
  </si>
  <si>
    <t>Kanalizační potrubí z tvrdého PVC-systém KG tuhost třídy SN8 DN150
Propojení odvodňovacích žlabů a kanalizačních šachtet + propojení uliční vpusti a vsakovací jímky</t>
  </si>
  <si>
    <t>895941010</t>
  </si>
  <si>
    <t>Zřízení uliční vpusti
včetně dodání betonových dílců, litinové mříže a vyrovnávacích prstenců</t>
  </si>
  <si>
    <t>899231111</t>
  </si>
  <si>
    <t>Výšková úprava uličního vstupu nebo vpusti do 200 mm zvýšením mříže
Výšková úprava stávajících kanalizačních poklopů zvýšením (snížením)</t>
  </si>
  <si>
    <t>9</t>
  </si>
  <si>
    <t>Ostatní konstrukce a práce</t>
  </si>
  <si>
    <t>935000001</t>
  </si>
  <si>
    <t>Demontáž stávající odvodňovací žlaby
Plast. žlaby s pozink. rošte, vč. likvidace odpadu</t>
  </si>
  <si>
    <t>935931212</t>
  </si>
  <si>
    <t>Odvodnění plastovými žlaby pro zatížení B125 s roštem mřížkovým vnitřní šířkyxhloubky 100x74 mm
DOD. + MTŽ odvodňovací žlaby, např. ACO HexaSelf s plast. pozink. roštem do bet. CP20</t>
  </si>
  <si>
    <t>91</t>
  </si>
  <si>
    <t xml:space="preserve">Doplňující konstrukce a práce                                                                                                                         </t>
  </si>
  <si>
    <t>916000001</t>
  </si>
  <si>
    <t>DOD. obrubník záhonový
Záhonový obrubník šedý 50x20x5cm</t>
  </si>
  <si>
    <t>916561111</t>
  </si>
  <si>
    <t>Osazení záhonového obrubníku betonového do lože z betonu s boční opěrou
Osazení nových záhonových obrubníků</t>
  </si>
  <si>
    <t>97</t>
  </si>
  <si>
    <t xml:space="preserve">Doprava vybouraných hmot                                                                                                                              </t>
  </si>
  <si>
    <t>977151121</t>
  </si>
  <si>
    <t>Jádrové vrty diamantovými korunkami do D 120 mm do stavebních materiálů
Vývrt stávajících kanalizačních šachet - napojení nové kanalizace (odvodňovací žlaby, apod.)</t>
  </si>
  <si>
    <t>979082318</t>
  </si>
  <si>
    <t>Vodorovná doprava suti a vybouraných hmot po suchu nad 5000 do 6000 m
Přeprava suti na skládku, vzd. do 5km, Technické služby města HB - dlažba</t>
  </si>
  <si>
    <t>Vodorovná doprava suti a vybouraných hmot po suchu nad 5000 do 6000 m
Přeprava suti na skládku, vzd. do 5km, Technické služby města HB - obrubníky</t>
  </si>
  <si>
    <t>979088212</t>
  </si>
  <si>
    <t>Nakládání suti a vybouraných hmot
Nakládka rozebrané dlažby na dopravní prostředky - dlažba</t>
  </si>
  <si>
    <t>Nakládání suti a vybouraných hmot
Nakládka obrubníků na dopravní prostředky - obrubníky</t>
  </si>
  <si>
    <t>979093111</t>
  </si>
  <si>
    <t>Uložení suti na skládku s hrubým urovnáním bez zhutnění
Vč. poplatku za skládku - dlažba</t>
  </si>
  <si>
    <t>Uložení suti na skládku s hrubým urovnáním bez zhutnění
Vč. poplatku za skládku - obrubníky</t>
  </si>
  <si>
    <t>Uložení suti na skládku s hrubým urovnáním bez zhutnění
Vč. poplatku za skládku - výkopek pod obrubníky</t>
  </si>
  <si>
    <t>Uložení suti na skládku s hrubým urovnáním bez zhutnění
Vč. poplatku za skládku - výkopek nopová folie</t>
  </si>
  <si>
    <t>Uložení suti na skládku s hrubým urovnáním bez zhutnění
Vč. poplatku za skládku, uložení výkopku na skládku TS HB - vsakovací jímka</t>
  </si>
  <si>
    <t>Zpevněné plochy a chodníky Nemocnice Havlíčkův Brod</t>
  </si>
  <si>
    <t>SO01 - Chodník u jídelny a přístup na parkoviště</t>
  </si>
  <si>
    <t>SO02 - Chodník od parkoviště k hlavnímu vstupu</t>
  </si>
  <si>
    <t>Podklad ze štěrkodrtě ŠD tl 50 mm
Doplnění vrsty ŠD 4/8 (kladecí vrstva), vyrovnání stáv. nerovností, přespádování, apod., 50% plochy</t>
  </si>
  <si>
    <t>SO03 - Oblouk pro příjezd k bývalé pohotovosti + chodník</t>
  </si>
  <si>
    <t>Kladení zámkové dlažby komunikací pro pěší tl 80 mm skupiny C pl nad 300 m2
Pokládka zámkové dlažby</t>
  </si>
  <si>
    <t>Výšková úprava uličního vstupu nebo vpusti do 200 mm zvýšením mříže
Výšková úprava stávajících kanalizačních poklopů zvýšením (snížením), 1x kan. poklop + 2x ul. vpusť</t>
  </si>
  <si>
    <t>Vytrhání obrub záhonových
Odstranění stávajících záhonových obrubníků, oblouk - (silniční obruby) zůstávají</t>
  </si>
  <si>
    <t>SO02</t>
  </si>
  <si>
    <t>SO03</t>
  </si>
  <si>
    <t>Areál nemocnice HB</t>
  </si>
  <si>
    <t>Kraj Vysočina</t>
  </si>
  <si>
    <t>Josef Tvrdý, provozně-technický náměstek</t>
  </si>
  <si>
    <t>Přesun hmot pro pozemní komunikace s krytem dlážděným</t>
  </si>
  <si>
    <t>Oldřich Dušátko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</si>
</sst>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0.000"/>
    <numFmt numFmtId="165" formatCode="###\ ###\ ##0.00"/>
    <numFmt numFmtId="166" formatCode="#,##0.00&quot; Kč&quot;;\-#,##0.00&quot; Kč&quot;"/>
    <numFmt numFmtId="167" formatCode="#,##0.00;\-#,###,##0.00;&quot;&quot;"/>
    <numFmt numFmtId="168" formatCode="0&quot; %&quot;"/>
    <numFmt numFmtId="169" formatCode="#,##0.00&quot; Kč&quot;;\-#,##0.00&quot; Kč&quot;;&quot;&quot;"/>
    <numFmt numFmtId="170" formatCode="#,##0&quot; Kč&quot;;\-#,##0&quot; Kč&quot;"/>
    <numFmt numFmtId="171" formatCode="#,##0.00;;&quot;&quot;"/>
    <numFmt numFmtId="172" formatCode="#,##0\ [$Kč-405];[Red]\-#,##0\ [$Kč-405]"/>
  </numFmts>
  <fonts count="5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6"/>
      <name val="Calibri"/>
      <family val="2"/>
    </font>
    <font>
      <b/>
      <i/>
      <sz val="10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4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>
      <alignment/>
    </xf>
    <xf numFmtId="164" fontId="19" fillId="0" borderId="0" xfId="0" applyNumberFormat="1" applyFont="1" applyFill="1" applyBorder="1" applyAlignment="1" applyProtection="1">
      <alignment vertical="center"/>
      <protection/>
    </xf>
    <xf numFmtId="165" fontId="19" fillId="0" borderId="0" xfId="0" applyNumberFormat="1" applyFont="1" applyFill="1" applyBorder="1" applyAlignment="1" applyProtection="1">
      <alignment vertical="center"/>
      <protection locked="0"/>
    </xf>
    <xf numFmtId="165" fontId="50" fillId="33" borderId="0" xfId="0" applyNumberFormat="1" applyFont="1" applyFill="1" applyBorder="1" applyAlignment="1" applyProtection="1">
      <alignment vertical="center"/>
      <protection/>
    </xf>
    <xf numFmtId="165" fontId="19" fillId="0" borderId="10" xfId="0" applyNumberFormat="1" applyFont="1" applyFill="1" applyBorder="1" applyAlignment="1" applyProtection="1">
      <alignment horizontal="center" vertical="center"/>
      <protection locked="0"/>
    </xf>
    <xf numFmtId="165" fontId="19" fillId="0" borderId="10" xfId="0" applyNumberFormat="1" applyFont="1" applyFill="1" applyBorder="1" applyAlignment="1" applyProtection="1">
      <alignment horizontal="center" vertical="center"/>
      <protection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19" fillId="0" borderId="13" xfId="0" applyNumberFormat="1" applyFont="1" applyFill="1" applyBorder="1" applyAlignment="1" applyProtection="1">
      <alignment horizontal="center" vertical="center"/>
      <protection/>
    </xf>
    <xf numFmtId="165" fontId="19" fillId="0" borderId="13" xfId="0" applyNumberFormat="1" applyFont="1" applyFill="1" applyBorder="1" applyAlignment="1" applyProtection="1">
      <alignment horizontal="center" vertical="center"/>
      <protection locked="0"/>
    </xf>
    <xf numFmtId="165" fontId="19" fillId="0" borderId="13" xfId="0" applyNumberFormat="1" applyFont="1" applyFill="1" applyBorder="1" applyAlignment="1" applyProtection="1">
      <alignment horizontal="center" vertical="center"/>
      <protection/>
    </xf>
    <xf numFmtId="3" fontId="19" fillId="0" borderId="13" xfId="0" applyNumberFormat="1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0" fontId="4" fillId="33" borderId="15" xfId="0" applyNumberFormat="1" applyFont="1" applyFill="1" applyBorder="1" applyAlignment="1" applyProtection="1">
      <alignment horizontal="left" vertical="center"/>
      <protection/>
    </xf>
    <xf numFmtId="0" fontId="19" fillId="33" borderId="16" xfId="0" applyNumberFormat="1" applyFont="1" applyFill="1" applyBorder="1" applyAlignment="1" applyProtection="1">
      <alignment horizontal="center" vertical="center"/>
      <protection/>
    </xf>
    <xf numFmtId="164" fontId="19" fillId="33" borderId="16" xfId="0" applyNumberFormat="1" applyFont="1" applyFill="1" applyBorder="1" applyAlignment="1" applyProtection="1">
      <alignment horizontal="center" vertical="center"/>
      <protection/>
    </xf>
    <xf numFmtId="165" fontId="19" fillId="33" borderId="16" xfId="0" applyNumberFormat="1" applyFont="1" applyFill="1" applyBorder="1" applyAlignment="1" applyProtection="1">
      <alignment horizontal="center" vertical="center"/>
      <protection locked="0"/>
    </xf>
    <xf numFmtId="165" fontId="51" fillId="33" borderId="16" xfId="0" applyNumberFormat="1" applyFont="1" applyFill="1" applyBorder="1" applyAlignment="1" applyProtection="1">
      <alignment horizontal="center" vertical="center"/>
      <protection/>
    </xf>
    <xf numFmtId="4" fontId="19" fillId="0" borderId="17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19" fillId="0" borderId="19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vertical="center" wrapText="1"/>
      <protection/>
    </xf>
    <xf numFmtId="0" fontId="19" fillId="0" borderId="10" xfId="0" applyNumberFormat="1" applyFont="1" applyFill="1" applyBorder="1" applyAlignment="1" applyProtection="1">
      <alignment vertical="center"/>
      <protection/>
    </xf>
    <xf numFmtId="164" fontId="19" fillId="0" borderId="10" xfId="0" applyNumberFormat="1" applyFont="1" applyFill="1" applyBorder="1" applyAlignment="1" applyProtection="1">
      <alignment vertical="center"/>
      <protection/>
    </xf>
    <xf numFmtId="165" fontId="19" fillId="0" borderId="10" xfId="0" applyNumberFormat="1" applyFont="1" applyFill="1" applyBorder="1" applyAlignment="1" applyProtection="1">
      <alignment vertical="center"/>
      <protection locked="0"/>
    </xf>
    <xf numFmtId="165" fontId="19" fillId="0" borderId="10" xfId="0" applyNumberFormat="1" applyFont="1" applyFill="1" applyBorder="1" applyAlignment="1" applyProtection="1">
      <alignment vertical="center"/>
      <protection/>
    </xf>
    <xf numFmtId="4" fontId="19" fillId="0" borderId="10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23" fillId="34" borderId="19" xfId="0" applyNumberFormat="1" applyFont="1" applyFill="1" applyBorder="1" applyAlignment="1" applyProtection="1">
      <alignment vertical="center"/>
      <protection/>
    </xf>
    <xf numFmtId="0" fontId="23" fillId="34" borderId="10" xfId="0" applyNumberFormat="1" applyFont="1" applyFill="1" applyBorder="1" applyAlignment="1" applyProtection="1">
      <alignment horizontal="center" vertical="center"/>
      <protection/>
    </xf>
    <xf numFmtId="0" fontId="23" fillId="34" borderId="10" xfId="0" applyNumberFormat="1" applyFont="1" applyFill="1" applyBorder="1" applyAlignment="1" applyProtection="1">
      <alignment vertical="center" wrapText="1"/>
      <protection/>
    </xf>
    <xf numFmtId="0" fontId="23" fillId="34" borderId="10" xfId="0" applyNumberFormat="1" applyFont="1" applyFill="1" applyBorder="1" applyAlignment="1" applyProtection="1">
      <alignment vertical="center"/>
      <protection/>
    </xf>
    <xf numFmtId="164" fontId="23" fillId="34" borderId="10" xfId="0" applyNumberFormat="1" applyFont="1" applyFill="1" applyBorder="1" applyAlignment="1" applyProtection="1">
      <alignment vertical="center"/>
      <protection/>
    </xf>
    <xf numFmtId="165" fontId="23" fillId="34" borderId="10" xfId="0" applyNumberFormat="1" applyFont="1" applyFill="1" applyBorder="1" applyAlignment="1" applyProtection="1">
      <alignment vertical="center"/>
      <protection locked="0"/>
    </xf>
    <xf numFmtId="165" fontId="23" fillId="34" borderId="10" xfId="0" applyNumberFormat="1" applyFont="1" applyFill="1" applyBorder="1" applyAlignment="1" applyProtection="1">
      <alignment vertical="center"/>
      <protection/>
    </xf>
    <xf numFmtId="165" fontId="23" fillId="34" borderId="11" xfId="0" applyNumberFormat="1" applyFont="1" applyFill="1" applyBorder="1" applyAlignment="1" applyProtection="1">
      <alignment vertical="center"/>
      <protection/>
    </xf>
    <xf numFmtId="0" fontId="23" fillId="34" borderId="12" xfId="0" applyNumberFormat="1" applyFont="1" applyFill="1" applyBorder="1" applyAlignment="1" applyProtection="1">
      <alignment vertical="center"/>
      <protection/>
    </xf>
    <xf numFmtId="0" fontId="23" fillId="34" borderId="13" xfId="0" applyNumberFormat="1" applyFont="1" applyFill="1" applyBorder="1" applyAlignment="1" applyProtection="1">
      <alignment horizontal="center" vertical="center"/>
      <protection/>
    </xf>
    <xf numFmtId="0" fontId="23" fillId="34" borderId="13" xfId="0" applyNumberFormat="1" applyFont="1" applyFill="1" applyBorder="1" applyAlignment="1" applyProtection="1">
      <alignment vertical="center" wrapText="1"/>
      <protection/>
    </xf>
    <xf numFmtId="0" fontId="23" fillId="34" borderId="13" xfId="0" applyNumberFormat="1" applyFont="1" applyFill="1" applyBorder="1" applyAlignment="1" applyProtection="1">
      <alignment vertical="center"/>
      <protection/>
    </xf>
    <xf numFmtId="164" fontId="23" fillId="34" borderId="13" xfId="0" applyNumberFormat="1" applyFont="1" applyFill="1" applyBorder="1" applyAlignment="1" applyProtection="1">
      <alignment vertical="center"/>
      <protection/>
    </xf>
    <xf numFmtId="165" fontId="23" fillId="34" borderId="13" xfId="0" applyNumberFormat="1" applyFont="1" applyFill="1" applyBorder="1" applyAlignment="1" applyProtection="1">
      <alignment vertical="center"/>
      <protection locked="0"/>
    </xf>
    <xf numFmtId="165" fontId="23" fillId="34" borderId="13" xfId="0" applyNumberFormat="1" applyFont="1" applyFill="1" applyBorder="1" applyAlignment="1" applyProtection="1">
      <alignment vertical="center"/>
      <protection/>
    </xf>
    <xf numFmtId="165" fontId="23" fillId="34" borderId="14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vertical="top" wrapText="1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5" fontId="19" fillId="0" borderId="0" xfId="0" applyNumberFormat="1" applyFont="1" applyFill="1" applyBorder="1" applyAlignment="1" applyProtection="1">
      <alignment vertical="top"/>
      <protection locked="0"/>
    </xf>
    <xf numFmtId="165" fontId="19" fillId="0" borderId="0" xfId="0" applyNumberFormat="1" applyFont="1" applyFill="1" applyBorder="1" applyAlignment="1" applyProtection="1">
      <alignment vertical="top"/>
      <protection/>
    </xf>
    <xf numFmtId="4" fontId="19" fillId="0" borderId="0" xfId="0" applyNumberFormat="1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165" fontId="19" fillId="0" borderId="0" xfId="0" applyNumberFormat="1" applyFont="1" applyFill="1" applyBorder="1" applyAlignment="1" applyProtection="1">
      <alignment vertical="center"/>
      <protection/>
    </xf>
    <xf numFmtId="4" fontId="19" fillId="0" borderId="0" xfId="0" applyNumberFormat="1" applyFont="1" applyAlignment="1">
      <alignment vertical="center"/>
    </xf>
    <xf numFmtId="0" fontId="24" fillId="35" borderId="0" xfId="0" applyFont="1" applyFill="1" applyBorder="1" applyAlignment="1">
      <alignment shrinkToFit="1"/>
    </xf>
    <xf numFmtId="0" fontId="25" fillId="35" borderId="20" xfId="0" applyFont="1" applyFill="1" applyBorder="1" applyAlignment="1">
      <alignment horizontal="center" vertical="center" shrinkToFit="1"/>
    </xf>
    <xf numFmtId="0" fontId="25" fillId="35" borderId="0" xfId="0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shrinkToFit="1"/>
    </xf>
    <xf numFmtId="0" fontId="24" fillId="35" borderId="21" xfId="0" applyFont="1" applyFill="1" applyBorder="1" applyAlignment="1">
      <alignment shrinkToFit="1"/>
    </xf>
    <xf numFmtId="0" fontId="25" fillId="35" borderId="22" xfId="0" applyFont="1" applyFill="1" applyBorder="1" applyAlignment="1">
      <alignment horizontal="center" vertical="center" shrinkToFit="1"/>
    </xf>
    <xf numFmtId="0" fontId="26" fillId="36" borderId="23" xfId="0" applyFont="1" applyFill="1" applyBorder="1" applyAlignment="1">
      <alignment horizontal="left" vertical="center" shrinkToFit="1"/>
    </xf>
    <xf numFmtId="0" fontId="26" fillId="36" borderId="23" xfId="0" applyFont="1" applyFill="1" applyBorder="1" applyAlignment="1">
      <alignment horizontal="center" vertical="center" shrinkToFit="1"/>
    </xf>
    <xf numFmtId="0" fontId="27" fillId="35" borderId="22" xfId="0" applyFont="1" applyFill="1" applyBorder="1" applyAlignment="1">
      <alignment horizontal="left" vertical="center" shrinkToFit="1"/>
    </xf>
    <xf numFmtId="0" fontId="24" fillId="35" borderId="24" xfId="0" applyFont="1" applyFill="1" applyBorder="1" applyAlignment="1">
      <alignment shrinkToFit="1"/>
    </xf>
    <xf numFmtId="0" fontId="24" fillId="35" borderId="22" xfId="0" applyFont="1" applyFill="1" applyBorder="1" applyAlignment="1">
      <alignment shrinkToFit="1"/>
    </xf>
    <xf numFmtId="0" fontId="24" fillId="35" borderId="10" xfId="0" applyFont="1" applyFill="1" applyBorder="1" applyAlignment="1">
      <alignment shrinkToFit="1"/>
    </xf>
    <xf numFmtId="0" fontId="27" fillId="37" borderId="25" xfId="0" applyFont="1" applyFill="1" applyBorder="1" applyAlignment="1">
      <alignment horizontal="center" vertical="center" shrinkToFit="1"/>
    </xf>
    <xf numFmtId="0" fontId="27" fillId="37" borderId="26" xfId="0" applyFont="1" applyFill="1" applyBorder="1" applyAlignment="1">
      <alignment horizontal="center" shrinkToFit="1"/>
    </xf>
    <xf numFmtId="166" fontId="27" fillId="37" borderId="26" xfId="0" applyNumberFormat="1" applyFont="1" applyFill="1" applyBorder="1" applyAlignment="1">
      <alignment horizontal="center" shrinkToFit="1"/>
    </xf>
    <xf numFmtId="166" fontId="27" fillId="37" borderId="27" xfId="0" applyNumberFormat="1" applyFont="1" applyFill="1" applyBorder="1" applyAlignment="1">
      <alignment horizontal="center" shrinkToFit="1"/>
    </xf>
    <xf numFmtId="0" fontId="27" fillId="37" borderId="28" xfId="0" applyFont="1" applyFill="1" applyBorder="1" applyAlignment="1">
      <alignment horizontal="center" shrinkToFit="1"/>
    </xf>
    <xf numFmtId="4" fontId="27" fillId="37" borderId="29" xfId="0" applyNumberFormat="1" applyFont="1" applyFill="1" applyBorder="1" applyAlignment="1">
      <alignment shrinkToFit="1"/>
    </xf>
    <xf numFmtId="0" fontId="27" fillId="37" borderId="26" xfId="0" applyFont="1" applyFill="1" applyBorder="1" applyAlignment="1">
      <alignment horizontal="center" vertical="center" shrinkToFit="1"/>
    </xf>
    <xf numFmtId="167" fontId="24" fillId="35" borderId="10" xfId="0" applyNumberFormat="1" applyFont="1" applyFill="1" applyBorder="1" applyAlignment="1">
      <alignment shrinkToFit="1"/>
    </xf>
    <xf numFmtId="167" fontId="24" fillId="35" borderId="30" xfId="0" applyNumberFormat="1" applyFont="1" applyFill="1" applyBorder="1" applyAlignment="1">
      <alignment shrinkToFit="1"/>
    </xf>
    <xf numFmtId="4" fontId="24" fillId="35" borderId="31" xfId="0" applyNumberFormat="1" applyFont="1" applyFill="1" applyBorder="1" applyAlignment="1">
      <alignment shrinkToFit="1"/>
    </xf>
    <xf numFmtId="168" fontId="24" fillId="35" borderId="31" xfId="0" applyNumberFormat="1" applyFont="1" applyFill="1" applyBorder="1" applyAlignment="1">
      <alignment shrinkToFit="1"/>
    </xf>
    <xf numFmtId="4" fontId="24" fillId="35" borderId="10" xfId="0" applyNumberFormat="1" applyFont="1" applyFill="1" applyBorder="1" applyAlignment="1">
      <alignment shrinkToFit="1"/>
    </xf>
    <xf numFmtId="168" fontId="24" fillId="35" borderId="30" xfId="0" applyNumberFormat="1" applyFont="1" applyFill="1" applyBorder="1" applyAlignment="1">
      <alignment shrinkToFit="1"/>
    </xf>
    <xf numFmtId="168" fontId="24" fillId="35" borderId="10" xfId="0" applyNumberFormat="1" applyFont="1" applyFill="1" applyBorder="1" applyAlignment="1">
      <alignment shrinkToFit="1"/>
    </xf>
    <xf numFmtId="0" fontId="19" fillId="35" borderId="22" xfId="0" applyFont="1" applyFill="1" applyBorder="1" applyAlignment="1">
      <alignment shrinkToFit="1"/>
    </xf>
    <xf numFmtId="14" fontId="24" fillId="35" borderId="0" xfId="0" applyNumberFormat="1" applyFont="1" applyFill="1" applyBorder="1" applyAlignment="1">
      <alignment shrinkToFit="1"/>
    </xf>
    <xf numFmtId="0" fontId="27" fillId="37" borderId="25" xfId="0" applyFont="1" applyFill="1" applyBorder="1" applyAlignment="1">
      <alignment horizontal="center" shrinkToFit="1"/>
    </xf>
    <xf numFmtId="167" fontId="27" fillId="37" borderId="26" xfId="0" applyNumberFormat="1" applyFont="1" applyFill="1" applyBorder="1" applyAlignment="1">
      <alignment shrinkToFit="1"/>
    </xf>
    <xf numFmtId="167" fontId="27" fillId="37" borderId="27" xfId="0" applyNumberFormat="1" applyFont="1" applyFill="1" applyBorder="1" applyAlignment="1">
      <alignment shrinkToFit="1"/>
    </xf>
    <xf numFmtId="0" fontId="24" fillId="35" borderId="20" xfId="0" applyFont="1" applyFill="1" applyBorder="1" applyAlignment="1">
      <alignment shrinkToFit="1"/>
    </xf>
    <xf numFmtId="0" fontId="24" fillId="35" borderId="22" xfId="0" applyFont="1" applyFill="1" applyBorder="1" applyAlignment="1">
      <alignment horizontal="left" shrinkToFit="1"/>
    </xf>
    <xf numFmtId="0" fontId="27" fillId="37" borderId="10" xfId="0" applyFont="1" applyFill="1" applyBorder="1" applyAlignment="1">
      <alignment horizontal="center" shrinkToFit="1"/>
    </xf>
    <xf numFmtId="168" fontId="27" fillId="37" borderId="26" xfId="0" applyNumberFormat="1" applyFont="1" applyFill="1" applyBorder="1" applyAlignment="1">
      <alignment horizontal="center" shrinkToFit="1"/>
    </xf>
    <xf numFmtId="0" fontId="27" fillId="35" borderId="10" xfId="0" applyFont="1" applyFill="1" applyBorder="1" applyAlignment="1">
      <alignment shrinkToFit="1"/>
    </xf>
    <xf numFmtId="0" fontId="27" fillId="37" borderId="32" xfId="0" applyFont="1" applyFill="1" applyBorder="1" applyAlignment="1">
      <alignment horizontal="center" shrinkToFit="1"/>
    </xf>
    <xf numFmtId="4" fontId="24" fillId="35" borderId="30" xfId="0" applyNumberFormat="1" applyFont="1" applyFill="1" applyBorder="1" applyAlignment="1">
      <alignment shrinkToFit="1"/>
    </xf>
    <xf numFmtId="0" fontId="24" fillId="0" borderId="0" xfId="0" applyFont="1" applyFill="1" applyBorder="1" applyAlignment="1">
      <alignment shrinkToFit="1"/>
    </xf>
    <xf numFmtId="0" fontId="19" fillId="0" borderId="0" xfId="0" applyFont="1" applyAlignment="1">
      <alignment vertical="center"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164" fontId="0" fillId="0" borderId="10" xfId="0" applyNumberFormat="1" applyFont="1" applyFill="1" applyBorder="1" applyAlignment="1" applyProtection="1">
      <alignment vertical="top"/>
      <protection/>
    </xf>
    <xf numFmtId="165" fontId="0" fillId="0" borderId="10" xfId="0" applyNumberFormat="1" applyFont="1" applyFill="1" applyBorder="1" applyAlignment="1" applyProtection="1">
      <alignment vertical="top"/>
      <protection locked="0"/>
    </xf>
    <xf numFmtId="165" fontId="0" fillId="0" borderId="1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164" fontId="2" fillId="0" borderId="10" xfId="0" applyNumberFormat="1" applyFont="1" applyFill="1" applyBorder="1" applyAlignment="1" applyProtection="1">
      <alignment vertical="top"/>
      <protection/>
    </xf>
    <xf numFmtId="165" fontId="2" fillId="0" borderId="10" xfId="0" applyNumberFormat="1" applyFont="1" applyFill="1" applyBorder="1" applyAlignment="1" applyProtection="1">
      <alignment vertical="top"/>
      <protection locked="0"/>
    </xf>
    <xf numFmtId="165" fontId="2" fillId="0" borderId="1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33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164" fontId="2" fillId="0" borderId="17" xfId="0" applyNumberFormat="1" applyFont="1" applyFill="1" applyBorder="1" applyAlignment="1" applyProtection="1">
      <alignment vertical="top"/>
      <protection/>
    </xf>
    <xf numFmtId="165" fontId="2" fillId="0" borderId="17" xfId="0" applyNumberFormat="1" applyFont="1" applyFill="1" applyBorder="1" applyAlignment="1" applyProtection="1">
      <alignment vertical="top"/>
      <protection locked="0"/>
    </xf>
    <xf numFmtId="165" fontId="2" fillId="0" borderId="17" xfId="0" applyNumberFormat="1" applyFont="1" applyFill="1" applyBorder="1" applyAlignment="1" applyProtection="1">
      <alignment vertical="top"/>
      <protection/>
    </xf>
    <xf numFmtId="165" fontId="51" fillId="33" borderId="34" xfId="0" applyNumberFormat="1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>
      <alignment horizontal="center" vertical="center" shrinkToFit="1"/>
    </xf>
    <xf numFmtId="0" fontId="30" fillId="36" borderId="23" xfId="0" applyFont="1" applyFill="1" applyBorder="1" applyAlignment="1">
      <alignment horizontal="left" vertical="center" shrinkToFit="1"/>
    </xf>
    <xf numFmtId="0" fontId="24" fillId="35" borderId="10" xfId="0" applyFont="1" applyFill="1" applyBorder="1" applyAlignment="1">
      <alignment shrinkToFit="1"/>
    </xf>
    <xf numFmtId="49" fontId="19" fillId="35" borderId="10" xfId="0" applyNumberFormat="1" applyFont="1" applyFill="1" applyBorder="1" applyAlignment="1">
      <alignment shrinkToFit="1"/>
    </xf>
    <xf numFmtId="49" fontId="24" fillId="35" borderId="10" xfId="0" applyNumberFormat="1" applyFont="1" applyFill="1" applyBorder="1" applyAlignment="1">
      <alignment shrinkToFit="1"/>
    </xf>
    <xf numFmtId="0" fontId="19" fillId="35" borderId="10" xfId="0" applyFont="1" applyFill="1" applyBorder="1" applyAlignment="1">
      <alignment shrinkToFit="1"/>
    </xf>
    <xf numFmtId="14" fontId="24" fillId="35" borderId="10" xfId="0" applyNumberFormat="1" applyFont="1" applyFill="1" applyBorder="1" applyAlignment="1">
      <alignment shrinkToFit="1"/>
    </xf>
    <xf numFmtId="0" fontId="27" fillId="36" borderId="23" xfId="0" applyFont="1" applyFill="1" applyBorder="1" applyAlignment="1">
      <alignment horizontal="center" shrinkToFit="1"/>
    </xf>
    <xf numFmtId="0" fontId="27" fillId="36" borderId="35" xfId="0" applyFont="1" applyFill="1" applyBorder="1" applyAlignment="1">
      <alignment horizontal="center" shrinkToFit="1"/>
    </xf>
    <xf numFmtId="0" fontId="27" fillId="37" borderId="36" xfId="0" applyFont="1" applyFill="1" applyBorder="1" applyAlignment="1">
      <alignment horizontal="center" shrinkToFit="1"/>
    </xf>
    <xf numFmtId="0" fontId="27" fillId="37" borderId="28" xfId="0" applyFont="1" applyFill="1" applyBorder="1" applyAlignment="1">
      <alignment horizontal="center" shrinkToFit="1"/>
    </xf>
    <xf numFmtId="0" fontId="24" fillId="35" borderId="31" xfId="0" applyFont="1" applyFill="1" applyBorder="1" applyAlignment="1">
      <alignment shrinkToFit="1"/>
    </xf>
    <xf numFmtId="0" fontId="19" fillId="35" borderId="22" xfId="0" applyFont="1" applyFill="1" applyBorder="1" applyAlignment="1">
      <alignment shrinkToFit="1"/>
    </xf>
    <xf numFmtId="0" fontId="19" fillId="0" borderId="0" xfId="0" applyFont="1" applyAlignment="1">
      <alignment shrinkToFit="1"/>
    </xf>
    <xf numFmtId="0" fontId="19" fillId="0" borderId="21" xfId="0" applyFont="1" applyBorder="1" applyAlignment="1">
      <alignment shrinkToFit="1"/>
    </xf>
    <xf numFmtId="166" fontId="23" fillId="35" borderId="37" xfId="0" applyNumberFormat="1" applyFont="1" applyFill="1" applyBorder="1" applyAlignment="1">
      <alignment shrinkToFit="1"/>
    </xf>
    <xf numFmtId="0" fontId="27" fillId="35" borderId="26" xfId="0" applyFont="1" applyFill="1" applyBorder="1" applyAlignment="1">
      <alignment shrinkToFit="1"/>
    </xf>
    <xf numFmtId="166" fontId="27" fillId="35" borderId="38" xfId="0" applyNumberFormat="1" applyFont="1" applyFill="1" applyBorder="1" applyAlignment="1">
      <alignment shrinkToFit="1"/>
    </xf>
    <xf numFmtId="0" fontId="27" fillId="37" borderId="26" xfId="0" applyFont="1" applyFill="1" applyBorder="1" applyAlignment="1">
      <alignment horizontal="left" vertical="center" shrinkToFit="1"/>
    </xf>
    <xf numFmtId="166" fontId="27" fillId="37" borderId="38" xfId="0" applyNumberFormat="1" applyFont="1" applyFill="1" applyBorder="1" applyAlignment="1">
      <alignment horizontal="center" vertical="center" shrinkToFit="1"/>
    </xf>
    <xf numFmtId="0" fontId="27" fillId="37" borderId="10" xfId="0" applyFont="1" applyFill="1" applyBorder="1" applyAlignment="1">
      <alignment vertical="center" shrinkToFit="1"/>
    </xf>
    <xf numFmtId="169" fontId="27" fillId="37" borderId="10" xfId="0" applyNumberFormat="1" applyFont="1" applyFill="1" applyBorder="1" applyAlignment="1">
      <alignment horizontal="center" vertical="center" shrinkToFit="1"/>
    </xf>
    <xf numFmtId="0" fontId="27" fillId="36" borderId="10" xfId="0" applyFont="1" applyFill="1" applyBorder="1" applyAlignment="1">
      <alignment horizontal="center" shrinkToFit="1"/>
    </xf>
    <xf numFmtId="2" fontId="27" fillId="37" borderId="26" xfId="0" applyNumberFormat="1" applyFont="1" applyFill="1" applyBorder="1" applyAlignment="1">
      <alignment horizontal="center" shrinkToFit="1"/>
    </xf>
    <xf numFmtId="4" fontId="27" fillId="37" borderId="27" xfId="0" applyNumberFormat="1" applyFont="1" applyFill="1" applyBorder="1" applyAlignment="1">
      <alignment horizontal="center" shrinkToFit="1"/>
    </xf>
    <xf numFmtId="0" fontId="27" fillId="37" borderId="10" xfId="0" applyFont="1" applyFill="1" applyBorder="1" applyAlignment="1">
      <alignment horizontal="center" shrinkToFit="1"/>
    </xf>
    <xf numFmtId="4" fontId="27" fillId="37" borderId="10" xfId="0" applyNumberFormat="1" applyFont="1" applyFill="1" applyBorder="1" applyAlignment="1">
      <alignment horizontal="center" shrinkToFit="1"/>
    </xf>
    <xf numFmtId="166" fontId="24" fillId="35" borderId="10" xfId="0" applyNumberFormat="1" applyFont="1" applyFill="1" applyBorder="1" applyAlignment="1">
      <alignment horizontal="center" shrinkToFit="1"/>
    </xf>
    <xf numFmtId="166" fontId="24" fillId="35" borderId="30" xfId="0" applyNumberFormat="1" applyFont="1" applyFill="1" applyBorder="1" applyAlignment="1">
      <alignment horizontal="center" shrinkToFit="1"/>
    </xf>
    <xf numFmtId="169" fontId="19" fillId="35" borderId="10" xfId="0" applyNumberFormat="1" applyFont="1" applyFill="1" applyBorder="1" applyAlignment="1">
      <alignment horizontal="center" shrinkToFit="1"/>
    </xf>
    <xf numFmtId="169" fontId="24" fillId="35" borderId="10" xfId="0" applyNumberFormat="1" applyFont="1" applyFill="1" applyBorder="1" applyAlignment="1">
      <alignment horizontal="center" shrinkToFit="1"/>
    </xf>
    <xf numFmtId="166" fontId="24" fillId="35" borderId="39" xfId="0" applyNumberFormat="1" applyFont="1" applyFill="1" applyBorder="1" applyAlignment="1">
      <alignment horizontal="center" shrinkToFit="1"/>
    </xf>
    <xf numFmtId="170" fontId="27" fillId="37" borderId="40" xfId="0" applyNumberFormat="1" applyFont="1" applyFill="1" applyBorder="1" applyAlignment="1">
      <alignment horizontal="center" vertical="center" shrinkToFit="1"/>
    </xf>
    <xf numFmtId="170" fontId="27" fillId="37" borderId="41" xfId="0" applyNumberFormat="1" applyFont="1" applyFill="1" applyBorder="1" applyAlignment="1">
      <alignment horizontal="center" vertical="center" shrinkToFit="1"/>
    </xf>
    <xf numFmtId="170" fontId="27" fillId="37" borderId="42" xfId="0" applyNumberFormat="1" applyFont="1" applyFill="1" applyBorder="1" applyAlignment="1">
      <alignment horizontal="center" vertical="center" shrinkToFit="1"/>
    </xf>
    <xf numFmtId="170" fontId="27" fillId="37" borderId="43" xfId="0" applyNumberFormat="1" applyFont="1" applyFill="1" applyBorder="1" applyAlignment="1">
      <alignment horizontal="center" vertical="center" shrinkToFit="1"/>
    </xf>
    <xf numFmtId="170" fontId="23" fillId="37" borderId="27" xfId="0" applyNumberFormat="1" applyFont="1" applyFill="1" applyBorder="1" applyAlignment="1">
      <alignment horizontal="center" vertical="center" shrinkToFit="1"/>
    </xf>
    <xf numFmtId="0" fontId="27" fillId="37" borderId="10" xfId="0" applyFont="1" applyFill="1" applyBorder="1" applyAlignment="1">
      <alignment horizontal="center" vertical="center" shrinkToFit="1"/>
    </xf>
    <xf numFmtId="171" fontId="27" fillId="37" borderId="10" xfId="0" applyNumberFormat="1" applyFont="1" applyFill="1" applyBorder="1" applyAlignment="1">
      <alignment horizontal="center" vertical="center" shrinkToFit="1"/>
    </xf>
    <xf numFmtId="0" fontId="28" fillId="36" borderId="23" xfId="0" applyFont="1" applyFill="1" applyBorder="1" applyAlignment="1">
      <alignment horizontal="center" vertical="center" shrinkToFit="1"/>
    </xf>
    <xf numFmtId="0" fontId="27" fillId="36" borderId="44" xfId="0" applyFont="1" applyFill="1" applyBorder="1" applyAlignment="1">
      <alignment horizontal="center" shrinkToFit="1"/>
    </xf>
    <xf numFmtId="172" fontId="29" fillId="37" borderId="21" xfId="0" applyNumberFormat="1" applyFont="1" applyFill="1" applyBorder="1" applyAlignment="1">
      <alignment horizontal="center" vertical="center" shrinkToFit="1"/>
    </xf>
    <xf numFmtId="0" fontId="27" fillId="37" borderId="45" xfId="0" applyFont="1" applyFill="1" applyBorder="1" applyAlignment="1">
      <alignment horizontal="center" shrinkToFit="1"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 vertical="center"/>
    </xf>
    <xf numFmtId="0" fontId="19" fillId="33" borderId="46" xfId="0" applyNumberFormat="1" applyFont="1" applyFill="1" applyBorder="1" applyAlignment="1" applyProtection="1">
      <alignment vertical="center" wrapText="1"/>
      <protection/>
    </xf>
    <xf numFmtId="0" fontId="19" fillId="33" borderId="16" xfId="0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164" fontId="31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19" fillId="0" borderId="47" xfId="0" applyNumberFormat="1" applyFont="1" applyFill="1" applyBorder="1" applyAlignment="1" applyProtection="1">
      <alignment horizontal="center" vertical="center"/>
      <protection/>
    </xf>
    <xf numFmtId="0" fontId="19" fillId="0" borderId="48" xfId="0" applyNumberFormat="1" applyFont="1" applyFill="1" applyBorder="1" applyAlignment="1" applyProtection="1">
      <alignment horizontal="center" vertical="center"/>
      <protection/>
    </xf>
    <xf numFmtId="0" fontId="19" fillId="0" borderId="48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50" xfId="0" applyNumberFormat="1" applyFont="1" applyFill="1" applyBorder="1" applyAlignment="1" applyProtection="1">
      <alignment horizontal="center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9" fillId="0" borderId="50" xfId="0" applyNumberFormat="1" applyFont="1" applyFill="1" applyBorder="1" applyAlignment="1" applyProtection="1">
      <alignment horizontal="center" vertical="center"/>
      <protection/>
    </xf>
    <xf numFmtId="0" fontId="19" fillId="0" borderId="31" xfId="0" applyFont="1" applyBorder="1" applyAlignment="1">
      <alignment horizontal="center" vertical="center"/>
    </xf>
    <xf numFmtId="164" fontId="19" fillId="0" borderId="50" xfId="0" applyNumberFormat="1" applyFont="1" applyFill="1" applyBorder="1" applyAlignment="1" applyProtection="1">
      <alignment horizontal="center" vertical="center" wrapText="1"/>
      <protection/>
    </xf>
    <xf numFmtId="0" fontId="19" fillId="0" borderId="51" xfId="0" applyNumberFormat="1" applyFont="1" applyFill="1" applyBorder="1" applyAlignment="1" applyProtection="1">
      <alignment horizontal="center" vertical="center" wrapText="1"/>
      <protection/>
    </xf>
    <xf numFmtId="0" fontId="19" fillId="0" borderId="5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="90" zoomScaleNormal="90" zoomScalePageLayoutView="0" workbookViewId="0" topLeftCell="B1">
      <selection activeCell="R46" sqref="R46"/>
    </sheetView>
  </sheetViews>
  <sheetFormatPr defaultColWidth="9.140625" defaultRowHeight="12.75"/>
  <cols>
    <col min="1" max="1" width="2.7109375" style="104" customWidth="1"/>
    <col min="2" max="2" width="9.140625" style="69" customWidth="1"/>
    <col min="3" max="5" width="12.7109375" style="69" customWidth="1"/>
    <col min="6" max="10" width="9.140625" style="69" customWidth="1"/>
    <col min="11" max="13" width="12.7109375" style="69" customWidth="1"/>
    <col min="14" max="14" width="9.140625" style="69" customWidth="1"/>
    <col min="15" max="15" width="2.7109375" style="69" customWidth="1"/>
    <col min="16" max="16384" width="9.140625" style="69" customWidth="1"/>
  </cols>
  <sheetData>
    <row r="1" spans="1:15" ht="9.75" customHeight="1" thickBo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18">
      <c r="A2" s="70"/>
      <c r="B2" s="127" t="s">
        <v>72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71"/>
    </row>
    <row r="3" spans="1:15" ht="18" thickBot="1">
      <c r="A3" s="70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71"/>
    </row>
    <row r="4" spans="1:15" ht="14.25" thickBot="1">
      <c r="A4" s="70"/>
      <c r="B4" s="72" t="s">
        <v>18</v>
      </c>
      <c r="C4" s="128" t="str">
        <f>Položky!C3</f>
        <v>Zpevněné plochy a chodníky Nemocnice Havlíčkův Brod</v>
      </c>
      <c r="D4" s="128"/>
      <c r="E4" s="128"/>
      <c r="F4" s="128"/>
      <c r="G4" s="128"/>
      <c r="H4" s="128"/>
      <c r="I4" s="73" t="s">
        <v>19</v>
      </c>
      <c r="J4" s="128" t="str">
        <f>Položky!C7</f>
        <v>SO01 - Chodník u jídelny a přístup na parkoviště</v>
      </c>
      <c r="K4" s="128"/>
      <c r="L4" s="128"/>
      <c r="M4" s="128"/>
      <c r="N4" s="128"/>
      <c r="O4" s="74"/>
    </row>
    <row r="5" spans="1:15" ht="13.5">
      <c r="A5" s="70"/>
      <c r="B5" s="75"/>
      <c r="C5" s="75"/>
      <c r="D5" s="75"/>
      <c r="E5" s="75"/>
      <c r="F5" s="66"/>
      <c r="G5" s="66"/>
      <c r="H5" s="66"/>
      <c r="I5" s="66"/>
      <c r="J5" s="66"/>
      <c r="K5" s="66"/>
      <c r="L5" s="66"/>
      <c r="M5" s="66"/>
      <c r="N5" s="66"/>
      <c r="O5" s="76"/>
    </row>
    <row r="6" spans="1:15" ht="13.5">
      <c r="A6" s="70"/>
      <c r="B6" s="129" t="s">
        <v>20</v>
      </c>
      <c r="C6" s="129"/>
      <c r="D6" s="130"/>
      <c r="E6" s="131"/>
      <c r="F6" s="77" t="s">
        <v>21</v>
      </c>
      <c r="G6" s="132" t="s">
        <v>192</v>
      </c>
      <c r="H6" s="129"/>
      <c r="I6" s="129"/>
      <c r="J6" s="129"/>
      <c r="K6" s="129"/>
      <c r="L6" s="129"/>
      <c r="M6" s="129"/>
      <c r="N6" s="129"/>
      <c r="O6" s="76"/>
    </row>
    <row r="7" spans="1:15" ht="13.5">
      <c r="A7" s="70"/>
      <c r="B7" s="129" t="s">
        <v>22</v>
      </c>
      <c r="C7" s="129"/>
      <c r="D7" s="131"/>
      <c r="E7" s="131"/>
      <c r="F7" s="77" t="s">
        <v>23</v>
      </c>
      <c r="G7" s="132" t="s">
        <v>193</v>
      </c>
      <c r="H7" s="132"/>
      <c r="I7" s="132"/>
      <c r="J7" s="132"/>
      <c r="K7" s="132"/>
      <c r="L7" s="132"/>
      <c r="M7" s="132"/>
      <c r="N7" s="132"/>
      <c r="O7" s="76"/>
    </row>
    <row r="8" spans="1:15" ht="13.5">
      <c r="A8" s="70"/>
      <c r="B8" s="129" t="s">
        <v>24</v>
      </c>
      <c r="C8" s="129"/>
      <c r="D8" s="131"/>
      <c r="E8" s="131"/>
      <c r="F8" s="77" t="s">
        <v>25</v>
      </c>
      <c r="G8" s="132" t="s">
        <v>194</v>
      </c>
      <c r="H8" s="132"/>
      <c r="I8" s="132"/>
      <c r="J8" s="132"/>
      <c r="K8" s="132"/>
      <c r="L8" s="132"/>
      <c r="M8" s="132"/>
      <c r="N8" s="132"/>
      <c r="O8" s="76"/>
    </row>
    <row r="9" spans="1:15" ht="13.5">
      <c r="A9" s="70"/>
      <c r="B9" s="129" t="s">
        <v>26</v>
      </c>
      <c r="C9" s="129"/>
      <c r="D9" s="131"/>
      <c r="E9" s="131"/>
      <c r="F9" s="77" t="s">
        <v>27</v>
      </c>
      <c r="G9" s="132" t="s">
        <v>28</v>
      </c>
      <c r="H9" s="132"/>
      <c r="I9" s="132"/>
      <c r="J9" s="132"/>
      <c r="K9" s="132"/>
      <c r="L9" s="132"/>
      <c r="M9" s="132"/>
      <c r="N9" s="132"/>
      <c r="O9" s="76"/>
    </row>
    <row r="10" spans="1:15" ht="13.5">
      <c r="A10" s="70"/>
      <c r="B10" s="129" t="s">
        <v>29</v>
      </c>
      <c r="C10" s="129"/>
      <c r="D10" s="129"/>
      <c r="E10" s="129"/>
      <c r="F10" s="77" t="s">
        <v>30</v>
      </c>
      <c r="G10" s="132" t="s">
        <v>31</v>
      </c>
      <c r="H10" s="132"/>
      <c r="I10" s="132"/>
      <c r="J10" s="132"/>
      <c r="K10" s="132"/>
      <c r="L10" s="132"/>
      <c r="M10" s="132"/>
      <c r="N10" s="132"/>
      <c r="O10" s="76"/>
    </row>
    <row r="11" spans="1:15" ht="13.5">
      <c r="A11" s="70"/>
      <c r="B11" s="129" t="s">
        <v>32</v>
      </c>
      <c r="C11" s="129"/>
      <c r="D11" s="133">
        <v>42177</v>
      </c>
      <c r="E11" s="129"/>
      <c r="F11" s="77"/>
      <c r="G11" s="129"/>
      <c r="H11" s="129"/>
      <c r="I11" s="129"/>
      <c r="J11" s="129"/>
      <c r="K11" s="129"/>
      <c r="L11" s="129"/>
      <c r="M11" s="129"/>
      <c r="N11" s="129"/>
      <c r="O11" s="76"/>
    </row>
    <row r="12" spans="1:15" ht="14.25" thickBot="1">
      <c r="A12" s="70"/>
      <c r="B12" s="129"/>
      <c r="C12" s="129"/>
      <c r="D12" s="129"/>
      <c r="E12" s="129"/>
      <c r="F12" s="77"/>
      <c r="G12" s="129"/>
      <c r="H12" s="129"/>
      <c r="I12" s="129"/>
      <c r="J12" s="129"/>
      <c r="K12" s="129"/>
      <c r="L12" s="129"/>
      <c r="M12" s="129"/>
      <c r="N12" s="129"/>
      <c r="O12" s="76"/>
    </row>
    <row r="13" spans="1:15" ht="14.25" thickBot="1">
      <c r="A13" s="70"/>
      <c r="B13" s="134" t="s">
        <v>33</v>
      </c>
      <c r="C13" s="134"/>
      <c r="D13" s="134"/>
      <c r="E13" s="134"/>
      <c r="F13" s="134"/>
      <c r="G13" s="135" t="s">
        <v>34</v>
      </c>
      <c r="H13" s="135"/>
      <c r="I13" s="135"/>
      <c r="J13" s="135"/>
      <c r="K13" s="135"/>
      <c r="L13" s="134" t="s">
        <v>35</v>
      </c>
      <c r="M13" s="134"/>
      <c r="N13" s="134"/>
      <c r="O13" s="76"/>
    </row>
    <row r="14" spans="1:15" ht="13.5">
      <c r="A14" s="70"/>
      <c r="B14" s="78" t="s">
        <v>36</v>
      </c>
      <c r="C14" s="79" t="s">
        <v>37</v>
      </c>
      <c r="D14" s="79" t="s">
        <v>38</v>
      </c>
      <c r="E14" s="80" t="s">
        <v>39</v>
      </c>
      <c r="F14" s="81" t="s">
        <v>40</v>
      </c>
      <c r="G14" s="136" t="s">
        <v>41</v>
      </c>
      <c r="H14" s="137"/>
      <c r="I14" s="137"/>
      <c r="J14" s="82" t="s">
        <v>42</v>
      </c>
      <c r="K14" s="83" t="s">
        <v>43</v>
      </c>
      <c r="L14" s="76"/>
      <c r="M14" s="66"/>
      <c r="N14" s="66"/>
      <c r="O14" s="76"/>
    </row>
    <row r="15" spans="1:15" ht="13.5">
      <c r="A15" s="70"/>
      <c r="B15" s="84" t="s">
        <v>44</v>
      </c>
      <c r="C15" s="85"/>
      <c r="D15" s="85">
        <f>Položky!G7</f>
        <v>661779.59</v>
      </c>
      <c r="E15" s="85"/>
      <c r="F15" s="86"/>
      <c r="G15" s="138"/>
      <c r="H15" s="138"/>
      <c r="I15" s="138"/>
      <c r="J15" s="87"/>
      <c r="K15" s="88"/>
      <c r="L15" s="139" t="s">
        <v>31</v>
      </c>
      <c r="M15" s="140"/>
      <c r="N15" s="141"/>
      <c r="O15" s="76"/>
    </row>
    <row r="16" spans="1:15" ht="13.5">
      <c r="A16" s="70"/>
      <c r="B16" s="84" t="s">
        <v>190</v>
      </c>
      <c r="C16" s="85"/>
      <c r="D16" s="85">
        <f>Položky!G101</f>
        <v>181427.39999999997</v>
      </c>
      <c r="E16" s="85"/>
      <c r="F16" s="86"/>
      <c r="G16" s="129"/>
      <c r="H16" s="129"/>
      <c r="I16" s="129"/>
      <c r="J16" s="89"/>
      <c r="K16" s="90"/>
      <c r="M16" s="66"/>
      <c r="N16" s="66"/>
      <c r="O16" s="76"/>
    </row>
    <row r="17" spans="1:15" ht="13.5">
      <c r="A17" s="70"/>
      <c r="B17" s="84" t="s">
        <v>191</v>
      </c>
      <c r="C17" s="85"/>
      <c r="D17" s="85">
        <f>Položky!G140</f>
        <v>365278.54000000004</v>
      </c>
      <c r="E17" s="85"/>
      <c r="F17" s="86"/>
      <c r="G17" s="129"/>
      <c r="H17" s="129"/>
      <c r="I17" s="129"/>
      <c r="J17" s="89"/>
      <c r="K17" s="91"/>
      <c r="L17" s="76"/>
      <c r="M17" s="66"/>
      <c r="N17" s="66"/>
      <c r="O17" s="76"/>
    </row>
    <row r="18" spans="1:15" ht="13.5">
      <c r="A18" s="70"/>
      <c r="B18" s="84"/>
      <c r="C18" s="85"/>
      <c r="D18" s="85"/>
      <c r="E18" s="85"/>
      <c r="F18" s="86"/>
      <c r="G18" s="129"/>
      <c r="H18" s="129"/>
      <c r="I18" s="129"/>
      <c r="J18" s="89"/>
      <c r="K18" s="91"/>
      <c r="L18" s="76"/>
      <c r="M18" s="66"/>
      <c r="N18" s="66"/>
      <c r="O18" s="76"/>
    </row>
    <row r="19" spans="1:15" ht="13.5">
      <c r="A19" s="70"/>
      <c r="B19" s="84"/>
      <c r="C19" s="85"/>
      <c r="D19" s="85"/>
      <c r="E19" s="85"/>
      <c r="F19" s="86"/>
      <c r="G19" s="129"/>
      <c r="H19" s="129"/>
      <c r="I19" s="129"/>
      <c r="J19" s="89"/>
      <c r="K19" s="91"/>
      <c r="L19" s="92" t="s">
        <v>45</v>
      </c>
      <c r="M19" s="93">
        <f>D11</f>
        <v>42177</v>
      </c>
      <c r="N19" s="66"/>
      <c r="O19" s="76"/>
    </row>
    <row r="20" spans="1:15" ht="14.25" thickBot="1">
      <c r="A20" s="70"/>
      <c r="B20" s="94" t="s">
        <v>46</v>
      </c>
      <c r="C20" s="95">
        <f>SUM(C15:C19)</f>
        <v>0</v>
      </c>
      <c r="D20" s="95">
        <f>SUM(D15:D19)</f>
        <v>1208485.53</v>
      </c>
      <c r="E20" s="95">
        <f>SUM(E15:E19)</f>
        <v>0</v>
      </c>
      <c r="F20" s="96">
        <f>SUM(F15:F19)</f>
        <v>0</v>
      </c>
      <c r="G20" s="129"/>
      <c r="H20" s="129"/>
      <c r="I20" s="129"/>
      <c r="J20" s="89"/>
      <c r="K20" s="91"/>
      <c r="L20" s="76"/>
      <c r="M20" s="97"/>
      <c r="N20" s="97"/>
      <c r="O20" s="76"/>
    </row>
    <row r="21" spans="1:15" ht="14.25" thickBot="1">
      <c r="A21" s="70"/>
      <c r="B21" s="143" t="s">
        <v>47</v>
      </c>
      <c r="C21" s="143"/>
      <c r="D21" s="143"/>
      <c r="E21" s="142">
        <f>SUM(C20:E20)</f>
        <v>1208485.53</v>
      </c>
      <c r="F21" s="142"/>
      <c r="G21" s="129"/>
      <c r="H21" s="129"/>
      <c r="I21" s="129"/>
      <c r="J21" s="89"/>
      <c r="K21" s="91"/>
      <c r="L21" s="134" t="s">
        <v>48</v>
      </c>
      <c r="M21" s="134"/>
      <c r="N21" s="134"/>
      <c r="O21" s="76"/>
    </row>
    <row r="22" spans="1:15" ht="13.5">
      <c r="A22" s="70"/>
      <c r="B22" s="143" t="s">
        <v>40</v>
      </c>
      <c r="C22" s="143"/>
      <c r="D22" s="143"/>
      <c r="E22" s="144">
        <f>F20</f>
        <v>0</v>
      </c>
      <c r="F22" s="144"/>
      <c r="G22" s="129"/>
      <c r="H22" s="129"/>
      <c r="I22" s="129"/>
      <c r="J22" s="89"/>
      <c r="K22" s="91"/>
      <c r="L22" s="98"/>
      <c r="M22" s="66"/>
      <c r="N22" s="66"/>
      <c r="O22" s="76"/>
    </row>
    <row r="23" spans="1:15" ht="13.5">
      <c r="A23" s="70"/>
      <c r="B23" s="145" t="s">
        <v>49</v>
      </c>
      <c r="C23" s="145"/>
      <c r="D23" s="145"/>
      <c r="E23" s="146">
        <f>E21+E22</f>
        <v>1208485.53</v>
      </c>
      <c r="F23" s="146"/>
      <c r="G23" s="147" t="s">
        <v>50</v>
      </c>
      <c r="H23" s="147"/>
      <c r="I23" s="147"/>
      <c r="J23" s="148">
        <f>SUM(J15:J22)</f>
        <v>0</v>
      </c>
      <c r="K23" s="148"/>
      <c r="L23" s="139" t="s">
        <v>196</v>
      </c>
      <c r="M23" s="140"/>
      <c r="N23" s="141"/>
      <c r="O23" s="76"/>
    </row>
    <row r="24" spans="1:15" ht="14.25" thickBot="1">
      <c r="A24" s="70"/>
      <c r="B24" s="145"/>
      <c r="C24" s="145"/>
      <c r="D24" s="145"/>
      <c r="E24" s="146"/>
      <c r="F24" s="146"/>
      <c r="G24" s="147"/>
      <c r="H24" s="147"/>
      <c r="I24" s="147"/>
      <c r="J24" s="148"/>
      <c r="K24" s="148"/>
      <c r="L24" s="76"/>
      <c r="M24" s="66"/>
      <c r="N24" s="66"/>
      <c r="O24" s="76"/>
    </row>
    <row r="25" spans="1:15" ht="14.25" thickBot="1">
      <c r="A25" s="70"/>
      <c r="B25" s="134" t="s">
        <v>51</v>
      </c>
      <c r="C25" s="134"/>
      <c r="D25" s="134"/>
      <c r="E25" s="134"/>
      <c r="F25" s="134"/>
      <c r="G25" s="149" t="s">
        <v>52</v>
      </c>
      <c r="H25" s="149"/>
      <c r="I25" s="149"/>
      <c r="J25" s="149"/>
      <c r="K25" s="149"/>
      <c r="L25" s="76"/>
      <c r="M25" s="66"/>
      <c r="N25" s="66"/>
      <c r="O25" s="76"/>
    </row>
    <row r="26" spans="1:15" ht="13.5">
      <c r="A26" s="70"/>
      <c r="B26" s="94" t="s">
        <v>53</v>
      </c>
      <c r="C26" s="150" t="s">
        <v>54</v>
      </c>
      <c r="D26" s="150"/>
      <c r="E26" s="151" t="s">
        <v>55</v>
      </c>
      <c r="F26" s="151"/>
      <c r="G26" s="99"/>
      <c r="H26" s="152" t="s">
        <v>56</v>
      </c>
      <c r="I26" s="152"/>
      <c r="J26" s="153" t="s">
        <v>55</v>
      </c>
      <c r="K26" s="153"/>
      <c r="L26" s="76"/>
      <c r="M26" s="66"/>
      <c r="N26" s="66"/>
      <c r="O26" s="76"/>
    </row>
    <row r="27" spans="1:15" ht="13.5">
      <c r="A27" s="70"/>
      <c r="B27" s="100">
        <v>10</v>
      </c>
      <c r="C27" s="154"/>
      <c r="D27" s="154"/>
      <c r="E27" s="155">
        <f>C27/100*B27</f>
        <v>0</v>
      </c>
      <c r="F27" s="155"/>
      <c r="G27" s="101"/>
      <c r="H27" s="156">
        <f>SUMIF(K15:K22,B27,J15:J22)</f>
        <v>0</v>
      </c>
      <c r="I27" s="156"/>
      <c r="J27" s="157">
        <f>H27*B27/100</f>
        <v>0</v>
      </c>
      <c r="K27" s="157"/>
      <c r="L27" s="92" t="s">
        <v>45</v>
      </c>
      <c r="M27" s="93">
        <v>42180</v>
      </c>
      <c r="N27" s="66"/>
      <c r="O27" s="76"/>
    </row>
    <row r="28" spans="1:15" ht="14.25" thickBot="1">
      <c r="A28" s="70"/>
      <c r="B28" s="100">
        <v>21</v>
      </c>
      <c r="C28" s="154">
        <f>E23</f>
        <v>1208485.53</v>
      </c>
      <c r="D28" s="154"/>
      <c r="E28" s="155">
        <f>C28/100*B28</f>
        <v>253781.96130000002</v>
      </c>
      <c r="F28" s="155"/>
      <c r="G28" s="101"/>
      <c r="H28" s="157">
        <f>SUMIF(K15:K22,B28,J15:J22)</f>
        <v>0</v>
      </c>
      <c r="I28" s="157"/>
      <c r="J28" s="157">
        <f>H28*B28/100</f>
        <v>0</v>
      </c>
      <c r="K28" s="157"/>
      <c r="L28" s="76"/>
      <c r="M28" s="66"/>
      <c r="N28" s="66"/>
      <c r="O28" s="76"/>
    </row>
    <row r="29" spans="1:15" ht="14.25" thickBot="1">
      <c r="A29" s="70"/>
      <c r="B29" s="100">
        <v>0</v>
      </c>
      <c r="C29" s="158">
        <f>(E23+J23)-(C27+C28)</f>
        <v>0</v>
      </c>
      <c r="D29" s="158"/>
      <c r="E29" s="155">
        <f>C29/100*B29</f>
        <v>0</v>
      </c>
      <c r="F29" s="155"/>
      <c r="G29" s="101"/>
      <c r="H29" s="157">
        <f>J23-(H27+H28)</f>
        <v>0</v>
      </c>
      <c r="I29" s="157"/>
      <c r="J29" s="157">
        <f>H29*B29/100</f>
        <v>0</v>
      </c>
      <c r="K29" s="157"/>
      <c r="L29" s="134" t="s">
        <v>57</v>
      </c>
      <c r="M29" s="134"/>
      <c r="N29" s="134"/>
      <c r="O29" s="76"/>
    </row>
    <row r="30" spans="1:15" ht="13.5">
      <c r="A30" s="70"/>
      <c r="B30" s="145"/>
      <c r="C30" s="159">
        <f>ROUNDUP(C27+C28+C29,1)</f>
        <v>1208485.6</v>
      </c>
      <c r="D30" s="160"/>
      <c r="E30" s="163">
        <f>ROUNDUP(E27+E28+E29,1)</f>
        <v>253782</v>
      </c>
      <c r="F30" s="163"/>
      <c r="G30" s="164"/>
      <c r="H30" s="164"/>
      <c r="I30" s="164"/>
      <c r="J30" s="165">
        <f>J27+J28+J29</f>
        <v>0</v>
      </c>
      <c r="K30" s="165"/>
      <c r="L30" s="76"/>
      <c r="M30" s="66"/>
      <c r="N30" s="66"/>
      <c r="O30" s="76"/>
    </row>
    <row r="31" spans="1:15" ht="14.25" thickBot="1">
      <c r="A31" s="70"/>
      <c r="B31" s="145"/>
      <c r="C31" s="161"/>
      <c r="D31" s="162"/>
      <c r="E31" s="163"/>
      <c r="F31" s="163"/>
      <c r="G31" s="164"/>
      <c r="H31" s="164"/>
      <c r="I31" s="164"/>
      <c r="J31" s="165"/>
      <c r="K31" s="165"/>
      <c r="L31" s="76"/>
      <c r="M31" s="66"/>
      <c r="N31" s="66"/>
      <c r="O31" s="76"/>
    </row>
    <row r="32" spans="1:15" ht="15" thickBot="1">
      <c r="A32" s="70"/>
      <c r="B32" s="166" t="s">
        <v>58</v>
      </c>
      <c r="C32" s="166"/>
      <c r="D32" s="166"/>
      <c r="E32" s="166"/>
      <c r="F32" s="166"/>
      <c r="G32" s="167" t="s">
        <v>59</v>
      </c>
      <c r="H32" s="167"/>
      <c r="I32" s="167"/>
      <c r="J32" s="167"/>
      <c r="K32" s="167"/>
      <c r="L32" s="66"/>
      <c r="M32" s="66"/>
      <c r="N32" s="66"/>
      <c r="O32" s="76"/>
    </row>
    <row r="33" spans="1:15" ht="13.5">
      <c r="A33" s="70"/>
      <c r="B33" s="168">
        <f>C30+E30</f>
        <v>1462267.6</v>
      </c>
      <c r="C33" s="168"/>
      <c r="D33" s="168"/>
      <c r="E33" s="168"/>
      <c r="F33" s="168"/>
      <c r="G33" s="169" t="s">
        <v>60</v>
      </c>
      <c r="H33" s="169"/>
      <c r="I33" s="169"/>
      <c r="J33" s="79" t="s">
        <v>61</v>
      </c>
      <c r="K33" s="102" t="s">
        <v>62</v>
      </c>
      <c r="L33" s="66"/>
      <c r="M33" s="66"/>
      <c r="N33" s="66"/>
      <c r="O33" s="76"/>
    </row>
    <row r="34" spans="1:15" ht="13.5">
      <c r="A34" s="70"/>
      <c r="B34" s="168"/>
      <c r="C34" s="168"/>
      <c r="D34" s="168"/>
      <c r="E34" s="168"/>
      <c r="F34" s="168"/>
      <c r="G34" s="129"/>
      <c r="H34" s="129"/>
      <c r="I34" s="129"/>
      <c r="J34" s="77"/>
      <c r="K34" s="103">
        <f>IF(J34&gt;0,E23/J34,"")</f>
      </c>
      <c r="L34" s="66"/>
      <c r="M34" s="66"/>
      <c r="N34" s="66"/>
      <c r="O34" s="76"/>
    </row>
    <row r="35" spans="1:15" ht="13.5">
      <c r="A35" s="70"/>
      <c r="B35" s="168"/>
      <c r="C35" s="168"/>
      <c r="D35" s="168"/>
      <c r="E35" s="168"/>
      <c r="F35" s="168"/>
      <c r="G35" s="129"/>
      <c r="H35" s="129"/>
      <c r="I35" s="129"/>
      <c r="J35" s="77"/>
      <c r="K35" s="103">
        <f>IF(J35&gt;0,E23/J35,"")</f>
      </c>
      <c r="L35" s="66"/>
      <c r="M35" s="66"/>
      <c r="N35" s="66"/>
      <c r="O35" s="76"/>
    </row>
    <row r="36" spans="1:15" ht="14.25" thickBot="1">
      <c r="A36" s="70"/>
      <c r="B36" s="168"/>
      <c r="C36" s="168"/>
      <c r="D36" s="168"/>
      <c r="E36" s="168"/>
      <c r="F36" s="168"/>
      <c r="G36" s="129"/>
      <c r="H36" s="129"/>
      <c r="I36" s="129"/>
      <c r="J36" s="77"/>
      <c r="K36" s="103">
        <f>IF(J36&gt;0,E23/J36,"")</f>
      </c>
      <c r="L36" s="66"/>
      <c r="M36" s="66"/>
      <c r="N36" s="66"/>
      <c r="O36" s="76"/>
    </row>
    <row r="37" spans="1:15" ht="9.75" customHeight="1">
      <c r="A37" s="66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66"/>
    </row>
  </sheetData>
  <sheetProtection/>
  <mergeCells count="78">
    <mergeCell ref="B32:F32"/>
    <mergeCell ref="G32:K32"/>
    <mergeCell ref="B33:F36"/>
    <mergeCell ref="G33:I33"/>
    <mergeCell ref="G34:I34"/>
    <mergeCell ref="G35:I35"/>
    <mergeCell ref="G36:I36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C27:D27"/>
    <mergeCell ref="E27:F27"/>
    <mergeCell ref="H27:I27"/>
    <mergeCell ref="J27:K27"/>
    <mergeCell ref="C28:D28"/>
    <mergeCell ref="E28:F28"/>
    <mergeCell ref="H28:I28"/>
    <mergeCell ref="J28:K28"/>
    <mergeCell ref="B25:F25"/>
    <mergeCell ref="G25:K25"/>
    <mergeCell ref="C26:D26"/>
    <mergeCell ref="E26:F26"/>
    <mergeCell ref="H26:I26"/>
    <mergeCell ref="J26:K26"/>
    <mergeCell ref="L21:N21"/>
    <mergeCell ref="B22:D22"/>
    <mergeCell ref="E22:F22"/>
    <mergeCell ref="G22:I22"/>
    <mergeCell ref="B23:D24"/>
    <mergeCell ref="E23:F24"/>
    <mergeCell ref="G23:I24"/>
    <mergeCell ref="J23:K24"/>
    <mergeCell ref="L23:N23"/>
    <mergeCell ref="B21:D21"/>
    <mergeCell ref="E21:F21"/>
    <mergeCell ref="G21:I21"/>
    <mergeCell ref="G16:I16"/>
    <mergeCell ref="G17:I17"/>
    <mergeCell ref="G18:I18"/>
    <mergeCell ref="G19:I19"/>
    <mergeCell ref="G20:I20"/>
    <mergeCell ref="B13:F13"/>
    <mergeCell ref="G13:K13"/>
    <mergeCell ref="L13:N13"/>
    <mergeCell ref="G14:I14"/>
    <mergeCell ref="G15:I15"/>
    <mergeCell ref="L15:N15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2:N3"/>
    <mergeCell ref="C4:H4"/>
    <mergeCell ref="J4:N4"/>
    <mergeCell ref="B6:C6"/>
    <mergeCell ref="D6:E6"/>
    <mergeCell ref="G6:N6"/>
  </mergeCells>
  <conditionalFormatting sqref="C27:F29">
    <cfRule type="cellIs" priority="2" dxfId="0" operator="equal" stopIfTrue="1">
      <formula>0</formula>
    </cfRule>
  </conditionalFormatting>
  <conditionalFormatting sqref="C27:F29">
    <cfRule type="cellIs" priority="1" dxfId="0" operator="equal" stopIfTrue="1">
      <formula>0</formula>
    </cfRule>
  </conditionalFormatting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Header>&amp;R&amp;"Arial,Tučné"&amp;11RK-23-2015-26, př. 1
počet stran: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46"/>
  <sheetViews>
    <sheetView zoomScalePageLayoutView="0" workbookViewId="0" topLeftCell="A1">
      <pane ySplit="6" topLeftCell="A73" activePane="bottomLeft" state="frozen"/>
      <selection pane="topLeft" activeCell="A1" sqref="A1"/>
      <selection pane="bottomLeft" activeCell="K5" sqref="K5:O5"/>
    </sheetView>
  </sheetViews>
  <sheetFormatPr defaultColWidth="10.28125" defaultRowHeight="12.75" customHeight="1"/>
  <cols>
    <col min="1" max="1" width="6.00390625" style="2" customWidth="1"/>
    <col min="2" max="2" width="15.00390625" style="4" customWidth="1"/>
    <col min="3" max="3" width="75.00390625" style="63" customWidth="1"/>
    <col min="4" max="4" width="9.00390625" style="2" customWidth="1"/>
    <col min="5" max="5" width="12.00390625" style="6" customWidth="1"/>
    <col min="6" max="6" width="14.00390625" style="7" customWidth="1"/>
    <col min="7" max="7" width="14.00390625" style="64" customWidth="1"/>
    <col min="8" max="8" width="12.421875" style="65" customWidth="1"/>
    <col min="9" max="9" width="13.28125" style="65" customWidth="1"/>
    <col min="10" max="10" width="10.28125" style="1" customWidth="1"/>
    <col min="11" max="11" width="11.421875" style="1" bestFit="1" customWidth="1"/>
    <col min="12" max="18" width="10.28125" style="1" customWidth="1"/>
    <col min="19" max="19" width="9.140625" style="2" customWidth="1"/>
    <col min="20" max="16384" width="10.28125" style="1" customWidth="1"/>
  </cols>
  <sheetData>
    <row r="1" spans="1:9" ht="19.5" customHeight="1">
      <c r="A1" s="174" t="s">
        <v>15</v>
      </c>
      <c r="B1" s="174"/>
      <c r="C1" s="175"/>
      <c r="D1" s="174"/>
      <c r="E1" s="176"/>
      <c r="F1" s="177"/>
      <c r="G1" s="178"/>
      <c r="H1" s="179"/>
      <c r="I1" s="179"/>
    </row>
    <row r="3" spans="1:9" ht="18">
      <c r="A3" s="3" t="s">
        <v>0</v>
      </c>
      <c r="C3" s="5" t="s">
        <v>182</v>
      </c>
      <c r="G3" s="8">
        <f>G7+G101+G140</f>
        <v>1208485.53</v>
      </c>
      <c r="H3" s="8">
        <f>H7+H101+H140</f>
        <v>253781.96129999994</v>
      </c>
      <c r="I3" s="8">
        <f>I7+I101+I140</f>
        <v>1462267.4913</v>
      </c>
    </row>
    <row r="4" spans="1:9" ht="13.5">
      <c r="A4" s="189" t="s">
        <v>67</v>
      </c>
      <c r="B4" s="186" t="s">
        <v>66</v>
      </c>
      <c r="C4" s="184" t="s">
        <v>2</v>
      </c>
      <c r="D4" s="186" t="s">
        <v>3</v>
      </c>
      <c r="E4" s="188" t="s">
        <v>65</v>
      </c>
      <c r="F4" s="180" t="s">
        <v>4</v>
      </c>
      <c r="G4" s="181"/>
      <c r="H4" s="182"/>
      <c r="I4" s="183"/>
    </row>
    <row r="5" spans="1:9" ht="27">
      <c r="A5" s="190"/>
      <c r="B5" s="187"/>
      <c r="C5" s="185"/>
      <c r="D5" s="187"/>
      <c r="E5" s="185"/>
      <c r="F5" s="9" t="s">
        <v>5</v>
      </c>
      <c r="G5" s="10" t="s">
        <v>6</v>
      </c>
      <c r="H5" s="11" t="s">
        <v>64</v>
      </c>
      <c r="I5" s="12" t="s">
        <v>63</v>
      </c>
    </row>
    <row r="6" spans="1:9" ht="13.5">
      <c r="A6" s="13" t="s">
        <v>7</v>
      </c>
      <c r="B6" s="14" t="s">
        <v>8</v>
      </c>
      <c r="C6" s="15" t="s">
        <v>9</v>
      </c>
      <c r="D6" s="14" t="s">
        <v>10</v>
      </c>
      <c r="E6" s="16" t="s">
        <v>11</v>
      </c>
      <c r="F6" s="17" t="s">
        <v>12</v>
      </c>
      <c r="G6" s="18" t="s">
        <v>13</v>
      </c>
      <c r="H6" s="19">
        <v>8</v>
      </c>
      <c r="I6" s="20">
        <v>9</v>
      </c>
    </row>
    <row r="7" spans="1:9" ht="28.5" customHeight="1">
      <c r="A7" s="172" t="s">
        <v>1</v>
      </c>
      <c r="B7" s="173"/>
      <c r="C7" s="21" t="s">
        <v>183</v>
      </c>
      <c r="D7" s="22"/>
      <c r="E7" s="23"/>
      <c r="F7" s="24"/>
      <c r="G7" s="25">
        <f>G30+G35+G39+G46+G50+G54+G58+G62+G66+G72+G77+G82+G95+G99</f>
        <v>661779.59</v>
      </c>
      <c r="H7" s="25">
        <f>H30+H35+H39+H46+H50+H54+H58+H62+H66+H72+H77+H82+H95+H99</f>
        <v>138973.71389999997</v>
      </c>
      <c r="I7" s="25">
        <f>I30+I35+I39+I46+I50+I54+I58+I62+I66+I72+I77+I82+I95+I99</f>
        <v>800753.3039000002</v>
      </c>
    </row>
    <row r="8" spans="1:19" s="119" customFormat="1" ht="12.75" customHeight="1">
      <c r="A8" s="120"/>
      <c r="B8" s="121" t="s">
        <v>7</v>
      </c>
      <c r="C8" s="122" t="s">
        <v>68</v>
      </c>
      <c r="D8" s="121"/>
      <c r="E8" s="123"/>
      <c r="F8" s="124"/>
      <c r="G8" s="125"/>
      <c r="H8" s="26"/>
      <c r="I8" s="27"/>
      <c r="S8" s="2"/>
    </row>
    <row r="9" spans="1:19" s="119" customFormat="1" ht="30" customHeight="1">
      <c r="A9" s="28">
        <v>1</v>
      </c>
      <c r="B9" s="29" t="s">
        <v>76</v>
      </c>
      <c r="C9" s="30" t="s">
        <v>77</v>
      </c>
      <c r="D9" s="31" t="s">
        <v>16</v>
      </c>
      <c r="E9" s="32">
        <v>492.45</v>
      </c>
      <c r="F9" s="33">
        <v>46.37</v>
      </c>
      <c r="G9" s="34">
        <f aca="true" t="shared" si="0" ref="G9:G29">ROUND((E9*F9),2)</f>
        <v>22834.91</v>
      </c>
      <c r="H9" s="35">
        <f>G9*1.21-G9</f>
        <v>4795.331099999999</v>
      </c>
      <c r="I9" s="36">
        <f>G9*1.21</f>
        <v>27630.2411</v>
      </c>
      <c r="K9" s="118"/>
      <c r="S9" s="2"/>
    </row>
    <row r="10" spans="1:19" s="119" customFormat="1" ht="30" customHeight="1">
      <c r="A10" s="28">
        <v>5</v>
      </c>
      <c r="B10" s="29" t="s">
        <v>78</v>
      </c>
      <c r="C10" s="30" t="s">
        <v>79</v>
      </c>
      <c r="D10" s="31" t="s">
        <v>80</v>
      </c>
      <c r="E10" s="32">
        <v>149</v>
      </c>
      <c r="F10" s="33">
        <v>37.49</v>
      </c>
      <c r="G10" s="34">
        <f t="shared" si="0"/>
        <v>5586.01</v>
      </c>
      <c r="H10" s="35">
        <f aca="true" t="shared" si="1" ref="H10:H71">G10*1.21-G10</f>
        <v>1173.0621</v>
      </c>
      <c r="I10" s="36">
        <f aca="true" t="shared" si="2" ref="I10:I71">G10*1.21</f>
        <v>6759.0721</v>
      </c>
      <c r="K10" s="118"/>
      <c r="S10" s="2"/>
    </row>
    <row r="11" spans="1:19" s="119" customFormat="1" ht="30" customHeight="1">
      <c r="A11" s="28">
        <v>43</v>
      </c>
      <c r="B11" s="29" t="s">
        <v>81</v>
      </c>
      <c r="C11" s="30" t="s">
        <v>82</v>
      </c>
      <c r="D11" s="31" t="s">
        <v>83</v>
      </c>
      <c r="E11" s="32">
        <v>6</v>
      </c>
      <c r="F11" s="33">
        <v>247.81</v>
      </c>
      <c r="G11" s="34">
        <f t="shared" si="0"/>
        <v>1486.86</v>
      </c>
      <c r="H11" s="35">
        <f t="shared" si="1"/>
        <v>312.24059999999986</v>
      </c>
      <c r="I11" s="36">
        <f t="shared" si="2"/>
        <v>1799.1005999999998</v>
      </c>
      <c r="K11" s="118"/>
      <c r="S11" s="2"/>
    </row>
    <row r="12" spans="1:19" s="119" customFormat="1" ht="30" customHeight="1">
      <c r="A12" s="28">
        <v>9</v>
      </c>
      <c r="B12" s="29" t="s">
        <v>84</v>
      </c>
      <c r="C12" s="30" t="s">
        <v>85</v>
      </c>
      <c r="D12" s="31" t="s">
        <v>83</v>
      </c>
      <c r="E12" s="32">
        <v>6.705</v>
      </c>
      <c r="F12" s="33">
        <v>583.63</v>
      </c>
      <c r="G12" s="34">
        <f t="shared" si="0"/>
        <v>3913.24</v>
      </c>
      <c r="H12" s="35">
        <f t="shared" si="1"/>
        <v>821.7803999999996</v>
      </c>
      <c r="I12" s="36">
        <f t="shared" si="2"/>
        <v>4735.020399999999</v>
      </c>
      <c r="K12" s="118"/>
      <c r="S12" s="2"/>
    </row>
    <row r="13" spans="1:19" s="119" customFormat="1" ht="30" customHeight="1">
      <c r="A13" s="28">
        <v>20</v>
      </c>
      <c r="B13" s="29" t="s">
        <v>84</v>
      </c>
      <c r="C13" s="30" t="s">
        <v>86</v>
      </c>
      <c r="D13" s="31" t="s">
        <v>83</v>
      </c>
      <c r="E13" s="32">
        <v>3.33</v>
      </c>
      <c r="F13" s="33">
        <v>583.63</v>
      </c>
      <c r="G13" s="34">
        <f t="shared" si="0"/>
        <v>1943.49</v>
      </c>
      <c r="H13" s="35">
        <f t="shared" si="1"/>
        <v>408.13289999999984</v>
      </c>
      <c r="I13" s="36">
        <f t="shared" si="2"/>
        <v>2351.6229</v>
      </c>
      <c r="K13" s="118"/>
      <c r="S13" s="2"/>
    </row>
    <row r="14" spans="1:19" s="119" customFormat="1" ht="30" customHeight="1">
      <c r="A14" s="28">
        <v>25</v>
      </c>
      <c r="B14" s="29" t="s">
        <v>84</v>
      </c>
      <c r="C14" s="30" t="s">
        <v>87</v>
      </c>
      <c r="D14" s="31" t="s">
        <v>83</v>
      </c>
      <c r="E14" s="32">
        <v>5.148</v>
      </c>
      <c r="F14" s="33">
        <v>583.63</v>
      </c>
      <c r="G14" s="34">
        <f t="shared" si="0"/>
        <v>3004.53</v>
      </c>
      <c r="H14" s="35">
        <f t="shared" si="1"/>
        <v>630.9512999999997</v>
      </c>
      <c r="I14" s="36">
        <f t="shared" si="2"/>
        <v>3635.4813</v>
      </c>
      <c r="K14" s="118"/>
      <c r="S14" s="2"/>
    </row>
    <row r="15" spans="1:19" s="119" customFormat="1" ht="30" customHeight="1">
      <c r="A15" s="28">
        <v>33</v>
      </c>
      <c r="B15" s="29" t="s">
        <v>84</v>
      </c>
      <c r="C15" s="30" t="s">
        <v>88</v>
      </c>
      <c r="D15" s="31" t="s">
        <v>83</v>
      </c>
      <c r="E15" s="32">
        <v>3.75</v>
      </c>
      <c r="F15" s="33">
        <v>583.63</v>
      </c>
      <c r="G15" s="34">
        <f t="shared" si="0"/>
        <v>2188.61</v>
      </c>
      <c r="H15" s="35">
        <f t="shared" si="1"/>
        <v>459.6080999999999</v>
      </c>
      <c r="I15" s="36">
        <f t="shared" si="2"/>
        <v>2648.2181</v>
      </c>
      <c r="K15" s="118"/>
      <c r="S15" s="2"/>
    </row>
    <row r="16" spans="1:19" s="119" customFormat="1" ht="30" customHeight="1">
      <c r="A16" s="28">
        <v>11</v>
      </c>
      <c r="B16" s="29" t="s">
        <v>89</v>
      </c>
      <c r="C16" s="30" t="s">
        <v>90</v>
      </c>
      <c r="D16" s="31" t="s">
        <v>83</v>
      </c>
      <c r="E16" s="32">
        <v>6.705</v>
      </c>
      <c r="F16" s="33">
        <v>176.77</v>
      </c>
      <c r="G16" s="34">
        <f t="shared" si="0"/>
        <v>1185.24</v>
      </c>
      <c r="H16" s="35">
        <f t="shared" si="1"/>
        <v>248.9004</v>
      </c>
      <c r="I16" s="36">
        <f t="shared" si="2"/>
        <v>1434.1404</v>
      </c>
      <c r="K16" s="118"/>
      <c r="S16" s="2"/>
    </row>
    <row r="17" spans="1:19" s="119" customFormat="1" ht="30" customHeight="1">
      <c r="A17" s="28">
        <v>27</v>
      </c>
      <c r="B17" s="29" t="s">
        <v>89</v>
      </c>
      <c r="C17" s="30" t="s">
        <v>91</v>
      </c>
      <c r="D17" s="31" t="s">
        <v>83</v>
      </c>
      <c r="E17" s="32">
        <v>5.148</v>
      </c>
      <c r="F17" s="33">
        <v>176.77</v>
      </c>
      <c r="G17" s="34">
        <f t="shared" si="0"/>
        <v>910.01</v>
      </c>
      <c r="H17" s="35">
        <f t="shared" si="1"/>
        <v>191.10210000000006</v>
      </c>
      <c r="I17" s="36">
        <f t="shared" si="2"/>
        <v>1101.1121</v>
      </c>
      <c r="K17" s="118"/>
      <c r="S17" s="2"/>
    </row>
    <row r="18" spans="1:19" s="119" customFormat="1" ht="30" customHeight="1">
      <c r="A18" s="28">
        <v>45</v>
      </c>
      <c r="B18" s="29" t="s">
        <v>89</v>
      </c>
      <c r="C18" s="30" t="s">
        <v>92</v>
      </c>
      <c r="D18" s="31" t="s">
        <v>83</v>
      </c>
      <c r="E18" s="32">
        <v>6</v>
      </c>
      <c r="F18" s="33">
        <v>176.77</v>
      </c>
      <c r="G18" s="34">
        <f t="shared" si="0"/>
        <v>1060.62</v>
      </c>
      <c r="H18" s="35">
        <f t="shared" si="1"/>
        <v>222.73019999999997</v>
      </c>
      <c r="I18" s="36">
        <f t="shared" si="2"/>
        <v>1283.3501999999999</v>
      </c>
      <c r="K18" s="118"/>
      <c r="S18" s="2"/>
    </row>
    <row r="19" spans="1:19" s="119" customFormat="1" ht="30" customHeight="1">
      <c r="A19" s="28">
        <v>10</v>
      </c>
      <c r="B19" s="29" t="s">
        <v>93</v>
      </c>
      <c r="C19" s="30" t="s">
        <v>94</v>
      </c>
      <c r="D19" s="31" t="s">
        <v>83</v>
      </c>
      <c r="E19" s="32">
        <v>6.705</v>
      </c>
      <c r="F19" s="33">
        <v>172.49</v>
      </c>
      <c r="G19" s="34">
        <f t="shared" si="0"/>
        <v>1156.55</v>
      </c>
      <c r="H19" s="35">
        <f t="shared" si="1"/>
        <v>242.87549999999987</v>
      </c>
      <c r="I19" s="36">
        <f t="shared" si="2"/>
        <v>1399.4254999999998</v>
      </c>
      <c r="K19" s="118"/>
      <c r="S19" s="2"/>
    </row>
    <row r="20" spans="1:19" s="119" customFormat="1" ht="30" customHeight="1">
      <c r="A20" s="28">
        <v>26</v>
      </c>
      <c r="B20" s="29" t="s">
        <v>93</v>
      </c>
      <c r="C20" s="30" t="s">
        <v>95</v>
      </c>
      <c r="D20" s="31" t="s">
        <v>83</v>
      </c>
      <c r="E20" s="32">
        <v>5.148</v>
      </c>
      <c r="F20" s="33">
        <v>172.49</v>
      </c>
      <c r="G20" s="34">
        <f t="shared" si="0"/>
        <v>887.98</v>
      </c>
      <c r="H20" s="35">
        <f t="shared" si="1"/>
        <v>186.47579999999994</v>
      </c>
      <c r="I20" s="36">
        <f t="shared" si="2"/>
        <v>1074.4558</v>
      </c>
      <c r="K20" s="118"/>
      <c r="S20" s="2"/>
    </row>
    <row r="21" spans="1:19" s="119" customFormat="1" ht="30" customHeight="1">
      <c r="A21" s="28">
        <v>44</v>
      </c>
      <c r="B21" s="29" t="s">
        <v>93</v>
      </c>
      <c r="C21" s="30" t="s">
        <v>96</v>
      </c>
      <c r="D21" s="31" t="s">
        <v>83</v>
      </c>
      <c r="E21" s="32">
        <v>6</v>
      </c>
      <c r="F21" s="33">
        <v>172.49</v>
      </c>
      <c r="G21" s="34">
        <f t="shared" si="0"/>
        <v>1034.94</v>
      </c>
      <c r="H21" s="35">
        <f t="shared" si="1"/>
        <v>217.3373999999999</v>
      </c>
      <c r="I21" s="36">
        <f t="shared" si="2"/>
        <v>1252.2774</v>
      </c>
      <c r="K21" s="118"/>
      <c r="S21" s="2"/>
    </row>
    <row r="22" spans="1:19" s="119" customFormat="1" ht="30" customHeight="1">
      <c r="A22" s="28">
        <v>30</v>
      </c>
      <c r="B22" s="29" t="s">
        <v>97</v>
      </c>
      <c r="C22" s="30" t="s">
        <v>98</v>
      </c>
      <c r="D22" s="31" t="s">
        <v>83</v>
      </c>
      <c r="E22" s="32">
        <v>5.148</v>
      </c>
      <c r="F22" s="33">
        <v>93.31</v>
      </c>
      <c r="G22" s="34">
        <f t="shared" si="0"/>
        <v>480.36</v>
      </c>
      <c r="H22" s="35">
        <f t="shared" si="1"/>
        <v>100.87559999999996</v>
      </c>
      <c r="I22" s="36">
        <f t="shared" si="2"/>
        <v>581.2356</v>
      </c>
      <c r="K22" s="118"/>
      <c r="S22" s="2"/>
    </row>
    <row r="23" spans="1:19" s="119" customFormat="1" ht="30" customHeight="1">
      <c r="A23" s="28">
        <v>34</v>
      </c>
      <c r="B23" s="29" t="s">
        <v>97</v>
      </c>
      <c r="C23" s="30" t="s">
        <v>99</v>
      </c>
      <c r="D23" s="31" t="s">
        <v>83</v>
      </c>
      <c r="E23" s="32">
        <v>3</v>
      </c>
      <c r="F23" s="33">
        <v>93.31</v>
      </c>
      <c r="G23" s="34">
        <f t="shared" si="0"/>
        <v>279.93</v>
      </c>
      <c r="H23" s="35">
        <f t="shared" si="1"/>
        <v>58.78530000000001</v>
      </c>
      <c r="I23" s="36">
        <f t="shared" si="2"/>
        <v>338.7153</v>
      </c>
      <c r="K23" s="118"/>
      <c r="S23" s="2"/>
    </row>
    <row r="24" spans="1:19" s="119" customFormat="1" ht="30" customHeight="1">
      <c r="A24" s="28">
        <v>48</v>
      </c>
      <c r="B24" s="29" t="s">
        <v>97</v>
      </c>
      <c r="C24" s="30" t="s">
        <v>100</v>
      </c>
      <c r="D24" s="31" t="s">
        <v>83</v>
      </c>
      <c r="E24" s="32">
        <v>6</v>
      </c>
      <c r="F24" s="33">
        <v>93.31</v>
      </c>
      <c r="G24" s="34">
        <f t="shared" si="0"/>
        <v>559.86</v>
      </c>
      <c r="H24" s="35">
        <f t="shared" si="1"/>
        <v>117.57060000000001</v>
      </c>
      <c r="I24" s="36">
        <f t="shared" si="2"/>
        <v>677.4306</v>
      </c>
      <c r="K24" s="118"/>
      <c r="S24" s="2"/>
    </row>
    <row r="25" spans="1:19" s="119" customFormat="1" ht="30" customHeight="1">
      <c r="A25" s="28">
        <v>36</v>
      </c>
      <c r="B25" s="29" t="s">
        <v>101</v>
      </c>
      <c r="C25" s="30" t="s">
        <v>102</v>
      </c>
      <c r="D25" s="31" t="s">
        <v>16</v>
      </c>
      <c r="E25" s="32">
        <v>70.75</v>
      </c>
      <c r="F25" s="33">
        <v>14.79</v>
      </c>
      <c r="G25" s="34">
        <f t="shared" si="0"/>
        <v>1046.39</v>
      </c>
      <c r="H25" s="35">
        <f t="shared" si="1"/>
        <v>219.7419</v>
      </c>
      <c r="I25" s="36">
        <f t="shared" si="2"/>
        <v>1266.1319</v>
      </c>
      <c r="K25" s="118"/>
      <c r="S25" s="2"/>
    </row>
    <row r="26" spans="1:19" s="119" customFormat="1" ht="30" customHeight="1">
      <c r="A26" s="28">
        <v>14</v>
      </c>
      <c r="B26" s="29" t="s">
        <v>103</v>
      </c>
      <c r="C26" s="30" t="s">
        <v>104</v>
      </c>
      <c r="D26" s="31" t="s">
        <v>16</v>
      </c>
      <c r="E26" s="32">
        <v>44.7</v>
      </c>
      <c r="F26" s="33">
        <v>26.06</v>
      </c>
      <c r="G26" s="34">
        <f t="shared" si="0"/>
        <v>1164.88</v>
      </c>
      <c r="H26" s="35">
        <f t="shared" si="1"/>
        <v>244.62480000000005</v>
      </c>
      <c r="I26" s="36">
        <f t="shared" si="2"/>
        <v>1409.5048000000002</v>
      </c>
      <c r="K26" s="118"/>
      <c r="S26" s="2"/>
    </row>
    <row r="27" spans="1:19" s="119" customFormat="1" ht="30" customHeight="1">
      <c r="A27" s="28">
        <v>17</v>
      </c>
      <c r="B27" s="29" t="s">
        <v>103</v>
      </c>
      <c r="C27" s="30" t="s">
        <v>105</v>
      </c>
      <c r="D27" s="31" t="s">
        <v>16</v>
      </c>
      <c r="E27" s="32">
        <v>492.45</v>
      </c>
      <c r="F27" s="33">
        <v>26.05</v>
      </c>
      <c r="G27" s="34">
        <f t="shared" si="0"/>
        <v>12828.32</v>
      </c>
      <c r="H27" s="35">
        <f t="shared" si="1"/>
        <v>2693.9471999999987</v>
      </c>
      <c r="I27" s="36">
        <f t="shared" si="2"/>
        <v>15522.267199999998</v>
      </c>
      <c r="K27" s="118"/>
      <c r="S27" s="2"/>
    </row>
    <row r="28" spans="1:19" s="119" customFormat="1" ht="30" customHeight="1">
      <c r="A28" s="28">
        <v>35</v>
      </c>
      <c r="B28" s="29" t="s">
        <v>106</v>
      </c>
      <c r="C28" s="30" t="s">
        <v>107</v>
      </c>
      <c r="D28" s="31" t="s">
        <v>16</v>
      </c>
      <c r="E28" s="32">
        <v>70.75</v>
      </c>
      <c r="F28" s="33">
        <v>39.08</v>
      </c>
      <c r="G28" s="34">
        <f t="shared" si="0"/>
        <v>2764.91</v>
      </c>
      <c r="H28" s="35">
        <f t="shared" si="1"/>
        <v>580.6311000000001</v>
      </c>
      <c r="I28" s="36">
        <f t="shared" si="2"/>
        <v>3345.5411</v>
      </c>
      <c r="K28" s="118"/>
      <c r="S28" s="2"/>
    </row>
    <row r="29" spans="1:19" s="119" customFormat="1" ht="30" customHeight="1">
      <c r="A29" s="28">
        <v>49</v>
      </c>
      <c r="B29" s="29" t="s">
        <v>106</v>
      </c>
      <c r="C29" s="30" t="s">
        <v>108</v>
      </c>
      <c r="D29" s="31" t="s">
        <v>16</v>
      </c>
      <c r="E29" s="32">
        <v>6</v>
      </c>
      <c r="F29" s="33">
        <v>39.08</v>
      </c>
      <c r="G29" s="34">
        <f t="shared" si="0"/>
        <v>234.48</v>
      </c>
      <c r="H29" s="35">
        <f t="shared" si="1"/>
        <v>49.24080000000001</v>
      </c>
      <c r="I29" s="36">
        <f t="shared" si="2"/>
        <v>283.7208</v>
      </c>
      <c r="K29" s="118"/>
      <c r="S29" s="2"/>
    </row>
    <row r="30" spans="1:19" s="119" customFormat="1" ht="12.75" customHeight="1">
      <c r="A30" s="37"/>
      <c r="B30" s="38" t="s">
        <v>7</v>
      </c>
      <c r="C30" s="39" t="s">
        <v>68</v>
      </c>
      <c r="D30" s="40"/>
      <c r="E30" s="41"/>
      <c r="F30" s="42"/>
      <c r="G30" s="43">
        <f>SUM(G9:G29)</f>
        <v>66552.12</v>
      </c>
      <c r="H30" s="43">
        <f>SUM(H9:H29)</f>
        <v>13975.945199999998</v>
      </c>
      <c r="I30" s="44">
        <f>SUM(I9:I29)</f>
        <v>80528.0652</v>
      </c>
      <c r="S30" s="2"/>
    </row>
    <row r="31" spans="1:19" s="119" customFormat="1" ht="12.75" customHeight="1">
      <c r="A31" s="106"/>
      <c r="B31" s="107"/>
      <c r="C31" s="108"/>
      <c r="D31" s="107"/>
      <c r="E31" s="109"/>
      <c r="F31" s="110"/>
      <c r="G31" s="111"/>
      <c r="H31" s="35"/>
      <c r="I31" s="36"/>
      <c r="S31" s="2"/>
    </row>
    <row r="32" spans="1:19" s="119" customFormat="1" ht="12.75" customHeight="1">
      <c r="A32" s="112"/>
      <c r="B32" s="113" t="s">
        <v>9</v>
      </c>
      <c r="C32" s="114" t="s">
        <v>109</v>
      </c>
      <c r="D32" s="113"/>
      <c r="E32" s="115"/>
      <c r="F32" s="116"/>
      <c r="G32" s="117"/>
      <c r="H32" s="35"/>
      <c r="I32" s="36"/>
      <c r="S32" s="2"/>
    </row>
    <row r="33" spans="1:19" s="119" customFormat="1" ht="30" customHeight="1">
      <c r="A33" s="28">
        <v>32</v>
      </c>
      <c r="B33" s="29" t="s">
        <v>110</v>
      </c>
      <c r="C33" s="30" t="s">
        <v>111</v>
      </c>
      <c r="D33" s="31" t="s">
        <v>112</v>
      </c>
      <c r="E33" s="32">
        <v>215</v>
      </c>
      <c r="F33" s="33">
        <v>247</v>
      </c>
      <c r="G33" s="34">
        <f>ROUND((E33*F33),2)</f>
        <v>53105</v>
      </c>
      <c r="H33" s="35">
        <f t="shared" si="1"/>
        <v>11152.049999999996</v>
      </c>
      <c r="I33" s="36">
        <f t="shared" si="2"/>
        <v>64257.049999999996</v>
      </c>
      <c r="K33" s="118"/>
      <c r="S33" s="2"/>
    </row>
    <row r="34" spans="1:19" s="119" customFormat="1" ht="30" customHeight="1">
      <c r="A34" s="28">
        <v>31</v>
      </c>
      <c r="B34" s="29" t="s">
        <v>113</v>
      </c>
      <c r="C34" s="30" t="s">
        <v>114</v>
      </c>
      <c r="D34" s="31" t="s">
        <v>112</v>
      </c>
      <c r="E34" s="32">
        <v>38</v>
      </c>
      <c r="F34" s="33">
        <v>172.26</v>
      </c>
      <c r="G34" s="34">
        <f>ROUND((E34*F34),2)</f>
        <v>6545.88</v>
      </c>
      <c r="H34" s="35">
        <f t="shared" si="1"/>
        <v>1374.6347999999998</v>
      </c>
      <c r="I34" s="36">
        <f t="shared" si="2"/>
        <v>7920.5148</v>
      </c>
      <c r="K34" s="118"/>
      <c r="S34" s="2"/>
    </row>
    <row r="35" spans="1:19" s="119" customFormat="1" ht="12.75" customHeight="1">
      <c r="A35" s="37"/>
      <c r="B35" s="38" t="s">
        <v>9</v>
      </c>
      <c r="C35" s="39" t="s">
        <v>109</v>
      </c>
      <c r="D35" s="40"/>
      <c r="E35" s="41"/>
      <c r="F35" s="42"/>
      <c r="G35" s="43">
        <f>SUM(G33:G34)</f>
        <v>59650.88</v>
      </c>
      <c r="H35" s="43">
        <f>SUM(H33:H34)</f>
        <v>12526.684799999995</v>
      </c>
      <c r="I35" s="44">
        <f>SUM(I33:I34)</f>
        <v>72177.5648</v>
      </c>
      <c r="S35" s="2"/>
    </row>
    <row r="36" spans="1:19" s="119" customFormat="1" ht="12.75" customHeight="1">
      <c r="A36" s="106"/>
      <c r="B36" s="107"/>
      <c r="C36" s="108"/>
      <c r="D36" s="107"/>
      <c r="E36" s="109"/>
      <c r="F36" s="110"/>
      <c r="G36" s="111"/>
      <c r="H36" s="35"/>
      <c r="I36" s="36"/>
      <c r="S36" s="2"/>
    </row>
    <row r="37" spans="1:19" s="119" customFormat="1" ht="12.75" customHeight="1">
      <c r="A37" s="112"/>
      <c r="B37" s="113" t="s">
        <v>10</v>
      </c>
      <c r="C37" s="114" t="s">
        <v>115</v>
      </c>
      <c r="D37" s="113"/>
      <c r="E37" s="115"/>
      <c r="F37" s="116"/>
      <c r="G37" s="117"/>
      <c r="H37" s="35"/>
      <c r="I37" s="36"/>
      <c r="S37" s="2"/>
    </row>
    <row r="38" spans="1:19" s="119" customFormat="1" ht="30" customHeight="1">
      <c r="A38" s="28">
        <v>47</v>
      </c>
      <c r="B38" s="29" t="s">
        <v>116</v>
      </c>
      <c r="C38" s="30" t="s">
        <v>117</v>
      </c>
      <c r="D38" s="31" t="s">
        <v>16</v>
      </c>
      <c r="E38" s="32">
        <v>12</v>
      </c>
      <c r="F38" s="33">
        <v>38.85</v>
      </c>
      <c r="G38" s="34">
        <f>ROUND((E38*F38),2)</f>
        <v>466.2</v>
      </c>
      <c r="H38" s="35">
        <f t="shared" si="1"/>
        <v>97.90199999999999</v>
      </c>
      <c r="I38" s="36">
        <f t="shared" si="2"/>
        <v>564.102</v>
      </c>
      <c r="K38" s="118"/>
      <c r="S38" s="2"/>
    </row>
    <row r="39" spans="1:19" s="119" customFormat="1" ht="12.75" customHeight="1">
      <c r="A39" s="37"/>
      <c r="B39" s="38" t="s">
        <v>10</v>
      </c>
      <c r="C39" s="39" t="s">
        <v>115</v>
      </c>
      <c r="D39" s="40"/>
      <c r="E39" s="41"/>
      <c r="F39" s="42"/>
      <c r="G39" s="43">
        <f>SUM(G38:G38)</f>
        <v>466.2</v>
      </c>
      <c r="H39" s="43">
        <f>SUM(H38:H38)</f>
        <v>97.90199999999999</v>
      </c>
      <c r="I39" s="44">
        <f>SUM(I38:I38)</f>
        <v>564.102</v>
      </c>
      <c r="S39" s="2"/>
    </row>
    <row r="40" spans="1:19" s="119" customFormat="1" ht="12.75" customHeight="1">
      <c r="A40" s="106"/>
      <c r="B40" s="107"/>
      <c r="C40" s="108"/>
      <c r="D40" s="107"/>
      <c r="E40" s="109"/>
      <c r="F40" s="110"/>
      <c r="G40" s="111"/>
      <c r="H40" s="35"/>
      <c r="I40" s="36"/>
      <c r="S40" s="2"/>
    </row>
    <row r="41" spans="1:19" s="119" customFormat="1" ht="12.75" customHeight="1">
      <c r="A41" s="112"/>
      <c r="B41" s="113" t="s">
        <v>11</v>
      </c>
      <c r="C41" s="114" t="s">
        <v>17</v>
      </c>
      <c r="D41" s="113"/>
      <c r="E41" s="115"/>
      <c r="F41" s="116"/>
      <c r="G41" s="117"/>
      <c r="H41" s="35"/>
      <c r="I41" s="36"/>
      <c r="S41" s="2"/>
    </row>
    <row r="42" spans="1:19" s="119" customFormat="1" ht="30" customHeight="1">
      <c r="A42" s="28">
        <v>18</v>
      </c>
      <c r="B42" s="29" t="s">
        <v>118</v>
      </c>
      <c r="C42" s="30" t="s">
        <v>119</v>
      </c>
      <c r="D42" s="31" t="s">
        <v>16</v>
      </c>
      <c r="E42" s="32">
        <v>246.23</v>
      </c>
      <c r="F42" s="33">
        <v>39.5</v>
      </c>
      <c r="G42" s="34">
        <f>ROUND((E42*F42),2)</f>
        <v>9726.09</v>
      </c>
      <c r="H42" s="35">
        <f t="shared" si="1"/>
        <v>2042.4789</v>
      </c>
      <c r="I42" s="36">
        <f t="shared" si="2"/>
        <v>11768.5689</v>
      </c>
      <c r="K42" s="118"/>
      <c r="S42" s="2"/>
    </row>
    <row r="43" spans="1:19" s="119" customFormat="1" ht="30" customHeight="1">
      <c r="A43" s="28">
        <v>13</v>
      </c>
      <c r="B43" s="29" t="s">
        <v>120</v>
      </c>
      <c r="C43" s="30" t="s">
        <v>121</v>
      </c>
      <c r="D43" s="31" t="s">
        <v>16</v>
      </c>
      <c r="E43" s="32">
        <v>44.7</v>
      </c>
      <c r="F43" s="33">
        <v>81.4</v>
      </c>
      <c r="G43" s="34">
        <f>ROUND((E43*F43),2)</f>
        <v>3638.58</v>
      </c>
      <c r="H43" s="35">
        <f t="shared" si="1"/>
        <v>764.1017999999995</v>
      </c>
      <c r="I43" s="36">
        <f t="shared" si="2"/>
        <v>4402.681799999999</v>
      </c>
      <c r="K43" s="118"/>
      <c r="S43" s="2"/>
    </row>
    <row r="44" spans="1:19" s="119" customFormat="1" ht="30" customHeight="1">
      <c r="A44" s="28">
        <v>38</v>
      </c>
      <c r="B44" s="29" t="s">
        <v>122</v>
      </c>
      <c r="C44" s="30" t="s">
        <v>123</v>
      </c>
      <c r="D44" s="31" t="s">
        <v>16</v>
      </c>
      <c r="E44" s="32">
        <v>541.69</v>
      </c>
      <c r="F44" s="33">
        <v>212.6</v>
      </c>
      <c r="G44" s="34">
        <f>ROUND((E44*F44),2)</f>
        <v>115163.29</v>
      </c>
      <c r="H44" s="35">
        <f t="shared" si="1"/>
        <v>24184.290900000007</v>
      </c>
      <c r="I44" s="36">
        <f t="shared" si="2"/>
        <v>139347.5809</v>
      </c>
      <c r="K44" s="118"/>
      <c r="S44" s="2"/>
    </row>
    <row r="45" spans="1:19" s="119" customFormat="1" ht="30" customHeight="1">
      <c r="A45" s="28">
        <v>37</v>
      </c>
      <c r="B45" s="29" t="s">
        <v>124</v>
      </c>
      <c r="C45" s="30" t="s">
        <v>125</v>
      </c>
      <c r="D45" s="31" t="s">
        <v>16</v>
      </c>
      <c r="E45" s="32">
        <v>492.45</v>
      </c>
      <c r="F45" s="33">
        <v>228.9</v>
      </c>
      <c r="G45" s="34">
        <f>ROUND((E45*F45),2)</f>
        <v>112721.81</v>
      </c>
      <c r="H45" s="35">
        <f t="shared" si="1"/>
        <v>23671.580099999992</v>
      </c>
      <c r="I45" s="36">
        <f t="shared" si="2"/>
        <v>136393.3901</v>
      </c>
      <c r="K45" s="118"/>
      <c r="S45" s="2"/>
    </row>
    <row r="46" spans="1:19" s="119" customFormat="1" ht="12.75" customHeight="1">
      <c r="A46" s="37"/>
      <c r="B46" s="38" t="s">
        <v>11</v>
      </c>
      <c r="C46" s="39" t="s">
        <v>17</v>
      </c>
      <c r="D46" s="40"/>
      <c r="E46" s="41"/>
      <c r="F46" s="42"/>
      <c r="G46" s="43">
        <f>SUM(G42:G45)</f>
        <v>241249.77</v>
      </c>
      <c r="H46" s="43">
        <f>SUM(H42:H45)</f>
        <v>50662.4517</v>
      </c>
      <c r="I46" s="44">
        <f>SUM(I42:I45)</f>
        <v>291912.2217</v>
      </c>
      <c r="S46" s="2"/>
    </row>
    <row r="47" spans="1:19" s="119" customFormat="1" ht="12.75" customHeight="1">
      <c r="A47" s="106"/>
      <c r="B47" s="107"/>
      <c r="C47" s="108"/>
      <c r="D47" s="107"/>
      <c r="E47" s="109"/>
      <c r="F47" s="110"/>
      <c r="G47" s="111"/>
      <c r="H47" s="35"/>
      <c r="I47" s="36"/>
      <c r="S47" s="2"/>
    </row>
    <row r="48" spans="1:19" s="119" customFormat="1" ht="12.75" customHeight="1">
      <c r="A48" s="112"/>
      <c r="B48" s="113" t="s">
        <v>12</v>
      </c>
      <c r="C48" s="114" t="s">
        <v>126</v>
      </c>
      <c r="D48" s="113"/>
      <c r="E48" s="115"/>
      <c r="F48" s="116"/>
      <c r="G48" s="117"/>
      <c r="H48" s="35"/>
      <c r="I48" s="36"/>
      <c r="S48" s="2"/>
    </row>
    <row r="49" spans="1:19" s="119" customFormat="1" ht="30" customHeight="1">
      <c r="A49" s="28">
        <v>39</v>
      </c>
      <c r="B49" s="29" t="s">
        <v>127</v>
      </c>
      <c r="C49" s="30" t="s">
        <v>128</v>
      </c>
      <c r="D49" s="31" t="s">
        <v>16</v>
      </c>
      <c r="E49" s="32">
        <v>4.05</v>
      </c>
      <c r="F49" s="33">
        <v>2500</v>
      </c>
      <c r="G49" s="34">
        <f>ROUND((E49*F49),2)</f>
        <v>10125</v>
      </c>
      <c r="H49" s="35">
        <f t="shared" si="1"/>
        <v>2126.25</v>
      </c>
      <c r="I49" s="36">
        <f t="shared" si="2"/>
        <v>12251.25</v>
      </c>
      <c r="K49" s="118"/>
      <c r="S49" s="2"/>
    </row>
    <row r="50" spans="1:19" s="119" customFormat="1" ht="12.75" customHeight="1">
      <c r="A50" s="37"/>
      <c r="B50" s="38" t="s">
        <v>12</v>
      </c>
      <c r="C50" s="39" t="s">
        <v>126</v>
      </c>
      <c r="D50" s="40"/>
      <c r="E50" s="41"/>
      <c r="F50" s="42"/>
      <c r="G50" s="43">
        <f>SUM(G49:G49)</f>
        <v>10125</v>
      </c>
      <c r="H50" s="43">
        <f>SUM(H49:H49)</f>
        <v>2126.25</v>
      </c>
      <c r="I50" s="44">
        <f>SUM(I49:I49)</f>
        <v>12251.25</v>
      </c>
      <c r="S50" s="2"/>
    </row>
    <row r="51" spans="1:19" s="119" customFormat="1" ht="12.75" customHeight="1">
      <c r="A51" s="106"/>
      <c r="B51" s="107"/>
      <c r="C51" s="108"/>
      <c r="D51" s="107"/>
      <c r="E51" s="109"/>
      <c r="F51" s="110"/>
      <c r="G51" s="111"/>
      <c r="H51" s="35"/>
      <c r="I51" s="36"/>
      <c r="S51" s="2"/>
    </row>
    <row r="52" spans="1:19" s="119" customFormat="1" ht="12.75" customHeight="1">
      <c r="A52" s="112"/>
      <c r="B52" s="113" t="s">
        <v>129</v>
      </c>
      <c r="C52" s="114" t="s">
        <v>130</v>
      </c>
      <c r="D52" s="113"/>
      <c r="E52" s="115"/>
      <c r="F52" s="116"/>
      <c r="G52" s="117"/>
      <c r="H52" s="35"/>
      <c r="I52" s="36"/>
      <c r="S52" s="2"/>
    </row>
    <row r="53" spans="1:19" s="119" customFormat="1" ht="30" customHeight="1">
      <c r="A53" s="28">
        <v>29</v>
      </c>
      <c r="B53" s="29" t="s">
        <v>131</v>
      </c>
      <c r="C53" s="30" t="s">
        <v>132</v>
      </c>
      <c r="D53" s="31" t="s">
        <v>16</v>
      </c>
      <c r="E53" s="32">
        <v>22.56</v>
      </c>
      <c r="F53" s="33">
        <v>136.82</v>
      </c>
      <c r="G53" s="34">
        <f>ROUND((E53*F53),2)</f>
        <v>3086.66</v>
      </c>
      <c r="H53" s="35">
        <f t="shared" si="1"/>
        <v>648.1985999999997</v>
      </c>
      <c r="I53" s="36">
        <f t="shared" si="2"/>
        <v>3734.8585999999996</v>
      </c>
      <c r="K53" s="118"/>
      <c r="S53" s="2"/>
    </row>
    <row r="54" spans="1:19" s="119" customFormat="1" ht="12.75" customHeight="1">
      <c r="A54" s="37"/>
      <c r="B54" s="38" t="s">
        <v>129</v>
      </c>
      <c r="C54" s="39" t="s">
        <v>130</v>
      </c>
      <c r="D54" s="40"/>
      <c r="E54" s="41"/>
      <c r="F54" s="42"/>
      <c r="G54" s="43">
        <f>SUM(G53:G53)</f>
        <v>3086.66</v>
      </c>
      <c r="H54" s="43">
        <f>SUM(H53:H53)</f>
        <v>648.1985999999997</v>
      </c>
      <c r="I54" s="44">
        <f>SUM(I53:I53)</f>
        <v>3734.8585999999996</v>
      </c>
      <c r="S54" s="2"/>
    </row>
    <row r="55" spans="1:19" s="119" customFormat="1" ht="12.75" customHeight="1">
      <c r="A55" s="106"/>
      <c r="B55" s="107"/>
      <c r="C55" s="108"/>
      <c r="D55" s="107"/>
      <c r="E55" s="109"/>
      <c r="F55" s="110"/>
      <c r="G55" s="111"/>
      <c r="H55" s="35"/>
      <c r="I55" s="36"/>
      <c r="S55" s="2"/>
    </row>
    <row r="56" spans="1:19" s="119" customFormat="1" ht="12.75" customHeight="1">
      <c r="A56" s="112"/>
      <c r="B56" s="113" t="s">
        <v>133</v>
      </c>
      <c r="C56" s="114" t="s">
        <v>134</v>
      </c>
      <c r="D56" s="113"/>
      <c r="E56" s="115"/>
      <c r="F56" s="116"/>
      <c r="G56" s="117"/>
      <c r="H56" s="35"/>
      <c r="I56" s="36"/>
      <c r="S56" s="2"/>
    </row>
    <row r="57" spans="1:19" s="119" customFormat="1" ht="30" customHeight="1">
      <c r="A57" s="28">
        <v>41</v>
      </c>
      <c r="B57" s="29" t="s">
        <v>135</v>
      </c>
      <c r="C57" s="30" t="s">
        <v>136</v>
      </c>
      <c r="D57" s="31" t="s">
        <v>137</v>
      </c>
      <c r="E57" s="32">
        <v>1</v>
      </c>
      <c r="F57" s="33">
        <v>35000</v>
      </c>
      <c r="G57" s="34">
        <f>ROUND((E57*F57),2)</f>
        <v>35000</v>
      </c>
      <c r="H57" s="35">
        <f t="shared" si="1"/>
        <v>7350</v>
      </c>
      <c r="I57" s="36">
        <f t="shared" si="2"/>
        <v>42350</v>
      </c>
      <c r="K57" s="118"/>
      <c r="S57" s="2"/>
    </row>
    <row r="58" spans="1:19" s="119" customFormat="1" ht="12.75" customHeight="1">
      <c r="A58" s="37"/>
      <c r="B58" s="38" t="s">
        <v>133</v>
      </c>
      <c r="C58" s="39" t="s">
        <v>134</v>
      </c>
      <c r="D58" s="40"/>
      <c r="E58" s="41"/>
      <c r="F58" s="42"/>
      <c r="G58" s="43">
        <f>SUM(G57:G57)</f>
        <v>35000</v>
      </c>
      <c r="H58" s="43">
        <f>SUM(H57:H57)</f>
        <v>7350</v>
      </c>
      <c r="I58" s="44">
        <f>SUM(I57:I57)</f>
        <v>42350</v>
      </c>
      <c r="S58" s="2"/>
    </row>
    <row r="59" spans="1:19" s="119" customFormat="1" ht="12.75" customHeight="1">
      <c r="A59" s="106"/>
      <c r="B59" s="107"/>
      <c r="C59" s="108"/>
      <c r="D59" s="107"/>
      <c r="E59" s="109"/>
      <c r="F59" s="110"/>
      <c r="G59" s="111"/>
      <c r="H59" s="35"/>
      <c r="I59" s="36"/>
      <c r="S59" s="2"/>
    </row>
    <row r="60" spans="1:19" s="119" customFormat="1" ht="12.75" customHeight="1">
      <c r="A60" s="112"/>
      <c r="B60" s="113" t="s">
        <v>138</v>
      </c>
      <c r="C60" s="114" t="s">
        <v>139</v>
      </c>
      <c r="D60" s="113"/>
      <c r="E60" s="115"/>
      <c r="F60" s="116"/>
      <c r="G60" s="117"/>
      <c r="H60" s="35"/>
      <c r="I60" s="36"/>
      <c r="S60" s="2"/>
    </row>
    <row r="61" spans="1:19" s="119" customFormat="1" ht="30" customHeight="1">
      <c r="A61" s="28">
        <v>50</v>
      </c>
      <c r="B61" s="29" t="s">
        <v>140</v>
      </c>
      <c r="C61" s="30" t="s">
        <v>141</v>
      </c>
      <c r="D61" s="31" t="s">
        <v>137</v>
      </c>
      <c r="E61" s="32">
        <v>1</v>
      </c>
      <c r="F61" s="33">
        <v>65000</v>
      </c>
      <c r="G61" s="34">
        <f>ROUND((E61*F61),2)</f>
        <v>65000</v>
      </c>
      <c r="H61" s="35">
        <f t="shared" si="1"/>
        <v>13650</v>
      </c>
      <c r="I61" s="36">
        <f t="shared" si="2"/>
        <v>78650</v>
      </c>
      <c r="K61" s="118"/>
      <c r="S61" s="2"/>
    </row>
    <row r="62" spans="1:19" s="119" customFormat="1" ht="12.75" customHeight="1">
      <c r="A62" s="37"/>
      <c r="B62" s="38" t="s">
        <v>138</v>
      </c>
      <c r="C62" s="39" t="s">
        <v>139</v>
      </c>
      <c r="D62" s="40"/>
      <c r="E62" s="41"/>
      <c r="F62" s="42"/>
      <c r="G62" s="43">
        <f>SUM(G61:G61)</f>
        <v>65000</v>
      </c>
      <c r="H62" s="43">
        <f>SUM(H61:H61)</f>
        <v>13650</v>
      </c>
      <c r="I62" s="44">
        <f>SUM(I61:I61)</f>
        <v>78650</v>
      </c>
      <c r="S62" s="2"/>
    </row>
    <row r="63" spans="1:19" s="119" customFormat="1" ht="12.75" customHeight="1">
      <c r="A63" s="106"/>
      <c r="B63" s="107"/>
      <c r="C63" s="108"/>
      <c r="D63" s="107"/>
      <c r="E63" s="109"/>
      <c r="F63" s="110"/>
      <c r="G63" s="111"/>
      <c r="H63" s="35"/>
      <c r="I63" s="36"/>
      <c r="S63" s="2"/>
    </row>
    <row r="64" spans="1:19" s="119" customFormat="1" ht="12.75" customHeight="1">
      <c r="A64" s="112"/>
      <c r="B64" s="113" t="s">
        <v>142</v>
      </c>
      <c r="C64" s="114" t="s">
        <v>143</v>
      </c>
      <c r="D64" s="113"/>
      <c r="E64" s="115"/>
      <c r="F64" s="116"/>
      <c r="G64" s="117"/>
      <c r="H64" s="35"/>
      <c r="I64" s="36"/>
      <c r="S64" s="2"/>
    </row>
    <row r="65" spans="1:19" s="119" customFormat="1" ht="47.25" customHeight="1">
      <c r="A65" s="28">
        <v>40</v>
      </c>
      <c r="B65" s="29" t="s">
        <v>144</v>
      </c>
      <c r="C65" s="30" t="s">
        <v>145</v>
      </c>
      <c r="D65" s="31" t="s">
        <v>16</v>
      </c>
      <c r="E65" s="32">
        <v>7.5</v>
      </c>
      <c r="F65" s="33">
        <v>243.73</v>
      </c>
      <c r="G65" s="34">
        <f>ROUND((E65*F65),2)</f>
        <v>1827.98</v>
      </c>
      <c r="H65" s="35">
        <f t="shared" si="1"/>
        <v>383.8757999999998</v>
      </c>
      <c r="I65" s="36">
        <f t="shared" si="2"/>
        <v>2211.8558</v>
      </c>
      <c r="K65" s="118"/>
      <c r="S65" s="2"/>
    </row>
    <row r="66" spans="1:19" s="119" customFormat="1" ht="12.75" customHeight="1">
      <c r="A66" s="37"/>
      <c r="B66" s="38" t="s">
        <v>142</v>
      </c>
      <c r="C66" s="39" t="s">
        <v>143</v>
      </c>
      <c r="D66" s="40"/>
      <c r="E66" s="41"/>
      <c r="F66" s="42"/>
      <c r="G66" s="43">
        <f>SUM(G65:G65)</f>
        <v>1827.98</v>
      </c>
      <c r="H66" s="43">
        <f>SUM(H65:H65)</f>
        <v>383.8757999999998</v>
      </c>
      <c r="I66" s="44">
        <f>SUM(I65:I65)</f>
        <v>2211.8558</v>
      </c>
      <c r="S66" s="2"/>
    </row>
    <row r="67" spans="1:19" s="119" customFormat="1" ht="12.75" customHeight="1">
      <c r="A67" s="106"/>
      <c r="B67" s="107"/>
      <c r="C67" s="108"/>
      <c r="D67" s="107"/>
      <c r="E67" s="109"/>
      <c r="F67" s="110"/>
      <c r="G67" s="111"/>
      <c r="H67" s="35"/>
      <c r="I67" s="36"/>
      <c r="S67" s="2"/>
    </row>
    <row r="68" spans="1:19" s="119" customFormat="1" ht="12.75" customHeight="1">
      <c r="A68" s="112"/>
      <c r="B68" s="113" t="s">
        <v>146</v>
      </c>
      <c r="C68" s="114" t="s">
        <v>147</v>
      </c>
      <c r="D68" s="113"/>
      <c r="E68" s="115"/>
      <c r="F68" s="116"/>
      <c r="G68" s="117"/>
      <c r="H68" s="35"/>
      <c r="I68" s="36"/>
      <c r="S68" s="2"/>
    </row>
    <row r="69" spans="1:19" s="119" customFormat="1" ht="30" customHeight="1">
      <c r="A69" s="28">
        <v>24</v>
      </c>
      <c r="B69" s="29" t="s">
        <v>148</v>
      </c>
      <c r="C69" s="30" t="s">
        <v>149</v>
      </c>
      <c r="D69" s="31" t="s">
        <v>80</v>
      </c>
      <c r="E69" s="32">
        <v>20</v>
      </c>
      <c r="F69" s="33">
        <v>374.85</v>
      </c>
      <c r="G69" s="34">
        <f>ROUND((E69*F69),2)</f>
        <v>7497</v>
      </c>
      <c r="H69" s="35">
        <f t="shared" si="1"/>
        <v>1574.369999999999</v>
      </c>
      <c r="I69" s="36">
        <f t="shared" si="2"/>
        <v>9071.369999999999</v>
      </c>
      <c r="K69" s="118"/>
      <c r="S69" s="2"/>
    </row>
    <row r="70" spans="1:19" s="119" customFormat="1" ht="30" customHeight="1">
      <c r="A70" s="28">
        <v>42</v>
      </c>
      <c r="B70" s="29" t="s">
        <v>150</v>
      </c>
      <c r="C70" s="30" t="s">
        <v>151</v>
      </c>
      <c r="D70" s="31" t="s">
        <v>112</v>
      </c>
      <c r="E70" s="32">
        <v>1</v>
      </c>
      <c r="F70" s="33">
        <v>9600</v>
      </c>
      <c r="G70" s="34">
        <f>ROUND((E70*F70),2)</f>
        <v>9600</v>
      </c>
      <c r="H70" s="35">
        <f t="shared" si="1"/>
        <v>2016</v>
      </c>
      <c r="I70" s="36">
        <f t="shared" si="2"/>
        <v>11616</v>
      </c>
      <c r="K70" s="118"/>
      <c r="S70" s="2"/>
    </row>
    <row r="71" spans="1:19" s="119" customFormat="1" ht="30" customHeight="1">
      <c r="A71" s="28">
        <v>19</v>
      </c>
      <c r="B71" s="29" t="s">
        <v>152</v>
      </c>
      <c r="C71" s="30" t="s">
        <v>153</v>
      </c>
      <c r="D71" s="31" t="s">
        <v>112</v>
      </c>
      <c r="E71" s="32">
        <v>3</v>
      </c>
      <c r="F71" s="33">
        <v>1573.34</v>
      </c>
      <c r="G71" s="34">
        <f>ROUND((E71*F71),2)</f>
        <v>4720.02</v>
      </c>
      <c r="H71" s="35">
        <f t="shared" si="1"/>
        <v>991.2042000000001</v>
      </c>
      <c r="I71" s="36">
        <f t="shared" si="2"/>
        <v>5711.224200000001</v>
      </c>
      <c r="K71" s="118"/>
      <c r="S71" s="2"/>
    </row>
    <row r="72" spans="1:19" s="119" customFormat="1" ht="12.75" customHeight="1">
      <c r="A72" s="37"/>
      <c r="B72" s="38" t="s">
        <v>146</v>
      </c>
      <c r="C72" s="39" t="s">
        <v>147</v>
      </c>
      <c r="D72" s="40"/>
      <c r="E72" s="41"/>
      <c r="F72" s="42"/>
      <c r="G72" s="43">
        <f>SUM(G69:G71)</f>
        <v>21817.02</v>
      </c>
      <c r="H72" s="43">
        <f>SUM(H69:H71)</f>
        <v>4581.574199999999</v>
      </c>
      <c r="I72" s="44">
        <f>SUM(I69:I71)</f>
        <v>26398.5942</v>
      </c>
      <c r="S72" s="2"/>
    </row>
    <row r="73" spans="1:19" s="119" customFormat="1" ht="12.75" customHeight="1">
      <c r="A73" s="106"/>
      <c r="B73" s="107"/>
      <c r="C73" s="108"/>
      <c r="D73" s="107"/>
      <c r="E73" s="109"/>
      <c r="F73" s="110"/>
      <c r="G73" s="111"/>
      <c r="H73" s="35"/>
      <c r="I73" s="36"/>
      <c r="S73" s="2"/>
    </row>
    <row r="74" spans="1:19" s="119" customFormat="1" ht="12.75" customHeight="1">
      <c r="A74" s="112"/>
      <c r="B74" s="113" t="s">
        <v>154</v>
      </c>
      <c r="C74" s="114" t="s">
        <v>155</v>
      </c>
      <c r="D74" s="113"/>
      <c r="E74" s="115"/>
      <c r="F74" s="116"/>
      <c r="G74" s="117"/>
      <c r="H74" s="35"/>
      <c r="I74" s="36"/>
      <c r="S74" s="2"/>
    </row>
    <row r="75" spans="1:19" s="119" customFormat="1" ht="30" customHeight="1">
      <c r="A75" s="28">
        <v>22</v>
      </c>
      <c r="B75" s="29" t="s">
        <v>156</v>
      </c>
      <c r="C75" s="30" t="s">
        <v>157</v>
      </c>
      <c r="D75" s="31"/>
      <c r="E75" s="32">
        <v>6</v>
      </c>
      <c r="F75" s="33">
        <v>350</v>
      </c>
      <c r="G75" s="34">
        <f>ROUND((E75*F75),2)</f>
        <v>2100</v>
      </c>
      <c r="H75" s="35">
        <f aca="true" t="shared" si="3" ref="H75:H94">G75*1.21-G75</f>
        <v>441</v>
      </c>
      <c r="I75" s="36">
        <f aca="true" t="shared" si="4" ref="I75:I94">G75*1.21</f>
        <v>2541</v>
      </c>
      <c r="K75" s="118"/>
      <c r="S75" s="2"/>
    </row>
    <row r="76" spans="1:19" s="119" customFormat="1" ht="42" customHeight="1">
      <c r="A76" s="28">
        <v>21</v>
      </c>
      <c r="B76" s="29" t="s">
        <v>158</v>
      </c>
      <c r="C76" s="30" t="s">
        <v>159</v>
      </c>
      <c r="D76" s="31" t="s">
        <v>80</v>
      </c>
      <c r="E76" s="32">
        <v>56</v>
      </c>
      <c r="F76" s="33">
        <v>1205.6</v>
      </c>
      <c r="G76" s="34">
        <f>ROUND((E76*F76),2)</f>
        <v>67513.6</v>
      </c>
      <c r="H76" s="35">
        <f t="shared" si="3"/>
        <v>14177.856</v>
      </c>
      <c r="I76" s="36">
        <f t="shared" si="4"/>
        <v>81691.456</v>
      </c>
      <c r="K76" s="118"/>
      <c r="S76" s="2"/>
    </row>
    <row r="77" spans="1:19" s="119" customFormat="1" ht="12.75" customHeight="1">
      <c r="A77" s="37"/>
      <c r="B77" s="38" t="s">
        <v>154</v>
      </c>
      <c r="C77" s="39" t="s">
        <v>155</v>
      </c>
      <c r="D77" s="40"/>
      <c r="E77" s="41"/>
      <c r="F77" s="42"/>
      <c r="G77" s="43">
        <f>SUM(G75:G76)</f>
        <v>69613.6</v>
      </c>
      <c r="H77" s="43">
        <f>SUM(H75:H76)</f>
        <v>14618.856</v>
      </c>
      <c r="I77" s="44">
        <f>SUM(I75:I76)</f>
        <v>84232.456</v>
      </c>
      <c r="S77" s="2"/>
    </row>
    <row r="78" spans="1:19" s="119" customFormat="1" ht="12.75" customHeight="1">
      <c r="A78" s="106"/>
      <c r="B78" s="107"/>
      <c r="C78" s="108"/>
      <c r="D78" s="107"/>
      <c r="E78" s="109"/>
      <c r="F78" s="110"/>
      <c r="G78" s="111"/>
      <c r="H78" s="35"/>
      <c r="I78" s="36"/>
      <c r="S78" s="2"/>
    </row>
    <row r="79" spans="1:19" s="119" customFormat="1" ht="12.75" customHeight="1">
      <c r="A79" s="112"/>
      <c r="B79" s="113" t="s">
        <v>160</v>
      </c>
      <c r="C79" s="114" t="s">
        <v>161</v>
      </c>
      <c r="D79" s="113"/>
      <c r="E79" s="115"/>
      <c r="F79" s="116"/>
      <c r="G79" s="117"/>
      <c r="H79" s="35"/>
      <c r="I79" s="36"/>
      <c r="S79" s="2"/>
    </row>
    <row r="80" spans="1:19" s="119" customFormat="1" ht="30" customHeight="1">
      <c r="A80" s="28">
        <v>16</v>
      </c>
      <c r="B80" s="29" t="s">
        <v>162</v>
      </c>
      <c r="C80" s="30" t="s">
        <v>163</v>
      </c>
      <c r="D80" s="31" t="s">
        <v>80</v>
      </c>
      <c r="E80" s="32">
        <v>156</v>
      </c>
      <c r="F80" s="33">
        <v>60</v>
      </c>
      <c r="G80" s="34">
        <f>ROUND((E80*F80),2)</f>
        <v>9360</v>
      </c>
      <c r="H80" s="35">
        <f t="shared" si="3"/>
        <v>1965.6000000000004</v>
      </c>
      <c r="I80" s="36">
        <f t="shared" si="4"/>
        <v>11325.6</v>
      </c>
      <c r="K80" s="118"/>
      <c r="S80" s="2"/>
    </row>
    <row r="81" spans="1:19" s="119" customFormat="1" ht="30" customHeight="1">
      <c r="A81" s="28">
        <v>15</v>
      </c>
      <c r="B81" s="29" t="s">
        <v>164</v>
      </c>
      <c r="C81" s="30" t="s">
        <v>165</v>
      </c>
      <c r="D81" s="31" t="s">
        <v>80</v>
      </c>
      <c r="E81" s="32">
        <v>149</v>
      </c>
      <c r="F81" s="33">
        <v>132.42</v>
      </c>
      <c r="G81" s="34">
        <f>ROUND((E81*F81),2)</f>
        <v>19730.58</v>
      </c>
      <c r="H81" s="35">
        <f t="shared" si="3"/>
        <v>4143.4218</v>
      </c>
      <c r="I81" s="36">
        <f t="shared" si="4"/>
        <v>23874.001800000002</v>
      </c>
      <c r="K81" s="118"/>
      <c r="S81" s="2"/>
    </row>
    <row r="82" spans="1:19" s="119" customFormat="1" ht="12.75" customHeight="1">
      <c r="A82" s="37"/>
      <c r="B82" s="38" t="s">
        <v>160</v>
      </c>
      <c r="C82" s="39" t="s">
        <v>161</v>
      </c>
      <c r="D82" s="40"/>
      <c r="E82" s="41"/>
      <c r="F82" s="42"/>
      <c r="G82" s="43">
        <f>SUM(G80:G81)</f>
        <v>29090.58</v>
      </c>
      <c r="H82" s="43">
        <f>SUM(H80:H81)</f>
        <v>6109.0218</v>
      </c>
      <c r="I82" s="44">
        <f>SUM(I80:I81)</f>
        <v>35199.601800000004</v>
      </c>
      <c r="S82" s="2"/>
    </row>
    <row r="83" spans="1:19" s="119" customFormat="1" ht="12.75" customHeight="1">
      <c r="A83" s="106"/>
      <c r="B83" s="107"/>
      <c r="C83" s="108"/>
      <c r="D83" s="107"/>
      <c r="E83" s="109"/>
      <c r="F83" s="110"/>
      <c r="G83" s="111"/>
      <c r="H83" s="35"/>
      <c r="I83" s="36"/>
      <c r="S83" s="2"/>
    </row>
    <row r="84" spans="1:19" s="119" customFormat="1" ht="12.75" customHeight="1">
      <c r="A84" s="112"/>
      <c r="B84" s="113" t="s">
        <v>166</v>
      </c>
      <c r="C84" s="114" t="s">
        <v>167</v>
      </c>
      <c r="D84" s="113"/>
      <c r="E84" s="115"/>
      <c r="F84" s="116"/>
      <c r="G84" s="117"/>
      <c r="H84" s="35"/>
      <c r="I84" s="36"/>
      <c r="S84" s="2"/>
    </row>
    <row r="85" spans="1:19" s="119" customFormat="1" ht="30" customHeight="1">
      <c r="A85" s="28">
        <v>23</v>
      </c>
      <c r="B85" s="29" t="s">
        <v>168</v>
      </c>
      <c r="C85" s="30" t="s">
        <v>169</v>
      </c>
      <c r="D85" s="31" t="s">
        <v>80</v>
      </c>
      <c r="E85" s="32">
        <v>0.75</v>
      </c>
      <c r="F85" s="33">
        <v>2703.28</v>
      </c>
      <c r="G85" s="34">
        <f aca="true" t="shared" si="5" ref="G85:G94">ROUND((E85*F85),2)</f>
        <v>2027.46</v>
      </c>
      <c r="H85" s="35">
        <f t="shared" si="3"/>
        <v>425.7665999999999</v>
      </c>
      <c r="I85" s="36">
        <f t="shared" si="4"/>
        <v>2453.2266</v>
      </c>
      <c r="K85" s="118"/>
      <c r="S85" s="2"/>
    </row>
    <row r="86" spans="1:19" s="119" customFormat="1" ht="30" customHeight="1">
      <c r="A86" s="28">
        <v>3</v>
      </c>
      <c r="B86" s="29" t="s">
        <v>170</v>
      </c>
      <c r="C86" s="30" t="s">
        <v>171</v>
      </c>
      <c r="D86" s="31" t="s">
        <v>14</v>
      </c>
      <c r="E86" s="32">
        <v>64.02</v>
      </c>
      <c r="F86" s="33">
        <v>145.7</v>
      </c>
      <c r="G86" s="34">
        <f t="shared" si="5"/>
        <v>9327.71</v>
      </c>
      <c r="H86" s="35">
        <f t="shared" si="3"/>
        <v>1958.8190999999988</v>
      </c>
      <c r="I86" s="36">
        <f t="shared" si="4"/>
        <v>11286.529099999998</v>
      </c>
      <c r="K86" s="118"/>
      <c r="S86" s="2"/>
    </row>
    <row r="87" spans="1:19" s="119" customFormat="1" ht="30" customHeight="1">
      <c r="A87" s="28">
        <v>7</v>
      </c>
      <c r="B87" s="29" t="s">
        <v>170</v>
      </c>
      <c r="C87" s="30" t="s">
        <v>172</v>
      </c>
      <c r="D87" s="31" t="s">
        <v>14</v>
      </c>
      <c r="E87" s="32">
        <v>3.28</v>
      </c>
      <c r="F87" s="33">
        <v>145.7</v>
      </c>
      <c r="G87" s="34">
        <f t="shared" si="5"/>
        <v>477.9</v>
      </c>
      <c r="H87" s="35">
        <f t="shared" si="3"/>
        <v>100.35899999999992</v>
      </c>
      <c r="I87" s="36">
        <f t="shared" si="4"/>
        <v>578.2589999999999</v>
      </c>
      <c r="K87" s="118"/>
      <c r="S87" s="2"/>
    </row>
    <row r="88" spans="1:19" s="119" customFormat="1" ht="30" customHeight="1">
      <c r="A88" s="28">
        <v>2</v>
      </c>
      <c r="B88" s="29" t="s">
        <v>173</v>
      </c>
      <c r="C88" s="30" t="s">
        <v>174</v>
      </c>
      <c r="D88" s="31" t="s">
        <v>14</v>
      </c>
      <c r="E88" s="32">
        <v>64.01</v>
      </c>
      <c r="F88" s="33">
        <v>48.9</v>
      </c>
      <c r="G88" s="34">
        <f t="shared" si="5"/>
        <v>3130.09</v>
      </c>
      <c r="H88" s="35">
        <f t="shared" si="3"/>
        <v>657.3188999999998</v>
      </c>
      <c r="I88" s="36">
        <f t="shared" si="4"/>
        <v>3787.4089</v>
      </c>
      <c r="K88" s="118"/>
      <c r="S88" s="2"/>
    </row>
    <row r="89" spans="1:19" s="119" customFormat="1" ht="30" customHeight="1">
      <c r="A89" s="28">
        <v>6</v>
      </c>
      <c r="B89" s="29" t="s">
        <v>173</v>
      </c>
      <c r="C89" s="30" t="s">
        <v>175</v>
      </c>
      <c r="D89" s="31" t="s">
        <v>14</v>
      </c>
      <c r="E89" s="32">
        <v>3.28</v>
      </c>
      <c r="F89" s="33">
        <v>48.9</v>
      </c>
      <c r="G89" s="34">
        <f t="shared" si="5"/>
        <v>160.39</v>
      </c>
      <c r="H89" s="35">
        <f t="shared" si="3"/>
        <v>33.681899999999985</v>
      </c>
      <c r="I89" s="36">
        <f t="shared" si="4"/>
        <v>194.07189999999997</v>
      </c>
      <c r="K89" s="118"/>
      <c r="S89" s="2"/>
    </row>
    <row r="90" spans="1:19" s="119" customFormat="1" ht="30" customHeight="1">
      <c r="A90" s="28">
        <v>4</v>
      </c>
      <c r="B90" s="29" t="s">
        <v>176</v>
      </c>
      <c r="C90" s="30" t="s">
        <v>177</v>
      </c>
      <c r="D90" s="31" t="s">
        <v>14</v>
      </c>
      <c r="E90" s="32">
        <v>64.02</v>
      </c>
      <c r="F90" s="33">
        <v>250</v>
      </c>
      <c r="G90" s="34">
        <f t="shared" si="5"/>
        <v>16005</v>
      </c>
      <c r="H90" s="35">
        <f t="shared" si="3"/>
        <v>3361.0499999999993</v>
      </c>
      <c r="I90" s="36">
        <f t="shared" si="4"/>
        <v>19366.05</v>
      </c>
      <c r="K90" s="118"/>
      <c r="S90" s="2"/>
    </row>
    <row r="91" spans="1:19" s="119" customFormat="1" ht="30" customHeight="1">
      <c r="A91" s="28">
        <v>8</v>
      </c>
      <c r="B91" s="29" t="s">
        <v>176</v>
      </c>
      <c r="C91" s="30" t="s">
        <v>178</v>
      </c>
      <c r="D91" s="31" t="s">
        <v>14</v>
      </c>
      <c r="E91" s="32">
        <v>3.28</v>
      </c>
      <c r="F91" s="33">
        <v>250</v>
      </c>
      <c r="G91" s="34">
        <f t="shared" si="5"/>
        <v>820</v>
      </c>
      <c r="H91" s="35">
        <f t="shared" si="3"/>
        <v>172.19999999999993</v>
      </c>
      <c r="I91" s="36">
        <f t="shared" si="4"/>
        <v>992.1999999999999</v>
      </c>
      <c r="K91" s="118"/>
      <c r="S91" s="2"/>
    </row>
    <row r="92" spans="1:19" s="119" customFormat="1" ht="30" customHeight="1">
      <c r="A92" s="28">
        <v>12</v>
      </c>
      <c r="B92" s="29" t="s">
        <v>176</v>
      </c>
      <c r="C92" s="30" t="s">
        <v>179</v>
      </c>
      <c r="D92" s="31" t="s">
        <v>14</v>
      </c>
      <c r="E92" s="32">
        <v>10.73</v>
      </c>
      <c r="F92" s="33">
        <v>250</v>
      </c>
      <c r="G92" s="34">
        <f t="shared" si="5"/>
        <v>2682.5</v>
      </c>
      <c r="H92" s="35">
        <f t="shared" si="3"/>
        <v>563.3249999999998</v>
      </c>
      <c r="I92" s="36">
        <f t="shared" si="4"/>
        <v>3245.825</v>
      </c>
      <c r="K92" s="118"/>
      <c r="S92" s="2"/>
    </row>
    <row r="93" spans="1:19" s="119" customFormat="1" ht="30" customHeight="1">
      <c r="A93" s="28">
        <v>28</v>
      </c>
      <c r="B93" s="29" t="s">
        <v>176</v>
      </c>
      <c r="C93" s="30" t="s">
        <v>180</v>
      </c>
      <c r="D93" s="31" t="s">
        <v>14</v>
      </c>
      <c r="E93" s="32">
        <v>8.24</v>
      </c>
      <c r="F93" s="33">
        <v>250</v>
      </c>
      <c r="G93" s="34">
        <f t="shared" si="5"/>
        <v>2060</v>
      </c>
      <c r="H93" s="35">
        <f t="shared" si="3"/>
        <v>432.5999999999999</v>
      </c>
      <c r="I93" s="36">
        <f t="shared" si="4"/>
        <v>2492.6</v>
      </c>
      <c r="K93" s="118"/>
      <c r="S93" s="2"/>
    </row>
    <row r="94" spans="1:19" s="119" customFormat="1" ht="30" customHeight="1">
      <c r="A94" s="28">
        <v>46</v>
      </c>
      <c r="B94" s="29" t="s">
        <v>176</v>
      </c>
      <c r="C94" s="30" t="s">
        <v>181</v>
      </c>
      <c r="D94" s="31" t="s">
        <v>14</v>
      </c>
      <c r="E94" s="32">
        <v>9.6</v>
      </c>
      <c r="F94" s="33">
        <v>250</v>
      </c>
      <c r="G94" s="34">
        <f t="shared" si="5"/>
        <v>2400</v>
      </c>
      <c r="H94" s="35">
        <f t="shared" si="3"/>
        <v>504</v>
      </c>
      <c r="I94" s="36">
        <f t="shared" si="4"/>
        <v>2904</v>
      </c>
      <c r="K94" s="118"/>
      <c r="S94" s="2"/>
    </row>
    <row r="95" spans="1:19" s="119" customFormat="1" ht="12.75" customHeight="1">
      <c r="A95" s="37"/>
      <c r="B95" s="38" t="s">
        <v>166</v>
      </c>
      <c r="C95" s="39" t="s">
        <v>167</v>
      </c>
      <c r="D95" s="40"/>
      <c r="E95" s="41"/>
      <c r="F95" s="42"/>
      <c r="G95" s="43">
        <f>SUM(G85:G94)</f>
        <v>39091.049999999996</v>
      </c>
      <c r="H95" s="43">
        <f>SUM(H85:H94)</f>
        <v>8209.120499999997</v>
      </c>
      <c r="I95" s="44">
        <f>SUM(I85:I94)</f>
        <v>47300.170499999986</v>
      </c>
      <c r="S95" s="2"/>
    </row>
    <row r="96" spans="1:19" s="119" customFormat="1" ht="12.75" customHeight="1">
      <c r="A96" s="106"/>
      <c r="B96" s="107"/>
      <c r="C96" s="108"/>
      <c r="D96" s="107"/>
      <c r="E96" s="109"/>
      <c r="F96" s="110"/>
      <c r="G96" s="111"/>
      <c r="H96" s="35"/>
      <c r="I96" s="36"/>
      <c r="S96" s="2"/>
    </row>
    <row r="97" spans="1:19" s="119" customFormat="1" ht="12.75" customHeight="1">
      <c r="A97" s="112"/>
      <c r="B97" s="113" t="s">
        <v>73</v>
      </c>
      <c r="C97" s="114" t="s">
        <v>69</v>
      </c>
      <c r="D97" s="113"/>
      <c r="E97" s="115"/>
      <c r="F97" s="116"/>
      <c r="G97" s="117"/>
      <c r="H97" s="35"/>
      <c r="I97" s="36"/>
      <c r="S97" s="2"/>
    </row>
    <row r="98" spans="1:19" s="119" customFormat="1" ht="30" customHeight="1">
      <c r="A98" s="28">
        <v>4</v>
      </c>
      <c r="B98" s="29">
        <v>998223011</v>
      </c>
      <c r="C98" s="30" t="s">
        <v>195</v>
      </c>
      <c r="D98" s="31" t="s">
        <v>14</v>
      </c>
      <c r="E98" s="32">
        <f>E33*0.0722+E42*0.05*1.6+E43*0.1*1.6+E44*0.1254+E76*0.01+E80*0.0215</f>
        <v>114.21532600000002</v>
      </c>
      <c r="F98" s="33">
        <v>168.18</v>
      </c>
      <c r="G98" s="34">
        <f>ROUND((E98*F98),2)</f>
        <v>19208.73</v>
      </c>
      <c r="H98" s="35">
        <f>G98*1.21-G98</f>
        <v>4033.8332999999984</v>
      </c>
      <c r="I98" s="36">
        <f>G98*1.21</f>
        <v>23242.563299999998</v>
      </c>
      <c r="K98" s="118"/>
      <c r="S98" s="2"/>
    </row>
    <row r="99" spans="1:19" s="119" customFormat="1" ht="12.75" customHeight="1">
      <c r="A99" s="45"/>
      <c r="B99" s="46" t="s">
        <v>73</v>
      </c>
      <c r="C99" s="47" t="s">
        <v>69</v>
      </c>
      <c r="D99" s="48"/>
      <c r="E99" s="49"/>
      <c r="F99" s="50"/>
      <c r="G99" s="51">
        <f>SUM(G98:G98)</f>
        <v>19208.73</v>
      </c>
      <c r="H99" s="51">
        <f>SUM(H98:H98)</f>
        <v>4033.8332999999984</v>
      </c>
      <c r="I99" s="52">
        <f>SUM(I98:I98)</f>
        <v>23242.563299999998</v>
      </c>
      <c r="S99" s="2"/>
    </row>
    <row r="100" spans="1:19" s="119" customFormat="1" ht="12.75" customHeight="1">
      <c r="A100" s="53"/>
      <c r="B100" s="54"/>
      <c r="C100" s="55"/>
      <c r="D100" s="53"/>
      <c r="E100" s="56"/>
      <c r="F100" s="57"/>
      <c r="G100" s="58"/>
      <c r="H100" s="59"/>
      <c r="I100" s="59"/>
      <c r="S100" s="2"/>
    </row>
    <row r="101" spans="1:19" s="119" customFormat="1" ht="28.5" customHeight="1">
      <c r="A101" s="172" t="s">
        <v>1</v>
      </c>
      <c r="B101" s="173"/>
      <c r="C101" s="21" t="s">
        <v>184</v>
      </c>
      <c r="D101" s="22"/>
      <c r="E101" s="23"/>
      <c r="F101" s="24"/>
      <c r="G101" s="25">
        <f>G112+G119+G124+G134+G138</f>
        <v>181427.39999999997</v>
      </c>
      <c r="H101" s="25">
        <f>H112+H119+H124+H134+H138</f>
        <v>38099.75399999999</v>
      </c>
      <c r="I101" s="25">
        <f>I112+I119+I124+I134+I138</f>
        <v>219527.154</v>
      </c>
      <c r="S101" s="2"/>
    </row>
    <row r="102" spans="1:19" s="119" customFormat="1" ht="12.75" customHeight="1">
      <c r="A102" s="120"/>
      <c r="B102" s="121" t="s">
        <v>7</v>
      </c>
      <c r="C102" s="122" t="s">
        <v>68</v>
      </c>
      <c r="D102" s="121"/>
      <c r="E102" s="123"/>
      <c r="F102" s="124"/>
      <c r="G102" s="125"/>
      <c r="H102" s="26"/>
      <c r="I102" s="27"/>
      <c r="S102" s="2"/>
    </row>
    <row r="103" spans="1:19" s="119" customFormat="1" ht="30" customHeight="1">
      <c r="A103" s="28">
        <v>1</v>
      </c>
      <c r="B103" s="29" t="s">
        <v>76</v>
      </c>
      <c r="C103" s="30" t="s">
        <v>77</v>
      </c>
      <c r="D103" s="31" t="s">
        <v>16</v>
      </c>
      <c r="E103" s="32">
        <f>60*3.3</f>
        <v>198</v>
      </c>
      <c r="F103" s="33">
        <v>46.37</v>
      </c>
      <c r="G103" s="34">
        <f aca="true" t="shared" si="6" ref="G103:G111">ROUND((E103*F103),2)</f>
        <v>9181.26</v>
      </c>
      <c r="H103" s="35">
        <f aca="true" t="shared" si="7" ref="H103:H111">G103*1.21-G103</f>
        <v>1928.0645999999997</v>
      </c>
      <c r="I103" s="36">
        <f aca="true" t="shared" si="8" ref="I103:I111">G103*1.21</f>
        <v>11109.3246</v>
      </c>
      <c r="K103" s="118"/>
      <c r="S103" s="2"/>
    </row>
    <row r="104" spans="1:19" s="119" customFormat="1" ht="30" customHeight="1">
      <c r="A104" s="28">
        <v>5</v>
      </c>
      <c r="B104" s="29" t="s">
        <v>78</v>
      </c>
      <c r="C104" s="30" t="s">
        <v>79</v>
      </c>
      <c r="D104" s="31" t="s">
        <v>80</v>
      </c>
      <c r="E104" s="32">
        <v>110</v>
      </c>
      <c r="F104" s="33">
        <v>37.49</v>
      </c>
      <c r="G104" s="34">
        <f t="shared" si="6"/>
        <v>4123.9</v>
      </c>
      <c r="H104" s="35">
        <f t="shared" si="7"/>
        <v>866.0189999999993</v>
      </c>
      <c r="I104" s="36">
        <f t="shared" si="8"/>
        <v>4989.918999999999</v>
      </c>
      <c r="K104" s="118"/>
      <c r="S104" s="2"/>
    </row>
    <row r="105" spans="1:19" s="119" customFormat="1" ht="30" customHeight="1">
      <c r="A105" s="28">
        <v>9</v>
      </c>
      <c r="B105" s="29" t="s">
        <v>84</v>
      </c>
      <c r="C105" s="30" t="s">
        <v>85</v>
      </c>
      <c r="D105" s="31" t="s">
        <v>83</v>
      </c>
      <c r="E105" s="32">
        <f>E104*0.3*0.1</f>
        <v>3.3000000000000003</v>
      </c>
      <c r="F105" s="33">
        <v>583.63</v>
      </c>
      <c r="G105" s="34">
        <f t="shared" si="6"/>
        <v>1925.98</v>
      </c>
      <c r="H105" s="35">
        <f t="shared" si="7"/>
        <v>404.4557999999997</v>
      </c>
      <c r="I105" s="36">
        <f t="shared" si="8"/>
        <v>2330.4357999999997</v>
      </c>
      <c r="K105" s="118"/>
      <c r="S105" s="2"/>
    </row>
    <row r="106" spans="1:19" s="119" customFormat="1" ht="30" customHeight="1">
      <c r="A106" s="28">
        <v>11</v>
      </c>
      <c r="B106" s="29" t="s">
        <v>89</v>
      </c>
      <c r="C106" s="30" t="s">
        <v>90</v>
      </c>
      <c r="D106" s="31" t="s">
        <v>83</v>
      </c>
      <c r="E106" s="32">
        <f>E105</f>
        <v>3.3000000000000003</v>
      </c>
      <c r="F106" s="33">
        <v>176.77</v>
      </c>
      <c r="G106" s="34">
        <f t="shared" si="6"/>
        <v>583.34</v>
      </c>
      <c r="H106" s="35">
        <f t="shared" si="7"/>
        <v>122.50139999999999</v>
      </c>
      <c r="I106" s="36">
        <f t="shared" si="8"/>
        <v>705.8414</v>
      </c>
      <c r="K106" s="118"/>
      <c r="S106" s="2"/>
    </row>
    <row r="107" spans="1:19" s="119" customFormat="1" ht="30" customHeight="1">
      <c r="A107" s="28">
        <v>10</v>
      </c>
      <c r="B107" s="29" t="s">
        <v>93</v>
      </c>
      <c r="C107" s="30" t="s">
        <v>94</v>
      </c>
      <c r="D107" s="31" t="s">
        <v>83</v>
      </c>
      <c r="E107" s="32">
        <f>E105</f>
        <v>3.3000000000000003</v>
      </c>
      <c r="F107" s="33">
        <v>172.49</v>
      </c>
      <c r="G107" s="34">
        <f t="shared" si="6"/>
        <v>569.22</v>
      </c>
      <c r="H107" s="35">
        <f t="shared" si="7"/>
        <v>119.53620000000001</v>
      </c>
      <c r="I107" s="36">
        <f t="shared" si="8"/>
        <v>688.7562</v>
      </c>
      <c r="K107" s="118"/>
      <c r="S107" s="2"/>
    </row>
    <row r="108" spans="1:19" s="119" customFormat="1" ht="30" customHeight="1">
      <c r="A108" s="28">
        <v>36</v>
      </c>
      <c r="B108" s="29" t="s">
        <v>101</v>
      </c>
      <c r="C108" s="30" t="s">
        <v>102</v>
      </c>
      <c r="D108" s="31" t="s">
        <v>16</v>
      </c>
      <c r="E108" s="32">
        <f>110*1</f>
        <v>110</v>
      </c>
      <c r="F108" s="33">
        <v>14.79</v>
      </c>
      <c r="G108" s="34">
        <f t="shared" si="6"/>
        <v>1626.9</v>
      </c>
      <c r="H108" s="35">
        <f t="shared" si="7"/>
        <v>341.6489999999999</v>
      </c>
      <c r="I108" s="36">
        <f t="shared" si="8"/>
        <v>1968.549</v>
      </c>
      <c r="K108" s="118"/>
      <c r="S108" s="2"/>
    </row>
    <row r="109" spans="1:19" s="119" customFormat="1" ht="30" customHeight="1">
      <c r="A109" s="28">
        <v>14</v>
      </c>
      <c r="B109" s="29" t="s">
        <v>103</v>
      </c>
      <c r="C109" s="30" t="s">
        <v>104</v>
      </c>
      <c r="D109" s="31" t="s">
        <v>16</v>
      </c>
      <c r="E109" s="32">
        <f>E104*0.3</f>
        <v>33</v>
      </c>
      <c r="F109" s="33">
        <v>26.06</v>
      </c>
      <c r="G109" s="34">
        <f t="shared" si="6"/>
        <v>859.98</v>
      </c>
      <c r="H109" s="35">
        <f t="shared" si="7"/>
        <v>180.59580000000005</v>
      </c>
      <c r="I109" s="36">
        <f t="shared" si="8"/>
        <v>1040.5758</v>
      </c>
      <c r="K109" s="118"/>
      <c r="S109" s="2"/>
    </row>
    <row r="110" spans="1:19" s="119" customFormat="1" ht="30" customHeight="1">
      <c r="A110" s="28">
        <v>17</v>
      </c>
      <c r="B110" s="29" t="s">
        <v>103</v>
      </c>
      <c r="C110" s="30" t="s">
        <v>105</v>
      </c>
      <c r="D110" s="31" t="s">
        <v>16</v>
      </c>
      <c r="E110" s="32">
        <f>E103</f>
        <v>198</v>
      </c>
      <c r="F110" s="33">
        <v>36.06</v>
      </c>
      <c r="G110" s="34">
        <f t="shared" si="6"/>
        <v>7139.88</v>
      </c>
      <c r="H110" s="35">
        <f t="shared" si="7"/>
        <v>1499.3748000000005</v>
      </c>
      <c r="I110" s="36">
        <f t="shared" si="8"/>
        <v>8639.2548</v>
      </c>
      <c r="K110" s="118"/>
      <c r="S110" s="2"/>
    </row>
    <row r="111" spans="1:19" s="119" customFormat="1" ht="30" customHeight="1">
      <c r="A111" s="28">
        <v>35</v>
      </c>
      <c r="B111" s="29" t="s">
        <v>106</v>
      </c>
      <c r="C111" s="30" t="s">
        <v>107</v>
      </c>
      <c r="D111" s="31" t="s">
        <v>16</v>
      </c>
      <c r="E111" s="32">
        <f>E108</f>
        <v>110</v>
      </c>
      <c r="F111" s="33">
        <v>39.08</v>
      </c>
      <c r="G111" s="34">
        <f t="shared" si="6"/>
        <v>4298.8</v>
      </c>
      <c r="H111" s="35">
        <f t="shared" si="7"/>
        <v>902.7479999999996</v>
      </c>
      <c r="I111" s="36">
        <f t="shared" si="8"/>
        <v>5201.548</v>
      </c>
      <c r="K111" s="118"/>
      <c r="S111" s="2"/>
    </row>
    <row r="112" spans="1:19" s="119" customFormat="1" ht="12.75" customHeight="1">
      <c r="A112" s="37"/>
      <c r="B112" s="38" t="s">
        <v>7</v>
      </c>
      <c r="C112" s="39" t="s">
        <v>68</v>
      </c>
      <c r="D112" s="40"/>
      <c r="E112" s="41"/>
      <c r="F112" s="42"/>
      <c r="G112" s="43">
        <f>SUM(G103:G111)</f>
        <v>30309.26</v>
      </c>
      <c r="H112" s="43">
        <f>SUM(H103:H111)</f>
        <v>6364.944599999999</v>
      </c>
      <c r="I112" s="44">
        <f>SUM(I103:I111)</f>
        <v>36674.2046</v>
      </c>
      <c r="S112" s="2"/>
    </row>
    <row r="113" spans="1:19" s="119" customFormat="1" ht="12.75" customHeight="1">
      <c r="A113" s="106"/>
      <c r="B113" s="107"/>
      <c r="C113" s="108"/>
      <c r="D113" s="107"/>
      <c r="E113" s="109"/>
      <c r="F113" s="110"/>
      <c r="G113" s="111"/>
      <c r="H113" s="35"/>
      <c r="I113" s="36"/>
      <c r="S113" s="2"/>
    </row>
    <row r="114" spans="1:19" s="119" customFormat="1" ht="12.75" customHeight="1">
      <c r="A114" s="112"/>
      <c r="B114" s="113" t="s">
        <v>11</v>
      </c>
      <c r="C114" s="114" t="s">
        <v>17</v>
      </c>
      <c r="D114" s="113"/>
      <c r="E114" s="115"/>
      <c r="F114" s="116"/>
      <c r="G114" s="117"/>
      <c r="H114" s="35"/>
      <c r="I114" s="36"/>
      <c r="S114" s="2"/>
    </row>
    <row r="115" spans="1:19" s="119" customFormat="1" ht="44.25" customHeight="1">
      <c r="A115" s="28">
        <v>18</v>
      </c>
      <c r="B115" s="29" t="s">
        <v>118</v>
      </c>
      <c r="C115" s="30" t="s">
        <v>185</v>
      </c>
      <c r="D115" s="31" t="s">
        <v>16</v>
      </c>
      <c r="E115" s="32">
        <f>E103/2</f>
        <v>99</v>
      </c>
      <c r="F115" s="33">
        <v>47.97</v>
      </c>
      <c r="G115" s="34">
        <f>ROUND((E115*F115),2)</f>
        <v>4749.03</v>
      </c>
      <c r="H115" s="35">
        <f>G115*1.21-G115</f>
        <v>997.2963</v>
      </c>
      <c r="I115" s="36">
        <f>G115*1.21</f>
        <v>5746.3263</v>
      </c>
      <c r="K115" s="118"/>
      <c r="S115" s="2"/>
    </row>
    <row r="116" spans="1:19" s="119" customFormat="1" ht="30" customHeight="1">
      <c r="A116" s="28">
        <v>13</v>
      </c>
      <c r="B116" s="29" t="s">
        <v>120</v>
      </c>
      <c r="C116" s="30" t="s">
        <v>121</v>
      </c>
      <c r="D116" s="31" t="s">
        <v>16</v>
      </c>
      <c r="E116" s="32">
        <f>E109</f>
        <v>33</v>
      </c>
      <c r="F116" s="33">
        <v>90.63</v>
      </c>
      <c r="G116" s="34">
        <f>ROUND((E116*F116),2)</f>
        <v>2990.79</v>
      </c>
      <c r="H116" s="35">
        <f>G116*1.21-G116</f>
        <v>628.0659</v>
      </c>
      <c r="I116" s="36">
        <f>G116*1.21</f>
        <v>3618.8559</v>
      </c>
      <c r="K116" s="118"/>
      <c r="S116" s="2"/>
    </row>
    <row r="117" spans="1:19" s="119" customFormat="1" ht="30" customHeight="1">
      <c r="A117" s="28">
        <v>38</v>
      </c>
      <c r="B117" s="29" t="s">
        <v>122</v>
      </c>
      <c r="C117" s="30" t="s">
        <v>123</v>
      </c>
      <c r="D117" s="31" t="s">
        <v>16</v>
      </c>
      <c r="E117" s="32">
        <f>E103*1.1</f>
        <v>217.8</v>
      </c>
      <c r="F117" s="33">
        <v>210</v>
      </c>
      <c r="G117" s="34">
        <f>ROUND((E117*F117),2)</f>
        <v>45738</v>
      </c>
      <c r="H117" s="35">
        <f>G117*1.21-G117</f>
        <v>9604.979999999996</v>
      </c>
      <c r="I117" s="36">
        <f>G117*1.21</f>
        <v>55342.979999999996</v>
      </c>
      <c r="K117" s="118"/>
      <c r="S117" s="2"/>
    </row>
    <row r="118" spans="1:19" s="119" customFormat="1" ht="30" customHeight="1">
      <c r="A118" s="28">
        <v>37</v>
      </c>
      <c r="B118" s="29" t="s">
        <v>124</v>
      </c>
      <c r="C118" s="30" t="s">
        <v>125</v>
      </c>
      <c r="D118" s="31" t="s">
        <v>16</v>
      </c>
      <c r="E118" s="32">
        <f>E103</f>
        <v>198</v>
      </c>
      <c r="F118" s="33">
        <v>228.9</v>
      </c>
      <c r="G118" s="34">
        <f>ROUND((E118*F118),2)</f>
        <v>45322.2</v>
      </c>
      <c r="H118" s="35">
        <f>G118*1.21-G118</f>
        <v>9517.661999999997</v>
      </c>
      <c r="I118" s="36">
        <f>G118*1.21</f>
        <v>54839.861999999994</v>
      </c>
      <c r="K118" s="118"/>
      <c r="S118" s="2"/>
    </row>
    <row r="119" spans="1:19" s="119" customFormat="1" ht="12.75" customHeight="1">
      <c r="A119" s="37"/>
      <c r="B119" s="38" t="s">
        <v>11</v>
      </c>
      <c r="C119" s="39" t="s">
        <v>17</v>
      </c>
      <c r="D119" s="40"/>
      <c r="E119" s="41"/>
      <c r="F119" s="42"/>
      <c r="G119" s="43">
        <f>SUM(G115:G118)</f>
        <v>98800.01999999999</v>
      </c>
      <c r="H119" s="43">
        <f>SUM(H115:H118)</f>
        <v>20748.004199999992</v>
      </c>
      <c r="I119" s="44">
        <f>SUM(I115:I118)</f>
        <v>119548.02419999999</v>
      </c>
      <c r="S119" s="2"/>
    </row>
    <row r="120" spans="1:19" s="119" customFormat="1" ht="12.75" customHeight="1">
      <c r="A120" s="106"/>
      <c r="B120" s="107"/>
      <c r="C120" s="108"/>
      <c r="D120" s="107"/>
      <c r="E120" s="109"/>
      <c r="F120" s="110"/>
      <c r="G120" s="111"/>
      <c r="H120" s="35"/>
      <c r="I120" s="36"/>
      <c r="S120" s="2"/>
    </row>
    <row r="121" spans="1:19" s="119" customFormat="1" ht="12.75" customHeight="1">
      <c r="A121" s="112"/>
      <c r="B121" s="113" t="s">
        <v>160</v>
      </c>
      <c r="C121" s="114" t="s">
        <v>161</v>
      </c>
      <c r="D121" s="113"/>
      <c r="E121" s="115"/>
      <c r="F121" s="116"/>
      <c r="G121" s="117"/>
      <c r="H121" s="35"/>
      <c r="I121" s="36"/>
      <c r="S121" s="2"/>
    </row>
    <row r="122" spans="1:19" s="119" customFormat="1" ht="30" customHeight="1">
      <c r="A122" s="28">
        <v>16</v>
      </c>
      <c r="B122" s="29" t="s">
        <v>162</v>
      </c>
      <c r="C122" s="30" t="s">
        <v>163</v>
      </c>
      <c r="D122" s="31" t="s">
        <v>80</v>
      </c>
      <c r="E122" s="32">
        <f>E104*1.05</f>
        <v>115.5</v>
      </c>
      <c r="F122" s="33">
        <v>60</v>
      </c>
      <c r="G122" s="34">
        <f>ROUND((E122*F122),2)</f>
        <v>6930</v>
      </c>
      <c r="H122" s="35">
        <f>G122*1.21-G122</f>
        <v>1455.2999999999993</v>
      </c>
      <c r="I122" s="36">
        <f>G122*1.21</f>
        <v>8385.3</v>
      </c>
      <c r="K122" s="118"/>
      <c r="S122" s="2"/>
    </row>
    <row r="123" spans="1:19" s="119" customFormat="1" ht="30" customHeight="1">
      <c r="A123" s="28">
        <v>15</v>
      </c>
      <c r="B123" s="29" t="s">
        <v>164</v>
      </c>
      <c r="C123" s="30" t="s">
        <v>165</v>
      </c>
      <c r="D123" s="31" t="s">
        <v>80</v>
      </c>
      <c r="E123" s="32">
        <f>E104</f>
        <v>110</v>
      </c>
      <c r="F123" s="33">
        <v>132.42</v>
      </c>
      <c r="G123" s="34">
        <f>ROUND((E123*F123),2)</f>
        <v>14566.2</v>
      </c>
      <c r="H123" s="35">
        <f>G123*1.21-G123</f>
        <v>3058.901999999998</v>
      </c>
      <c r="I123" s="36">
        <f>G123*1.21</f>
        <v>17625.102</v>
      </c>
      <c r="K123" s="118"/>
      <c r="S123" s="2"/>
    </row>
    <row r="124" spans="1:19" s="119" customFormat="1" ht="12.75" customHeight="1">
      <c r="A124" s="37"/>
      <c r="B124" s="38" t="s">
        <v>160</v>
      </c>
      <c r="C124" s="39" t="s">
        <v>161</v>
      </c>
      <c r="D124" s="40"/>
      <c r="E124" s="41"/>
      <c r="F124" s="42"/>
      <c r="G124" s="43">
        <f>SUM(G122:G123)</f>
        <v>21496.2</v>
      </c>
      <c r="H124" s="43">
        <f>SUM(H122:H123)</f>
        <v>4514.2019999999975</v>
      </c>
      <c r="I124" s="44">
        <f>SUM(I122:I123)</f>
        <v>26010.402</v>
      </c>
      <c r="S124" s="2"/>
    </row>
    <row r="125" spans="1:19" s="119" customFormat="1" ht="12.75" customHeight="1">
      <c r="A125" s="106"/>
      <c r="B125" s="107"/>
      <c r="C125" s="108"/>
      <c r="D125" s="107"/>
      <c r="E125" s="109"/>
      <c r="F125" s="110"/>
      <c r="G125" s="111"/>
      <c r="H125" s="35"/>
      <c r="I125" s="36"/>
      <c r="S125" s="2"/>
    </row>
    <row r="126" spans="1:19" s="119" customFormat="1" ht="12.75" customHeight="1">
      <c r="A126" s="112"/>
      <c r="B126" s="113" t="s">
        <v>166</v>
      </c>
      <c r="C126" s="114" t="s">
        <v>167</v>
      </c>
      <c r="D126" s="113"/>
      <c r="E126" s="115"/>
      <c r="F126" s="116"/>
      <c r="G126" s="117"/>
      <c r="H126" s="35"/>
      <c r="I126" s="36"/>
      <c r="S126" s="2"/>
    </row>
    <row r="127" spans="1:19" s="119" customFormat="1" ht="30" customHeight="1">
      <c r="A127" s="28">
        <v>3</v>
      </c>
      <c r="B127" s="29" t="s">
        <v>170</v>
      </c>
      <c r="C127" s="30" t="s">
        <v>171</v>
      </c>
      <c r="D127" s="31" t="s">
        <v>14</v>
      </c>
      <c r="E127" s="32">
        <f>E103*0.13</f>
        <v>25.740000000000002</v>
      </c>
      <c r="F127" s="33">
        <v>145.7</v>
      </c>
      <c r="G127" s="34">
        <f aca="true" t="shared" si="9" ref="G127:G133">ROUND((E127*F127),2)</f>
        <v>3750.32</v>
      </c>
      <c r="H127" s="35">
        <f aca="true" t="shared" si="10" ref="H127:H133">G127*1.21-G127</f>
        <v>787.5672</v>
      </c>
      <c r="I127" s="36">
        <f aca="true" t="shared" si="11" ref="I127:I133">G127*1.21</f>
        <v>4537.8872</v>
      </c>
      <c r="K127" s="118"/>
      <c r="S127" s="2"/>
    </row>
    <row r="128" spans="1:19" s="119" customFormat="1" ht="30" customHeight="1">
      <c r="A128" s="28">
        <v>7</v>
      </c>
      <c r="B128" s="29" t="s">
        <v>170</v>
      </c>
      <c r="C128" s="30" t="s">
        <v>172</v>
      </c>
      <c r="D128" s="31" t="s">
        <v>14</v>
      </c>
      <c r="E128" s="32">
        <f>E123*0.0215</f>
        <v>2.3649999999999998</v>
      </c>
      <c r="F128" s="33">
        <v>145.7</v>
      </c>
      <c r="G128" s="34">
        <f t="shared" si="9"/>
        <v>344.58</v>
      </c>
      <c r="H128" s="35">
        <f t="shared" si="10"/>
        <v>72.36179999999996</v>
      </c>
      <c r="I128" s="36">
        <f t="shared" si="11"/>
        <v>416.94179999999994</v>
      </c>
      <c r="K128" s="118"/>
      <c r="S128" s="2"/>
    </row>
    <row r="129" spans="1:19" s="119" customFormat="1" ht="30" customHeight="1">
      <c r="A129" s="28">
        <v>2</v>
      </c>
      <c r="B129" s="29" t="s">
        <v>173</v>
      </c>
      <c r="C129" s="30" t="s">
        <v>174</v>
      </c>
      <c r="D129" s="31" t="s">
        <v>14</v>
      </c>
      <c r="E129" s="32">
        <f>E127</f>
        <v>25.740000000000002</v>
      </c>
      <c r="F129" s="33">
        <v>96.72</v>
      </c>
      <c r="G129" s="34">
        <f t="shared" si="9"/>
        <v>2489.57</v>
      </c>
      <c r="H129" s="35">
        <f t="shared" si="10"/>
        <v>522.8096999999998</v>
      </c>
      <c r="I129" s="36">
        <f t="shared" si="11"/>
        <v>3012.3797</v>
      </c>
      <c r="K129" s="118"/>
      <c r="S129" s="2"/>
    </row>
    <row r="130" spans="1:19" s="119" customFormat="1" ht="30" customHeight="1">
      <c r="A130" s="28">
        <v>6</v>
      </c>
      <c r="B130" s="29" t="s">
        <v>173</v>
      </c>
      <c r="C130" s="30" t="s">
        <v>175</v>
      </c>
      <c r="D130" s="31" t="s">
        <v>14</v>
      </c>
      <c r="E130" s="32">
        <f>E128</f>
        <v>2.3649999999999998</v>
      </c>
      <c r="F130" s="33">
        <v>96.72</v>
      </c>
      <c r="G130" s="34">
        <f t="shared" si="9"/>
        <v>228.74</v>
      </c>
      <c r="H130" s="35">
        <f t="shared" si="10"/>
        <v>48.03539999999998</v>
      </c>
      <c r="I130" s="36">
        <f t="shared" si="11"/>
        <v>276.7754</v>
      </c>
      <c r="K130" s="118"/>
      <c r="S130" s="2"/>
    </row>
    <row r="131" spans="1:19" s="119" customFormat="1" ht="30" customHeight="1">
      <c r="A131" s="28">
        <v>4</v>
      </c>
      <c r="B131" s="29" t="s">
        <v>176</v>
      </c>
      <c r="C131" s="30" t="s">
        <v>177</v>
      </c>
      <c r="D131" s="31" t="s">
        <v>14</v>
      </c>
      <c r="E131" s="32">
        <f>E127</f>
        <v>25.740000000000002</v>
      </c>
      <c r="F131" s="33">
        <v>550</v>
      </c>
      <c r="G131" s="34">
        <f t="shared" si="9"/>
        <v>14157</v>
      </c>
      <c r="H131" s="35">
        <f t="shared" si="10"/>
        <v>2972.970000000001</v>
      </c>
      <c r="I131" s="36">
        <f t="shared" si="11"/>
        <v>17129.97</v>
      </c>
      <c r="K131" s="118"/>
      <c r="S131" s="2"/>
    </row>
    <row r="132" spans="1:19" s="119" customFormat="1" ht="30" customHeight="1">
      <c r="A132" s="28">
        <v>8</v>
      </c>
      <c r="B132" s="29" t="s">
        <v>176</v>
      </c>
      <c r="C132" s="30" t="s">
        <v>178</v>
      </c>
      <c r="D132" s="31" t="s">
        <v>14</v>
      </c>
      <c r="E132" s="32">
        <f>E128</f>
        <v>2.3649999999999998</v>
      </c>
      <c r="F132" s="33">
        <v>550</v>
      </c>
      <c r="G132" s="34">
        <f t="shared" si="9"/>
        <v>1300.75</v>
      </c>
      <c r="H132" s="35">
        <f t="shared" si="10"/>
        <v>273.1575</v>
      </c>
      <c r="I132" s="36">
        <f t="shared" si="11"/>
        <v>1573.9075</v>
      </c>
      <c r="K132" s="118"/>
      <c r="S132" s="2"/>
    </row>
    <row r="133" spans="1:19" s="119" customFormat="1" ht="30" customHeight="1">
      <c r="A133" s="28">
        <v>12</v>
      </c>
      <c r="B133" s="29" t="s">
        <v>176</v>
      </c>
      <c r="C133" s="30" t="s">
        <v>179</v>
      </c>
      <c r="D133" s="31" t="s">
        <v>14</v>
      </c>
      <c r="E133" s="32">
        <f>E105*1.6</f>
        <v>5.280000000000001</v>
      </c>
      <c r="F133" s="33">
        <v>250</v>
      </c>
      <c r="G133" s="34">
        <f t="shared" si="9"/>
        <v>1320</v>
      </c>
      <c r="H133" s="35">
        <f t="shared" si="10"/>
        <v>277.20000000000005</v>
      </c>
      <c r="I133" s="36">
        <f t="shared" si="11"/>
        <v>1597.2</v>
      </c>
      <c r="K133" s="118"/>
      <c r="S133" s="2"/>
    </row>
    <row r="134" spans="1:19" s="119" customFormat="1" ht="12.75" customHeight="1">
      <c r="A134" s="37"/>
      <c r="B134" s="38" t="s">
        <v>166</v>
      </c>
      <c r="C134" s="39" t="s">
        <v>167</v>
      </c>
      <c r="D134" s="40"/>
      <c r="E134" s="41"/>
      <c r="F134" s="42"/>
      <c r="G134" s="43">
        <f>SUM(G127:G133)</f>
        <v>23590.96</v>
      </c>
      <c r="H134" s="43">
        <f>SUM(H127:H133)</f>
        <v>4954.101600000001</v>
      </c>
      <c r="I134" s="44">
        <f>SUM(I127:I133)</f>
        <v>28545.061600000005</v>
      </c>
      <c r="S134" s="2"/>
    </row>
    <row r="135" spans="1:19" s="119" customFormat="1" ht="12.75" customHeight="1">
      <c r="A135" s="106"/>
      <c r="B135" s="107"/>
      <c r="C135" s="108"/>
      <c r="D135" s="107"/>
      <c r="E135" s="109"/>
      <c r="F135" s="110"/>
      <c r="G135" s="111"/>
      <c r="H135" s="35"/>
      <c r="I135" s="36"/>
      <c r="S135" s="2"/>
    </row>
    <row r="136" spans="1:19" s="119" customFormat="1" ht="12.75" customHeight="1">
      <c r="A136" s="112"/>
      <c r="B136" s="113" t="s">
        <v>73</v>
      </c>
      <c r="C136" s="114" t="s">
        <v>69</v>
      </c>
      <c r="D136" s="113"/>
      <c r="E136" s="115"/>
      <c r="F136" s="116"/>
      <c r="G136" s="117"/>
      <c r="H136" s="35"/>
      <c r="I136" s="36"/>
      <c r="S136" s="2"/>
    </row>
    <row r="137" spans="1:19" s="119" customFormat="1" ht="30" customHeight="1">
      <c r="A137" s="28">
        <v>4</v>
      </c>
      <c r="B137" s="29">
        <v>998223011</v>
      </c>
      <c r="C137" s="30" t="s">
        <v>195</v>
      </c>
      <c r="D137" s="31" t="s">
        <v>14</v>
      </c>
      <c r="E137" s="32">
        <f>E115*0.05*1.6+E116*0.1*1.6+E117*0.1254+E122*0.0215</f>
        <v>42.99537000000001</v>
      </c>
      <c r="F137" s="33">
        <v>168.18</v>
      </c>
      <c r="G137" s="34">
        <f>ROUND((E137*F137),2)</f>
        <v>7230.96</v>
      </c>
      <c r="H137" s="35">
        <f>G137*1.21-G137</f>
        <v>1518.5016000000005</v>
      </c>
      <c r="I137" s="36">
        <f>G137*1.21</f>
        <v>8749.4616</v>
      </c>
      <c r="K137" s="118"/>
      <c r="S137" s="2"/>
    </row>
    <row r="138" spans="1:19" s="119" customFormat="1" ht="12.75" customHeight="1">
      <c r="A138" s="45"/>
      <c r="B138" s="46" t="s">
        <v>73</v>
      </c>
      <c r="C138" s="47" t="s">
        <v>69</v>
      </c>
      <c r="D138" s="48"/>
      <c r="E138" s="49"/>
      <c r="F138" s="50"/>
      <c r="G138" s="51">
        <f>SUM(G137:G137)</f>
        <v>7230.96</v>
      </c>
      <c r="H138" s="51">
        <f>SUM(H137:H137)</f>
        <v>1518.5016000000005</v>
      </c>
      <c r="I138" s="52">
        <f>SUM(I137:I137)</f>
        <v>8749.4616</v>
      </c>
      <c r="S138" s="2"/>
    </row>
    <row r="139" spans="1:19" s="105" customFormat="1" ht="12.75" customHeight="1">
      <c r="A139" s="53"/>
      <c r="B139" s="54"/>
      <c r="C139" s="55"/>
      <c r="D139" s="53"/>
      <c r="E139" s="56"/>
      <c r="F139" s="57"/>
      <c r="G139" s="58"/>
      <c r="H139" s="59"/>
      <c r="I139" s="59"/>
      <c r="S139" s="2"/>
    </row>
    <row r="140" spans="1:19" s="119" customFormat="1" ht="28.5" customHeight="1">
      <c r="A140" s="172" t="s">
        <v>1</v>
      </c>
      <c r="B140" s="173"/>
      <c r="C140" s="21" t="s">
        <v>186</v>
      </c>
      <c r="D140" s="22"/>
      <c r="E140" s="23"/>
      <c r="F140" s="24"/>
      <c r="G140" s="25">
        <f>G151+G158+G162+G166+G171+G181+G185</f>
        <v>365278.54000000004</v>
      </c>
      <c r="H140" s="25">
        <f>H151+H158+H162+H166+H171+H181+H185</f>
        <v>76708.49339999998</v>
      </c>
      <c r="I140" s="126">
        <f>I151+I158+I162+I166+I171+I181+I185</f>
        <v>441987.0334</v>
      </c>
      <c r="S140" s="2"/>
    </row>
    <row r="141" spans="1:19" s="119" customFormat="1" ht="12.75" customHeight="1">
      <c r="A141" s="112"/>
      <c r="B141" s="113" t="s">
        <v>7</v>
      </c>
      <c r="C141" s="114" t="s">
        <v>68</v>
      </c>
      <c r="D141" s="113"/>
      <c r="E141" s="115"/>
      <c r="F141" s="116"/>
      <c r="G141" s="117"/>
      <c r="H141" s="35"/>
      <c r="I141" s="36"/>
      <c r="S141" s="2"/>
    </row>
    <row r="142" spans="1:19" s="119" customFormat="1" ht="30" customHeight="1">
      <c r="A142" s="28">
        <v>1</v>
      </c>
      <c r="B142" s="29" t="s">
        <v>76</v>
      </c>
      <c r="C142" s="30" t="s">
        <v>77</v>
      </c>
      <c r="D142" s="31" t="s">
        <v>16</v>
      </c>
      <c r="E142" s="32">
        <f>87*4+7*6+38*2.2</f>
        <v>473.6</v>
      </c>
      <c r="F142" s="33">
        <v>46.37</v>
      </c>
      <c r="G142" s="34">
        <f aca="true" t="shared" si="12" ref="G142:G150">ROUND((E142*F142),2)</f>
        <v>21960.83</v>
      </c>
      <c r="H142" s="35">
        <f aca="true" t="shared" si="13" ref="H142:H150">G142*1.21-G142</f>
        <v>4611.774300000001</v>
      </c>
      <c r="I142" s="36">
        <f aca="true" t="shared" si="14" ref="I142:I150">G142*1.21</f>
        <v>26572.604300000003</v>
      </c>
      <c r="K142" s="118"/>
      <c r="S142" s="2"/>
    </row>
    <row r="143" spans="1:19" s="119" customFormat="1" ht="30" customHeight="1">
      <c r="A143" s="28">
        <v>5</v>
      </c>
      <c r="B143" s="29" t="s">
        <v>78</v>
      </c>
      <c r="C143" s="30" t="s">
        <v>189</v>
      </c>
      <c r="D143" s="31" t="s">
        <v>80</v>
      </c>
      <c r="E143" s="32">
        <v>89</v>
      </c>
      <c r="F143" s="33">
        <v>37.49</v>
      </c>
      <c r="G143" s="34">
        <f t="shared" si="12"/>
        <v>3336.61</v>
      </c>
      <c r="H143" s="35">
        <f t="shared" si="13"/>
        <v>700.6880999999998</v>
      </c>
      <c r="I143" s="36">
        <f t="shared" si="14"/>
        <v>4037.2981</v>
      </c>
      <c r="K143" s="118"/>
      <c r="S143" s="2"/>
    </row>
    <row r="144" spans="1:19" s="119" customFormat="1" ht="30" customHeight="1">
      <c r="A144" s="28">
        <v>9</v>
      </c>
      <c r="B144" s="29" t="s">
        <v>84</v>
      </c>
      <c r="C144" s="30" t="s">
        <v>85</v>
      </c>
      <c r="D144" s="31" t="s">
        <v>83</v>
      </c>
      <c r="E144" s="32">
        <f>E143*0.3*0.1</f>
        <v>2.67</v>
      </c>
      <c r="F144" s="33">
        <v>583.63</v>
      </c>
      <c r="G144" s="34">
        <f t="shared" si="12"/>
        <v>1558.29</v>
      </c>
      <c r="H144" s="35">
        <f t="shared" si="13"/>
        <v>327.2409</v>
      </c>
      <c r="I144" s="36">
        <f t="shared" si="14"/>
        <v>1885.5309</v>
      </c>
      <c r="K144" s="118"/>
      <c r="S144" s="2"/>
    </row>
    <row r="145" spans="1:19" s="119" customFormat="1" ht="30" customHeight="1">
      <c r="A145" s="28">
        <v>11</v>
      </c>
      <c r="B145" s="29" t="s">
        <v>89</v>
      </c>
      <c r="C145" s="30" t="s">
        <v>90</v>
      </c>
      <c r="D145" s="31" t="s">
        <v>83</v>
      </c>
      <c r="E145" s="32">
        <f>E144</f>
        <v>2.67</v>
      </c>
      <c r="F145" s="33">
        <v>176.77</v>
      </c>
      <c r="G145" s="34">
        <f t="shared" si="12"/>
        <v>471.98</v>
      </c>
      <c r="H145" s="35">
        <f t="shared" si="13"/>
        <v>99.11580000000004</v>
      </c>
      <c r="I145" s="36">
        <f t="shared" si="14"/>
        <v>571.0958</v>
      </c>
      <c r="K145" s="118"/>
      <c r="S145" s="2"/>
    </row>
    <row r="146" spans="1:19" s="119" customFormat="1" ht="30" customHeight="1">
      <c r="A146" s="28">
        <v>10</v>
      </c>
      <c r="B146" s="29" t="s">
        <v>93</v>
      </c>
      <c r="C146" s="30" t="s">
        <v>94</v>
      </c>
      <c r="D146" s="31" t="s">
        <v>83</v>
      </c>
      <c r="E146" s="32">
        <f>E144</f>
        <v>2.67</v>
      </c>
      <c r="F146" s="33">
        <v>172.49</v>
      </c>
      <c r="G146" s="34">
        <f t="shared" si="12"/>
        <v>460.55</v>
      </c>
      <c r="H146" s="35">
        <f t="shared" si="13"/>
        <v>96.71549999999996</v>
      </c>
      <c r="I146" s="36">
        <f t="shared" si="14"/>
        <v>557.2655</v>
      </c>
      <c r="K146" s="118"/>
      <c r="S146" s="2"/>
    </row>
    <row r="147" spans="1:19" s="119" customFormat="1" ht="30" customHeight="1">
      <c r="A147" s="28">
        <v>36</v>
      </c>
      <c r="B147" s="29" t="s">
        <v>101</v>
      </c>
      <c r="C147" s="30" t="s">
        <v>102</v>
      </c>
      <c r="D147" s="31" t="s">
        <v>16</v>
      </c>
      <c r="E147" s="32">
        <f>87*1*2+38*1*2</f>
        <v>250</v>
      </c>
      <c r="F147" s="33">
        <v>14.79</v>
      </c>
      <c r="G147" s="34">
        <f t="shared" si="12"/>
        <v>3697.5</v>
      </c>
      <c r="H147" s="35">
        <f t="shared" si="13"/>
        <v>776.4749999999995</v>
      </c>
      <c r="I147" s="36">
        <f t="shared" si="14"/>
        <v>4473.974999999999</v>
      </c>
      <c r="K147" s="118"/>
      <c r="S147" s="2"/>
    </row>
    <row r="148" spans="1:19" s="119" customFormat="1" ht="30" customHeight="1">
      <c r="A148" s="28">
        <v>14</v>
      </c>
      <c r="B148" s="29" t="s">
        <v>103</v>
      </c>
      <c r="C148" s="30" t="s">
        <v>104</v>
      </c>
      <c r="D148" s="31" t="s">
        <v>16</v>
      </c>
      <c r="E148" s="32">
        <f>E143*0.3</f>
        <v>26.7</v>
      </c>
      <c r="F148" s="33">
        <v>26.06</v>
      </c>
      <c r="G148" s="34">
        <f t="shared" si="12"/>
        <v>695.8</v>
      </c>
      <c r="H148" s="35">
        <f t="shared" si="13"/>
        <v>146.11799999999994</v>
      </c>
      <c r="I148" s="36">
        <f t="shared" si="14"/>
        <v>841.9179999999999</v>
      </c>
      <c r="K148" s="118"/>
      <c r="S148" s="2"/>
    </row>
    <row r="149" spans="1:19" s="119" customFormat="1" ht="30" customHeight="1">
      <c r="A149" s="28">
        <v>17</v>
      </c>
      <c r="B149" s="29" t="s">
        <v>103</v>
      </c>
      <c r="C149" s="30" t="s">
        <v>105</v>
      </c>
      <c r="D149" s="31" t="s">
        <v>16</v>
      </c>
      <c r="E149" s="32">
        <f>E142</f>
        <v>473.6</v>
      </c>
      <c r="F149" s="33">
        <v>36.06</v>
      </c>
      <c r="G149" s="34">
        <f t="shared" si="12"/>
        <v>17078.02</v>
      </c>
      <c r="H149" s="35">
        <f t="shared" si="13"/>
        <v>3586.3842000000004</v>
      </c>
      <c r="I149" s="36">
        <f t="shared" si="14"/>
        <v>20664.4042</v>
      </c>
      <c r="K149" s="118"/>
      <c r="S149" s="2"/>
    </row>
    <row r="150" spans="1:19" s="119" customFormat="1" ht="30" customHeight="1">
      <c r="A150" s="28">
        <v>35</v>
      </c>
      <c r="B150" s="29" t="s">
        <v>106</v>
      </c>
      <c r="C150" s="30" t="s">
        <v>107</v>
      </c>
      <c r="D150" s="31" t="s">
        <v>16</v>
      </c>
      <c r="E150" s="32">
        <f>E147</f>
        <v>250</v>
      </c>
      <c r="F150" s="33">
        <v>39.08</v>
      </c>
      <c r="G150" s="34">
        <f t="shared" si="12"/>
        <v>9770</v>
      </c>
      <c r="H150" s="35">
        <f t="shared" si="13"/>
        <v>2051.699999999999</v>
      </c>
      <c r="I150" s="36">
        <f t="shared" si="14"/>
        <v>11821.699999999999</v>
      </c>
      <c r="K150" s="118"/>
      <c r="S150" s="2"/>
    </row>
    <row r="151" spans="1:19" s="119" customFormat="1" ht="12.75" customHeight="1">
      <c r="A151" s="37"/>
      <c r="B151" s="38" t="s">
        <v>7</v>
      </c>
      <c r="C151" s="39" t="s">
        <v>68</v>
      </c>
      <c r="D151" s="40"/>
      <c r="E151" s="41"/>
      <c r="F151" s="42"/>
      <c r="G151" s="43">
        <f>SUM(G142:G150)</f>
        <v>59029.58</v>
      </c>
      <c r="H151" s="43">
        <f>SUM(H142:H150)</f>
        <v>12396.2118</v>
      </c>
      <c r="I151" s="44">
        <f>SUM(I142:I150)</f>
        <v>71425.7918</v>
      </c>
      <c r="S151" s="2"/>
    </row>
    <row r="152" spans="1:19" s="119" customFormat="1" ht="12.75" customHeight="1">
      <c r="A152" s="106"/>
      <c r="B152" s="107"/>
      <c r="C152" s="108"/>
      <c r="D152" s="107"/>
      <c r="E152" s="109"/>
      <c r="F152" s="110"/>
      <c r="G152" s="111"/>
      <c r="H152" s="35"/>
      <c r="I152" s="36"/>
      <c r="S152" s="2"/>
    </row>
    <row r="153" spans="1:19" s="119" customFormat="1" ht="12.75" customHeight="1">
      <c r="A153" s="112"/>
      <c r="B153" s="113" t="s">
        <v>11</v>
      </c>
      <c r="C153" s="114" t="s">
        <v>17</v>
      </c>
      <c r="D153" s="113"/>
      <c r="E153" s="115"/>
      <c r="F153" s="116"/>
      <c r="G153" s="117"/>
      <c r="H153" s="35"/>
      <c r="I153" s="36"/>
      <c r="S153" s="2"/>
    </row>
    <row r="154" spans="1:19" s="119" customFormat="1" ht="30" customHeight="1">
      <c r="A154" s="28">
        <v>18</v>
      </c>
      <c r="B154" s="29" t="s">
        <v>118</v>
      </c>
      <c r="C154" s="30" t="s">
        <v>185</v>
      </c>
      <c r="D154" s="31" t="s">
        <v>16</v>
      </c>
      <c r="E154" s="32">
        <f>E142/2</f>
        <v>236.8</v>
      </c>
      <c r="F154" s="33">
        <v>47.97</v>
      </c>
      <c r="G154" s="34">
        <f>ROUND((E154*F154),2)</f>
        <v>11359.3</v>
      </c>
      <c r="H154" s="35">
        <f>G154*1.21-G154</f>
        <v>2385.4529999999995</v>
      </c>
      <c r="I154" s="36">
        <f>G154*1.21</f>
        <v>13744.752999999999</v>
      </c>
      <c r="K154" s="118"/>
      <c r="S154" s="2"/>
    </row>
    <row r="155" spans="1:19" s="119" customFormat="1" ht="30" customHeight="1">
      <c r="A155" s="28">
        <v>13</v>
      </c>
      <c r="B155" s="29" t="s">
        <v>120</v>
      </c>
      <c r="C155" s="30" t="s">
        <v>121</v>
      </c>
      <c r="D155" s="31" t="s">
        <v>16</v>
      </c>
      <c r="E155" s="32">
        <f>E148</f>
        <v>26.7</v>
      </c>
      <c r="F155" s="33">
        <v>90.63</v>
      </c>
      <c r="G155" s="34">
        <f>ROUND((E155*F155),2)</f>
        <v>2419.82</v>
      </c>
      <c r="H155" s="35">
        <f>G155*1.21-G155</f>
        <v>508.16219999999976</v>
      </c>
      <c r="I155" s="36">
        <f>G155*1.21</f>
        <v>2927.9822</v>
      </c>
      <c r="K155" s="118"/>
      <c r="S155" s="2"/>
    </row>
    <row r="156" spans="1:19" s="119" customFormat="1" ht="30" customHeight="1">
      <c r="A156" s="28">
        <v>38</v>
      </c>
      <c r="B156" s="29" t="s">
        <v>122</v>
      </c>
      <c r="C156" s="30" t="s">
        <v>123</v>
      </c>
      <c r="D156" s="31" t="s">
        <v>16</v>
      </c>
      <c r="E156" s="32">
        <f>E142*1.1</f>
        <v>520.96</v>
      </c>
      <c r="F156" s="33">
        <v>212.6</v>
      </c>
      <c r="G156" s="34">
        <f>ROUND((E156*F156),2)</f>
        <v>110756.1</v>
      </c>
      <c r="H156" s="35">
        <f>G156*1.21-G156</f>
        <v>23258.780999999988</v>
      </c>
      <c r="I156" s="36">
        <f>G156*1.21</f>
        <v>134014.881</v>
      </c>
      <c r="K156" s="118"/>
      <c r="S156" s="2"/>
    </row>
    <row r="157" spans="1:19" s="119" customFormat="1" ht="30" customHeight="1">
      <c r="A157" s="28">
        <v>37</v>
      </c>
      <c r="B157" s="29">
        <v>596211233</v>
      </c>
      <c r="C157" s="30" t="s">
        <v>187</v>
      </c>
      <c r="D157" s="31" t="s">
        <v>16</v>
      </c>
      <c r="E157" s="32">
        <f>E142</f>
        <v>473.6</v>
      </c>
      <c r="F157" s="33">
        <v>228.9</v>
      </c>
      <c r="G157" s="34">
        <f>ROUND((E157*F157),2)</f>
        <v>108407.04</v>
      </c>
      <c r="H157" s="35">
        <f>G157*1.21-G157</f>
        <v>22765.478400000007</v>
      </c>
      <c r="I157" s="36">
        <f>G157*1.21</f>
        <v>131172.5184</v>
      </c>
      <c r="K157" s="118"/>
      <c r="S157" s="2"/>
    </row>
    <row r="158" spans="1:19" s="119" customFormat="1" ht="12.75" customHeight="1">
      <c r="A158" s="37"/>
      <c r="B158" s="38" t="s">
        <v>11</v>
      </c>
      <c r="C158" s="39" t="s">
        <v>17</v>
      </c>
      <c r="D158" s="40"/>
      <c r="E158" s="41"/>
      <c r="F158" s="42"/>
      <c r="G158" s="43">
        <f>SUM(G154:G157)</f>
        <v>232942.26</v>
      </c>
      <c r="H158" s="43">
        <f>SUM(H154:H157)</f>
        <v>48917.874599999996</v>
      </c>
      <c r="I158" s="44">
        <f>SUM(I154:I157)</f>
        <v>281860.1346</v>
      </c>
      <c r="S158" s="2"/>
    </row>
    <row r="159" spans="1:19" s="119" customFormat="1" ht="12.75" customHeight="1">
      <c r="A159" s="106"/>
      <c r="B159" s="107"/>
      <c r="C159" s="108"/>
      <c r="D159" s="107"/>
      <c r="E159" s="109"/>
      <c r="F159" s="110"/>
      <c r="G159" s="111"/>
      <c r="H159" s="35"/>
      <c r="I159" s="36"/>
      <c r="S159" s="2"/>
    </row>
    <row r="160" spans="1:19" s="119" customFormat="1" ht="12.75" customHeight="1">
      <c r="A160" s="112"/>
      <c r="B160" s="113" t="s">
        <v>12</v>
      </c>
      <c r="C160" s="114" t="s">
        <v>126</v>
      </c>
      <c r="D160" s="113"/>
      <c r="E160" s="115"/>
      <c r="F160" s="116"/>
      <c r="G160" s="117"/>
      <c r="H160" s="35"/>
      <c r="I160" s="36"/>
      <c r="S160" s="2"/>
    </row>
    <row r="161" spans="1:19" s="119" customFormat="1" ht="30" customHeight="1">
      <c r="A161" s="28">
        <v>39</v>
      </c>
      <c r="B161" s="29" t="s">
        <v>127</v>
      </c>
      <c r="C161" s="30" t="s">
        <v>128</v>
      </c>
      <c r="D161" s="31" t="s">
        <v>16</v>
      </c>
      <c r="E161" s="32">
        <v>4.26</v>
      </c>
      <c r="F161" s="33">
        <v>2500</v>
      </c>
      <c r="G161" s="34">
        <f>ROUND((E161*F161),2)</f>
        <v>10650</v>
      </c>
      <c r="H161" s="35">
        <f>G161*1.21-G161</f>
        <v>2236.5</v>
      </c>
      <c r="I161" s="36">
        <f>G161*1.21</f>
        <v>12886.5</v>
      </c>
      <c r="K161" s="118"/>
      <c r="S161" s="2"/>
    </row>
    <row r="162" spans="1:19" s="119" customFormat="1" ht="12.75" customHeight="1">
      <c r="A162" s="37"/>
      <c r="B162" s="38" t="s">
        <v>12</v>
      </c>
      <c r="C162" s="39" t="s">
        <v>126</v>
      </c>
      <c r="D162" s="40"/>
      <c r="E162" s="41"/>
      <c r="F162" s="42"/>
      <c r="G162" s="43">
        <f>SUM(G161:G161)</f>
        <v>10650</v>
      </c>
      <c r="H162" s="43">
        <f>SUM(H161:H161)</f>
        <v>2236.5</v>
      </c>
      <c r="I162" s="44">
        <f>SUM(I161:I161)</f>
        <v>12886.5</v>
      </c>
      <c r="S162" s="2"/>
    </row>
    <row r="163" spans="1:19" s="119" customFormat="1" ht="12.75" customHeight="1">
      <c r="A163" s="106"/>
      <c r="B163" s="107"/>
      <c r="C163" s="108"/>
      <c r="D163" s="107"/>
      <c r="E163" s="109"/>
      <c r="F163" s="110"/>
      <c r="G163" s="111"/>
      <c r="H163" s="35"/>
      <c r="I163" s="36"/>
      <c r="S163" s="2"/>
    </row>
    <row r="164" spans="1:19" s="119" customFormat="1" ht="12.75" customHeight="1">
      <c r="A164" s="112"/>
      <c r="B164" s="113" t="s">
        <v>146</v>
      </c>
      <c r="C164" s="114" t="s">
        <v>147</v>
      </c>
      <c r="D164" s="113"/>
      <c r="E164" s="115"/>
      <c r="F164" s="116"/>
      <c r="G164" s="117"/>
      <c r="H164" s="35"/>
      <c r="I164" s="36"/>
      <c r="S164" s="2"/>
    </row>
    <row r="165" spans="1:19" s="119" customFormat="1" ht="47.25" customHeight="1">
      <c r="A165" s="28">
        <v>19</v>
      </c>
      <c r="B165" s="29" t="s">
        <v>152</v>
      </c>
      <c r="C165" s="30" t="s">
        <v>188</v>
      </c>
      <c r="D165" s="31" t="s">
        <v>112</v>
      </c>
      <c r="E165" s="32">
        <v>3</v>
      </c>
      <c r="F165" s="33">
        <v>1573.34</v>
      </c>
      <c r="G165" s="34">
        <f>ROUND((E165*F165),2)</f>
        <v>4720.02</v>
      </c>
      <c r="H165" s="35">
        <f>G165*1.21-G165</f>
        <v>991.2042000000001</v>
      </c>
      <c r="I165" s="36">
        <f>G165*1.21</f>
        <v>5711.224200000001</v>
      </c>
      <c r="K165" s="118"/>
      <c r="S165" s="2"/>
    </row>
    <row r="166" spans="1:19" s="119" customFormat="1" ht="12.75" customHeight="1">
      <c r="A166" s="37"/>
      <c r="B166" s="38" t="s">
        <v>146</v>
      </c>
      <c r="C166" s="39" t="s">
        <v>147</v>
      </c>
      <c r="D166" s="40"/>
      <c r="E166" s="41"/>
      <c r="F166" s="42"/>
      <c r="G166" s="43">
        <f>SUM(G165:G165)</f>
        <v>4720.02</v>
      </c>
      <c r="H166" s="43">
        <f>SUM(H165:H165)</f>
        <v>991.2042000000001</v>
      </c>
      <c r="I166" s="44">
        <f>SUM(I165:I165)</f>
        <v>5711.224200000001</v>
      </c>
      <c r="S166" s="2"/>
    </row>
    <row r="167" spans="1:19" s="119" customFormat="1" ht="12.75" customHeight="1">
      <c r="A167" s="106"/>
      <c r="B167" s="107"/>
      <c r="C167" s="108"/>
      <c r="D167" s="107"/>
      <c r="E167" s="109"/>
      <c r="F167" s="110"/>
      <c r="G167" s="111"/>
      <c r="H167" s="35"/>
      <c r="I167" s="36"/>
      <c r="S167" s="2"/>
    </row>
    <row r="168" spans="1:19" s="119" customFormat="1" ht="12.75" customHeight="1">
      <c r="A168" s="112"/>
      <c r="B168" s="113" t="s">
        <v>160</v>
      </c>
      <c r="C168" s="114" t="s">
        <v>161</v>
      </c>
      <c r="D168" s="113"/>
      <c r="E168" s="115"/>
      <c r="F168" s="116"/>
      <c r="G168" s="117"/>
      <c r="H168" s="35"/>
      <c r="I168" s="36"/>
      <c r="S168" s="2"/>
    </row>
    <row r="169" spans="1:19" s="119" customFormat="1" ht="30" customHeight="1">
      <c r="A169" s="28">
        <v>16</v>
      </c>
      <c r="B169" s="29" t="s">
        <v>162</v>
      </c>
      <c r="C169" s="30" t="s">
        <v>163</v>
      </c>
      <c r="D169" s="31" t="s">
        <v>80</v>
      </c>
      <c r="E169" s="32">
        <f>E143*1.05</f>
        <v>93.45</v>
      </c>
      <c r="F169" s="33">
        <v>60</v>
      </c>
      <c r="G169" s="34">
        <f>ROUND((E169*F169),2)</f>
        <v>5607</v>
      </c>
      <c r="H169" s="35">
        <f>G169*1.21-G169</f>
        <v>1177.4700000000003</v>
      </c>
      <c r="I169" s="36">
        <f>G169*1.21</f>
        <v>6784.47</v>
      </c>
      <c r="K169" s="118"/>
      <c r="S169" s="2"/>
    </row>
    <row r="170" spans="1:19" s="119" customFormat="1" ht="30" customHeight="1">
      <c r="A170" s="28">
        <v>15</v>
      </c>
      <c r="B170" s="29" t="s">
        <v>164</v>
      </c>
      <c r="C170" s="30" t="s">
        <v>165</v>
      </c>
      <c r="D170" s="31" t="s">
        <v>80</v>
      </c>
      <c r="E170" s="32">
        <f>E143</f>
        <v>89</v>
      </c>
      <c r="F170" s="33">
        <v>132.42</v>
      </c>
      <c r="G170" s="34">
        <f>ROUND((E170*F170),2)</f>
        <v>11785.38</v>
      </c>
      <c r="H170" s="35">
        <f>G170*1.21-G170</f>
        <v>2474.9298</v>
      </c>
      <c r="I170" s="36">
        <f>G170*1.21</f>
        <v>14260.309799999999</v>
      </c>
      <c r="K170" s="118"/>
      <c r="S170" s="2"/>
    </row>
    <row r="171" spans="1:19" s="119" customFormat="1" ht="12.75" customHeight="1">
      <c r="A171" s="37"/>
      <c r="B171" s="38" t="s">
        <v>160</v>
      </c>
      <c r="C171" s="39" t="s">
        <v>161</v>
      </c>
      <c r="D171" s="40"/>
      <c r="E171" s="41"/>
      <c r="F171" s="42"/>
      <c r="G171" s="43">
        <f>SUM(G169:G170)</f>
        <v>17392.379999999997</v>
      </c>
      <c r="H171" s="43">
        <f>SUM(H169:H170)</f>
        <v>3652.3998</v>
      </c>
      <c r="I171" s="44">
        <f>SUM(I169:I170)</f>
        <v>21044.7798</v>
      </c>
      <c r="S171" s="2"/>
    </row>
    <row r="172" spans="1:19" s="119" customFormat="1" ht="12.75" customHeight="1">
      <c r="A172" s="106"/>
      <c r="B172" s="107"/>
      <c r="C172" s="108"/>
      <c r="D172" s="107"/>
      <c r="E172" s="109"/>
      <c r="F172" s="110"/>
      <c r="G172" s="111"/>
      <c r="H172" s="35"/>
      <c r="I172" s="36"/>
      <c r="S172" s="2"/>
    </row>
    <row r="173" spans="1:19" s="119" customFormat="1" ht="12.75" customHeight="1">
      <c r="A173" s="112"/>
      <c r="B173" s="113" t="s">
        <v>166</v>
      </c>
      <c r="C173" s="114" t="s">
        <v>167</v>
      </c>
      <c r="D173" s="113"/>
      <c r="E173" s="115"/>
      <c r="F173" s="116"/>
      <c r="G173" s="117"/>
      <c r="H173" s="35"/>
      <c r="I173" s="36"/>
      <c r="S173" s="2"/>
    </row>
    <row r="174" spans="1:19" s="119" customFormat="1" ht="30" customHeight="1">
      <c r="A174" s="28">
        <v>3</v>
      </c>
      <c r="B174" s="29" t="s">
        <v>170</v>
      </c>
      <c r="C174" s="30" t="s">
        <v>171</v>
      </c>
      <c r="D174" s="31" t="s">
        <v>14</v>
      </c>
      <c r="E174" s="32">
        <f>E142*0.13</f>
        <v>61.568000000000005</v>
      </c>
      <c r="F174" s="33">
        <v>145.7</v>
      </c>
      <c r="G174" s="34">
        <f aca="true" t="shared" si="15" ref="G174:G180">ROUND((E174*F174),2)</f>
        <v>8970.46</v>
      </c>
      <c r="H174" s="35">
        <f aca="true" t="shared" si="16" ref="H174:H180">G174*1.21-G174</f>
        <v>1883.7965999999997</v>
      </c>
      <c r="I174" s="36">
        <f aca="true" t="shared" si="17" ref="I174:I180">G174*1.21</f>
        <v>10854.256599999999</v>
      </c>
      <c r="K174" s="118"/>
      <c r="S174" s="2"/>
    </row>
    <row r="175" spans="1:19" s="119" customFormat="1" ht="30" customHeight="1">
      <c r="A175" s="28">
        <v>7</v>
      </c>
      <c r="B175" s="29" t="s">
        <v>170</v>
      </c>
      <c r="C175" s="30" t="s">
        <v>172</v>
      </c>
      <c r="D175" s="31" t="s">
        <v>14</v>
      </c>
      <c r="E175" s="32">
        <f>E170*0.0215</f>
        <v>1.9134999999999998</v>
      </c>
      <c r="F175" s="33">
        <v>145.7</v>
      </c>
      <c r="G175" s="34">
        <f t="shared" si="15"/>
        <v>278.8</v>
      </c>
      <c r="H175" s="35">
        <f t="shared" si="16"/>
        <v>58.548</v>
      </c>
      <c r="I175" s="36">
        <f t="shared" si="17"/>
        <v>337.348</v>
      </c>
      <c r="K175" s="118"/>
      <c r="S175" s="2"/>
    </row>
    <row r="176" spans="1:19" s="119" customFormat="1" ht="30" customHeight="1">
      <c r="A176" s="28">
        <v>2</v>
      </c>
      <c r="B176" s="29" t="s">
        <v>173</v>
      </c>
      <c r="C176" s="30" t="s">
        <v>174</v>
      </c>
      <c r="D176" s="31" t="s">
        <v>14</v>
      </c>
      <c r="E176" s="32">
        <f>E174</f>
        <v>61.568000000000005</v>
      </c>
      <c r="F176" s="33">
        <v>96.72</v>
      </c>
      <c r="G176" s="34">
        <f t="shared" si="15"/>
        <v>5954.86</v>
      </c>
      <c r="H176" s="35">
        <f t="shared" si="16"/>
        <v>1250.5205999999998</v>
      </c>
      <c r="I176" s="36">
        <f t="shared" si="17"/>
        <v>7205.3805999999995</v>
      </c>
      <c r="K176" s="118"/>
      <c r="S176" s="2"/>
    </row>
    <row r="177" spans="1:19" s="119" customFormat="1" ht="30" customHeight="1">
      <c r="A177" s="28">
        <v>6</v>
      </c>
      <c r="B177" s="29" t="s">
        <v>173</v>
      </c>
      <c r="C177" s="30" t="s">
        <v>175</v>
      </c>
      <c r="D177" s="31" t="s">
        <v>14</v>
      </c>
      <c r="E177" s="32">
        <f>E175</f>
        <v>1.9134999999999998</v>
      </c>
      <c r="F177" s="33">
        <v>96.72</v>
      </c>
      <c r="G177" s="34">
        <f t="shared" si="15"/>
        <v>185.07</v>
      </c>
      <c r="H177" s="35">
        <f t="shared" si="16"/>
        <v>38.8647</v>
      </c>
      <c r="I177" s="36">
        <f t="shared" si="17"/>
        <v>223.9347</v>
      </c>
      <c r="K177" s="118"/>
      <c r="S177" s="2"/>
    </row>
    <row r="178" spans="1:19" s="119" customFormat="1" ht="30" customHeight="1">
      <c r="A178" s="28">
        <v>4</v>
      </c>
      <c r="B178" s="29" t="s">
        <v>176</v>
      </c>
      <c r="C178" s="30" t="s">
        <v>177</v>
      </c>
      <c r="D178" s="31" t="s">
        <v>14</v>
      </c>
      <c r="E178" s="32">
        <f>E174</f>
        <v>61.568000000000005</v>
      </c>
      <c r="F178" s="33">
        <v>210.4</v>
      </c>
      <c r="G178" s="34">
        <f t="shared" si="15"/>
        <v>12953.91</v>
      </c>
      <c r="H178" s="35">
        <f t="shared" si="16"/>
        <v>2720.321099999999</v>
      </c>
      <c r="I178" s="36">
        <f t="shared" si="17"/>
        <v>15674.231099999999</v>
      </c>
      <c r="K178" s="118"/>
      <c r="S178" s="2"/>
    </row>
    <row r="179" spans="1:19" s="119" customFormat="1" ht="30" customHeight="1">
      <c r="A179" s="28">
        <v>8</v>
      </c>
      <c r="B179" s="29" t="s">
        <v>176</v>
      </c>
      <c r="C179" s="30" t="s">
        <v>178</v>
      </c>
      <c r="D179" s="31" t="s">
        <v>14</v>
      </c>
      <c r="E179" s="32">
        <f>E175</f>
        <v>1.9134999999999998</v>
      </c>
      <c r="F179" s="33">
        <v>210.4</v>
      </c>
      <c r="G179" s="34">
        <f t="shared" si="15"/>
        <v>402.6</v>
      </c>
      <c r="H179" s="35">
        <f t="shared" si="16"/>
        <v>84.54599999999999</v>
      </c>
      <c r="I179" s="36">
        <f t="shared" si="17"/>
        <v>487.146</v>
      </c>
      <c r="K179" s="118"/>
      <c r="S179" s="2"/>
    </row>
    <row r="180" spans="1:19" s="119" customFormat="1" ht="30" customHeight="1">
      <c r="A180" s="28">
        <v>12</v>
      </c>
      <c r="B180" s="29" t="s">
        <v>176</v>
      </c>
      <c r="C180" s="30" t="s">
        <v>179</v>
      </c>
      <c r="D180" s="31" t="s">
        <v>14</v>
      </c>
      <c r="E180" s="32">
        <f>E144*1.6</f>
        <v>4.272</v>
      </c>
      <c r="F180" s="33">
        <v>250</v>
      </c>
      <c r="G180" s="34">
        <f t="shared" si="15"/>
        <v>1068</v>
      </c>
      <c r="H180" s="35">
        <f t="shared" si="16"/>
        <v>224.27999999999997</v>
      </c>
      <c r="I180" s="36">
        <f t="shared" si="17"/>
        <v>1292.28</v>
      </c>
      <c r="K180" s="118"/>
      <c r="S180" s="2"/>
    </row>
    <row r="181" spans="1:19" s="119" customFormat="1" ht="12.75" customHeight="1">
      <c r="A181" s="37"/>
      <c r="B181" s="38" t="s">
        <v>166</v>
      </c>
      <c r="C181" s="39" t="s">
        <v>167</v>
      </c>
      <c r="D181" s="40"/>
      <c r="E181" s="41"/>
      <c r="F181" s="42"/>
      <c r="G181" s="43">
        <f>SUM(G174:G180)</f>
        <v>29813.699999999997</v>
      </c>
      <c r="H181" s="43">
        <f>SUM(H174:H180)</f>
        <v>6260.876999999999</v>
      </c>
      <c r="I181" s="44">
        <f>SUM(I174:I180)</f>
        <v>36074.577</v>
      </c>
      <c r="S181" s="2"/>
    </row>
    <row r="182" spans="1:19" s="119" customFormat="1" ht="12.75" customHeight="1">
      <c r="A182" s="106"/>
      <c r="B182" s="107"/>
      <c r="C182" s="108"/>
      <c r="D182" s="107"/>
      <c r="E182" s="109"/>
      <c r="F182" s="110"/>
      <c r="G182" s="111"/>
      <c r="H182" s="35"/>
      <c r="I182" s="36"/>
      <c r="S182" s="2"/>
    </row>
    <row r="183" spans="1:19" s="119" customFormat="1" ht="12.75" customHeight="1">
      <c r="A183" s="112"/>
      <c r="B183" s="113" t="s">
        <v>73</v>
      </c>
      <c r="C183" s="114" t="s">
        <v>69</v>
      </c>
      <c r="D183" s="113"/>
      <c r="E183" s="115"/>
      <c r="F183" s="116"/>
      <c r="G183" s="117"/>
      <c r="H183" s="35"/>
      <c r="I183" s="36"/>
      <c r="S183" s="2"/>
    </row>
    <row r="184" spans="1:19" s="119" customFormat="1" ht="30" customHeight="1">
      <c r="A184" s="28">
        <v>4</v>
      </c>
      <c r="B184" s="29">
        <v>998223011</v>
      </c>
      <c r="C184" s="30" t="s">
        <v>195</v>
      </c>
      <c r="D184" s="31" t="s">
        <v>14</v>
      </c>
      <c r="E184" s="32">
        <f>E154*0.05*1.6+E155*0.1*1.6+E156*0.1254+E169*0.0215</f>
        <v>90.553559</v>
      </c>
      <c r="F184" s="33">
        <v>118.5</v>
      </c>
      <c r="G184" s="34">
        <f>ROUND((E184*F184),2)</f>
        <v>10730.6</v>
      </c>
      <c r="H184" s="35">
        <f>G184*1.21-G184</f>
        <v>2253.4259999999995</v>
      </c>
      <c r="I184" s="36">
        <f>G184*1.21</f>
        <v>12984.026</v>
      </c>
      <c r="K184" s="118"/>
      <c r="S184" s="2"/>
    </row>
    <row r="185" spans="1:19" s="119" customFormat="1" ht="12.75" customHeight="1">
      <c r="A185" s="45"/>
      <c r="B185" s="46" t="s">
        <v>73</v>
      </c>
      <c r="C185" s="47" t="s">
        <v>69</v>
      </c>
      <c r="D185" s="48"/>
      <c r="E185" s="49"/>
      <c r="F185" s="50"/>
      <c r="G185" s="51">
        <f>SUM(G184:G184)</f>
        <v>10730.6</v>
      </c>
      <c r="H185" s="51">
        <f>SUM(H184:H184)</f>
        <v>2253.4259999999995</v>
      </c>
      <c r="I185" s="52">
        <f>SUM(I184:I184)</f>
        <v>12984.026</v>
      </c>
      <c r="S185" s="2"/>
    </row>
    <row r="186" spans="1:19" s="119" customFormat="1" ht="12.75" customHeight="1">
      <c r="A186" s="53"/>
      <c r="B186" s="54"/>
      <c r="C186" s="55"/>
      <c r="D186" s="53"/>
      <c r="E186" s="56"/>
      <c r="F186" s="57"/>
      <c r="G186" s="58"/>
      <c r="H186" s="59"/>
      <c r="I186" s="59"/>
      <c r="S186" s="2"/>
    </row>
    <row r="187" spans="1:19" s="119" customFormat="1" ht="12.75" customHeight="1">
      <c r="A187" s="53"/>
      <c r="B187" s="54"/>
      <c r="C187" s="55"/>
      <c r="D187" s="53"/>
      <c r="E187" s="56"/>
      <c r="F187" s="57"/>
      <c r="G187" s="58"/>
      <c r="H187" s="59"/>
      <c r="I187" s="59"/>
      <c r="S187" s="2"/>
    </row>
    <row r="188" spans="1:19" s="119" customFormat="1" ht="12.75" customHeight="1">
      <c r="A188" s="53"/>
      <c r="B188" s="54"/>
      <c r="C188" s="55"/>
      <c r="D188" s="53"/>
      <c r="E188" s="56"/>
      <c r="F188" s="57"/>
      <c r="G188" s="58"/>
      <c r="H188" s="59"/>
      <c r="I188" s="59"/>
      <c r="S188" s="2"/>
    </row>
    <row r="189" spans="1:19" s="119" customFormat="1" ht="12.75" customHeight="1">
      <c r="A189" s="53"/>
      <c r="B189" s="54"/>
      <c r="C189" s="55"/>
      <c r="D189" s="53"/>
      <c r="E189" s="56"/>
      <c r="F189" s="57"/>
      <c r="G189" s="58"/>
      <c r="H189" s="59"/>
      <c r="I189" s="59"/>
      <c r="S189" s="2"/>
    </row>
    <row r="190" spans="1:19" s="119" customFormat="1" ht="12.75" customHeight="1">
      <c r="A190" s="53"/>
      <c r="B190" s="54"/>
      <c r="C190" s="55"/>
      <c r="D190" s="53"/>
      <c r="E190" s="56"/>
      <c r="F190" s="57"/>
      <c r="G190" s="58"/>
      <c r="H190" s="59"/>
      <c r="I190" s="59"/>
      <c r="S190" s="2"/>
    </row>
    <row r="191" spans="1:19" s="119" customFormat="1" ht="12.75" customHeight="1">
      <c r="A191" s="53"/>
      <c r="B191" s="54"/>
      <c r="C191" s="55"/>
      <c r="D191" s="53"/>
      <c r="E191" s="56"/>
      <c r="F191" s="57"/>
      <c r="G191" s="58"/>
      <c r="H191" s="59"/>
      <c r="I191" s="59"/>
      <c r="S191" s="2"/>
    </row>
    <row r="192" spans="1:19" s="119" customFormat="1" ht="12.75" customHeight="1">
      <c r="A192" s="53"/>
      <c r="B192" s="54"/>
      <c r="C192" s="55"/>
      <c r="D192" s="53"/>
      <c r="E192" s="56"/>
      <c r="F192" s="57"/>
      <c r="G192" s="58"/>
      <c r="H192" s="59"/>
      <c r="I192" s="59"/>
      <c r="S192" s="2"/>
    </row>
    <row r="193" spans="1:19" s="119" customFormat="1" ht="12.75" customHeight="1">
      <c r="A193" s="53"/>
      <c r="B193" s="54"/>
      <c r="C193" s="55"/>
      <c r="D193" s="53"/>
      <c r="E193" s="56"/>
      <c r="F193" s="57"/>
      <c r="G193" s="58"/>
      <c r="H193" s="59"/>
      <c r="I193" s="59"/>
      <c r="S193" s="2"/>
    </row>
    <row r="194" spans="1:19" s="119" customFormat="1" ht="12.75" customHeight="1">
      <c r="A194" s="53"/>
      <c r="B194" s="54"/>
      <c r="C194" s="55"/>
      <c r="D194" s="53"/>
      <c r="E194" s="56"/>
      <c r="F194" s="57"/>
      <c r="G194" s="58"/>
      <c r="H194" s="59"/>
      <c r="I194" s="59"/>
      <c r="S194" s="2"/>
    </row>
    <row r="195" spans="1:19" s="119" customFormat="1" ht="12.75" customHeight="1">
      <c r="A195" s="53"/>
      <c r="B195" s="54"/>
      <c r="C195" s="55"/>
      <c r="D195" s="53"/>
      <c r="E195" s="56"/>
      <c r="F195" s="57"/>
      <c r="G195" s="58"/>
      <c r="H195" s="59"/>
      <c r="I195" s="59"/>
      <c r="S195" s="2"/>
    </row>
    <row r="196" spans="1:19" s="119" customFormat="1" ht="12.75" customHeight="1">
      <c r="A196" s="53"/>
      <c r="B196" s="54"/>
      <c r="C196" s="55"/>
      <c r="D196" s="53"/>
      <c r="E196" s="56"/>
      <c r="F196" s="57"/>
      <c r="G196" s="58"/>
      <c r="H196" s="59"/>
      <c r="I196" s="59"/>
      <c r="S196" s="2"/>
    </row>
    <row r="197" spans="1:19" s="119" customFormat="1" ht="12.75" customHeight="1">
      <c r="A197" s="53"/>
      <c r="B197" s="54"/>
      <c r="C197" s="55"/>
      <c r="D197" s="53"/>
      <c r="E197" s="56"/>
      <c r="F197" s="57"/>
      <c r="G197" s="58"/>
      <c r="H197" s="59"/>
      <c r="I197" s="59"/>
      <c r="S197" s="2"/>
    </row>
    <row r="198" spans="1:19" s="119" customFormat="1" ht="12.75" customHeight="1">
      <c r="A198" s="53"/>
      <c r="B198" s="54"/>
      <c r="C198" s="55"/>
      <c r="D198" s="53"/>
      <c r="E198" s="56"/>
      <c r="F198" s="57"/>
      <c r="G198" s="58"/>
      <c r="H198" s="59"/>
      <c r="I198" s="59"/>
      <c r="S198" s="2"/>
    </row>
    <row r="199" spans="1:19" s="119" customFormat="1" ht="12.75" customHeight="1">
      <c r="A199" s="53"/>
      <c r="B199" s="54"/>
      <c r="C199" s="55"/>
      <c r="D199" s="53"/>
      <c r="E199" s="56"/>
      <c r="F199" s="57"/>
      <c r="G199" s="58"/>
      <c r="H199" s="59"/>
      <c r="I199" s="59"/>
      <c r="S199" s="2"/>
    </row>
    <row r="200" spans="1:19" s="119" customFormat="1" ht="12.75" customHeight="1">
      <c r="A200" s="53"/>
      <c r="B200" s="54"/>
      <c r="C200" s="55"/>
      <c r="D200" s="53"/>
      <c r="E200" s="56"/>
      <c r="F200" s="57"/>
      <c r="G200" s="58"/>
      <c r="H200" s="59"/>
      <c r="I200" s="59"/>
      <c r="S200" s="2"/>
    </row>
    <row r="201" spans="1:19" s="119" customFormat="1" ht="12.75" customHeight="1">
      <c r="A201" s="53"/>
      <c r="B201" s="54"/>
      <c r="C201" s="55"/>
      <c r="D201" s="53"/>
      <c r="E201" s="56"/>
      <c r="F201" s="57"/>
      <c r="G201" s="58"/>
      <c r="H201" s="59"/>
      <c r="I201" s="59"/>
      <c r="S201" s="2"/>
    </row>
    <row r="202" spans="1:19" s="119" customFormat="1" ht="12.75" customHeight="1">
      <c r="A202" s="53"/>
      <c r="B202" s="54"/>
      <c r="C202" s="55"/>
      <c r="D202" s="53"/>
      <c r="E202" s="56"/>
      <c r="F202" s="57"/>
      <c r="G202" s="58"/>
      <c r="H202" s="59"/>
      <c r="I202" s="59"/>
      <c r="S202" s="2"/>
    </row>
    <row r="203" spans="1:19" s="119" customFormat="1" ht="12.75" customHeight="1">
      <c r="A203" s="53"/>
      <c r="B203" s="54"/>
      <c r="C203" s="55"/>
      <c r="D203" s="53"/>
      <c r="E203" s="56"/>
      <c r="F203" s="57"/>
      <c r="G203" s="58"/>
      <c r="H203" s="59"/>
      <c r="I203" s="59"/>
      <c r="S203" s="2"/>
    </row>
    <row r="204" spans="1:19" s="119" customFormat="1" ht="12.75" customHeight="1">
      <c r="A204" s="53"/>
      <c r="B204" s="54"/>
      <c r="C204" s="55"/>
      <c r="D204" s="53"/>
      <c r="E204" s="56"/>
      <c r="F204" s="57"/>
      <c r="G204" s="58"/>
      <c r="H204" s="59"/>
      <c r="I204" s="59"/>
      <c r="S204" s="2"/>
    </row>
    <row r="205" spans="1:19" s="119" customFormat="1" ht="12.75" customHeight="1">
      <c r="A205" s="53"/>
      <c r="B205" s="54"/>
      <c r="C205" s="55"/>
      <c r="D205" s="53"/>
      <c r="E205" s="56"/>
      <c r="F205" s="57"/>
      <c r="G205" s="58"/>
      <c r="H205" s="59"/>
      <c r="I205" s="59"/>
      <c r="S205" s="2"/>
    </row>
    <row r="206" spans="1:19" s="119" customFormat="1" ht="12.75" customHeight="1">
      <c r="A206" s="53"/>
      <c r="B206" s="54"/>
      <c r="C206" s="55"/>
      <c r="D206" s="53"/>
      <c r="E206" s="56"/>
      <c r="F206" s="57"/>
      <c r="G206" s="58"/>
      <c r="H206" s="59"/>
      <c r="I206" s="59"/>
      <c r="S206" s="2"/>
    </row>
    <row r="207" spans="1:19" s="119" customFormat="1" ht="12.75" customHeight="1">
      <c r="A207" s="53"/>
      <c r="B207" s="54"/>
      <c r="C207" s="55"/>
      <c r="D207" s="53"/>
      <c r="E207" s="56"/>
      <c r="F207" s="57"/>
      <c r="G207" s="58"/>
      <c r="H207" s="59"/>
      <c r="I207" s="59"/>
      <c r="S207" s="2"/>
    </row>
    <row r="208" spans="1:19" s="119" customFormat="1" ht="12.75" customHeight="1">
      <c r="A208" s="53"/>
      <c r="B208" s="54"/>
      <c r="C208" s="55"/>
      <c r="D208" s="53"/>
      <c r="E208" s="56"/>
      <c r="F208" s="57"/>
      <c r="G208" s="58"/>
      <c r="H208" s="59"/>
      <c r="I208" s="59"/>
      <c r="S208" s="2"/>
    </row>
    <row r="209" spans="1:19" s="119" customFormat="1" ht="12.75" customHeight="1">
      <c r="A209" s="53"/>
      <c r="B209" s="54"/>
      <c r="C209" s="55"/>
      <c r="D209" s="53"/>
      <c r="E209" s="56"/>
      <c r="F209" s="57"/>
      <c r="G209" s="58"/>
      <c r="H209" s="59"/>
      <c r="I209" s="59"/>
      <c r="S209" s="2"/>
    </row>
    <row r="210" spans="1:19" s="119" customFormat="1" ht="12.75" customHeight="1">
      <c r="A210" s="53"/>
      <c r="B210" s="54"/>
      <c r="C210" s="55"/>
      <c r="D210" s="53"/>
      <c r="E210" s="56"/>
      <c r="F210" s="57"/>
      <c r="G210" s="58"/>
      <c r="H210" s="59"/>
      <c r="I210" s="59"/>
      <c r="S210" s="2"/>
    </row>
    <row r="211" spans="1:19" s="119" customFormat="1" ht="12.75" customHeight="1">
      <c r="A211" s="53"/>
      <c r="B211" s="54"/>
      <c r="C211" s="55"/>
      <c r="D211" s="53"/>
      <c r="E211" s="56"/>
      <c r="F211" s="57"/>
      <c r="G211" s="58"/>
      <c r="H211" s="59"/>
      <c r="I211" s="59"/>
      <c r="S211" s="2"/>
    </row>
    <row r="212" spans="1:19" s="119" customFormat="1" ht="12.75" customHeight="1">
      <c r="A212" s="53"/>
      <c r="B212" s="54"/>
      <c r="C212" s="55"/>
      <c r="D212" s="53"/>
      <c r="E212" s="56"/>
      <c r="F212" s="57"/>
      <c r="G212" s="58"/>
      <c r="H212" s="59"/>
      <c r="I212" s="59"/>
      <c r="S212" s="2"/>
    </row>
    <row r="213" spans="1:19" s="119" customFormat="1" ht="12.75" customHeight="1">
      <c r="A213" s="53"/>
      <c r="B213" s="54"/>
      <c r="C213" s="55"/>
      <c r="D213" s="53"/>
      <c r="E213" s="56"/>
      <c r="F213" s="57"/>
      <c r="G213" s="58"/>
      <c r="H213" s="59"/>
      <c r="I213" s="59"/>
      <c r="S213" s="2"/>
    </row>
    <row r="214" spans="1:19" s="119" customFormat="1" ht="12.75" customHeight="1">
      <c r="A214" s="53"/>
      <c r="B214" s="54"/>
      <c r="C214" s="55"/>
      <c r="D214" s="53"/>
      <c r="E214" s="56"/>
      <c r="F214" s="57"/>
      <c r="G214" s="58"/>
      <c r="H214" s="59"/>
      <c r="I214" s="59"/>
      <c r="S214" s="2"/>
    </row>
    <row r="215" spans="1:19" s="119" customFormat="1" ht="12.75" customHeight="1">
      <c r="A215" s="53"/>
      <c r="B215" s="54"/>
      <c r="C215" s="55"/>
      <c r="D215" s="53"/>
      <c r="E215" s="56"/>
      <c r="F215" s="57"/>
      <c r="G215" s="58"/>
      <c r="H215" s="59"/>
      <c r="I215" s="59"/>
      <c r="S215" s="2"/>
    </row>
    <row r="216" spans="1:19" s="119" customFormat="1" ht="12.75" customHeight="1">
      <c r="A216" s="53"/>
      <c r="B216" s="54"/>
      <c r="C216" s="55"/>
      <c r="D216" s="53"/>
      <c r="E216" s="56"/>
      <c r="F216" s="57"/>
      <c r="G216" s="58"/>
      <c r="H216" s="59"/>
      <c r="I216" s="59"/>
      <c r="S216" s="2"/>
    </row>
    <row r="217" spans="1:19" s="119" customFormat="1" ht="12.75" customHeight="1">
      <c r="A217" s="53"/>
      <c r="B217" s="54"/>
      <c r="C217" s="55"/>
      <c r="D217" s="53"/>
      <c r="E217" s="56"/>
      <c r="F217" s="57"/>
      <c r="G217" s="58"/>
      <c r="H217" s="59"/>
      <c r="I217" s="59"/>
      <c r="S217" s="2"/>
    </row>
    <row r="218" spans="1:19" s="119" customFormat="1" ht="12.75" customHeight="1">
      <c r="A218" s="53"/>
      <c r="B218" s="54"/>
      <c r="C218" s="55"/>
      <c r="D218" s="53"/>
      <c r="E218" s="56"/>
      <c r="F218" s="57"/>
      <c r="G218" s="58"/>
      <c r="H218" s="59"/>
      <c r="I218" s="59"/>
      <c r="S218" s="2"/>
    </row>
    <row r="219" spans="1:19" s="119" customFormat="1" ht="12.75" customHeight="1">
      <c r="A219" s="53"/>
      <c r="B219" s="54"/>
      <c r="C219" s="55"/>
      <c r="D219" s="53"/>
      <c r="E219" s="56"/>
      <c r="F219" s="57"/>
      <c r="G219" s="58"/>
      <c r="H219" s="59"/>
      <c r="I219" s="59"/>
      <c r="S219" s="2"/>
    </row>
    <row r="220" spans="1:19" s="119" customFormat="1" ht="12.75" customHeight="1">
      <c r="A220" s="53"/>
      <c r="B220" s="54"/>
      <c r="C220" s="55"/>
      <c r="D220" s="53"/>
      <c r="E220" s="56"/>
      <c r="F220" s="57"/>
      <c r="G220" s="58"/>
      <c r="H220" s="59"/>
      <c r="I220" s="59"/>
      <c r="S220" s="2"/>
    </row>
    <row r="221" spans="1:19" s="119" customFormat="1" ht="12.75" customHeight="1">
      <c r="A221" s="53"/>
      <c r="B221" s="54"/>
      <c r="C221" s="55"/>
      <c r="D221" s="53"/>
      <c r="E221" s="56"/>
      <c r="F221" s="57"/>
      <c r="G221" s="58"/>
      <c r="H221" s="59"/>
      <c r="I221" s="59"/>
      <c r="S221" s="2"/>
    </row>
    <row r="222" spans="1:19" s="119" customFormat="1" ht="12.75" customHeight="1">
      <c r="A222" s="53"/>
      <c r="B222" s="54"/>
      <c r="C222" s="55"/>
      <c r="D222" s="53"/>
      <c r="E222" s="56"/>
      <c r="F222" s="57"/>
      <c r="G222" s="58"/>
      <c r="H222" s="59"/>
      <c r="I222" s="59"/>
      <c r="S222" s="2"/>
    </row>
    <row r="223" spans="1:19" s="119" customFormat="1" ht="12.75" customHeight="1">
      <c r="A223" s="53"/>
      <c r="B223" s="54"/>
      <c r="C223" s="55"/>
      <c r="D223" s="53"/>
      <c r="E223" s="56"/>
      <c r="F223" s="57"/>
      <c r="G223" s="58"/>
      <c r="H223" s="59"/>
      <c r="I223" s="59"/>
      <c r="S223" s="2"/>
    </row>
    <row r="224" spans="1:19" s="119" customFormat="1" ht="12.75" customHeight="1">
      <c r="A224" s="53"/>
      <c r="B224" s="54"/>
      <c r="C224" s="55"/>
      <c r="D224" s="53"/>
      <c r="E224" s="56"/>
      <c r="F224" s="57"/>
      <c r="G224" s="58"/>
      <c r="H224" s="59"/>
      <c r="I224" s="59"/>
      <c r="S224" s="2"/>
    </row>
    <row r="225" spans="1:19" s="119" customFormat="1" ht="12.75" customHeight="1">
      <c r="A225" s="53"/>
      <c r="B225" s="54"/>
      <c r="C225" s="55"/>
      <c r="D225" s="53"/>
      <c r="E225" s="56"/>
      <c r="F225" s="57"/>
      <c r="G225" s="58"/>
      <c r="H225" s="59"/>
      <c r="I225" s="59"/>
      <c r="S225" s="2"/>
    </row>
    <row r="226" spans="1:19" s="119" customFormat="1" ht="12.75" customHeight="1">
      <c r="A226" s="53"/>
      <c r="B226" s="54"/>
      <c r="C226" s="55"/>
      <c r="D226" s="53"/>
      <c r="E226" s="56"/>
      <c r="F226" s="57"/>
      <c r="G226" s="58"/>
      <c r="H226" s="59"/>
      <c r="I226" s="59"/>
      <c r="S226" s="2"/>
    </row>
    <row r="227" spans="1:19" s="119" customFormat="1" ht="12.75" customHeight="1">
      <c r="A227" s="53"/>
      <c r="B227" s="54"/>
      <c r="C227" s="55"/>
      <c r="D227" s="53"/>
      <c r="E227" s="56"/>
      <c r="F227" s="57"/>
      <c r="G227" s="58"/>
      <c r="H227" s="59"/>
      <c r="I227" s="59"/>
      <c r="S227" s="2"/>
    </row>
    <row r="228" spans="1:19" s="119" customFormat="1" ht="12.75" customHeight="1">
      <c r="A228" s="53"/>
      <c r="B228" s="54"/>
      <c r="C228" s="55"/>
      <c r="D228" s="53"/>
      <c r="E228" s="56"/>
      <c r="F228" s="57"/>
      <c r="G228" s="58"/>
      <c r="H228" s="59"/>
      <c r="I228" s="59"/>
      <c r="S228" s="2"/>
    </row>
    <row r="229" spans="1:19" s="119" customFormat="1" ht="12.75" customHeight="1">
      <c r="A229" s="53"/>
      <c r="B229" s="54"/>
      <c r="C229" s="55"/>
      <c r="D229" s="53"/>
      <c r="E229" s="56"/>
      <c r="F229" s="57"/>
      <c r="G229" s="58"/>
      <c r="H229" s="59"/>
      <c r="I229" s="59"/>
      <c r="S229" s="2"/>
    </row>
    <row r="230" spans="1:19" s="119" customFormat="1" ht="12.75" customHeight="1">
      <c r="A230" s="53"/>
      <c r="B230" s="54"/>
      <c r="C230" s="55"/>
      <c r="D230" s="53"/>
      <c r="E230" s="56"/>
      <c r="F230" s="57"/>
      <c r="G230" s="58"/>
      <c r="H230" s="59"/>
      <c r="I230" s="59"/>
      <c r="S230" s="2"/>
    </row>
    <row r="231" spans="1:19" s="119" customFormat="1" ht="12.75" customHeight="1">
      <c r="A231" s="53"/>
      <c r="B231" s="54"/>
      <c r="C231" s="55"/>
      <c r="D231" s="53"/>
      <c r="E231" s="56"/>
      <c r="F231" s="57"/>
      <c r="G231" s="58"/>
      <c r="H231" s="59"/>
      <c r="I231" s="59"/>
      <c r="S231" s="2"/>
    </row>
    <row r="232" spans="1:19" s="119" customFormat="1" ht="12.75" customHeight="1">
      <c r="A232" s="53"/>
      <c r="B232" s="54"/>
      <c r="C232" s="55"/>
      <c r="D232" s="53"/>
      <c r="E232" s="56"/>
      <c r="F232" s="57"/>
      <c r="G232" s="58"/>
      <c r="H232" s="59"/>
      <c r="I232" s="59"/>
      <c r="S232" s="2"/>
    </row>
    <row r="233" spans="1:9" ht="12.75" customHeight="1">
      <c r="A233" s="53"/>
      <c r="B233" s="60" t="s">
        <v>70</v>
      </c>
      <c r="C233" s="170" t="s">
        <v>71</v>
      </c>
      <c r="D233" s="171"/>
      <c r="E233" s="171"/>
      <c r="F233" s="171"/>
      <c r="G233" s="171"/>
      <c r="H233" s="171"/>
      <c r="I233" s="171"/>
    </row>
    <row r="234" spans="1:9" ht="12.75" customHeight="1">
      <c r="A234" s="53"/>
      <c r="B234" s="54"/>
      <c r="C234" s="170" t="s">
        <v>74</v>
      </c>
      <c r="D234" s="171"/>
      <c r="E234" s="171"/>
      <c r="F234" s="171"/>
      <c r="G234" s="171"/>
      <c r="H234" s="171"/>
      <c r="I234" s="171"/>
    </row>
    <row r="235" spans="1:9" ht="12.75" customHeight="1">
      <c r="A235" s="53"/>
      <c r="B235" s="54"/>
      <c r="C235" s="170" t="s">
        <v>75</v>
      </c>
      <c r="D235" s="171"/>
      <c r="E235" s="171"/>
      <c r="F235" s="171"/>
      <c r="G235" s="171"/>
      <c r="H235" s="171"/>
      <c r="I235" s="171"/>
    </row>
    <row r="236" spans="1:9" ht="12.75" customHeight="1">
      <c r="A236" s="53"/>
      <c r="B236" s="54"/>
      <c r="C236" s="61"/>
      <c r="D236" s="53"/>
      <c r="E236" s="56"/>
      <c r="F236" s="57"/>
      <c r="G236" s="58"/>
      <c r="H236" s="59"/>
      <c r="I236" s="59"/>
    </row>
    <row r="237" spans="1:9" ht="12.75" customHeight="1">
      <c r="A237" s="53"/>
      <c r="B237" s="54"/>
      <c r="C237" s="61"/>
      <c r="D237" s="53"/>
      <c r="E237" s="56"/>
      <c r="F237" s="57"/>
      <c r="G237" s="58"/>
      <c r="H237" s="59"/>
      <c r="I237" s="59"/>
    </row>
    <row r="238" spans="1:9" ht="12.75" customHeight="1">
      <c r="A238" s="53"/>
      <c r="B238" s="54"/>
      <c r="C238" s="61"/>
      <c r="D238" s="53"/>
      <c r="E238" s="56"/>
      <c r="F238" s="57"/>
      <c r="G238" s="58"/>
      <c r="H238" s="59"/>
      <c r="I238" s="59"/>
    </row>
    <row r="239" spans="1:9" ht="12.75" customHeight="1">
      <c r="A239" s="53"/>
      <c r="B239" s="54"/>
      <c r="C239" s="62"/>
      <c r="D239" s="53"/>
      <c r="E239" s="56"/>
      <c r="F239" s="57"/>
      <c r="G239" s="58"/>
      <c r="H239" s="59"/>
      <c r="I239" s="59"/>
    </row>
    <row r="240" spans="1:9" ht="12.75" customHeight="1">
      <c r="A240" s="53"/>
      <c r="B240" s="54"/>
      <c r="C240" s="170"/>
      <c r="D240" s="171"/>
      <c r="E240" s="171"/>
      <c r="F240" s="171"/>
      <c r="G240" s="171"/>
      <c r="H240" s="171"/>
      <c r="I240" s="171"/>
    </row>
    <row r="241" spans="1:9" ht="12.75" customHeight="1">
      <c r="A241" s="53"/>
      <c r="B241" s="54"/>
      <c r="C241" s="170"/>
      <c r="D241" s="171"/>
      <c r="E241" s="171"/>
      <c r="F241" s="171"/>
      <c r="G241" s="171"/>
      <c r="H241" s="171"/>
      <c r="I241" s="171"/>
    </row>
    <row r="242" spans="1:9" ht="12.75" customHeight="1">
      <c r="A242" s="53"/>
      <c r="B242" s="54"/>
      <c r="C242" s="170"/>
      <c r="D242" s="171"/>
      <c r="E242" s="171"/>
      <c r="F242" s="171"/>
      <c r="G242" s="171"/>
      <c r="H242" s="171"/>
      <c r="I242" s="171"/>
    </row>
    <row r="243" spans="1:9" ht="12.75" customHeight="1">
      <c r="A243" s="53"/>
      <c r="B243" s="54"/>
      <c r="C243" s="170"/>
      <c r="D243" s="171"/>
      <c r="E243" s="171"/>
      <c r="F243" s="171"/>
      <c r="G243" s="171"/>
      <c r="H243" s="171"/>
      <c r="I243" s="171"/>
    </row>
    <row r="244" spans="1:9" ht="12.75" customHeight="1">
      <c r="A244" s="53"/>
      <c r="B244" s="54"/>
      <c r="C244" s="170"/>
      <c r="D244" s="171"/>
      <c r="E244" s="171"/>
      <c r="F244" s="171"/>
      <c r="G244" s="171"/>
      <c r="H244" s="171"/>
      <c r="I244" s="171"/>
    </row>
    <row r="245" spans="1:9" ht="12.75" customHeight="1">
      <c r="A245" s="53"/>
      <c r="B245" s="54"/>
      <c r="C245" s="170"/>
      <c r="D245" s="171"/>
      <c r="E245" s="171"/>
      <c r="F245" s="171"/>
      <c r="G245" s="171"/>
      <c r="H245" s="171"/>
      <c r="I245" s="171"/>
    </row>
    <row r="246" spans="3:9" ht="12.75" customHeight="1">
      <c r="C246" s="170"/>
      <c r="D246" s="171"/>
      <c r="E246" s="171"/>
      <c r="F246" s="171"/>
      <c r="G246" s="171"/>
      <c r="H246" s="171"/>
      <c r="I246" s="171"/>
    </row>
  </sheetData>
  <sheetProtection/>
  <mergeCells count="20">
    <mergeCell ref="C246:I246"/>
    <mergeCell ref="A7:B7"/>
    <mergeCell ref="C240:I240"/>
    <mergeCell ref="C241:I241"/>
    <mergeCell ref="C242:I242"/>
    <mergeCell ref="C243:I243"/>
    <mergeCell ref="C244:I244"/>
    <mergeCell ref="C245:I245"/>
    <mergeCell ref="C233:I233"/>
    <mergeCell ref="C234:I234"/>
    <mergeCell ref="C235:I235"/>
    <mergeCell ref="A101:B101"/>
    <mergeCell ref="A140:B140"/>
    <mergeCell ref="A1:I1"/>
    <mergeCell ref="F4:I4"/>
    <mergeCell ref="C4:C5"/>
    <mergeCell ref="D4:D5"/>
    <mergeCell ref="E4:E5"/>
    <mergeCell ref="B4:B5"/>
    <mergeCell ref="A4:A5"/>
  </mergeCells>
  <printOptions/>
  <pageMargins left="0.5905511811023623" right="0.5905511811023623" top="0.7874015748031497" bottom="0.3937007874015748" header="0" footer="0"/>
  <pageSetup fitToHeight="3" horizontalDpi="600" verticalDpi="600" orientation="landscape" paperSize="9" scale="7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Viktora Pavel</dc:creator>
  <cp:keywords/>
  <dc:description/>
  <cp:lastModifiedBy>Jakoubková Marie</cp:lastModifiedBy>
  <cp:lastPrinted>2015-07-23T11:11:57Z</cp:lastPrinted>
  <dcterms:created xsi:type="dcterms:W3CDTF">2012-01-23T12:38:39Z</dcterms:created>
  <dcterms:modified xsi:type="dcterms:W3CDTF">2015-07-23T11:12:00Z</dcterms:modified>
  <cp:category/>
  <cp:version/>
  <cp:contentType/>
  <cp:contentStatus/>
</cp:coreProperties>
</file>